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ml.chartshapes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tables/table2.xml" ContentType="application/vnd.openxmlformats-officedocument.spreadsheetml.table+xml"/>
  <Override PartName="/xl/drawings/drawing5.xml" ContentType="application/vnd.openxmlformats-officedocument.drawing+xml"/>
  <Override PartName="/xl/tables/table3.xml" ContentType="application/vnd.openxmlformats-officedocument.spreadsheetml.table+xml"/>
  <Override PartName="/xl/drawings/drawing6.xml" ContentType="application/vnd.openxmlformats-officedocument.drawing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drawings/drawing7.xml" ContentType="application/vnd.openxmlformats-officedocument.drawing+xml"/>
  <Override PartName="/xl/tables/table5.xml" ContentType="application/vnd.openxmlformats-officedocument.spreadsheetml.table+xml"/>
  <Override PartName="/xl/comments3.xml" ContentType="application/vnd.openxmlformats-officedocument.spreadsheetml.comments+xml"/>
  <Override PartName="/xl/drawings/drawing8.xml" ContentType="application/vnd.openxmlformats-officedocument.drawing+xml"/>
  <Override PartName="/xl/tables/table6.xml" ContentType="application/vnd.openxmlformats-officedocument.spreadsheetml.table+xml"/>
  <Override PartName="/xl/comments4.xml" ContentType="application/vnd.openxmlformats-officedocument.spreadsheetml.comments+xml"/>
  <Override PartName="/xl/drawings/drawing9.xml" ContentType="application/vnd.openxmlformats-officedocument.drawing+xml"/>
  <Override PartName="/xl/tables/table7.xml" ContentType="application/vnd.openxmlformats-officedocument.spreadsheetml.table+xml"/>
  <Override PartName="/xl/comments5.xml" ContentType="application/vnd.openxmlformats-officedocument.spreadsheetml.comments+xml"/>
  <Override PartName="/xl/drawings/drawing10.xml" ContentType="application/vnd.openxmlformats-officedocument.drawing+xml"/>
  <Override PartName="/xl/tables/table8.xml" ContentType="application/vnd.openxmlformats-officedocument.spreadsheetml.table+xml"/>
  <Override PartName="/xl/drawings/drawing11.xml" ContentType="application/vnd.openxmlformats-officedocument.drawing+xml"/>
  <Override PartName="/xl/tables/table9.xml" ContentType="application/vnd.openxmlformats-officedocument.spreadsheetml.table+xml"/>
  <Override PartName="/xl/comments6.xml" ContentType="application/vnd.openxmlformats-officedocument.spreadsheetml.comments+xml"/>
  <Override PartName="/xl/drawings/drawing12.xml" ContentType="application/vnd.openxmlformats-officedocument.drawing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xampp\htdocs\elearning_ipex\public\"/>
    </mc:Choice>
  </mc:AlternateContent>
  <xr:revisionPtr revIDLastSave="0" documentId="13_ncr:1_{B95B8866-4187-4A77-8C67-65D1CCC02DE6}" xr6:coauthVersionLast="47" xr6:coauthVersionMax="47" xr10:uidLastSave="{00000000-0000-0000-0000-000000000000}"/>
  <bookViews>
    <workbookView xWindow="-120" yWindow="-120" windowWidth="29040" windowHeight="15720" tabRatio="902" xr2:uid="{D6104745-1EE8-41F4-B9E2-B0C033AD179E}"/>
  </bookViews>
  <sheets>
    <sheet name="Jun.26" sheetId="13" r:id="rId1"/>
    <sheet name="Daily Tray " sheetId="1" r:id="rId2"/>
    <sheet name="SUMMARY" sheetId="11" r:id="rId3"/>
    <sheet name="Daily Advics" sheetId="2" r:id="rId4"/>
    <sheet name="Daily TRT " sheetId="10" r:id="rId5"/>
    <sheet name="Daily Yazaki" sheetId="6" r:id="rId6"/>
    <sheet name="Daily WDC" sheetId="3" r:id="rId7"/>
    <sheet name="Daily Nidec" sheetId="5" r:id="rId8"/>
    <sheet name="Daily Ramp" sheetId="4" r:id="rId9"/>
    <sheet name="Daily Seagate" sheetId="7" r:id="rId10"/>
    <sheet name="Daily Fujikura" sheetId="8" r:id="rId11"/>
    <sheet name="Daily Belton" sheetId="9" r:id="rId12"/>
  </sheets>
  <definedNames>
    <definedName name="_Fill" localSheetId="11" hidden="1">#REF!</definedName>
    <definedName name="_Fill" localSheetId="10" hidden="1">#REF!</definedName>
    <definedName name="_Fill" localSheetId="7" hidden="1">#REF!</definedName>
    <definedName name="_Fill" localSheetId="9" hidden="1">#REF!</definedName>
    <definedName name="_Fill" localSheetId="1" hidden="1">#REF!</definedName>
    <definedName name="_Fill" localSheetId="6" hidden="1">#REF!</definedName>
    <definedName name="_Fill" hidden="1">#REF!</definedName>
    <definedName name="_xlnm._FilterDatabase" localSheetId="3" hidden="1">'Daily Advics'!$A$8:$AN$105</definedName>
    <definedName name="_xlnm._FilterDatabase" localSheetId="11" hidden="1">'Daily Belton'!$A$8:$AN$70</definedName>
    <definedName name="_xlnm._FilterDatabase" localSheetId="10" hidden="1">'Daily Fujikura'!$A$8:$AN$56</definedName>
    <definedName name="_xlnm._FilterDatabase" localSheetId="7" hidden="1">'Daily Nidec'!$A$7:$AN$55</definedName>
    <definedName name="_xlnm._FilterDatabase" localSheetId="9" hidden="1">'Daily Seagate'!$A$8:$AN$28</definedName>
    <definedName name="_xlnm._FilterDatabase" localSheetId="1" hidden="1">'Daily Tray '!$A$7:$AN$1196</definedName>
    <definedName name="_xlnm._FilterDatabase" localSheetId="4" hidden="1">'Daily TRT '!$A$8:$AN$251</definedName>
    <definedName name="_xlnm._FilterDatabase" localSheetId="6" hidden="1">'Daily WDC'!$A$8:$AN$588</definedName>
    <definedName name="_xlnm._FilterDatabase" localSheetId="0" hidden="1">Jun.26!$A$1:$K$1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able2_In1" localSheetId="11" hidden="1">#REF!</definedName>
    <definedName name="_Table2_In1" localSheetId="10" hidden="1">#REF!</definedName>
    <definedName name="_Table2_In1" localSheetId="7" hidden="1">#REF!</definedName>
    <definedName name="_Table2_In1" localSheetId="9" hidden="1">#REF!</definedName>
    <definedName name="_Table2_In1" localSheetId="1" hidden="1">#REF!</definedName>
    <definedName name="_Table2_In1" localSheetId="6" hidden="1">#REF!</definedName>
    <definedName name="_Table2_In1" hidden="1">#REF!</definedName>
    <definedName name="_Table2_In2" localSheetId="11" hidden="1">#REF!</definedName>
    <definedName name="_Table2_In2" localSheetId="10" hidden="1">#REF!</definedName>
    <definedName name="_Table2_In2" localSheetId="7" hidden="1">#REF!</definedName>
    <definedName name="_Table2_In2" localSheetId="9" hidden="1">#REF!</definedName>
    <definedName name="_Table2_In2" localSheetId="1" hidden="1">#REF!</definedName>
    <definedName name="_Table2_In2" localSheetId="6" hidden="1">#REF!</definedName>
    <definedName name="_Table2_In2" hidden="1">#REF!</definedName>
    <definedName name="A" localSheetId="11" hidden="1">#REF!</definedName>
    <definedName name="A" localSheetId="10" hidden="1">#REF!</definedName>
    <definedName name="A" localSheetId="7" hidden="1">#REF!</definedName>
    <definedName name="A" localSheetId="9" hidden="1">#REF!</definedName>
    <definedName name="A" localSheetId="1" hidden="1">#REF!</definedName>
    <definedName name="A" localSheetId="6" hidden="1">#REF!</definedName>
    <definedName name="A" hidden="1">#REF!</definedName>
    <definedName name="AB" localSheetId="11" hidden="1">#REF!</definedName>
    <definedName name="AB" localSheetId="10" hidden="1">#REF!</definedName>
    <definedName name="AB" localSheetId="7" hidden="1">#REF!</definedName>
    <definedName name="AB" localSheetId="9" hidden="1">#REF!</definedName>
    <definedName name="AB" localSheetId="1" hidden="1">#REF!</definedName>
    <definedName name="AB" localSheetId="6" hidden="1">#REF!</definedName>
    <definedName name="AB" hidden="1">#REF!</definedName>
    <definedName name="Access_Button" hidden="1">"価格H_hard_諸元___2__List"</definedName>
    <definedName name="AccessDatabase" hidden="1">"C:\MTAKAHAS\価格H.mdb"</definedName>
    <definedName name="ADDON" localSheetId="3" hidden="1">{"'その他費用'!$B$3:$J$22"}</definedName>
    <definedName name="ADDON" localSheetId="11" hidden="1">{"'その他費用'!$B$3:$J$22"}</definedName>
    <definedName name="ADDON" localSheetId="10" hidden="1">{"'その他費用'!$B$3:$J$22"}</definedName>
    <definedName name="ADDON" localSheetId="7" hidden="1">{"'その他費用'!$B$3:$J$22"}</definedName>
    <definedName name="ADDON" localSheetId="8" hidden="1">{"'その他費用'!$B$3:$J$22"}</definedName>
    <definedName name="ADDON" localSheetId="9" hidden="1">{"'その他費用'!$B$3:$J$22"}</definedName>
    <definedName name="ADDON" localSheetId="4" hidden="1">{"'その他費用'!$B$3:$J$22"}</definedName>
    <definedName name="ADDON" localSheetId="6" hidden="1">{"'その他費用'!$B$3:$J$22"}</definedName>
    <definedName name="ADDON" localSheetId="5" hidden="1">{"'その他費用'!$B$3:$J$22"}</definedName>
    <definedName name="ADDON" localSheetId="0" hidden="1">{"'その他費用'!$B$3:$J$22"}</definedName>
    <definedName name="ADDON" hidden="1">{"'その他費用'!$B$3:$J$22"}</definedName>
    <definedName name="ADDON_2" localSheetId="3" hidden="1">{"'その他費用'!$B$3:$J$22"}</definedName>
    <definedName name="ADDON_2" localSheetId="11" hidden="1">{"'その他費用'!$B$3:$J$22"}</definedName>
    <definedName name="ADDON_2" localSheetId="10" hidden="1">{"'その他費用'!$B$3:$J$22"}</definedName>
    <definedName name="ADDON_2" localSheetId="7" hidden="1">{"'その他費用'!$B$3:$J$22"}</definedName>
    <definedName name="ADDON_2" localSheetId="8" hidden="1">{"'その他費用'!$B$3:$J$22"}</definedName>
    <definedName name="ADDON_2" localSheetId="9" hidden="1">{"'その他費用'!$B$3:$J$22"}</definedName>
    <definedName name="ADDON_2" localSheetId="4" hidden="1">{"'その他費用'!$B$3:$J$22"}</definedName>
    <definedName name="ADDON_2" localSheetId="6" hidden="1">{"'その他費用'!$B$3:$J$22"}</definedName>
    <definedName name="ADDON_2" localSheetId="5" hidden="1">{"'その他費用'!$B$3:$J$22"}</definedName>
    <definedName name="ADDON_2" localSheetId="0" hidden="1">{"'その他費用'!$B$3:$J$22"}</definedName>
    <definedName name="ADDON_2" hidden="1">{"'その他費用'!$B$3:$J$22"}</definedName>
    <definedName name="B" localSheetId="3" hidden="1">{"'その他費用'!$B$3:$J$22"}</definedName>
    <definedName name="B" localSheetId="11" hidden="1">{"'その他費用'!$B$3:$J$22"}</definedName>
    <definedName name="B" localSheetId="10" hidden="1">{"'その他費用'!$B$3:$J$22"}</definedName>
    <definedName name="B" localSheetId="7" hidden="1">{"'その他費用'!$B$3:$J$22"}</definedName>
    <definedName name="B" localSheetId="8" hidden="1">{"'その他費用'!$B$3:$J$22"}</definedName>
    <definedName name="B" localSheetId="9" hidden="1">{"'その他費用'!$B$3:$J$22"}</definedName>
    <definedName name="B" localSheetId="4" hidden="1">{"'その他費用'!$B$3:$J$22"}</definedName>
    <definedName name="B" localSheetId="6" hidden="1">{"'その他費用'!$B$3:$J$22"}</definedName>
    <definedName name="B" localSheetId="5" hidden="1">{"'その他費用'!$B$3:$J$22"}</definedName>
    <definedName name="B" localSheetId="0" hidden="1">{"'その他費用'!$B$3:$J$22"}</definedName>
    <definedName name="B" hidden="1">{"'その他費用'!$B$3:$J$22"}</definedName>
    <definedName name="ffff" localSheetId="3" hidden="1">{"'その他費用'!$B$3:$J$22"}</definedName>
    <definedName name="ffff" localSheetId="11" hidden="1">{"'その他費用'!$B$3:$J$22"}</definedName>
    <definedName name="ffff" localSheetId="10" hidden="1">{"'その他費用'!$B$3:$J$22"}</definedName>
    <definedName name="ffff" localSheetId="7" hidden="1">{"'その他費用'!$B$3:$J$22"}</definedName>
    <definedName name="ffff" localSheetId="8" hidden="1">{"'その他費用'!$B$3:$J$22"}</definedName>
    <definedName name="ffff" localSheetId="9" hidden="1">{"'その他費用'!$B$3:$J$22"}</definedName>
    <definedName name="ffff" localSheetId="4" hidden="1">{"'その他費用'!$B$3:$J$22"}</definedName>
    <definedName name="ffff" localSheetId="6" hidden="1">{"'その他費用'!$B$3:$J$22"}</definedName>
    <definedName name="ffff" localSheetId="5" hidden="1">{"'その他費用'!$B$3:$J$22"}</definedName>
    <definedName name="ffff" localSheetId="0" hidden="1">{"'その他費用'!$B$3:$J$22"}</definedName>
    <definedName name="ffff" hidden="1">{"'その他費用'!$B$3:$J$22"}</definedName>
    <definedName name="HTML_CodePage" hidden="1">932</definedName>
    <definedName name="HTML_Control" localSheetId="3" hidden="1">{"'その他費用'!$B$3:$J$22"}</definedName>
    <definedName name="HTML_Control" localSheetId="11" hidden="1">{"'その他費用'!$B$3:$J$22"}</definedName>
    <definedName name="HTML_Control" localSheetId="10" hidden="1">{"'その他費用'!$B$3:$J$22"}</definedName>
    <definedName name="HTML_Control" localSheetId="7" hidden="1">{"'その他費用'!$B$3:$J$22"}</definedName>
    <definedName name="HTML_Control" localSheetId="8" hidden="1">{"'その他費用'!$B$3:$J$22"}</definedName>
    <definedName name="HTML_Control" localSheetId="9" hidden="1">{"'その他費用'!$B$3:$J$22"}</definedName>
    <definedName name="HTML_Control" localSheetId="4" hidden="1">{"'その他費用'!$B$3:$J$22"}</definedName>
    <definedName name="HTML_Control" localSheetId="6" hidden="1">{"'その他費用'!$B$3:$J$22"}</definedName>
    <definedName name="HTML_Control" localSheetId="5" hidden="1">{"'その他費用'!$B$3:$J$22"}</definedName>
    <definedName name="HTML_Control" localSheetId="0" hidden="1">{"'その他費用'!$B$3:$J$22"}</definedName>
    <definedName name="HTML_Control" hidden="1">{"'その他費用'!$B$3:$J$22"}</definedName>
    <definedName name="HTML_Control1" localSheetId="3" hidden="1">{"'その他費用'!$B$3:$J$22"}</definedName>
    <definedName name="HTML_Control1" localSheetId="11" hidden="1">{"'その他費用'!$B$3:$J$22"}</definedName>
    <definedName name="HTML_Control1" localSheetId="10" hidden="1">{"'その他費用'!$B$3:$J$22"}</definedName>
    <definedName name="HTML_Control1" localSheetId="7" hidden="1">{"'その他費用'!$B$3:$J$22"}</definedName>
    <definedName name="HTML_Control1" localSheetId="8" hidden="1">{"'その他費用'!$B$3:$J$22"}</definedName>
    <definedName name="HTML_Control1" localSheetId="9" hidden="1">{"'その他費用'!$B$3:$J$22"}</definedName>
    <definedName name="HTML_Control1" localSheetId="4" hidden="1">{"'その他費用'!$B$3:$J$22"}</definedName>
    <definedName name="HTML_Control1" localSheetId="6" hidden="1">{"'その他費用'!$B$3:$J$22"}</definedName>
    <definedName name="HTML_Control1" localSheetId="5" hidden="1">{"'その他費用'!$B$3:$J$22"}</definedName>
    <definedName name="HTML_Control1" localSheetId="0" hidden="1">{"'その他費用'!$B$3:$J$22"}</definedName>
    <definedName name="HTML_Control1" hidden="1">{"'その他費用'!$B$3:$J$22"}</definedName>
    <definedName name="HTML_Control2" localSheetId="3" hidden="1">{"'その他費用'!$B$3:$J$22"}</definedName>
    <definedName name="HTML_Control2" localSheetId="11" hidden="1">{"'その他費用'!$B$3:$J$22"}</definedName>
    <definedName name="HTML_Control2" localSheetId="10" hidden="1">{"'その他費用'!$B$3:$J$22"}</definedName>
    <definedName name="HTML_Control2" localSheetId="7" hidden="1">{"'その他費用'!$B$3:$J$22"}</definedName>
    <definedName name="HTML_Control2" localSheetId="8" hidden="1">{"'その他費用'!$B$3:$J$22"}</definedName>
    <definedName name="HTML_Control2" localSheetId="9" hidden="1">{"'その他費用'!$B$3:$J$22"}</definedName>
    <definedName name="HTML_Control2" localSheetId="4" hidden="1">{"'その他費用'!$B$3:$J$22"}</definedName>
    <definedName name="HTML_Control2" localSheetId="6" hidden="1">{"'その他費用'!$B$3:$J$22"}</definedName>
    <definedName name="HTML_Control2" localSheetId="5" hidden="1">{"'その他費用'!$B$3:$J$22"}</definedName>
    <definedName name="HTML_Control2" localSheetId="0" hidden="1">{"'その他費用'!$B$3:$J$22"}</definedName>
    <definedName name="HTML_Control2" hidden="1">{"'その他費用'!$B$3:$J$22"}</definedName>
    <definedName name="HTML_Control3" localSheetId="3" hidden="1">{"'その他費用'!$B$3:$J$22"}</definedName>
    <definedName name="HTML_Control3" localSheetId="11" hidden="1">{"'その他費用'!$B$3:$J$22"}</definedName>
    <definedName name="HTML_Control3" localSheetId="10" hidden="1">{"'その他費用'!$B$3:$J$22"}</definedName>
    <definedName name="HTML_Control3" localSheetId="7" hidden="1">{"'その他費用'!$B$3:$J$22"}</definedName>
    <definedName name="HTML_Control3" localSheetId="8" hidden="1">{"'その他費用'!$B$3:$J$22"}</definedName>
    <definedName name="HTML_Control3" localSheetId="9" hidden="1">{"'その他費用'!$B$3:$J$22"}</definedName>
    <definedName name="HTML_Control3" localSheetId="4" hidden="1">{"'その他費用'!$B$3:$J$22"}</definedName>
    <definedName name="HTML_Control3" localSheetId="6" hidden="1">{"'その他費用'!$B$3:$J$22"}</definedName>
    <definedName name="HTML_Control3" localSheetId="5" hidden="1">{"'その他費用'!$B$3:$J$22"}</definedName>
    <definedName name="HTML_Control3" localSheetId="0" hidden="1">{"'その他費用'!$B$3:$J$22"}</definedName>
    <definedName name="HTML_Control3" hidden="1">{"'その他費用'!$B$3:$J$22"}</definedName>
    <definedName name="HTML_Description" hidden="1">""</definedName>
    <definedName name="HTML_Email" hidden="1">""</definedName>
    <definedName name="HTML_Header" hidden="1">"その他費用"</definedName>
    <definedName name="HTML_LastUpdate" hidden="1">"98/09/08"</definedName>
    <definedName name="HTML_LineAfter" hidden="1">FALSE</definedName>
    <definedName name="HTML_LineBefore" hidden="1">FALSE</definedName>
    <definedName name="HTML_Name" hidden="1">"情報システム製作所 情革ニ"</definedName>
    <definedName name="HTML_OBDlg2" hidden="1">TRUE</definedName>
    <definedName name="HTML_OBDlg4" hidden="1">TRUE</definedName>
    <definedName name="HTML_OS" hidden="1">0</definedName>
    <definedName name="HTML_PathFile" hidden="1">"C:\temp\MyHTML.htm"</definedName>
    <definedName name="HTML_Title" hidden="1">"980910S1"</definedName>
    <definedName name="InterFace" localSheetId="3" hidden="1">{"'その他費用'!$B$3:$J$22"}</definedName>
    <definedName name="InterFace" localSheetId="11" hidden="1">{"'その他費用'!$B$3:$J$22"}</definedName>
    <definedName name="InterFace" localSheetId="10" hidden="1">{"'その他費用'!$B$3:$J$22"}</definedName>
    <definedName name="InterFace" localSheetId="7" hidden="1">{"'その他費用'!$B$3:$J$22"}</definedName>
    <definedName name="InterFace" localSheetId="8" hidden="1">{"'その他費用'!$B$3:$J$22"}</definedName>
    <definedName name="InterFace" localSheetId="9" hidden="1">{"'その他費用'!$B$3:$J$22"}</definedName>
    <definedName name="InterFace" localSheetId="4" hidden="1">{"'その他費用'!$B$3:$J$22"}</definedName>
    <definedName name="InterFace" localSheetId="6" hidden="1">{"'その他費用'!$B$3:$J$22"}</definedName>
    <definedName name="InterFace" localSheetId="5" hidden="1">{"'その他費用'!$B$3:$J$22"}</definedName>
    <definedName name="InterFace" localSheetId="0" hidden="1">{"'その他費用'!$B$3:$J$22"}</definedName>
    <definedName name="InterFace" hidden="1">{"'その他費用'!$B$3:$J$22"}</definedName>
    <definedName name="RR" localSheetId="3" hidden="1">{"'その他費用'!$B$3:$J$22"}</definedName>
    <definedName name="RR" localSheetId="11" hidden="1">{"'その他費用'!$B$3:$J$22"}</definedName>
    <definedName name="RR" localSheetId="10" hidden="1">{"'その他費用'!$B$3:$J$22"}</definedName>
    <definedName name="RR" localSheetId="7" hidden="1">{"'その他費用'!$B$3:$J$22"}</definedName>
    <definedName name="RR" localSheetId="8" hidden="1">{"'その他費用'!$B$3:$J$22"}</definedName>
    <definedName name="RR" localSheetId="9" hidden="1">{"'その他費用'!$B$3:$J$22"}</definedName>
    <definedName name="RR" localSheetId="4" hidden="1">{"'その他費用'!$B$3:$J$22"}</definedName>
    <definedName name="RR" localSheetId="6" hidden="1">{"'その他費用'!$B$3:$J$22"}</definedName>
    <definedName name="RR" localSheetId="5" hidden="1">{"'その他費用'!$B$3:$J$22"}</definedName>
    <definedName name="RR" localSheetId="0" hidden="1">{"'その他費用'!$B$3:$J$22"}</definedName>
    <definedName name="RR" hidden="1">{"'その他費用'!$B$3:$J$22"}</definedName>
    <definedName name="アドオン" localSheetId="3" hidden="1">{"'その他費用'!$B$3:$J$22"}</definedName>
    <definedName name="アドオン" localSheetId="11" hidden="1">{"'その他費用'!$B$3:$J$22"}</definedName>
    <definedName name="アドオン" localSheetId="10" hidden="1">{"'その他費用'!$B$3:$J$22"}</definedName>
    <definedName name="アドオン" localSheetId="7" hidden="1">{"'その他費用'!$B$3:$J$22"}</definedName>
    <definedName name="アドオン" localSheetId="8" hidden="1">{"'その他費用'!$B$3:$J$22"}</definedName>
    <definedName name="アドオン" localSheetId="9" hidden="1">{"'その他費用'!$B$3:$J$22"}</definedName>
    <definedName name="アドオン" localSheetId="4" hidden="1">{"'その他費用'!$B$3:$J$22"}</definedName>
    <definedName name="アドオン" localSheetId="6" hidden="1">{"'その他費用'!$B$3:$J$22"}</definedName>
    <definedName name="アドオン" localSheetId="5" hidden="1">{"'その他費用'!$B$3:$J$22"}</definedName>
    <definedName name="アドオン" localSheetId="0" hidden="1">{"'その他費用'!$B$3:$J$22"}</definedName>
    <definedName name="アドオン" hidden="1">{"'その他費用'!$B$3:$J$22"}</definedName>
    <definedName name="こ" localSheetId="3" hidden="1">{"'その他費用'!$B$3:$J$22"}</definedName>
    <definedName name="こ" localSheetId="11" hidden="1">{"'その他費用'!$B$3:$J$22"}</definedName>
    <definedName name="こ" localSheetId="10" hidden="1">{"'その他費用'!$B$3:$J$22"}</definedName>
    <definedName name="こ" localSheetId="7" hidden="1">{"'その他費用'!$B$3:$J$22"}</definedName>
    <definedName name="こ" localSheetId="8" hidden="1">{"'その他費用'!$B$3:$J$22"}</definedName>
    <definedName name="こ" localSheetId="9" hidden="1">{"'その他費用'!$B$3:$J$22"}</definedName>
    <definedName name="こ" localSheetId="4" hidden="1">{"'その他費用'!$B$3:$J$22"}</definedName>
    <definedName name="こ" localSheetId="6" hidden="1">{"'その他費用'!$B$3:$J$22"}</definedName>
    <definedName name="こ" localSheetId="5" hidden="1">{"'その他費用'!$B$3:$J$22"}</definedName>
    <definedName name="こ" localSheetId="0" hidden="1">{"'その他費用'!$B$3:$J$22"}</definedName>
    <definedName name="こ" hidden="1">{"'その他費用'!$B$3:$J$22"}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92" i="4" l="1"/>
  <c r="AA364" i="4"/>
  <c r="AA236" i="4"/>
  <c r="AA204" i="4"/>
  <c r="AA460" i="4"/>
  <c r="AA268" i="4"/>
  <c r="AA156" i="4"/>
  <c r="AA28" i="4"/>
  <c r="L22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N268" i="4" l="1"/>
  <c r="Z460" i="4"/>
  <c r="Z364" i="4"/>
  <c r="Z268" i="4"/>
  <c r="Z236" i="4"/>
  <c r="Z204" i="4"/>
  <c r="Z156" i="4"/>
  <c r="E469" i="4"/>
  <c r="R245" i="4" l="1"/>
  <c r="Y83" i="3"/>
  <c r="Y364" i="4"/>
  <c r="AQ377" i="4"/>
  <c r="AR381" i="4"/>
  <c r="AQ381" i="4"/>
  <c r="AU380" i="4"/>
  <c r="AU381" i="4" s="1"/>
  <c r="AT380" i="4"/>
  <c r="AT381" i="4" s="1"/>
  <c r="AS380" i="4"/>
  <c r="AS381" i="4" s="1"/>
  <c r="AR380" i="4"/>
  <c r="AQ380" i="4"/>
  <c r="AU378" i="4"/>
  <c r="AU379" i="4" s="1"/>
  <c r="AT378" i="4"/>
  <c r="AT379" i="4" s="1"/>
  <c r="AS378" i="4"/>
  <c r="AS382" i="4" s="1"/>
  <c r="AR378" i="4"/>
  <c r="AR382" i="4" s="1"/>
  <c r="AQ378" i="4"/>
  <c r="AQ382" i="4" s="1"/>
  <c r="AU377" i="4"/>
  <c r="AV377" i="4" s="1"/>
  <c r="AT377" i="4"/>
  <c r="AS377" i="4"/>
  <c r="AR377" i="4"/>
  <c r="W881" i="1"/>
  <c r="W867" i="1"/>
  <c r="T379" i="4"/>
  <c r="U379" i="4"/>
  <c r="V379" i="4"/>
  <c r="M379" i="4"/>
  <c r="N379" i="4"/>
  <c r="O379" i="4"/>
  <c r="P379" i="4"/>
  <c r="I379" i="4"/>
  <c r="W460" i="4"/>
  <c r="W236" i="4"/>
  <c r="W156" i="4"/>
  <c r="AV381" i="4" l="1"/>
  <c r="AT382" i="4"/>
  <c r="AV382" i="4" s="1"/>
  <c r="AV380" i="4"/>
  <c r="AV378" i="4"/>
  <c r="AQ379" i="4"/>
  <c r="AU382" i="4"/>
  <c r="AR379" i="4"/>
  <c r="AS379" i="4"/>
  <c r="E21" i="13"/>
  <c r="C37" i="3"/>
  <c r="AJ37" i="3"/>
  <c r="AL37" i="3" s="1"/>
  <c r="E38" i="3"/>
  <c r="F38" i="3"/>
  <c r="G38" i="3"/>
  <c r="H38" i="3"/>
  <c r="I38" i="3"/>
  <c r="J38" i="3"/>
  <c r="K38" i="3"/>
  <c r="L38" i="3"/>
  <c r="M38" i="3"/>
  <c r="N38" i="3"/>
  <c r="O38" i="3"/>
  <c r="P38" i="3"/>
  <c r="Q38" i="3"/>
  <c r="R38" i="3"/>
  <c r="S38" i="3"/>
  <c r="T38" i="3"/>
  <c r="U38" i="3"/>
  <c r="V38" i="3"/>
  <c r="W38" i="3"/>
  <c r="X38" i="3"/>
  <c r="Y38" i="3"/>
  <c r="Z38" i="3"/>
  <c r="AA38" i="3"/>
  <c r="AB38" i="3"/>
  <c r="AC38" i="3"/>
  <c r="AD38" i="3"/>
  <c r="AE38" i="3"/>
  <c r="AF38" i="3"/>
  <c r="AG38" i="3"/>
  <c r="AH38" i="3"/>
  <c r="AI38" i="3"/>
  <c r="AQ38" i="3"/>
  <c r="AR38" i="3"/>
  <c r="AS38" i="3"/>
  <c r="AT38" i="3"/>
  <c r="AU38" i="3"/>
  <c r="AU40" i="3" s="1"/>
  <c r="AJ39" i="3"/>
  <c r="AK37" i="3" s="1"/>
  <c r="AQ39" i="3"/>
  <c r="AQ43" i="3" s="1"/>
  <c r="AR39" i="3"/>
  <c r="AR43" i="3" s="1"/>
  <c r="AS39" i="3"/>
  <c r="AS43" i="3" s="1"/>
  <c r="AT39" i="3"/>
  <c r="AU39" i="3"/>
  <c r="E40" i="3"/>
  <c r="F40" i="3"/>
  <c r="G40" i="3"/>
  <c r="H40" i="3"/>
  <c r="I40" i="3"/>
  <c r="J40" i="3"/>
  <c r="K40" i="3"/>
  <c r="L40" i="3"/>
  <c r="M40" i="3"/>
  <c r="N40" i="3"/>
  <c r="O40" i="3"/>
  <c r="P40" i="3"/>
  <c r="Q40" i="3"/>
  <c r="R40" i="3"/>
  <c r="S40" i="3"/>
  <c r="T40" i="3"/>
  <c r="U40" i="3"/>
  <c r="V40" i="3"/>
  <c r="W40" i="3"/>
  <c r="X40" i="3"/>
  <c r="Y40" i="3"/>
  <c r="Z40" i="3"/>
  <c r="AA40" i="3"/>
  <c r="AB40" i="3"/>
  <c r="AC40" i="3"/>
  <c r="AD40" i="3"/>
  <c r="AE40" i="3"/>
  <c r="AF40" i="3"/>
  <c r="AG40" i="3"/>
  <c r="AH40" i="3"/>
  <c r="AI40" i="3"/>
  <c r="AJ41" i="3"/>
  <c r="AL41" i="3" s="1"/>
  <c r="AQ41" i="3"/>
  <c r="AQ42" i="3" s="1"/>
  <c r="AR41" i="3"/>
  <c r="AR42" i="3" s="1"/>
  <c r="AS41" i="3"/>
  <c r="AT41" i="3"/>
  <c r="AU41" i="3"/>
  <c r="AJ42" i="3"/>
  <c r="AL42" i="3"/>
  <c r="AS42" i="3"/>
  <c r="AT42" i="3"/>
  <c r="AU42" i="3"/>
  <c r="C43" i="3"/>
  <c r="AJ43" i="3"/>
  <c r="AL43" i="3"/>
  <c r="AU43" i="3"/>
  <c r="E45" i="3"/>
  <c r="F45" i="3"/>
  <c r="G45" i="3"/>
  <c r="H45" i="3"/>
  <c r="I45" i="3"/>
  <c r="J45" i="3"/>
  <c r="K45" i="3"/>
  <c r="L45" i="3"/>
  <c r="M45" i="3"/>
  <c r="N45" i="3"/>
  <c r="O45" i="3"/>
  <c r="P45" i="3"/>
  <c r="Q45" i="3"/>
  <c r="R45" i="3"/>
  <c r="S45" i="3"/>
  <c r="T45" i="3"/>
  <c r="U45" i="3"/>
  <c r="V45" i="3"/>
  <c r="W45" i="3"/>
  <c r="X45" i="3"/>
  <c r="Y45" i="3"/>
  <c r="Z45" i="3"/>
  <c r="AA45" i="3"/>
  <c r="AB45" i="3"/>
  <c r="AC45" i="3"/>
  <c r="AD45" i="3"/>
  <c r="AE45" i="3"/>
  <c r="AF45" i="3"/>
  <c r="AG45" i="3"/>
  <c r="AH45" i="3"/>
  <c r="AI45" i="3"/>
  <c r="E48" i="3"/>
  <c r="F48" i="3"/>
  <c r="G48" i="3"/>
  <c r="H48" i="3"/>
  <c r="I48" i="3"/>
  <c r="J48" i="3"/>
  <c r="K48" i="3"/>
  <c r="L48" i="3"/>
  <c r="M48" i="3"/>
  <c r="N48" i="3"/>
  <c r="O48" i="3"/>
  <c r="P48" i="3"/>
  <c r="Q48" i="3"/>
  <c r="R48" i="3"/>
  <c r="S48" i="3"/>
  <c r="T48" i="3"/>
  <c r="U48" i="3"/>
  <c r="V48" i="3"/>
  <c r="W48" i="3"/>
  <c r="X48" i="3"/>
  <c r="Y48" i="3"/>
  <c r="Z48" i="3"/>
  <c r="AA48" i="3"/>
  <c r="AB48" i="3"/>
  <c r="AC48" i="3"/>
  <c r="AD48" i="3"/>
  <c r="AE48" i="3"/>
  <c r="AF48" i="3"/>
  <c r="AG48" i="3"/>
  <c r="AH48" i="3"/>
  <c r="AI48" i="3"/>
  <c r="C50" i="3"/>
  <c r="E60" i="13"/>
  <c r="I60" i="13" s="1"/>
  <c r="E36" i="13"/>
  <c r="G36" i="13" s="1"/>
  <c r="C121" i="6"/>
  <c r="C107" i="6"/>
  <c r="E88" i="13" s="1"/>
  <c r="C93" i="6"/>
  <c r="E87" i="13" s="1"/>
  <c r="E85" i="13"/>
  <c r="E75" i="13"/>
  <c r="G75" i="13" s="1"/>
  <c r="E76" i="13"/>
  <c r="G76" i="13" s="1"/>
  <c r="E77" i="13"/>
  <c r="G77" i="13" s="1"/>
  <c r="E78" i="13"/>
  <c r="G78" i="13" s="1"/>
  <c r="E79" i="13"/>
  <c r="G79" i="13" s="1"/>
  <c r="E80" i="13"/>
  <c r="G80" i="13" s="1"/>
  <c r="E62" i="13"/>
  <c r="E63" i="13"/>
  <c r="E61" i="13"/>
  <c r="E54" i="13"/>
  <c r="C184" i="4"/>
  <c r="E42" i="13" s="1"/>
  <c r="E37" i="13"/>
  <c r="G37" i="13" s="1"/>
  <c r="E38" i="13"/>
  <c r="G38" i="13" s="1"/>
  <c r="E39" i="13"/>
  <c r="G39" i="13" s="1"/>
  <c r="E40" i="13"/>
  <c r="I40" i="13" s="1"/>
  <c r="E46" i="13"/>
  <c r="G46" i="13" s="1"/>
  <c r="E47" i="13"/>
  <c r="G47" i="13" s="1"/>
  <c r="E49" i="13"/>
  <c r="E51" i="13"/>
  <c r="G51" i="13" s="1"/>
  <c r="E52" i="13"/>
  <c r="G52" i="13" s="1"/>
  <c r="E53" i="13"/>
  <c r="G53" i="13" s="1"/>
  <c r="E58" i="13"/>
  <c r="G58" i="13" s="1"/>
  <c r="E28" i="13"/>
  <c r="E29" i="13"/>
  <c r="E27" i="13"/>
  <c r="E22" i="13"/>
  <c r="J22" i="13" s="1"/>
  <c r="E3" i="13"/>
  <c r="C9" i="2"/>
  <c r="V156" i="4"/>
  <c r="V268" i="4"/>
  <c r="V236" i="4"/>
  <c r="V204" i="4"/>
  <c r="V209" i="3"/>
  <c r="C9" i="8"/>
  <c r="C527" i="3"/>
  <c r="C513" i="3"/>
  <c r="C499" i="3"/>
  <c r="C498" i="3"/>
  <c r="C485" i="3"/>
  <c r="C471" i="3"/>
  <c r="C457" i="3"/>
  <c r="E16" i="13" s="1"/>
  <c r="C443" i="3"/>
  <c r="C429" i="3"/>
  <c r="C387" i="3"/>
  <c r="E15" i="13" s="1"/>
  <c r="C373" i="3"/>
  <c r="C359" i="3"/>
  <c r="C317" i="3"/>
  <c r="E12" i="13" s="1"/>
  <c r="C303" i="3"/>
  <c r="E13" i="13" s="1"/>
  <c r="C289" i="3"/>
  <c r="C275" i="3"/>
  <c r="C261" i="3"/>
  <c r="C247" i="3"/>
  <c r="C219" i="3"/>
  <c r="C191" i="3"/>
  <c r="C177" i="3"/>
  <c r="E10" i="13" s="1"/>
  <c r="C163" i="3"/>
  <c r="E11" i="13" s="1"/>
  <c r="C149" i="3"/>
  <c r="E8" i="13" s="1"/>
  <c r="C121" i="3"/>
  <c r="C107" i="3"/>
  <c r="C65" i="3"/>
  <c r="C51" i="3"/>
  <c r="E5" i="13" s="1"/>
  <c r="C9" i="3"/>
  <c r="E2" i="13" s="1"/>
  <c r="C104" i="4"/>
  <c r="C72" i="4"/>
  <c r="E34" i="13" s="1"/>
  <c r="C56" i="4"/>
  <c r="E33" i="13" s="1"/>
  <c r="C40" i="4"/>
  <c r="E32" i="13" s="1"/>
  <c r="C8" i="4"/>
  <c r="E30" i="13" s="1"/>
  <c r="C168" i="4"/>
  <c r="E41" i="13" s="1"/>
  <c r="C216" i="4"/>
  <c r="E44" i="13" s="1"/>
  <c r="C312" i="4"/>
  <c r="E50" i="13" s="1"/>
  <c r="C296" i="4"/>
  <c r="C280" i="4"/>
  <c r="E48" i="13" s="1"/>
  <c r="C344" i="4"/>
  <c r="C440" i="4"/>
  <c r="E57" i="13" s="1"/>
  <c r="C424" i="4"/>
  <c r="E56" i="13" s="1"/>
  <c r="C408" i="4"/>
  <c r="E55" i="13" s="1"/>
  <c r="C392" i="4"/>
  <c r="C376" i="4"/>
  <c r="C472" i="4"/>
  <c r="E59" i="13" s="1"/>
  <c r="C9" i="9"/>
  <c r="E25" i="13" s="1"/>
  <c r="C51" i="2"/>
  <c r="C37" i="2"/>
  <c r="C23" i="2"/>
  <c r="C65" i="2"/>
  <c r="C223" i="10"/>
  <c r="C210" i="10"/>
  <c r="C197" i="10"/>
  <c r="C184" i="10"/>
  <c r="C171" i="10"/>
  <c r="C158" i="10"/>
  <c r="C145" i="10"/>
  <c r="E74" i="13" s="1"/>
  <c r="G74" i="13" s="1"/>
  <c r="C132" i="10"/>
  <c r="E73" i="13" s="1"/>
  <c r="G73" i="13" s="1"/>
  <c r="C118" i="10"/>
  <c r="C104" i="10"/>
  <c r="C90" i="10"/>
  <c r="E70" i="13" s="1"/>
  <c r="G70" i="13" s="1"/>
  <c r="C76" i="10"/>
  <c r="E69" i="13" s="1"/>
  <c r="G69" i="13" s="1"/>
  <c r="C62" i="10"/>
  <c r="E68" i="13" s="1"/>
  <c r="G68" i="13" s="1"/>
  <c r="C48" i="10"/>
  <c r="E67" i="13" s="1"/>
  <c r="C35" i="10"/>
  <c r="E66" i="13" s="1"/>
  <c r="C22" i="10"/>
  <c r="E65" i="13" s="1"/>
  <c r="C9" i="10"/>
  <c r="E64" i="13" s="1"/>
  <c r="C163" i="6"/>
  <c r="E90" i="13" s="1"/>
  <c r="C149" i="6"/>
  <c r="E81" i="13" s="1"/>
  <c r="C135" i="6"/>
  <c r="E84" i="13" s="1"/>
  <c r="C79" i="6"/>
  <c r="E86" i="13" s="1"/>
  <c r="C65" i="6"/>
  <c r="C51" i="6"/>
  <c r="C37" i="6"/>
  <c r="E83" i="13" s="1"/>
  <c r="C23" i="6"/>
  <c r="E82" i="13" s="1"/>
  <c r="C9" i="6"/>
  <c r="C36" i="5"/>
  <c r="C8" i="5"/>
  <c r="C22" i="5"/>
  <c r="C51" i="9"/>
  <c r="E23" i="13" s="1"/>
  <c r="C37" i="9"/>
  <c r="E24" i="13" s="1"/>
  <c r="C23" i="9"/>
  <c r="E26" i="13" s="1"/>
  <c r="C37" i="8"/>
  <c r="C23" i="8"/>
  <c r="C9" i="7"/>
  <c r="C504" i="4"/>
  <c r="C488" i="4"/>
  <c r="C456" i="4"/>
  <c r="C360" i="4"/>
  <c r="C328" i="4"/>
  <c r="C264" i="4"/>
  <c r="C248" i="4"/>
  <c r="C232" i="4"/>
  <c r="E45" i="13" s="1"/>
  <c r="G45" i="13" s="1"/>
  <c r="C200" i="4"/>
  <c r="E43" i="13" s="1"/>
  <c r="G43" i="13" s="1"/>
  <c r="C152" i="4"/>
  <c r="C136" i="4"/>
  <c r="C120" i="4"/>
  <c r="C88" i="4"/>
  <c r="E35" i="13" s="1"/>
  <c r="G35" i="13" s="1"/>
  <c r="C24" i="4"/>
  <c r="E31" i="13" s="1"/>
  <c r="G31" i="13" s="1"/>
  <c r="C569" i="3"/>
  <c r="C555" i="3"/>
  <c r="E20" i="13" s="1"/>
  <c r="C541" i="3"/>
  <c r="C415" i="3"/>
  <c r="E18" i="13" s="1"/>
  <c r="C401" i="3"/>
  <c r="E17" i="13" s="1"/>
  <c r="C345" i="3"/>
  <c r="E14" i="13" s="1"/>
  <c r="C331" i="3"/>
  <c r="C233" i="3"/>
  <c r="C205" i="3"/>
  <c r="E9" i="13" s="1"/>
  <c r="C135" i="3"/>
  <c r="E7" i="13" s="1"/>
  <c r="C93" i="3"/>
  <c r="E6" i="13" s="1"/>
  <c r="C79" i="3"/>
  <c r="E4" i="13" s="1"/>
  <c r="C23" i="3"/>
  <c r="E89" i="13" l="1"/>
  <c r="AV379" i="4"/>
  <c r="I79" i="13"/>
  <c r="I75" i="13"/>
  <c r="I77" i="13"/>
  <c r="I73" i="13"/>
  <c r="I69" i="13"/>
  <c r="J79" i="13"/>
  <c r="J77" i="13"/>
  <c r="J75" i="13"/>
  <c r="J73" i="13"/>
  <c r="J69" i="13"/>
  <c r="H79" i="13"/>
  <c r="H77" i="13"/>
  <c r="H75" i="13"/>
  <c r="H73" i="13"/>
  <c r="H69" i="13"/>
  <c r="J80" i="13"/>
  <c r="J78" i="13"/>
  <c r="J76" i="13"/>
  <c r="J74" i="13"/>
  <c r="J70" i="13"/>
  <c r="J68" i="13"/>
  <c r="I80" i="13"/>
  <c r="I78" i="13"/>
  <c r="I76" i="13"/>
  <c r="I74" i="13"/>
  <c r="I70" i="13"/>
  <c r="I68" i="13"/>
  <c r="H80" i="13"/>
  <c r="H78" i="13"/>
  <c r="H76" i="13"/>
  <c r="H74" i="13"/>
  <c r="H70" i="13"/>
  <c r="H68" i="13"/>
  <c r="AV42" i="3"/>
  <c r="AJ45" i="3"/>
  <c r="E47" i="3"/>
  <c r="F47" i="3" s="1"/>
  <c r="G47" i="3" s="1"/>
  <c r="H47" i="3" s="1"/>
  <c r="I47" i="3" s="1"/>
  <c r="J47" i="3" s="1"/>
  <c r="K47" i="3" s="1"/>
  <c r="L47" i="3" s="1"/>
  <c r="M47" i="3" s="1"/>
  <c r="N47" i="3" s="1"/>
  <c r="O47" i="3" s="1"/>
  <c r="P47" i="3" s="1"/>
  <c r="Q47" i="3" s="1"/>
  <c r="R47" i="3" s="1"/>
  <c r="S47" i="3" s="1"/>
  <c r="T47" i="3" s="1"/>
  <c r="U47" i="3" s="1"/>
  <c r="V47" i="3" s="1"/>
  <c r="W47" i="3" s="1"/>
  <c r="X47" i="3" s="1"/>
  <c r="Y47" i="3" s="1"/>
  <c r="Z47" i="3" s="1"/>
  <c r="AA47" i="3" s="1"/>
  <c r="AB47" i="3" s="1"/>
  <c r="AC47" i="3" s="1"/>
  <c r="AD47" i="3" s="1"/>
  <c r="AS40" i="3"/>
  <c r="AT40" i="3"/>
  <c r="AV38" i="3"/>
  <c r="E50" i="3"/>
  <c r="F50" i="3" s="1"/>
  <c r="G50" i="3" s="1"/>
  <c r="H50" i="3" s="1"/>
  <c r="I50" i="3" s="1"/>
  <c r="J50" i="3" s="1"/>
  <c r="K50" i="3" s="1"/>
  <c r="L50" i="3" s="1"/>
  <c r="M50" i="3" s="1"/>
  <c r="N50" i="3" s="1"/>
  <c r="O50" i="3" s="1"/>
  <c r="P50" i="3" s="1"/>
  <c r="Q50" i="3" s="1"/>
  <c r="R50" i="3" s="1"/>
  <c r="S50" i="3" s="1"/>
  <c r="T50" i="3" s="1"/>
  <c r="U50" i="3" s="1"/>
  <c r="V50" i="3" s="1"/>
  <c r="W50" i="3" s="1"/>
  <c r="X50" i="3" s="1"/>
  <c r="Y50" i="3" s="1"/>
  <c r="Z50" i="3" s="1"/>
  <c r="AA50" i="3" s="1"/>
  <c r="AB50" i="3" s="1"/>
  <c r="AC50" i="3" s="1"/>
  <c r="AD50" i="3" s="1"/>
  <c r="AE50" i="3" s="1"/>
  <c r="AF50" i="3" s="1"/>
  <c r="AG50" i="3" s="1"/>
  <c r="AH50" i="3" s="1"/>
  <c r="AI50" i="3" s="1"/>
  <c r="AN41" i="3"/>
  <c r="AQ40" i="3"/>
  <c r="AO39" i="3"/>
  <c r="AO37" i="3"/>
  <c r="AR40" i="3"/>
  <c r="AV41" i="3"/>
  <c r="AL39" i="3"/>
  <c r="AM37" i="3" s="1"/>
  <c r="AT43" i="3"/>
  <c r="AV43" i="3" s="1"/>
  <c r="AJ40" i="3"/>
  <c r="AL40" i="3" s="1"/>
  <c r="AV39" i="3"/>
  <c r="E19" i="13"/>
  <c r="G60" i="13"/>
  <c r="I36" i="13"/>
  <c r="I51" i="13"/>
  <c r="I46" i="13"/>
  <c r="I31" i="13"/>
  <c r="I38" i="13"/>
  <c r="I35" i="13"/>
  <c r="J51" i="13"/>
  <c r="G29" i="13"/>
  <c r="I29" i="13"/>
  <c r="I53" i="13"/>
  <c r="G28" i="13"/>
  <c r="H51" i="13"/>
  <c r="I28" i="13"/>
  <c r="G40" i="13"/>
  <c r="G22" i="13"/>
  <c r="J37" i="13"/>
  <c r="H22" i="13"/>
  <c r="I58" i="13"/>
  <c r="I52" i="13"/>
  <c r="I47" i="13"/>
  <c r="I45" i="13"/>
  <c r="I43" i="13"/>
  <c r="I39" i="13"/>
  <c r="I37" i="13"/>
  <c r="I22" i="13"/>
  <c r="H37" i="13"/>
  <c r="I16" i="13"/>
  <c r="I26" i="13"/>
  <c r="G23" i="13"/>
  <c r="G26" i="13"/>
  <c r="G24" i="13"/>
  <c r="I23" i="13"/>
  <c r="I24" i="13"/>
  <c r="E71" i="13"/>
  <c r="E72" i="13"/>
  <c r="G72" i="13" l="1"/>
  <c r="H72" i="13"/>
  <c r="I72" i="13"/>
  <c r="J72" i="13"/>
  <c r="I71" i="13"/>
  <c r="G71" i="13"/>
  <c r="H71" i="13"/>
  <c r="J71" i="13"/>
  <c r="G19" i="13"/>
  <c r="I19" i="13"/>
  <c r="AV40" i="3"/>
  <c r="AG47" i="3"/>
  <c r="AO41" i="3"/>
  <c r="AE47" i="3"/>
  <c r="AF47" i="3" s="1"/>
  <c r="AH47" i="3"/>
  <c r="AI47" i="3" s="1"/>
  <c r="K74" i="13"/>
  <c r="K78" i="13"/>
  <c r="K79" i="13"/>
  <c r="K37" i="13"/>
  <c r="L37" i="13" s="1"/>
  <c r="K68" i="13"/>
  <c r="K70" i="13"/>
  <c r="K75" i="13"/>
  <c r="K77" i="13"/>
  <c r="K69" i="13"/>
  <c r="K76" i="13"/>
  <c r="K80" i="13"/>
  <c r="K73" i="13"/>
  <c r="K71" i="13" l="1"/>
  <c r="K72" i="13"/>
  <c r="K22" i="13"/>
  <c r="K51" i="13"/>
  <c r="L51" i="13" s="1"/>
  <c r="C419" i="3" l="1"/>
  <c r="U460" i="4" l="1"/>
  <c r="U268" i="4"/>
  <c r="U204" i="4"/>
  <c r="U156" i="4"/>
  <c r="U28" i="4"/>
  <c r="T460" i="4"/>
  <c r="T364" i="4"/>
  <c r="T268" i="4"/>
  <c r="T236" i="4"/>
  <c r="T156" i="4"/>
  <c r="T28" i="4"/>
  <c r="T27" i="4"/>
  <c r="AU965" i="1"/>
  <c r="AU963" i="1"/>
  <c r="AU964" i="1" s="1"/>
  <c r="AT963" i="1"/>
  <c r="AT964" i="1" s="1"/>
  <c r="AS963" i="1"/>
  <c r="AS964" i="1" s="1"/>
  <c r="AR963" i="1"/>
  <c r="AR964" i="1" s="1"/>
  <c r="AQ963" i="1"/>
  <c r="AQ964" i="1" s="1"/>
  <c r="AU961" i="1"/>
  <c r="AT961" i="1"/>
  <c r="AT962" i="1" s="1"/>
  <c r="AS961" i="1"/>
  <c r="AS965" i="1" s="1"/>
  <c r="AR961" i="1"/>
  <c r="AR965" i="1" s="1"/>
  <c r="AQ961" i="1"/>
  <c r="AQ965" i="1" s="1"/>
  <c r="AU960" i="1"/>
  <c r="AT960" i="1"/>
  <c r="AS960" i="1"/>
  <c r="AR960" i="1"/>
  <c r="AQ960" i="1"/>
  <c r="AR950" i="1"/>
  <c r="AQ950" i="1"/>
  <c r="AU949" i="1"/>
  <c r="AU950" i="1" s="1"/>
  <c r="AT949" i="1"/>
  <c r="AT950" i="1" s="1"/>
  <c r="AS949" i="1"/>
  <c r="AS950" i="1" s="1"/>
  <c r="AR949" i="1"/>
  <c r="AQ949" i="1"/>
  <c r="AU947" i="1"/>
  <c r="AU948" i="1" s="1"/>
  <c r="AT947" i="1"/>
  <c r="AT951" i="1" s="1"/>
  <c r="AS947" i="1"/>
  <c r="AS951" i="1" s="1"/>
  <c r="AR947" i="1"/>
  <c r="AR951" i="1" s="1"/>
  <c r="AQ947" i="1"/>
  <c r="AQ951" i="1" s="1"/>
  <c r="AU946" i="1"/>
  <c r="AT946" i="1"/>
  <c r="AS946" i="1"/>
  <c r="AR946" i="1"/>
  <c r="AQ946" i="1"/>
  <c r="AV946" i="1" s="1"/>
  <c r="AV960" i="1" l="1"/>
  <c r="AU962" i="1"/>
  <c r="AV964" i="1"/>
  <c r="AT965" i="1"/>
  <c r="AV965" i="1" s="1"/>
  <c r="AV963" i="1"/>
  <c r="AV961" i="1"/>
  <c r="AQ962" i="1"/>
  <c r="AR962" i="1"/>
  <c r="AS962" i="1"/>
  <c r="AV950" i="1"/>
  <c r="AV949" i="1"/>
  <c r="AV947" i="1"/>
  <c r="AQ948" i="1"/>
  <c r="AR948" i="1"/>
  <c r="AS948" i="1"/>
  <c r="AU951" i="1"/>
  <c r="AV951" i="1" s="1"/>
  <c r="AT948" i="1"/>
  <c r="AV962" i="1" l="1"/>
  <c r="AV948" i="1"/>
  <c r="AQ52" i="9" l="1"/>
  <c r="AR56" i="9"/>
  <c r="AQ56" i="9"/>
  <c r="AU55" i="9"/>
  <c r="AU56" i="9" s="1"/>
  <c r="AT55" i="9"/>
  <c r="AT56" i="9" s="1"/>
  <c r="AS55" i="9"/>
  <c r="AS56" i="9" s="1"/>
  <c r="AR55" i="9"/>
  <c r="AQ55" i="9"/>
  <c r="AU53" i="9"/>
  <c r="AU57" i="9" s="1"/>
  <c r="AT53" i="9"/>
  <c r="AT57" i="9" s="1"/>
  <c r="AS53" i="9"/>
  <c r="AS57" i="9" s="1"/>
  <c r="AR53" i="9"/>
  <c r="AR57" i="9" s="1"/>
  <c r="AQ53" i="9"/>
  <c r="AQ57" i="9" s="1"/>
  <c r="AU52" i="9"/>
  <c r="AV52" i="9" s="1"/>
  <c r="AT52" i="9"/>
  <c r="AS52" i="9"/>
  <c r="AR52" i="9"/>
  <c r="AR43" i="9"/>
  <c r="AQ43" i="9"/>
  <c r="AU42" i="9"/>
  <c r="AR42" i="9"/>
  <c r="AQ42" i="9"/>
  <c r="AU41" i="9"/>
  <c r="AT41" i="9"/>
  <c r="AT42" i="9" s="1"/>
  <c r="AS41" i="9"/>
  <c r="AS42" i="9" s="1"/>
  <c r="AR41" i="9"/>
  <c r="AQ41" i="9"/>
  <c r="AV41" i="9" s="1"/>
  <c r="AR40" i="9"/>
  <c r="AQ40" i="9"/>
  <c r="AU39" i="9"/>
  <c r="AU43" i="9" s="1"/>
  <c r="AT39" i="9"/>
  <c r="AT43" i="9" s="1"/>
  <c r="AS39" i="9"/>
  <c r="AS43" i="9" s="1"/>
  <c r="AR39" i="9"/>
  <c r="AQ39" i="9"/>
  <c r="AU38" i="9"/>
  <c r="AV38" i="9" s="1"/>
  <c r="AT38" i="9"/>
  <c r="AS38" i="9"/>
  <c r="AR38" i="9"/>
  <c r="AQ38" i="9"/>
  <c r="E64" i="9"/>
  <c r="F64" i="9" s="1"/>
  <c r="G64" i="9" s="1"/>
  <c r="C64" i="9"/>
  <c r="AE62" i="9"/>
  <c r="AF62" i="9" s="1"/>
  <c r="AG62" i="9" s="1"/>
  <c r="AH62" i="9" s="1"/>
  <c r="E62" i="9"/>
  <c r="F62" i="9" s="1"/>
  <c r="G62" i="9" s="1"/>
  <c r="E61" i="9"/>
  <c r="F61" i="9" s="1"/>
  <c r="G61" i="9" s="1"/>
  <c r="AH59" i="9"/>
  <c r="AG59" i="9"/>
  <c r="AF59" i="9"/>
  <c r="AE59" i="9"/>
  <c r="AD59" i="9"/>
  <c r="AC59" i="9"/>
  <c r="AB59" i="9"/>
  <c r="AA59" i="9"/>
  <c r="Z59" i="9"/>
  <c r="Y59" i="9"/>
  <c r="X59" i="9"/>
  <c r="W59" i="9"/>
  <c r="V59" i="9"/>
  <c r="U59" i="9"/>
  <c r="T59" i="9"/>
  <c r="S59" i="9"/>
  <c r="R59" i="9"/>
  <c r="Q59" i="9"/>
  <c r="P59" i="9"/>
  <c r="O59" i="9"/>
  <c r="N59" i="9"/>
  <c r="M59" i="9"/>
  <c r="L59" i="9"/>
  <c r="K59" i="9"/>
  <c r="J59" i="9"/>
  <c r="I59" i="9"/>
  <c r="G59" i="9"/>
  <c r="F59" i="9"/>
  <c r="E59" i="9"/>
  <c r="H55" i="9"/>
  <c r="H59" i="9" s="1"/>
  <c r="AH54" i="9"/>
  <c r="AG54" i="9"/>
  <c r="AF54" i="9"/>
  <c r="AE54" i="9"/>
  <c r="AD54" i="9"/>
  <c r="AC54" i="9"/>
  <c r="AB54" i="9"/>
  <c r="AA54" i="9"/>
  <c r="Z54" i="9"/>
  <c r="Y54" i="9"/>
  <c r="X54" i="9"/>
  <c r="W54" i="9"/>
  <c r="V54" i="9"/>
  <c r="U54" i="9"/>
  <c r="T54" i="9"/>
  <c r="S54" i="9"/>
  <c r="R54" i="9"/>
  <c r="Q54" i="9"/>
  <c r="P54" i="9"/>
  <c r="O54" i="9"/>
  <c r="N54" i="9"/>
  <c r="M54" i="9"/>
  <c r="L54" i="9"/>
  <c r="J54" i="9"/>
  <c r="G54" i="9"/>
  <c r="F54" i="9"/>
  <c r="E54" i="9"/>
  <c r="E52" i="9"/>
  <c r="F52" i="9" s="1"/>
  <c r="G52" i="9" s="1"/>
  <c r="H52" i="9" s="1"/>
  <c r="I52" i="9" s="1"/>
  <c r="J52" i="9" s="1"/>
  <c r="K52" i="9" s="1"/>
  <c r="L52" i="9" s="1"/>
  <c r="M52" i="9" s="1"/>
  <c r="N52" i="9" s="1"/>
  <c r="O52" i="9" s="1"/>
  <c r="P52" i="9" s="1"/>
  <c r="Q52" i="9" s="1"/>
  <c r="R52" i="9" s="1"/>
  <c r="S52" i="9" s="1"/>
  <c r="T52" i="9" s="1"/>
  <c r="U52" i="9" s="1"/>
  <c r="V52" i="9" s="1"/>
  <c r="W52" i="9" s="1"/>
  <c r="X52" i="9" s="1"/>
  <c r="Y52" i="9" s="1"/>
  <c r="Z52" i="9" s="1"/>
  <c r="E50" i="9"/>
  <c r="F50" i="9" s="1"/>
  <c r="G50" i="9" s="1"/>
  <c r="H50" i="9" s="1"/>
  <c r="I50" i="9" s="1"/>
  <c r="J50" i="9" s="1"/>
  <c r="K50" i="9" s="1"/>
  <c r="L50" i="9" s="1"/>
  <c r="M50" i="9" s="1"/>
  <c r="N50" i="9" s="1"/>
  <c r="O50" i="9" s="1"/>
  <c r="P50" i="9" s="1"/>
  <c r="Q50" i="9" s="1"/>
  <c r="R50" i="9" s="1"/>
  <c r="S50" i="9" s="1"/>
  <c r="C50" i="9"/>
  <c r="AH48" i="9"/>
  <c r="AG48" i="9"/>
  <c r="AF48" i="9"/>
  <c r="AE48" i="9"/>
  <c r="AD48" i="9"/>
  <c r="AC48" i="9"/>
  <c r="AB48" i="9"/>
  <c r="AA48" i="9"/>
  <c r="E48" i="9"/>
  <c r="F48" i="9" s="1"/>
  <c r="G48" i="9" s="1"/>
  <c r="H48" i="9" s="1"/>
  <c r="I48" i="9" s="1"/>
  <c r="J48" i="9" s="1"/>
  <c r="K48" i="9" s="1"/>
  <c r="L48" i="9" s="1"/>
  <c r="M48" i="9" s="1"/>
  <c r="N48" i="9" s="1"/>
  <c r="O48" i="9" s="1"/>
  <c r="P48" i="9" s="1"/>
  <c r="Q48" i="9" s="1"/>
  <c r="R48" i="9" s="1"/>
  <c r="S48" i="9" s="1"/>
  <c r="E47" i="9"/>
  <c r="F47" i="9" s="1"/>
  <c r="G47" i="9" s="1"/>
  <c r="H47" i="9" s="1"/>
  <c r="I47" i="9" s="1"/>
  <c r="J47" i="9" s="1"/>
  <c r="K47" i="9" s="1"/>
  <c r="L47" i="9" s="1"/>
  <c r="M47" i="9" s="1"/>
  <c r="N47" i="9" s="1"/>
  <c r="O47" i="9" s="1"/>
  <c r="P47" i="9" s="1"/>
  <c r="Q47" i="9" s="1"/>
  <c r="R47" i="9" s="1"/>
  <c r="S47" i="9" s="1"/>
  <c r="AH45" i="9"/>
  <c r="AG45" i="9"/>
  <c r="AF45" i="9"/>
  <c r="AE45" i="9"/>
  <c r="AD45" i="9"/>
  <c r="AC45" i="9"/>
  <c r="AB45" i="9"/>
  <c r="AA45" i="9"/>
  <c r="Z45" i="9"/>
  <c r="Z48" i="9" s="1"/>
  <c r="Y45" i="9"/>
  <c r="Y48" i="9" s="1"/>
  <c r="X45" i="9"/>
  <c r="X48" i="9" s="1"/>
  <c r="W45" i="9"/>
  <c r="W48" i="9" s="1"/>
  <c r="V45" i="9"/>
  <c r="V48" i="9" s="1"/>
  <c r="U45" i="9"/>
  <c r="U48" i="9" s="1"/>
  <c r="T45" i="9"/>
  <c r="T48" i="9" s="1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AH40" i="9"/>
  <c r="AG40" i="9"/>
  <c r="AF40" i="9"/>
  <c r="AE40" i="9"/>
  <c r="AD40" i="9"/>
  <c r="AC40" i="9"/>
  <c r="AB40" i="9"/>
  <c r="AA40" i="9"/>
  <c r="Z40" i="9"/>
  <c r="Y40" i="9"/>
  <c r="X40" i="9"/>
  <c r="W40" i="9"/>
  <c r="V40" i="9"/>
  <c r="U40" i="9"/>
  <c r="T40" i="9"/>
  <c r="S40" i="9"/>
  <c r="R40" i="9"/>
  <c r="N40" i="9"/>
  <c r="M40" i="9"/>
  <c r="L40" i="9"/>
  <c r="K40" i="9"/>
  <c r="J40" i="9"/>
  <c r="I40" i="9"/>
  <c r="H40" i="9"/>
  <c r="G40" i="9"/>
  <c r="F40" i="9"/>
  <c r="E40" i="9"/>
  <c r="AH38" i="9"/>
  <c r="AG38" i="9"/>
  <c r="AF38" i="9"/>
  <c r="AE38" i="9"/>
  <c r="AD38" i="9"/>
  <c r="AC38" i="9"/>
  <c r="AB38" i="9"/>
  <c r="AA38" i="9"/>
  <c r="Z38" i="9"/>
  <c r="Y38" i="9"/>
  <c r="X38" i="9"/>
  <c r="W38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AV57" i="9" l="1"/>
  <c r="AV42" i="9"/>
  <c r="T50" i="9"/>
  <c r="U50" i="9" s="1"/>
  <c r="V50" i="9" s="1"/>
  <c r="W50" i="9" s="1"/>
  <c r="X50" i="9" s="1"/>
  <c r="Y50" i="9" s="1"/>
  <c r="Z50" i="9" s="1"/>
  <c r="AA50" i="9" s="1"/>
  <c r="AB50" i="9" s="1"/>
  <c r="AC50" i="9" s="1"/>
  <c r="AD50" i="9" s="1"/>
  <c r="AE50" i="9" s="1"/>
  <c r="AF50" i="9" s="1"/>
  <c r="AG50" i="9" s="1"/>
  <c r="AH50" i="9" s="1"/>
  <c r="T47" i="9"/>
  <c r="U47" i="9" s="1"/>
  <c r="V47" i="9" s="1"/>
  <c r="W47" i="9" s="1"/>
  <c r="X47" i="9" s="1"/>
  <c r="Y47" i="9" s="1"/>
  <c r="Z47" i="9" s="1"/>
  <c r="AA47" i="9" s="1"/>
  <c r="AB47" i="9" s="1"/>
  <c r="AC47" i="9" s="1"/>
  <c r="AD47" i="9" s="1"/>
  <c r="AE47" i="9" s="1"/>
  <c r="AF47" i="9" s="1"/>
  <c r="AG47" i="9" s="1"/>
  <c r="AH47" i="9" s="1"/>
  <c r="AV56" i="9"/>
  <c r="AV55" i="9"/>
  <c r="AV53" i="9"/>
  <c r="AQ54" i="9"/>
  <c r="AR54" i="9"/>
  <c r="AS54" i="9"/>
  <c r="AT54" i="9"/>
  <c r="AU54" i="9"/>
  <c r="AV43" i="9"/>
  <c r="AV39" i="9"/>
  <c r="AS40" i="9"/>
  <c r="AT40" i="9"/>
  <c r="AU40" i="9"/>
  <c r="AA52" i="9"/>
  <c r="AD52" i="9"/>
  <c r="AH52" i="9" s="1"/>
  <c r="H61" i="9"/>
  <c r="I61" i="9" s="1"/>
  <c r="J61" i="9" s="1"/>
  <c r="K61" i="9" s="1"/>
  <c r="L61" i="9" s="1"/>
  <c r="M61" i="9" s="1"/>
  <c r="N61" i="9" s="1"/>
  <c r="O61" i="9" s="1"/>
  <c r="P61" i="9" s="1"/>
  <c r="Q61" i="9" s="1"/>
  <c r="R61" i="9" s="1"/>
  <c r="S61" i="9" s="1"/>
  <c r="T61" i="9" s="1"/>
  <c r="U61" i="9" s="1"/>
  <c r="V61" i="9" s="1"/>
  <c r="W61" i="9" s="1"/>
  <c r="X61" i="9" s="1"/>
  <c r="Y61" i="9" s="1"/>
  <c r="Z61" i="9" s="1"/>
  <c r="AA61" i="9" s="1"/>
  <c r="AB61" i="9" s="1"/>
  <c r="AC61" i="9" s="1"/>
  <c r="AD61" i="9" s="1"/>
  <c r="AE61" i="9" s="1"/>
  <c r="AF61" i="9" s="1"/>
  <c r="AG61" i="9" s="1"/>
  <c r="AH61" i="9" s="1"/>
  <c r="H62" i="9"/>
  <c r="I62" i="9" s="1"/>
  <c r="J62" i="9" s="1"/>
  <c r="K62" i="9" s="1"/>
  <c r="L62" i="9" s="1"/>
  <c r="M62" i="9" s="1"/>
  <c r="N62" i="9" s="1"/>
  <c r="O62" i="9" s="1"/>
  <c r="P62" i="9" s="1"/>
  <c r="Q62" i="9" s="1"/>
  <c r="R62" i="9" s="1"/>
  <c r="S62" i="9" s="1"/>
  <c r="T62" i="9" s="1"/>
  <c r="U62" i="9" s="1"/>
  <c r="V62" i="9" s="1"/>
  <c r="W62" i="9" s="1"/>
  <c r="X62" i="9" s="1"/>
  <c r="Y62" i="9" s="1"/>
  <c r="Z62" i="9" s="1"/>
  <c r="AA62" i="9" s="1"/>
  <c r="AB62" i="9" s="1"/>
  <c r="AC62" i="9" s="1"/>
  <c r="AD62" i="9" s="1"/>
  <c r="H64" i="9"/>
  <c r="I64" i="9" s="1"/>
  <c r="J64" i="9" s="1"/>
  <c r="K64" i="9" s="1"/>
  <c r="L64" i="9" s="1"/>
  <c r="M64" i="9" s="1"/>
  <c r="N64" i="9" s="1"/>
  <c r="O64" i="9" s="1"/>
  <c r="P64" i="9" s="1"/>
  <c r="Q64" i="9" s="1"/>
  <c r="R64" i="9" s="1"/>
  <c r="S64" i="9" s="1"/>
  <c r="T64" i="9" s="1"/>
  <c r="U64" i="9" s="1"/>
  <c r="V64" i="9" s="1"/>
  <c r="W64" i="9" s="1"/>
  <c r="X64" i="9" s="1"/>
  <c r="Y64" i="9" s="1"/>
  <c r="Z64" i="9" s="1"/>
  <c r="AA64" i="9" s="1"/>
  <c r="AB64" i="9" s="1"/>
  <c r="AC64" i="9" s="1"/>
  <c r="AD64" i="9" s="1"/>
  <c r="AE64" i="9" s="1"/>
  <c r="AF64" i="9" s="1"/>
  <c r="AG64" i="9" s="1"/>
  <c r="AH64" i="9" s="1"/>
  <c r="AV40" i="9" l="1"/>
  <c r="AV54" i="9"/>
  <c r="AE52" i="9"/>
  <c r="AB52" i="9"/>
  <c r="AF52" i="9" l="1"/>
  <c r="AC52" i="9"/>
  <c r="AG52" i="9" s="1"/>
  <c r="S492" i="4" l="1"/>
  <c r="S364" i="4"/>
  <c r="S332" i="4"/>
  <c r="S268" i="4"/>
  <c r="S236" i="4"/>
  <c r="S156" i="4"/>
  <c r="S28" i="4"/>
  <c r="S237" i="3"/>
  <c r="R83" i="6"/>
  <c r="Q268" i="4"/>
  <c r="P332" i="4"/>
  <c r="P236" i="4"/>
  <c r="P156" i="4"/>
  <c r="P28" i="4"/>
  <c r="AU175" i="1"/>
  <c r="AU176" i="1" s="1"/>
  <c r="AT175" i="1"/>
  <c r="AT176" i="1" s="1"/>
  <c r="AS175" i="1"/>
  <c r="AS176" i="1" s="1"/>
  <c r="AR175" i="1"/>
  <c r="AR176" i="1" s="1"/>
  <c r="AQ175" i="1"/>
  <c r="AQ176" i="1" s="1"/>
  <c r="AU173" i="1"/>
  <c r="AU177" i="1" s="1"/>
  <c r="AT173" i="1"/>
  <c r="AT177" i="1" s="1"/>
  <c r="AS173" i="1"/>
  <c r="AS177" i="1" s="1"/>
  <c r="AR173" i="1"/>
  <c r="AR177" i="1" s="1"/>
  <c r="AQ173" i="1"/>
  <c r="AQ177" i="1" s="1"/>
  <c r="AU172" i="1"/>
  <c r="AT172" i="1"/>
  <c r="AS172" i="1"/>
  <c r="AR172" i="1"/>
  <c r="AQ172" i="1"/>
  <c r="AQ23" i="5"/>
  <c r="AU26" i="5"/>
  <c r="AU27" i="5" s="1"/>
  <c r="AT26" i="5"/>
  <c r="AT27" i="5" s="1"/>
  <c r="AS26" i="5"/>
  <c r="AS27" i="5" s="1"/>
  <c r="AR26" i="5"/>
  <c r="AR27" i="5" s="1"/>
  <c r="AQ26" i="5"/>
  <c r="AQ27" i="5" s="1"/>
  <c r="AU24" i="5"/>
  <c r="AU28" i="5" s="1"/>
  <c r="AT24" i="5"/>
  <c r="AT28" i="5" s="1"/>
  <c r="AS24" i="5"/>
  <c r="AS25" i="5" s="1"/>
  <c r="AR24" i="5"/>
  <c r="AQ24" i="5"/>
  <c r="AQ28" i="5" s="1"/>
  <c r="AU23" i="5"/>
  <c r="AT23" i="5"/>
  <c r="AS23" i="5"/>
  <c r="AR23" i="5"/>
  <c r="AV23" i="5" s="1"/>
  <c r="AT25" i="5" l="1"/>
  <c r="AU25" i="5"/>
  <c r="AR25" i="5"/>
  <c r="AV177" i="1"/>
  <c r="AV172" i="1"/>
  <c r="AV176" i="1"/>
  <c r="AV175" i="1"/>
  <c r="AV173" i="1"/>
  <c r="AQ174" i="1"/>
  <c r="AR174" i="1"/>
  <c r="AS174" i="1"/>
  <c r="AT174" i="1"/>
  <c r="AU174" i="1"/>
  <c r="AS28" i="5"/>
  <c r="AR28" i="5"/>
  <c r="AV27" i="5"/>
  <c r="AV26" i="5"/>
  <c r="AV24" i="5"/>
  <c r="AQ25" i="5"/>
  <c r="AV25" i="5" s="1"/>
  <c r="AV174" i="1" l="1"/>
  <c r="AV28" i="5"/>
  <c r="O204" i="4" l="1"/>
  <c r="O156" i="4"/>
  <c r="O28" i="4"/>
  <c r="O139" i="6"/>
  <c r="O27" i="8"/>
  <c r="AR27" i="8" s="1"/>
  <c r="N492" i="4"/>
  <c r="F471" i="4"/>
  <c r="G471" i="4"/>
  <c r="H471" i="4"/>
  <c r="I471" i="4"/>
  <c r="J471" i="4"/>
  <c r="K471" i="4"/>
  <c r="L471" i="4"/>
  <c r="M471" i="4"/>
  <c r="N471" i="4"/>
  <c r="AB471" i="4"/>
  <c r="AC471" i="4"/>
  <c r="AD471" i="4"/>
  <c r="AE471" i="4"/>
  <c r="AF471" i="4"/>
  <c r="AG471" i="4"/>
  <c r="AH471" i="4"/>
  <c r="AI471" i="4"/>
  <c r="N236" i="4"/>
  <c r="AR236" i="4" s="1"/>
  <c r="AR237" i="4" s="1"/>
  <c r="N204" i="4"/>
  <c r="N156" i="4"/>
  <c r="AR156" i="4" s="1"/>
  <c r="N28" i="4"/>
  <c r="M268" i="4"/>
  <c r="M236" i="4"/>
  <c r="M204" i="4"/>
  <c r="M156" i="4"/>
  <c r="M92" i="4"/>
  <c r="M28" i="4"/>
  <c r="L492" i="4"/>
  <c r="L364" i="4"/>
  <c r="L268" i="4"/>
  <c r="AR268" i="4" s="1"/>
  <c r="L156" i="4"/>
  <c r="L92" i="4"/>
  <c r="L28" i="4"/>
  <c r="E471" i="4"/>
  <c r="J364" i="4"/>
  <c r="I492" i="4"/>
  <c r="I364" i="4"/>
  <c r="I236" i="4"/>
  <c r="I156" i="4"/>
  <c r="I28" i="4"/>
  <c r="I83" i="6"/>
  <c r="H492" i="4"/>
  <c r="H332" i="4"/>
  <c r="H268" i="4"/>
  <c r="H236" i="4"/>
  <c r="H204" i="4"/>
  <c r="H28" i="4"/>
  <c r="H69" i="2"/>
  <c r="H83" i="6"/>
  <c r="AQ49" i="10"/>
  <c r="AR14" i="7"/>
  <c r="AU13" i="7"/>
  <c r="AU14" i="7" s="1"/>
  <c r="AT13" i="7"/>
  <c r="AT14" i="7" s="1"/>
  <c r="AS13" i="7"/>
  <c r="AR13" i="7"/>
  <c r="AQ13" i="7"/>
  <c r="AQ14" i="7" s="1"/>
  <c r="AU11" i="7"/>
  <c r="AU15" i="7" s="1"/>
  <c r="AT11" i="7"/>
  <c r="AT15" i="7" s="1"/>
  <c r="AS11" i="7"/>
  <c r="AS15" i="7" s="1"/>
  <c r="AR11" i="7"/>
  <c r="AR15" i="7" s="1"/>
  <c r="AQ11" i="7"/>
  <c r="AV11" i="7" s="1"/>
  <c r="AU10" i="7"/>
  <c r="AV10" i="7" s="1"/>
  <c r="AT10" i="7"/>
  <c r="AS10" i="7"/>
  <c r="AR10" i="7"/>
  <c r="AQ10" i="7"/>
  <c r="AQ66" i="2"/>
  <c r="AS24" i="8"/>
  <c r="AR24" i="9"/>
  <c r="AQ24" i="9"/>
  <c r="G236" i="4"/>
  <c r="G204" i="4"/>
  <c r="G92" i="4"/>
  <c r="F492" i="4"/>
  <c r="E28" i="4"/>
  <c r="AQ39" i="8"/>
  <c r="AQ38" i="8"/>
  <c r="AU41" i="8"/>
  <c r="AT41" i="8"/>
  <c r="AS41" i="8"/>
  <c r="AR41" i="8"/>
  <c r="AQ41" i="8"/>
  <c r="AU39" i="8"/>
  <c r="AT39" i="8"/>
  <c r="AS39" i="8"/>
  <c r="AR39" i="8"/>
  <c r="AU38" i="8"/>
  <c r="AT38" i="8"/>
  <c r="AS38" i="8"/>
  <c r="AR38" i="8"/>
  <c r="E492" i="4"/>
  <c r="E459" i="4"/>
  <c r="E268" i="4"/>
  <c r="E92" i="4"/>
  <c r="AQ1068" i="1"/>
  <c r="AU1071" i="1"/>
  <c r="AU1072" i="1" s="1"/>
  <c r="AT1071" i="1"/>
  <c r="AT1072" i="1" s="1"/>
  <c r="AS1071" i="1"/>
  <c r="AS1072" i="1" s="1"/>
  <c r="AR1071" i="1"/>
  <c r="AR1072" i="1" s="1"/>
  <c r="AQ1071" i="1"/>
  <c r="AQ1072" i="1" s="1"/>
  <c r="AU1069" i="1"/>
  <c r="AU1073" i="1" s="1"/>
  <c r="AT1069" i="1"/>
  <c r="AS1069" i="1"/>
  <c r="AR1069" i="1"/>
  <c r="AQ1069" i="1"/>
  <c r="AQ1073" i="1" s="1"/>
  <c r="AU1068" i="1"/>
  <c r="AT1068" i="1"/>
  <c r="AS1068" i="1"/>
  <c r="AR1068" i="1"/>
  <c r="AU882" i="1"/>
  <c r="AU883" i="1" s="1"/>
  <c r="AT882" i="1"/>
  <c r="AT883" i="1" s="1"/>
  <c r="AS882" i="1"/>
  <c r="AS883" i="1" s="1"/>
  <c r="AR882" i="1"/>
  <c r="AR883" i="1" s="1"/>
  <c r="AQ882" i="1"/>
  <c r="AQ883" i="1" s="1"/>
  <c r="AU880" i="1"/>
  <c r="AU884" i="1" s="1"/>
  <c r="AT880" i="1"/>
  <c r="AS880" i="1"/>
  <c r="AS881" i="1" s="1"/>
  <c r="AR880" i="1"/>
  <c r="AR884" i="1" s="1"/>
  <c r="AQ880" i="1"/>
  <c r="AQ884" i="1" s="1"/>
  <c r="AU879" i="1"/>
  <c r="AV879" i="1" s="1"/>
  <c r="AT879" i="1"/>
  <c r="AS879" i="1"/>
  <c r="AR879" i="1"/>
  <c r="AQ879" i="1"/>
  <c r="AU868" i="1"/>
  <c r="AU869" i="1" s="1"/>
  <c r="AT868" i="1"/>
  <c r="AT869" i="1" s="1"/>
  <c r="AS868" i="1"/>
  <c r="AS869" i="1" s="1"/>
  <c r="AR868" i="1"/>
  <c r="AR869" i="1" s="1"/>
  <c r="AQ868" i="1"/>
  <c r="AQ869" i="1" s="1"/>
  <c r="AU866" i="1"/>
  <c r="AT866" i="1"/>
  <c r="AS866" i="1"/>
  <c r="AS870" i="1" s="1"/>
  <c r="AR866" i="1"/>
  <c r="AR870" i="1" s="1"/>
  <c r="AQ866" i="1"/>
  <c r="AQ870" i="1" s="1"/>
  <c r="AU865" i="1"/>
  <c r="AT865" i="1"/>
  <c r="AS865" i="1"/>
  <c r="AR865" i="1"/>
  <c r="AQ865" i="1"/>
  <c r="E83" i="6"/>
  <c r="AQ153" i="4"/>
  <c r="AU172" i="4"/>
  <c r="AU173" i="4" s="1"/>
  <c r="AT172" i="4"/>
  <c r="AT173" i="4" s="1"/>
  <c r="AS172" i="4"/>
  <c r="AS173" i="4" s="1"/>
  <c r="AR172" i="4"/>
  <c r="AR173" i="4" s="1"/>
  <c r="AQ172" i="4"/>
  <c r="AQ173" i="4" s="1"/>
  <c r="AU170" i="4"/>
  <c r="AU174" i="4" s="1"/>
  <c r="AT170" i="4"/>
  <c r="AS170" i="4"/>
  <c r="AS174" i="4" s="1"/>
  <c r="AR170" i="4"/>
  <c r="AR174" i="4" s="1"/>
  <c r="AQ170" i="4"/>
  <c r="AQ174" i="4" s="1"/>
  <c r="AU169" i="4"/>
  <c r="AT169" i="4"/>
  <c r="AS169" i="4"/>
  <c r="AR169" i="4"/>
  <c r="AQ169" i="4"/>
  <c r="AU559" i="3"/>
  <c r="AU560" i="3" s="1"/>
  <c r="AT559" i="3"/>
  <c r="AT560" i="3" s="1"/>
  <c r="AS559" i="3"/>
  <c r="AS560" i="3" s="1"/>
  <c r="AR559" i="3"/>
  <c r="AR560" i="3" s="1"/>
  <c r="AQ559" i="3"/>
  <c r="AQ560" i="3" s="1"/>
  <c r="AU557" i="3"/>
  <c r="AU561" i="3" s="1"/>
  <c r="AT557" i="3"/>
  <c r="AS557" i="3"/>
  <c r="AS561" i="3" s="1"/>
  <c r="AR557" i="3"/>
  <c r="AR561" i="3" s="1"/>
  <c r="AQ557" i="3"/>
  <c r="AU556" i="3"/>
  <c r="AT556" i="3"/>
  <c r="AS556" i="3"/>
  <c r="AR556" i="3"/>
  <c r="AQ556" i="3"/>
  <c r="AU545" i="3"/>
  <c r="AT545" i="3"/>
  <c r="AS545" i="3"/>
  <c r="AR545" i="3"/>
  <c r="AQ545" i="3"/>
  <c r="AU543" i="3"/>
  <c r="AT543" i="3"/>
  <c r="AS543" i="3"/>
  <c r="AR543" i="3"/>
  <c r="AQ543" i="3"/>
  <c r="AU542" i="3"/>
  <c r="AT542" i="3"/>
  <c r="AS542" i="3"/>
  <c r="AR542" i="3"/>
  <c r="AQ542" i="3"/>
  <c r="AU419" i="3"/>
  <c r="AT419" i="3"/>
  <c r="AS419" i="3"/>
  <c r="AR419" i="3"/>
  <c r="AQ419" i="3"/>
  <c r="AU417" i="3"/>
  <c r="AT417" i="3"/>
  <c r="AS417" i="3"/>
  <c r="AR417" i="3"/>
  <c r="AQ417" i="3"/>
  <c r="AU416" i="3"/>
  <c r="AT416" i="3"/>
  <c r="AS416" i="3"/>
  <c r="AR416" i="3"/>
  <c r="AQ416" i="3"/>
  <c r="AU405" i="3"/>
  <c r="AT405" i="3"/>
  <c r="AS405" i="3"/>
  <c r="AR405" i="3"/>
  <c r="AQ405" i="3"/>
  <c r="AU403" i="3"/>
  <c r="AT403" i="3"/>
  <c r="AS403" i="3"/>
  <c r="AR403" i="3"/>
  <c r="AQ403" i="3"/>
  <c r="AU402" i="3"/>
  <c r="AT402" i="3"/>
  <c r="AS402" i="3"/>
  <c r="AR402" i="3"/>
  <c r="AQ402" i="3"/>
  <c r="AU27" i="9"/>
  <c r="AT27" i="9"/>
  <c r="AS27" i="9"/>
  <c r="AR27" i="9"/>
  <c r="AQ27" i="9"/>
  <c r="AU25" i="9"/>
  <c r="AT25" i="9"/>
  <c r="AS25" i="9"/>
  <c r="AR25" i="9"/>
  <c r="AQ25" i="9"/>
  <c r="AU24" i="9"/>
  <c r="AT24" i="9"/>
  <c r="AS24" i="9"/>
  <c r="AU27" i="8"/>
  <c r="AT27" i="8"/>
  <c r="AS27" i="8"/>
  <c r="AQ27" i="8"/>
  <c r="AU25" i="8"/>
  <c r="AT25" i="8"/>
  <c r="AS25" i="8"/>
  <c r="AR25" i="8"/>
  <c r="AQ25" i="8"/>
  <c r="AU24" i="8"/>
  <c r="AT24" i="8"/>
  <c r="AR24" i="8"/>
  <c r="AQ24" i="8"/>
  <c r="AU492" i="4"/>
  <c r="AT492" i="4"/>
  <c r="AS492" i="4"/>
  <c r="AR492" i="4"/>
  <c r="AQ492" i="4"/>
  <c r="AU490" i="4"/>
  <c r="AT490" i="4"/>
  <c r="AS490" i="4"/>
  <c r="AR490" i="4"/>
  <c r="AQ490" i="4"/>
  <c r="AU489" i="4"/>
  <c r="AT489" i="4"/>
  <c r="AS489" i="4"/>
  <c r="AR489" i="4"/>
  <c r="AQ489" i="4"/>
  <c r="AU460" i="4"/>
  <c r="AT460" i="4"/>
  <c r="AS460" i="4"/>
  <c r="AR460" i="4"/>
  <c r="AQ460" i="4"/>
  <c r="AU458" i="4"/>
  <c r="AT458" i="4"/>
  <c r="AS458" i="4"/>
  <c r="AR458" i="4"/>
  <c r="AQ458" i="4"/>
  <c r="AU457" i="4"/>
  <c r="AT457" i="4"/>
  <c r="AS457" i="4"/>
  <c r="AR457" i="4"/>
  <c r="AQ457" i="4"/>
  <c r="AQ459" i="4" s="1"/>
  <c r="AU364" i="4"/>
  <c r="AT364" i="4"/>
  <c r="AS364" i="4"/>
  <c r="AR364" i="4"/>
  <c r="AQ364" i="4"/>
  <c r="AU362" i="4"/>
  <c r="AT362" i="4"/>
  <c r="AS362" i="4"/>
  <c r="AS363" i="4" s="1"/>
  <c r="AR362" i="4"/>
  <c r="AR363" i="4" s="1"/>
  <c r="AQ362" i="4"/>
  <c r="AU361" i="4"/>
  <c r="AT361" i="4"/>
  <c r="AS361" i="4"/>
  <c r="AR361" i="4"/>
  <c r="AQ361" i="4"/>
  <c r="AU332" i="4"/>
  <c r="AT332" i="4"/>
  <c r="AS332" i="4"/>
  <c r="AR332" i="4"/>
  <c r="AQ332" i="4"/>
  <c r="AU330" i="4"/>
  <c r="AT330" i="4"/>
  <c r="AS330" i="4"/>
  <c r="AR330" i="4"/>
  <c r="AR331" i="4" s="1"/>
  <c r="AQ330" i="4"/>
  <c r="AU329" i="4"/>
  <c r="AT329" i="4"/>
  <c r="AS329" i="4"/>
  <c r="AR329" i="4"/>
  <c r="AQ329" i="4"/>
  <c r="AU268" i="4"/>
  <c r="AT268" i="4"/>
  <c r="AS268" i="4"/>
  <c r="AQ268" i="4"/>
  <c r="AU266" i="4"/>
  <c r="AT266" i="4"/>
  <c r="AS266" i="4"/>
  <c r="AR266" i="4"/>
  <c r="AR267" i="4" s="1"/>
  <c r="AQ266" i="4"/>
  <c r="AU265" i="4"/>
  <c r="AT265" i="4"/>
  <c r="AS265" i="4"/>
  <c r="AR265" i="4"/>
  <c r="AQ265" i="4"/>
  <c r="AU252" i="4"/>
  <c r="AT252" i="4"/>
  <c r="AS252" i="4"/>
  <c r="AR252" i="4"/>
  <c r="AQ252" i="4"/>
  <c r="AU250" i="4"/>
  <c r="AT250" i="4"/>
  <c r="AS250" i="4"/>
  <c r="AR250" i="4"/>
  <c r="AQ250" i="4"/>
  <c r="AQ251" i="4" s="1"/>
  <c r="AU249" i="4"/>
  <c r="AT249" i="4"/>
  <c r="AS249" i="4"/>
  <c r="AR249" i="4"/>
  <c r="AQ249" i="4"/>
  <c r="AU236" i="4"/>
  <c r="AU237" i="4" s="1"/>
  <c r="AT236" i="4"/>
  <c r="AT237" i="4" s="1"/>
  <c r="AS236" i="4"/>
  <c r="AS237" i="4" s="1"/>
  <c r="AQ236" i="4"/>
  <c r="AQ237" i="4" s="1"/>
  <c r="AU234" i="4"/>
  <c r="AU238" i="4" s="1"/>
  <c r="AT234" i="4"/>
  <c r="AT238" i="4" s="1"/>
  <c r="AS234" i="4"/>
  <c r="AS238" i="4" s="1"/>
  <c r="AR234" i="4"/>
  <c r="AR238" i="4" s="1"/>
  <c r="AQ234" i="4"/>
  <c r="AQ238" i="4" s="1"/>
  <c r="AU233" i="4"/>
  <c r="AT233" i="4"/>
  <c r="AS233" i="4"/>
  <c r="AR233" i="4"/>
  <c r="AQ233" i="4"/>
  <c r="AU204" i="4"/>
  <c r="AT204" i="4"/>
  <c r="AS204" i="4"/>
  <c r="AR204" i="4"/>
  <c r="AQ204" i="4"/>
  <c r="AU202" i="4"/>
  <c r="AT202" i="4"/>
  <c r="AS202" i="4"/>
  <c r="AR202" i="4"/>
  <c r="AQ202" i="4"/>
  <c r="AU201" i="4"/>
  <c r="AU203" i="4" s="1"/>
  <c r="AT201" i="4"/>
  <c r="AS201" i="4"/>
  <c r="AR201" i="4"/>
  <c r="AQ201" i="4"/>
  <c r="AU156" i="4"/>
  <c r="AT156" i="4"/>
  <c r="AS156" i="4"/>
  <c r="AQ156" i="4"/>
  <c r="AU154" i="4"/>
  <c r="AT154" i="4"/>
  <c r="AS154" i="4"/>
  <c r="AR154" i="4"/>
  <c r="AQ154" i="4"/>
  <c r="AU153" i="4"/>
  <c r="AT153" i="4"/>
  <c r="AS153" i="4"/>
  <c r="AR153" i="4"/>
  <c r="AU140" i="4"/>
  <c r="AT140" i="4"/>
  <c r="AS140" i="4"/>
  <c r="AR140" i="4"/>
  <c r="AQ140" i="4"/>
  <c r="AU138" i="4"/>
  <c r="AU139" i="4" s="1"/>
  <c r="AT138" i="4"/>
  <c r="AS138" i="4"/>
  <c r="AR138" i="4"/>
  <c r="AQ138" i="4"/>
  <c r="AU137" i="4"/>
  <c r="AT137" i="4"/>
  <c r="AS137" i="4"/>
  <c r="AR137" i="4"/>
  <c r="AQ137" i="4"/>
  <c r="AU124" i="4"/>
  <c r="AT124" i="4"/>
  <c r="AS124" i="4"/>
  <c r="AR124" i="4"/>
  <c r="AQ124" i="4"/>
  <c r="AU122" i="4"/>
  <c r="AT122" i="4"/>
  <c r="AS122" i="4"/>
  <c r="AR122" i="4"/>
  <c r="AQ122" i="4"/>
  <c r="AU121" i="4"/>
  <c r="AT121" i="4"/>
  <c r="AS121" i="4"/>
  <c r="AR121" i="4"/>
  <c r="AQ121" i="4"/>
  <c r="AU92" i="4"/>
  <c r="AT92" i="4"/>
  <c r="AS92" i="4"/>
  <c r="AR92" i="4"/>
  <c r="AQ92" i="4"/>
  <c r="AU90" i="4"/>
  <c r="AT90" i="4"/>
  <c r="AS90" i="4"/>
  <c r="AR90" i="4"/>
  <c r="AQ90" i="4"/>
  <c r="AU89" i="4"/>
  <c r="AT89" i="4"/>
  <c r="AS89" i="4"/>
  <c r="AR89" i="4"/>
  <c r="AQ89" i="4"/>
  <c r="AU28" i="4"/>
  <c r="AU29" i="4" s="1"/>
  <c r="AT28" i="4"/>
  <c r="AT29" i="4" s="1"/>
  <c r="AS28" i="4"/>
  <c r="AS29" i="4" s="1"/>
  <c r="AR28" i="4"/>
  <c r="AR29" i="4" s="1"/>
  <c r="AQ28" i="4"/>
  <c r="AQ29" i="4" s="1"/>
  <c r="AU26" i="4"/>
  <c r="AU30" i="4" s="1"/>
  <c r="AT26" i="4"/>
  <c r="AS26" i="4"/>
  <c r="AS30" i="4" s="1"/>
  <c r="AR26" i="4"/>
  <c r="AR30" i="4" s="1"/>
  <c r="AQ26" i="4"/>
  <c r="AQ30" i="4" s="1"/>
  <c r="AU25" i="4"/>
  <c r="AT25" i="4"/>
  <c r="AS25" i="4"/>
  <c r="AR25" i="4"/>
  <c r="AQ25" i="4"/>
  <c r="AU573" i="3"/>
  <c r="AU574" i="3" s="1"/>
  <c r="AT573" i="3"/>
  <c r="AT574" i="3" s="1"/>
  <c r="AS573" i="3"/>
  <c r="AS574" i="3" s="1"/>
  <c r="AR573" i="3"/>
  <c r="AR574" i="3" s="1"/>
  <c r="AQ573" i="3"/>
  <c r="AQ574" i="3" s="1"/>
  <c r="AU571" i="3"/>
  <c r="AU575" i="3" s="1"/>
  <c r="AT571" i="3"/>
  <c r="AT575" i="3" s="1"/>
  <c r="AS571" i="3"/>
  <c r="AS575" i="3" s="1"/>
  <c r="AR571" i="3"/>
  <c r="AQ571" i="3"/>
  <c r="AU570" i="3"/>
  <c r="AT570" i="3"/>
  <c r="AS570" i="3"/>
  <c r="AR570" i="3"/>
  <c r="AQ570" i="3"/>
  <c r="AU349" i="3"/>
  <c r="AT349" i="3"/>
  <c r="AS349" i="3"/>
  <c r="AR349" i="3"/>
  <c r="AQ349" i="3"/>
  <c r="AU347" i="3"/>
  <c r="AT347" i="3"/>
  <c r="AS347" i="3"/>
  <c r="AR347" i="3"/>
  <c r="AQ347" i="3"/>
  <c r="AU346" i="3"/>
  <c r="AT346" i="3"/>
  <c r="AS346" i="3"/>
  <c r="AR346" i="3"/>
  <c r="AQ346" i="3"/>
  <c r="AU335" i="3"/>
  <c r="AT335" i="3"/>
  <c r="AS335" i="3"/>
  <c r="AR335" i="3"/>
  <c r="AQ335" i="3"/>
  <c r="AU333" i="3"/>
  <c r="AT333" i="3"/>
  <c r="AS333" i="3"/>
  <c r="AR333" i="3"/>
  <c r="AQ333" i="3"/>
  <c r="AU332" i="3"/>
  <c r="AT332" i="3"/>
  <c r="AS332" i="3"/>
  <c r="AR332" i="3"/>
  <c r="AQ332" i="3"/>
  <c r="AU237" i="3"/>
  <c r="AT237" i="3"/>
  <c r="AS237" i="3"/>
  <c r="AR237" i="3"/>
  <c r="AQ237" i="3"/>
  <c r="AU235" i="3"/>
  <c r="AT235" i="3"/>
  <c r="AS235" i="3"/>
  <c r="AR235" i="3"/>
  <c r="AQ235" i="3"/>
  <c r="AU234" i="3"/>
  <c r="AT234" i="3"/>
  <c r="AS234" i="3"/>
  <c r="AR234" i="3"/>
  <c r="AQ234" i="3"/>
  <c r="AU209" i="3"/>
  <c r="AT209" i="3"/>
  <c r="AS209" i="3"/>
  <c r="AR209" i="3"/>
  <c r="AQ209" i="3"/>
  <c r="AU207" i="3"/>
  <c r="AT207" i="3"/>
  <c r="AS207" i="3"/>
  <c r="AR207" i="3"/>
  <c r="AQ207" i="3"/>
  <c r="AU206" i="3"/>
  <c r="AT206" i="3"/>
  <c r="AS206" i="3"/>
  <c r="AR206" i="3"/>
  <c r="AQ206" i="3"/>
  <c r="AU139" i="3"/>
  <c r="AT139" i="3"/>
  <c r="AS139" i="3"/>
  <c r="AR139" i="3"/>
  <c r="AQ139" i="3"/>
  <c r="AU137" i="3"/>
  <c r="AT137" i="3"/>
  <c r="AS137" i="3"/>
  <c r="AR137" i="3"/>
  <c r="AQ137" i="3"/>
  <c r="AU136" i="3"/>
  <c r="AT136" i="3"/>
  <c r="AS136" i="3"/>
  <c r="AR136" i="3"/>
  <c r="AQ136" i="3"/>
  <c r="AU97" i="3"/>
  <c r="AT97" i="3"/>
  <c r="AS97" i="3"/>
  <c r="AR97" i="3"/>
  <c r="AQ97" i="3"/>
  <c r="AU95" i="3"/>
  <c r="AT95" i="3"/>
  <c r="AS95" i="3"/>
  <c r="AR95" i="3"/>
  <c r="AQ95" i="3"/>
  <c r="AU94" i="3"/>
  <c r="AT94" i="3"/>
  <c r="AS94" i="3"/>
  <c r="AR94" i="3"/>
  <c r="AQ94" i="3"/>
  <c r="AU83" i="3"/>
  <c r="AU84" i="3" s="1"/>
  <c r="AT83" i="3"/>
  <c r="AT84" i="3" s="1"/>
  <c r="AS83" i="3"/>
  <c r="AS84" i="3" s="1"/>
  <c r="AR83" i="3"/>
  <c r="AR84" i="3" s="1"/>
  <c r="AQ83" i="3"/>
  <c r="AQ84" i="3" s="1"/>
  <c r="AU81" i="3"/>
  <c r="AU85" i="3" s="1"/>
  <c r="AT81" i="3"/>
  <c r="AS81" i="3"/>
  <c r="AS85" i="3" s="1"/>
  <c r="AR81" i="3"/>
  <c r="AR85" i="3" s="1"/>
  <c r="AQ81" i="3"/>
  <c r="AQ85" i="3" s="1"/>
  <c r="AU80" i="3"/>
  <c r="AT80" i="3"/>
  <c r="AS80" i="3"/>
  <c r="AR80" i="3"/>
  <c r="AQ80" i="3"/>
  <c r="AU27" i="3"/>
  <c r="AT27" i="3"/>
  <c r="AS27" i="3"/>
  <c r="AR27" i="3"/>
  <c r="AQ27" i="3"/>
  <c r="AU25" i="3"/>
  <c r="AT25" i="3"/>
  <c r="AS25" i="3"/>
  <c r="AR25" i="3"/>
  <c r="AQ25" i="3"/>
  <c r="AU24" i="3"/>
  <c r="AT24" i="3"/>
  <c r="AS24" i="3"/>
  <c r="AR24" i="3"/>
  <c r="AQ24" i="3"/>
  <c r="AU139" i="6"/>
  <c r="AT139" i="6"/>
  <c r="AS139" i="6"/>
  <c r="AR139" i="6"/>
  <c r="AQ139" i="6"/>
  <c r="AU137" i="6"/>
  <c r="AT137" i="6"/>
  <c r="AS137" i="6"/>
  <c r="AR137" i="6"/>
  <c r="AQ137" i="6"/>
  <c r="AU136" i="6"/>
  <c r="AT136" i="6"/>
  <c r="AS136" i="6"/>
  <c r="AR136" i="6"/>
  <c r="AQ136" i="6"/>
  <c r="AU83" i="6"/>
  <c r="AT83" i="6"/>
  <c r="AS83" i="6"/>
  <c r="AR83" i="6"/>
  <c r="AQ83" i="6"/>
  <c r="AU81" i="6"/>
  <c r="AT81" i="6"/>
  <c r="AS81" i="6"/>
  <c r="AR81" i="6"/>
  <c r="AQ81" i="6"/>
  <c r="AU80" i="6"/>
  <c r="AT80" i="6"/>
  <c r="AS80" i="6"/>
  <c r="AR80" i="6"/>
  <c r="AQ80" i="6"/>
  <c r="AS580" i="1"/>
  <c r="AU569" i="1"/>
  <c r="AU567" i="1"/>
  <c r="AU566" i="1"/>
  <c r="AT569" i="1"/>
  <c r="AT567" i="1"/>
  <c r="AT566" i="1"/>
  <c r="AS569" i="1"/>
  <c r="AS567" i="1"/>
  <c r="AS566" i="1"/>
  <c r="AR569" i="1"/>
  <c r="AR567" i="1"/>
  <c r="AR566" i="1"/>
  <c r="AQ569" i="1"/>
  <c r="AQ567" i="1"/>
  <c r="AQ566" i="1"/>
  <c r="AU52" i="10"/>
  <c r="AT52" i="10"/>
  <c r="AS52" i="10"/>
  <c r="AR52" i="10"/>
  <c r="AQ52" i="10"/>
  <c r="AU50" i="10"/>
  <c r="AT50" i="10"/>
  <c r="AS50" i="10"/>
  <c r="AR50" i="10"/>
  <c r="AQ50" i="10"/>
  <c r="AU49" i="10"/>
  <c r="AT49" i="10"/>
  <c r="AS49" i="10"/>
  <c r="AR49" i="10"/>
  <c r="AU867" i="1" l="1"/>
  <c r="AV865" i="1"/>
  <c r="AT881" i="1"/>
  <c r="AT867" i="1"/>
  <c r="AT203" i="4"/>
  <c r="AS138" i="6"/>
  <c r="AT138" i="6"/>
  <c r="AU82" i="3"/>
  <c r="AQ418" i="3"/>
  <c r="AV556" i="3"/>
  <c r="AT82" i="3"/>
  <c r="AT85" i="3"/>
  <c r="AR96" i="3"/>
  <c r="AV402" i="3"/>
  <c r="AV416" i="3"/>
  <c r="AU208" i="3"/>
  <c r="AT558" i="3"/>
  <c r="AR404" i="3"/>
  <c r="AT96" i="3"/>
  <c r="AS1070" i="1"/>
  <c r="AT1070" i="1"/>
  <c r="AR1070" i="1"/>
  <c r="AV1068" i="1"/>
  <c r="AS139" i="4"/>
  <c r="AS459" i="4"/>
  <c r="AS331" i="4"/>
  <c r="AS267" i="4"/>
  <c r="AS96" i="3"/>
  <c r="AS82" i="3"/>
  <c r="AV543" i="3"/>
  <c r="AV13" i="7"/>
  <c r="AV557" i="3"/>
  <c r="AR459" i="4"/>
  <c r="AV883" i="1"/>
  <c r="AR139" i="4"/>
  <c r="AU82" i="6"/>
  <c r="AR12" i="7"/>
  <c r="AS12" i="7"/>
  <c r="AQ15" i="7"/>
  <c r="AV15" i="7" s="1"/>
  <c r="AT12" i="7"/>
  <c r="AU12" i="7"/>
  <c r="AS14" i="7"/>
  <c r="AV14" i="7" s="1"/>
  <c r="AQ12" i="7"/>
  <c r="AV12" i="7" s="1"/>
  <c r="AT27" i="4"/>
  <c r="AV542" i="3"/>
  <c r="AT26" i="3"/>
  <c r="AQ404" i="3"/>
  <c r="AV38" i="8"/>
  <c r="AV41" i="8"/>
  <c r="AV39" i="8"/>
  <c r="AQ40" i="8"/>
  <c r="AU40" i="8"/>
  <c r="AR40" i="8"/>
  <c r="AS40" i="8"/>
  <c r="AT40" i="8"/>
  <c r="AQ26" i="8"/>
  <c r="AQ267" i="4"/>
  <c r="AQ139" i="4"/>
  <c r="AV545" i="3"/>
  <c r="AV403" i="3"/>
  <c r="AQ96" i="3"/>
  <c r="AV1072" i="1"/>
  <c r="AV1071" i="1"/>
  <c r="AV1069" i="1"/>
  <c r="AQ1070" i="1"/>
  <c r="AR1073" i="1"/>
  <c r="AU1070" i="1"/>
  <c r="AS1073" i="1"/>
  <c r="AT1073" i="1"/>
  <c r="AV882" i="1"/>
  <c r="AU881" i="1"/>
  <c r="AS884" i="1"/>
  <c r="AT884" i="1"/>
  <c r="AV880" i="1"/>
  <c r="AQ881" i="1"/>
  <c r="AR881" i="1"/>
  <c r="AV869" i="1"/>
  <c r="AV868" i="1"/>
  <c r="AV866" i="1"/>
  <c r="AQ867" i="1"/>
  <c r="AR867" i="1"/>
  <c r="AS867" i="1"/>
  <c r="AT870" i="1"/>
  <c r="AU870" i="1"/>
  <c r="AV169" i="4"/>
  <c r="AT171" i="4"/>
  <c r="AV173" i="4"/>
  <c r="AV170" i="4"/>
  <c r="AQ171" i="4"/>
  <c r="AR171" i="4"/>
  <c r="AT174" i="4"/>
  <c r="AV174" i="4" s="1"/>
  <c r="AV172" i="4"/>
  <c r="AS171" i="4"/>
  <c r="AU171" i="4"/>
  <c r="AS203" i="4"/>
  <c r="AV560" i="3"/>
  <c r="AQ558" i="3"/>
  <c r="AR558" i="3"/>
  <c r="AS558" i="3"/>
  <c r="AQ561" i="3"/>
  <c r="AU558" i="3"/>
  <c r="AV559" i="3"/>
  <c r="AT561" i="3"/>
  <c r="AR544" i="3"/>
  <c r="AS544" i="3"/>
  <c r="AU544" i="3"/>
  <c r="AQ544" i="3"/>
  <c r="AT544" i="3"/>
  <c r="AV419" i="3"/>
  <c r="AR418" i="3"/>
  <c r="AS418" i="3"/>
  <c r="AT418" i="3"/>
  <c r="AU418" i="3"/>
  <c r="AV417" i="3"/>
  <c r="AV405" i="3"/>
  <c r="AS404" i="3"/>
  <c r="AU404" i="3"/>
  <c r="AT404" i="3"/>
  <c r="AQ572" i="3"/>
  <c r="AR572" i="3"/>
  <c r="AQ26" i="9"/>
  <c r="AR26" i="9"/>
  <c r="AS26" i="9"/>
  <c r="AT26" i="9"/>
  <c r="AU26" i="9"/>
  <c r="AR26" i="8"/>
  <c r="AS26" i="8"/>
  <c r="AT26" i="8"/>
  <c r="AU26" i="8"/>
  <c r="AQ491" i="4"/>
  <c r="AR491" i="4"/>
  <c r="AS491" i="4"/>
  <c r="AT491" i="4"/>
  <c r="AU491" i="4"/>
  <c r="AT459" i="4"/>
  <c r="AU459" i="4"/>
  <c r="AQ363" i="4"/>
  <c r="AT363" i="4"/>
  <c r="AU363" i="4"/>
  <c r="AQ331" i="4"/>
  <c r="AT331" i="4"/>
  <c r="AU331" i="4"/>
  <c r="AT267" i="4"/>
  <c r="AU267" i="4"/>
  <c r="AR251" i="4"/>
  <c r="AS251" i="4"/>
  <c r="AT251" i="4"/>
  <c r="AU251" i="4"/>
  <c r="AR235" i="4"/>
  <c r="AS235" i="4"/>
  <c r="AT235" i="4"/>
  <c r="AQ235" i="4"/>
  <c r="AU235" i="4"/>
  <c r="AQ203" i="4"/>
  <c r="AR203" i="4"/>
  <c r="AQ155" i="4"/>
  <c r="AR155" i="4"/>
  <c r="AS155" i="4"/>
  <c r="AT155" i="4"/>
  <c r="AU155" i="4"/>
  <c r="AT139" i="4"/>
  <c r="AQ123" i="4"/>
  <c r="AR123" i="4"/>
  <c r="AS123" i="4"/>
  <c r="AT123" i="4"/>
  <c r="AU123" i="4"/>
  <c r="AQ91" i="4"/>
  <c r="AR91" i="4"/>
  <c r="AS91" i="4"/>
  <c r="AT91" i="4"/>
  <c r="AU91" i="4"/>
  <c r="AQ27" i="4"/>
  <c r="AR27" i="4"/>
  <c r="AS27" i="4"/>
  <c r="AU27" i="4"/>
  <c r="AT30" i="4"/>
  <c r="AV30" i="4" s="1"/>
  <c r="AQ575" i="3"/>
  <c r="AS572" i="3"/>
  <c r="AR575" i="3"/>
  <c r="AT572" i="3"/>
  <c r="AU572" i="3"/>
  <c r="AQ348" i="3"/>
  <c r="AR348" i="3"/>
  <c r="AS348" i="3"/>
  <c r="AT348" i="3"/>
  <c r="AU348" i="3"/>
  <c r="AQ334" i="3"/>
  <c r="AR334" i="3"/>
  <c r="AS334" i="3"/>
  <c r="AT334" i="3"/>
  <c r="AU334" i="3"/>
  <c r="AQ236" i="3"/>
  <c r="AR236" i="3"/>
  <c r="AS236" i="3"/>
  <c r="AT236" i="3"/>
  <c r="AU236" i="3"/>
  <c r="AQ208" i="3"/>
  <c r="AR208" i="3"/>
  <c r="AS208" i="3"/>
  <c r="AT208" i="3"/>
  <c r="AR138" i="3"/>
  <c r="AS138" i="3"/>
  <c r="AT138" i="3"/>
  <c r="AU138" i="3"/>
  <c r="AQ138" i="3"/>
  <c r="AU96" i="3"/>
  <c r="AQ82" i="3"/>
  <c r="AR82" i="3"/>
  <c r="AQ26" i="3"/>
  <c r="AR26" i="3"/>
  <c r="AS26" i="3"/>
  <c r="AU26" i="3"/>
  <c r="AQ138" i="6"/>
  <c r="AR138" i="6"/>
  <c r="AU138" i="6"/>
  <c r="AQ82" i="6"/>
  <c r="AR82" i="6"/>
  <c r="AS82" i="6"/>
  <c r="AT82" i="6"/>
  <c r="AV489" i="4"/>
  <c r="AV457" i="4"/>
  <c r="AU396" i="4"/>
  <c r="AT396" i="4"/>
  <c r="AS396" i="4"/>
  <c r="AR396" i="4"/>
  <c r="AQ396" i="4"/>
  <c r="AU394" i="4"/>
  <c r="AT394" i="4"/>
  <c r="AS394" i="4"/>
  <c r="AR394" i="4"/>
  <c r="AQ394" i="4"/>
  <c r="AU393" i="4"/>
  <c r="AT393" i="4"/>
  <c r="AS393" i="4"/>
  <c r="AR393" i="4"/>
  <c r="AQ393" i="4"/>
  <c r="AV361" i="4"/>
  <c r="AV329" i="4"/>
  <c r="AV268" i="4"/>
  <c r="AV265" i="4"/>
  <c r="AV249" i="4"/>
  <c r="AV238" i="4"/>
  <c r="AV233" i="4"/>
  <c r="AV204" i="4"/>
  <c r="AV201" i="4"/>
  <c r="AV153" i="4"/>
  <c r="AV137" i="4"/>
  <c r="AV121" i="4"/>
  <c r="AV90" i="4"/>
  <c r="AV89" i="4"/>
  <c r="AU1085" i="1"/>
  <c r="AU1086" i="1" s="1"/>
  <c r="AT1085" i="1"/>
  <c r="AT1086" i="1" s="1"/>
  <c r="AS1085" i="1"/>
  <c r="AS1086" i="1" s="1"/>
  <c r="AR1085" i="1"/>
  <c r="AR1086" i="1" s="1"/>
  <c r="AQ1085" i="1"/>
  <c r="AQ1086" i="1" s="1"/>
  <c r="AU1083" i="1"/>
  <c r="AU1087" i="1" s="1"/>
  <c r="AT1083" i="1"/>
  <c r="AS1083" i="1"/>
  <c r="AS1087" i="1" s="1"/>
  <c r="AR1083" i="1"/>
  <c r="AR1087" i="1" s="1"/>
  <c r="AQ1083" i="1"/>
  <c r="AU1082" i="1"/>
  <c r="AT1082" i="1"/>
  <c r="AS1082" i="1"/>
  <c r="AR1082" i="1"/>
  <c r="AQ1082" i="1"/>
  <c r="AU855" i="1"/>
  <c r="AU856" i="1" s="1"/>
  <c r="AT855" i="1"/>
  <c r="AT856" i="1" s="1"/>
  <c r="AS855" i="1"/>
  <c r="AS856" i="1" s="1"/>
  <c r="AR855" i="1"/>
  <c r="AR856" i="1" s="1"/>
  <c r="AQ855" i="1"/>
  <c r="AQ856" i="1" s="1"/>
  <c r="AU853" i="1"/>
  <c r="AU857" i="1" s="1"/>
  <c r="AT853" i="1"/>
  <c r="AT857" i="1" s="1"/>
  <c r="AS853" i="1"/>
  <c r="AS857" i="1" s="1"/>
  <c r="AR853" i="1"/>
  <c r="AR857" i="1" s="1"/>
  <c r="AQ853" i="1"/>
  <c r="AQ857" i="1" s="1"/>
  <c r="AU852" i="1"/>
  <c r="AT852" i="1"/>
  <c r="AS852" i="1"/>
  <c r="AR852" i="1"/>
  <c r="AQ852" i="1"/>
  <c r="AU841" i="1"/>
  <c r="AU842" i="1" s="1"/>
  <c r="AT841" i="1"/>
  <c r="AT842" i="1" s="1"/>
  <c r="AS841" i="1"/>
  <c r="AS842" i="1" s="1"/>
  <c r="AR841" i="1"/>
  <c r="AR842" i="1" s="1"/>
  <c r="AQ841" i="1"/>
  <c r="AQ842" i="1" s="1"/>
  <c r="AU839" i="1"/>
  <c r="AU843" i="1" s="1"/>
  <c r="AT839" i="1"/>
  <c r="AT843" i="1" s="1"/>
  <c r="AS839" i="1"/>
  <c r="AS843" i="1" s="1"/>
  <c r="AR839" i="1"/>
  <c r="AR843" i="1" s="1"/>
  <c r="AQ839" i="1"/>
  <c r="AQ843" i="1" s="1"/>
  <c r="AU838" i="1"/>
  <c r="AT838" i="1"/>
  <c r="AS838" i="1"/>
  <c r="AR838" i="1"/>
  <c r="AQ838" i="1"/>
  <c r="AU583" i="1"/>
  <c r="AU584" i="1" s="1"/>
  <c r="AT583" i="1"/>
  <c r="AT584" i="1" s="1"/>
  <c r="AS583" i="1"/>
  <c r="AS584" i="1" s="1"/>
  <c r="AR583" i="1"/>
  <c r="AR584" i="1" s="1"/>
  <c r="AQ583" i="1"/>
  <c r="AQ584" i="1" s="1"/>
  <c r="AU581" i="1"/>
  <c r="AT581" i="1"/>
  <c r="AT585" i="1" s="1"/>
  <c r="AS581" i="1"/>
  <c r="AS582" i="1" s="1"/>
  <c r="AR581" i="1"/>
  <c r="AQ581" i="1"/>
  <c r="AQ585" i="1" s="1"/>
  <c r="AU580" i="1"/>
  <c r="AT580" i="1"/>
  <c r="AR580" i="1"/>
  <c r="AQ580" i="1"/>
  <c r="AR570" i="1"/>
  <c r="AQ570" i="1"/>
  <c r="AU570" i="1"/>
  <c r="AT570" i="1"/>
  <c r="AS570" i="1"/>
  <c r="AU571" i="1"/>
  <c r="AT571" i="1"/>
  <c r="AS571" i="1"/>
  <c r="AR571" i="1"/>
  <c r="AQ571" i="1"/>
  <c r="AV566" i="1"/>
  <c r="AV570" i="3"/>
  <c r="AV346" i="3"/>
  <c r="AV332" i="3"/>
  <c r="AV234" i="3"/>
  <c r="AV206" i="3"/>
  <c r="AV139" i="3"/>
  <c r="AV137" i="3"/>
  <c r="AV136" i="3"/>
  <c r="AV94" i="3"/>
  <c r="AV83" i="3"/>
  <c r="AV80" i="3"/>
  <c r="AV24" i="3"/>
  <c r="AV136" i="6"/>
  <c r="AU69" i="2"/>
  <c r="AT69" i="2"/>
  <c r="AS69" i="2"/>
  <c r="AR69" i="2"/>
  <c r="AQ69" i="2"/>
  <c r="AU67" i="2"/>
  <c r="AT67" i="2"/>
  <c r="AS67" i="2"/>
  <c r="AR67" i="2"/>
  <c r="AQ67" i="2"/>
  <c r="AU66" i="2"/>
  <c r="AT66" i="2"/>
  <c r="AS66" i="2"/>
  <c r="AR66" i="2"/>
  <c r="AV24" i="8"/>
  <c r="AV1082" i="1" l="1"/>
  <c r="AV852" i="1"/>
  <c r="AQ1084" i="1"/>
  <c r="AV870" i="1"/>
  <c r="AT1084" i="1"/>
  <c r="AV884" i="1"/>
  <c r="AV1073" i="1"/>
  <c r="AV838" i="1"/>
  <c r="AU840" i="1"/>
  <c r="AV418" i="3"/>
  <c r="AV857" i="1"/>
  <c r="AV236" i="3"/>
  <c r="AV842" i="1"/>
  <c r="AV843" i="1"/>
  <c r="AV404" i="3"/>
  <c r="AS68" i="2"/>
  <c r="AV66" i="2"/>
  <c r="AV40" i="8"/>
  <c r="AV1070" i="1"/>
  <c r="AV881" i="1"/>
  <c r="AV867" i="1"/>
  <c r="AV171" i="4"/>
  <c r="AU582" i="1"/>
  <c r="AR582" i="1"/>
  <c r="AV580" i="1"/>
  <c r="AV558" i="3"/>
  <c r="AV561" i="3"/>
  <c r="AV544" i="3"/>
  <c r="AV571" i="1"/>
  <c r="AV393" i="4"/>
  <c r="AV492" i="4"/>
  <c r="AV490" i="4"/>
  <c r="AV460" i="4"/>
  <c r="AV458" i="4"/>
  <c r="AV394" i="4"/>
  <c r="AQ395" i="4"/>
  <c r="AR395" i="4"/>
  <c r="AS395" i="4"/>
  <c r="AT395" i="4"/>
  <c r="AU395" i="4"/>
  <c r="AV396" i="4"/>
  <c r="AV364" i="4"/>
  <c r="AV363" i="4"/>
  <c r="AV362" i="4"/>
  <c r="AV332" i="4"/>
  <c r="AV330" i="4"/>
  <c r="AV266" i="4"/>
  <c r="AV251" i="4"/>
  <c r="AV252" i="4"/>
  <c r="AV250" i="4"/>
  <c r="AV237" i="4"/>
  <c r="AV236" i="4"/>
  <c r="AV234" i="4"/>
  <c r="AV202" i="4"/>
  <c r="AV156" i="4"/>
  <c r="AV154" i="4"/>
  <c r="AV140" i="4"/>
  <c r="AV138" i="4"/>
  <c r="AV122" i="4"/>
  <c r="AV124" i="4"/>
  <c r="AV25" i="4"/>
  <c r="AV92" i="4"/>
  <c r="AV29" i="4"/>
  <c r="AV28" i="4"/>
  <c r="AV26" i="4"/>
  <c r="AV1086" i="1"/>
  <c r="AV1083" i="1"/>
  <c r="AS1084" i="1"/>
  <c r="AQ1087" i="1"/>
  <c r="AR1084" i="1"/>
  <c r="AU1084" i="1"/>
  <c r="AT1087" i="1"/>
  <c r="AV1085" i="1"/>
  <c r="AV856" i="1"/>
  <c r="AV855" i="1"/>
  <c r="AV853" i="1"/>
  <c r="AQ854" i="1"/>
  <c r="AR854" i="1"/>
  <c r="AS854" i="1"/>
  <c r="AT854" i="1"/>
  <c r="AU854" i="1"/>
  <c r="AV841" i="1"/>
  <c r="AV839" i="1"/>
  <c r="AQ840" i="1"/>
  <c r="AR840" i="1"/>
  <c r="AS840" i="1"/>
  <c r="AT840" i="1"/>
  <c r="AV584" i="1"/>
  <c r="AV583" i="1"/>
  <c r="AV581" i="1"/>
  <c r="AQ582" i="1"/>
  <c r="AT582" i="1"/>
  <c r="AR585" i="1"/>
  <c r="AS585" i="1"/>
  <c r="AU585" i="1"/>
  <c r="AV570" i="1"/>
  <c r="AV567" i="1"/>
  <c r="AQ568" i="1"/>
  <c r="AS568" i="1"/>
  <c r="AT568" i="1"/>
  <c r="AU568" i="1"/>
  <c r="AV569" i="1"/>
  <c r="AR568" i="1"/>
  <c r="AV574" i="3"/>
  <c r="AV571" i="3"/>
  <c r="AV572" i="3"/>
  <c r="AV575" i="3"/>
  <c r="AV573" i="3"/>
  <c r="AV347" i="3"/>
  <c r="AV349" i="3"/>
  <c r="AV348" i="3"/>
  <c r="AV335" i="3"/>
  <c r="AV333" i="3"/>
  <c r="AV237" i="3"/>
  <c r="AV235" i="3"/>
  <c r="AV209" i="3"/>
  <c r="AV207" i="3"/>
  <c r="AV97" i="3"/>
  <c r="AV95" i="3"/>
  <c r="AV96" i="3"/>
  <c r="AV84" i="3"/>
  <c r="AV81" i="3"/>
  <c r="AV85" i="3"/>
  <c r="AV27" i="3"/>
  <c r="AV25" i="3"/>
  <c r="AV139" i="6"/>
  <c r="AV137" i="6"/>
  <c r="AV80" i="6"/>
  <c r="AV83" i="6"/>
  <c r="AV81" i="6"/>
  <c r="AQ68" i="2"/>
  <c r="AV69" i="2"/>
  <c r="AT68" i="2"/>
  <c r="AU68" i="2"/>
  <c r="AV67" i="2"/>
  <c r="AR68" i="2"/>
  <c r="AV27" i="8"/>
  <c r="AV25" i="8"/>
  <c r="AJ79" i="6"/>
  <c r="G86" i="13" s="1"/>
  <c r="AV1084" i="1" l="1"/>
  <c r="AV585" i="1"/>
  <c r="AV491" i="4"/>
  <c r="AV459" i="4"/>
  <c r="AV395" i="4"/>
  <c r="AV331" i="4"/>
  <c r="AV267" i="4"/>
  <c r="AV235" i="4"/>
  <c r="AV203" i="4"/>
  <c r="AV155" i="4"/>
  <c r="AV139" i="4"/>
  <c r="AV123" i="4"/>
  <c r="AV91" i="4"/>
  <c r="AV27" i="4"/>
  <c r="AV1087" i="1"/>
  <c r="AV854" i="1"/>
  <c r="AV840" i="1"/>
  <c r="AV582" i="1"/>
  <c r="AV568" i="1"/>
  <c r="AV334" i="3"/>
  <c r="AV208" i="3"/>
  <c r="AV138" i="3"/>
  <c r="AV82" i="3"/>
  <c r="AV26" i="3"/>
  <c r="AV138" i="6"/>
  <c r="AV82" i="6"/>
  <c r="AV68" i="2"/>
  <c r="AV26" i="8"/>
  <c r="AA1194" i="1"/>
  <c r="X881" i="1" l="1"/>
  <c r="Y881" i="1"/>
  <c r="Z881" i="1"/>
  <c r="U881" i="1"/>
  <c r="P881" i="1"/>
  <c r="Q881" i="1"/>
  <c r="R881" i="1"/>
  <c r="S881" i="1"/>
  <c r="I881" i="1"/>
  <c r="J881" i="1"/>
  <c r="K881" i="1"/>
  <c r="L881" i="1"/>
  <c r="E881" i="1"/>
  <c r="X867" i="1"/>
  <c r="U867" i="1"/>
  <c r="P867" i="1"/>
  <c r="Q867" i="1"/>
  <c r="R867" i="1"/>
  <c r="S867" i="1"/>
  <c r="N867" i="1"/>
  <c r="I867" i="1"/>
  <c r="J867" i="1"/>
  <c r="K867" i="1"/>
  <c r="L867" i="1"/>
  <c r="H867" i="1"/>
  <c r="U236" i="3"/>
  <c r="T12" i="9"/>
  <c r="AU10" i="3" l="1"/>
  <c r="AQ9" i="4"/>
  <c r="AR10" i="9"/>
  <c r="AQ11" i="9"/>
  <c r="AQ10" i="9"/>
  <c r="AQ13" i="9"/>
  <c r="L962" i="1"/>
  <c r="L11" i="4"/>
  <c r="AS51" i="10" l="1"/>
  <c r="E51" i="10"/>
  <c r="AQ476" i="4"/>
  <c r="AQ473" i="4"/>
  <c r="AU13" i="9"/>
  <c r="AT13" i="9"/>
  <c r="AS13" i="9"/>
  <c r="AR13" i="9"/>
  <c r="AU11" i="9"/>
  <c r="AT11" i="9"/>
  <c r="AS11" i="9"/>
  <c r="AR11" i="9"/>
  <c r="AR12" i="9" s="1"/>
  <c r="AU10" i="9"/>
  <c r="AT10" i="9"/>
  <c r="AS10" i="9"/>
  <c r="AQ10" i="3"/>
  <c r="AU9" i="4"/>
  <c r="AT9" i="4"/>
  <c r="AS9" i="4"/>
  <c r="AR9" i="4"/>
  <c r="AV49" i="10" l="1"/>
  <c r="AT12" i="9"/>
  <c r="AV50" i="10"/>
  <c r="AQ51" i="10"/>
  <c r="AV52" i="10"/>
  <c r="AT51" i="10"/>
  <c r="AR51" i="10"/>
  <c r="AU51" i="10"/>
  <c r="AV10" i="9"/>
  <c r="AV13" i="9"/>
  <c r="AQ12" i="9"/>
  <c r="AS12" i="9"/>
  <c r="AU12" i="9"/>
  <c r="AV11" i="9"/>
  <c r="AV51" i="10" l="1"/>
  <c r="AV12" i="9"/>
  <c r="AU476" i="4" l="1"/>
  <c r="AT476" i="4"/>
  <c r="AS476" i="4"/>
  <c r="AR476" i="4"/>
  <c r="AU474" i="4"/>
  <c r="AT474" i="4"/>
  <c r="AS474" i="4"/>
  <c r="AR474" i="4"/>
  <c r="AQ474" i="4"/>
  <c r="AU473" i="4"/>
  <c r="AT473" i="4"/>
  <c r="AS473" i="4"/>
  <c r="AR473" i="4"/>
  <c r="AU12" i="4"/>
  <c r="AT12" i="4"/>
  <c r="AS12" i="4"/>
  <c r="AR12" i="4"/>
  <c r="AQ12" i="4"/>
  <c r="AU10" i="4"/>
  <c r="AT10" i="4"/>
  <c r="AS10" i="4"/>
  <c r="AR10" i="4"/>
  <c r="AQ10" i="4"/>
  <c r="AV9" i="4"/>
  <c r="AU13" i="3"/>
  <c r="AT13" i="3"/>
  <c r="AS13" i="3"/>
  <c r="AR13" i="3"/>
  <c r="AQ13" i="3"/>
  <c r="AU11" i="3"/>
  <c r="AU12" i="3" s="1"/>
  <c r="AT11" i="3"/>
  <c r="AS11" i="3"/>
  <c r="AR11" i="3"/>
  <c r="AQ11" i="3"/>
  <c r="AQ12" i="3" s="1"/>
  <c r="AT10" i="3"/>
  <c r="AS10" i="3"/>
  <c r="AR10" i="3"/>
  <c r="AR12" i="3" l="1"/>
  <c r="AV10" i="3"/>
  <c r="AR475" i="4"/>
  <c r="AT11" i="4"/>
  <c r="AT12" i="3"/>
  <c r="AV473" i="4"/>
  <c r="AS12" i="3"/>
  <c r="AV12" i="4"/>
  <c r="AV474" i="4"/>
  <c r="AQ475" i="4"/>
  <c r="AS475" i="4"/>
  <c r="AT475" i="4"/>
  <c r="AU475" i="4"/>
  <c r="AV476" i="4"/>
  <c r="AV10" i="4"/>
  <c r="AQ11" i="4"/>
  <c r="AR11" i="4"/>
  <c r="AS11" i="4"/>
  <c r="AU11" i="4"/>
  <c r="AV13" i="3"/>
  <c r="AV11" i="3"/>
  <c r="AV12" i="3" l="1"/>
  <c r="AV11" i="4"/>
  <c r="AV475" i="4"/>
  <c r="E68" i="2" l="1"/>
  <c r="E236" i="3"/>
  <c r="F236" i="3"/>
  <c r="G236" i="3"/>
  <c r="H236" i="3"/>
  <c r="I236" i="3"/>
  <c r="J236" i="3"/>
  <c r="K236" i="3"/>
  <c r="L236" i="3"/>
  <c r="M236" i="3"/>
  <c r="N236" i="3"/>
  <c r="O236" i="3"/>
  <c r="P236" i="3"/>
  <c r="Q236" i="3"/>
  <c r="R236" i="3"/>
  <c r="S236" i="3"/>
  <c r="T236" i="3"/>
  <c r="V236" i="3"/>
  <c r="W236" i="3"/>
  <c r="X236" i="3"/>
  <c r="Y236" i="3"/>
  <c r="Z236" i="3"/>
  <c r="AA236" i="3"/>
  <c r="AB236" i="3"/>
  <c r="AC236" i="3"/>
  <c r="AD236" i="3"/>
  <c r="AE236" i="3"/>
  <c r="AF236" i="3"/>
  <c r="AG236" i="3"/>
  <c r="AH236" i="3"/>
  <c r="AI236" i="3"/>
  <c r="Z1191" i="1" l="1"/>
  <c r="AI96" i="4" l="1"/>
  <c r="AI32" i="4"/>
  <c r="O213" i="3" l="1"/>
  <c r="K96" i="3" l="1"/>
  <c r="AU556" i="1"/>
  <c r="AU557" i="1" s="1"/>
  <c r="AT556" i="1"/>
  <c r="AT557" i="1" s="1"/>
  <c r="AS556" i="1"/>
  <c r="AS557" i="1" s="1"/>
  <c r="AR556" i="1"/>
  <c r="AR557" i="1" s="1"/>
  <c r="AQ556" i="1"/>
  <c r="AQ557" i="1" s="1"/>
  <c r="AU554" i="1"/>
  <c r="AT554" i="1"/>
  <c r="AS554" i="1"/>
  <c r="AS558" i="1" s="1"/>
  <c r="AR554" i="1"/>
  <c r="AR558" i="1" s="1"/>
  <c r="AQ554" i="1"/>
  <c r="AU553" i="1"/>
  <c r="AT553" i="1"/>
  <c r="AS553" i="1"/>
  <c r="AR553" i="1"/>
  <c r="AQ553" i="1"/>
  <c r="AU542" i="1"/>
  <c r="AU543" i="1" s="1"/>
  <c r="AT542" i="1"/>
  <c r="AT543" i="1" s="1"/>
  <c r="AS542" i="1"/>
  <c r="AS543" i="1" s="1"/>
  <c r="AR542" i="1"/>
  <c r="AR543" i="1" s="1"/>
  <c r="AQ542" i="1"/>
  <c r="AQ543" i="1" s="1"/>
  <c r="AU540" i="1"/>
  <c r="AU544" i="1" s="1"/>
  <c r="AT540" i="1"/>
  <c r="AT544" i="1" s="1"/>
  <c r="AS540" i="1"/>
  <c r="AS544" i="1" s="1"/>
  <c r="AR540" i="1"/>
  <c r="AR544" i="1" s="1"/>
  <c r="AQ540" i="1"/>
  <c r="AQ544" i="1" s="1"/>
  <c r="AU539" i="1"/>
  <c r="AT539" i="1"/>
  <c r="AS539" i="1"/>
  <c r="AR539" i="1"/>
  <c r="AQ539" i="1"/>
  <c r="AT555" i="1" l="1"/>
  <c r="AQ555" i="1"/>
  <c r="AV553" i="1"/>
  <c r="AU555" i="1"/>
  <c r="AV539" i="1"/>
  <c r="AV544" i="1"/>
  <c r="AV543" i="1"/>
  <c r="AV557" i="1"/>
  <c r="AV556" i="1"/>
  <c r="AS555" i="1"/>
  <c r="AQ558" i="1"/>
  <c r="AV554" i="1"/>
  <c r="AT558" i="1"/>
  <c r="AU558" i="1"/>
  <c r="AR555" i="1"/>
  <c r="AV542" i="1"/>
  <c r="AV540" i="1"/>
  <c r="AQ541" i="1"/>
  <c r="AR541" i="1"/>
  <c r="AS541" i="1"/>
  <c r="AT541" i="1"/>
  <c r="AU541" i="1"/>
  <c r="AV555" i="1" l="1"/>
  <c r="AV558" i="1"/>
  <c r="AV541" i="1"/>
  <c r="E1191" i="1"/>
  <c r="AU705" i="1"/>
  <c r="AU706" i="1" s="1"/>
  <c r="AT705" i="1"/>
  <c r="AT706" i="1" s="1"/>
  <c r="AS705" i="1"/>
  <c r="AS706" i="1" s="1"/>
  <c r="AR705" i="1"/>
  <c r="AR706" i="1" s="1"/>
  <c r="AQ705" i="1"/>
  <c r="AQ706" i="1" s="1"/>
  <c r="AU703" i="1"/>
  <c r="AU707" i="1" s="1"/>
  <c r="AT703" i="1"/>
  <c r="AT707" i="1" s="1"/>
  <c r="AS703" i="1"/>
  <c r="AS707" i="1" s="1"/>
  <c r="AR703" i="1"/>
  <c r="AR707" i="1" s="1"/>
  <c r="AQ703" i="1"/>
  <c r="AQ707" i="1" s="1"/>
  <c r="AU702" i="1"/>
  <c r="AT702" i="1"/>
  <c r="AS702" i="1"/>
  <c r="AR702" i="1"/>
  <c r="AQ702" i="1"/>
  <c r="AU665" i="1"/>
  <c r="AT665" i="1"/>
  <c r="AS665" i="1"/>
  <c r="AR665" i="1"/>
  <c r="AQ665" i="1"/>
  <c r="AU663" i="1"/>
  <c r="AT663" i="1"/>
  <c r="AS663" i="1"/>
  <c r="AR663" i="1"/>
  <c r="AQ663" i="1"/>
  <c r="AU662" i="1"/>
  <c r="AT662" i="1"/>
  <c r="AS662" i="1"/>
  <c r="AR662" i="1"/>
  <c r="AQ662" i="1"/>
  <c r="AU97" i="6"/>
  <c r="AU98" i="6" s="1"/>
  <c r="AT97" i="6"/>
  <c r="AT98" i="6" s="1"/>
  <c r="AS97" i="6"/>
  <c r="AS98" i="6" s="1"/>
  <c r="AR97" i="6"/>
  <c r="AR98" i="6" s="1"/>
  <c r="AQ97" i="6"/>
  <c r="AQ98" i="6" s="1"/>
  <c r="AU95" i="6"/>
  <c r="AU99" i="6" s="1"/>
  <c r="AT95" i="6"/>
  <c r="AT99" i="6" s="1"/>
  <c r="AS95" i="6"/>
  <c r="AR95" i="6"/>
  <c r="AQ95" i="6"/>
  <c r="AU94" i="6"/>
  <c r="AT94" i="6"/>
  <c r="AS94" i="6"/>
  <c r="AR94" i="6"/>
  <c r="AQ94" i="6"/>
  <c r="E521" i="4"/>
  <c r="E52" i="8"/>
  <c r="AV94" i="6" l="1"/>
  <c r="AQ96" i="6"/>
  <c r="AV702" i="1"/>
  <c r="AR96" i="6"/>
  <c r="AS96" i="6"/>
  <c r="AU96" i="6"/>
  <c r="AV707" i="1"/>
  <c r="AV98" i="6"/>
  <c r="AV706" i="1"/>
  <c r="AV703" i="1"/>
  <c r="AV705" i="1"/>
  <c r="AQ704" i="1"/>
  <c r="AR704" i="1"/>
  <c r="AS704" i="1"/>
  <c r="AT704" i="1"/>
  <c r="AU704" i="1"/>
  <c r="AV97" i="6"/>
  <c r="AQ99" i="6"/>
  <c r="AR99" i="6"/>
  <c r="AS99" i="6"/>
  <c r="AV95" i="6"/>
  <c r="AT96" i="6"/>
  <c r="S702" i="1"/>
  <c r="AV96" i="6" l="1"/>
  <c r="AV704" i="1"/>
  <c r="AV99" i="6"/>
  <c r="E79" i="2"/>
  <c r="E237" i="10"/>
  <c r="E178" i="6"/>
  <c r="E177" i="6"/>
  <c r="AJ107" i="6"/>
  <c r="G88" i="13" s="1"/>
  <c r="E583" i="3"/>
  <c r="G521" i="4"/>
  <c r="H521" i="4"/>
  <c r="I521" i="4"/>
  <c r="J521" i="4"/>
  <c r="K521" i="4"/>
  <c r="L521" i="4"/>
  <c r="M521" i="4"/>
  <c r="N521" i="4"/>
  <c r="O521" i="4"/>
  <c r="P521" i="4"/>
  <c r="Q521" i="4"/>
  <c r="R521" i="4"/>
  <c r="S521" i="4"/>
  <c r="T521" i="4"/>
  <c r="U521" i="4"/>
  <c r="V521" i="4"/>
  <c r="W521" i="4"/>
  <c r="X521" i="4"/>
  <c r="Y521" i="4"/>
  <c r="Z521" i="4"/>
  <c r="AA521" i="4"/>
  <c r="AB521" i="4"/>
  <c r="AC521" i="4"/>
  <c r="AD521" i="4"/>
  <c r="AE521" i="4"/>
  <c r="AF521" i="4"/>
  <c r="AG521" i="4"/>
  <c r="AH521" i="4"/>
  <c r="AI521" i="4"/>
  <c r="G522" i="4"/>
  <c r="H522" i="4"/>
  <c r="I522" i="4"/>
  <c r="J522" i="4"/>
  <c r="K522" i="4"/>
  <c r="L522" i="4"/>
  <c r="M522" i="4"/>
  <c r="N522" i="4"/>
  <c r="O522" i="4"/>
  <c r="P522" i="4"/>
  <c r="Q522" i="4"/>
  <c r="R522" i="4"/>
  <c r="S522" i="4"/>
  <c r="T522" i="4"/>
  <c r="U522" i="4"/>
  <c r="V522" i="4"/>
  <c r="W522" i="4"/>
  <c r="X522" i="4"/>
  <c r="Y522" i="4"/>
  <c r="Z522" i="4"/>
  <c r="AA522" i="4"/>
  <c r="AB522" i="4"/>
  <c r="AC522" i="4"/>
  <c r="AD522" i="4"/>
  <c r="AE522" i="4"/>
  <c r="AF522" i="4"/>
  <c r="AG522" i="4"/>
  <c r="AH522" i="4"/>
  <c r="AI522" i="4"/>
  <c r="G523" i="4"/>
  <c r="H523" i="4"/>
  <c r="I523" i="4"/>
  <c r="J523" i="4"/>
  <c r="K523" i="4"/>
  <c r="L523" i="4"/>
  <c r="M523" i="4"/>
  <c r="N523" i="4"/>
  <c r="O523" i="4"/>
  <c r="P523" i="4"/>
  <c r="Q523" i="4"/>
  <c r="R523" i="4"/>
  <c r="S523" i="4"/>
  <c r="T523" i="4"/>
  <c r="U523" i="4"/>
  <c r="V523" i="4"/>
  <c r="W523" i="4"/>
  <c r="X523" i="4"/>
  <c r="Y523" i="4"/>
  <c r="Z523" i="4"/>
  <c r="AA523" i="4"/>
  <c r="AB523" i="4"/>
  <c r="AC523" i="4"/>
  <c r="AD523" i="4"/>
  <c r="AE523" i="4"/>
  <c r="AF523" i="4"/>
  <c r="AG523" i="4"/>
  <c r="AH523" i="4"/>
  <c r="AI523" i="4"/>
  <c r="G524" i="4"/>
  <c r="H524" i="4"/>
  <c r="I524" i="4"/>
  <c r="J524" i="4"/>
  <c r="K524" i="4"/>
  <c r="L524" i="4"/>
  <c r="M524" i="4"/>
  <c r="N524" i="4"/>
  <c r="O524" i="4"/>
  <c r="P524" i="4"/>
  <c r="Q524" i="4"/>
  <c r="R524" i="4"/>
  <c r="S524" i="4"/>
  <c r="T524" i="4"/>
  <c r="U524" i="4"/>
  <c r="V524" i="4"/>
  <c r="W524" i="4"/>
  <c r="X524" i="4"/>
  <c r="Y524" i="4"/>
  <c r="Z524" i="4"/>
  <c r="AA524" i="4"/>
  <c r="AB524" i="4"/>
  <c r="AC524" i="4"/>
  <c r="AD524" i="4"/>
  <c r="AE524" i="4"/>
  <c r="AF524" i="4"/>
  <c r="AG524" i="4"/>
  <c r="AH524" i="4"/>
  <c r="AI524" i="4"/>
  <c r="F524" i="4"/>
  <c r="E524" i="4"/>
  <c r="F523" i="4"/>
  <c r="E523" i="4"/>
  <c r="F522" i="4"/>
  <c r="E522" i="4"/>
  <c r="F521" i="4"/>
  <c r="G520" i="4"/>
  <c r="H520" i="4"/>
  <c r="I520" i="4"/>
  <c r="J520" i="4"/>
  <c r="K520" i="4"/>
  <c r="L520" i="4"/>
  <c r="M520" i="4"/>
  <c r="N520" i="4"/>
  <c r="O520" i="4"/>
  <c r="P520" i="4"/>
  <c r="Q520" i="4"/>
  <c r="R520" i="4"/>
  <c r="S520" i="4"/>
  <c r="T520" i="4"/>
  <c r="U520" i="4"/>
  <c r="V520" i="4"/>
  <c r="W520" i="4"/>
  <c r="X520" i="4"/>
  <c r="Y520" i="4"/>
  <c r="Z520" i="4"/>
  <c r="AA520" i="4"/>
  <c r="AB520" i="4"/>
  <c r="AC520" i="4"/>
  <c r="AD520" i="4"/>
  <c r="AE520" i="4"/>
  <c r="AF520" i="4"/>
  <c r="AG520" i="4"/>
  <c r="AH520" i="4"/>
  <c r="AI520" i="4"/>
  <c r="F520" i="4"/>
  <c r="E520" i="4"/>
  <c r="E54" i="8" l="1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F53" i="8"/>
  <c r="AG53" i="8"/>
  <c r="AH53" i="8"/>
  <c r="AI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F55" i="8"/>
  <c r="F54" i="8"/>
  <c r="F53" i="8"/>
  <c r="F52" i="8"/>
  <c r="E55" i="8"/>
  <c r="E53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F51" i="8"/>
  <c r="E51" i="8"/>
  <c r="O69" i="9"/>
  <c r="P69" i="9"/>
  <c r="Q69" i="9"/>
  <c r="R69" i="9"/>
  <c r="S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L69" i="9"/>
  <c r="M69" i="9"/>
  <c r="N69" i="9"/>
  <c r="I69" i="9"/>
  <c r="J69" i="9"/>
  <c r="K69" i="9"/>
  <c r="G69" i="9"/>
  <c r="H69" i="9"/>
  <c r="F69" i="9"/>
  <c r="E69" i="9"/>
  <c r="E66" i="9"/>
  <c r="K65" i="9"/>
  <c r="L65" i="9"/>
  <c r="M65" i="9"/>
  <c r="N65" i="9"/>
  <c r="O65" i="9"/>
  <c r="P65" i="9"/>
  <c r="Q65" i="9"/>
  <c r="R65" i="9"/>
  <c r="S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G65" i="9"/>
  <c r="H65" i="9"/>
  <c r="I65" i="9"/>
  <c r="J65" i="9"/>
  <c r="F65" i="9"/>
  <c r="E65" i="9"/>
  <c r="AE583" i="3" l="1"/>
  <c r="R68" i="9"/>
  <c r="Y68" i="9"/>
  <c r="Z68" i="9"/>
  <c r="AA68" i="9"/>
  <c r="AB68" i="9"/>
  <c r="AC68" i="9"/>
  <c r="AD68" i="9"/>
  <c r="AE68" i="9"/>
  <c r="AF68" i="9"/>
  <c r="AG68" i="9"/>
  <c r="AH68" i="9"/>
  <c r="AI68" i="9"/>
  <c r="W68" i="9"/>
  <c r="X68" i="9"/>
  <c r="S68" i="9"/>
  <c r="T68" i="9"/>
  <c r="U68" i="9"/>
  <c r="V68" i="9"/>
  <c r="N68" i="9"/>
  <c r="O68" i="9"/>
  <c r="P68" i="9"/>
  <c r="Q68" i="9"/>
  <c r="K68" i="9"/>
  <c r="L68" i="9"/>
  <c r="M68" i="9"/>
  <c r="G68" i="9"/>
  <c r="H68" i="9"/>
  <c r="I68" i="9"/>
  <c r="J68" i="9"/>
  <c r="F68" i="9"/>
  <c r="E68" i="9"/>
  <c r="Y67" i="9"/>
  <c r="Z67" i="9"/>
  <c r="AA67" i="9"/>
  <c r="AB67" i="9"/>
  <c r="AC67" i="9"/>
  <c r="AD67" i="9"/>
  <c r="AE67" i="9"/>
  <c r="AF67" i="9"/>
  <c r="AG67" i="9"/>
  <c r="AH67" i="9"/>
  <c r="AI67" i="9"/>
  <c r="R67" i="9"/>
  <c r="S67" i="9"/>
  <c r="T67" i="9"/>
  <c r="U67" i="9"/>
  <c r="V67" i="9"/>
  <c r="W67" i="9"/>
  <c r="X67" i="9"/>
  <c r="M67" i="9"/>
  <c r="N67" i="9"/>
  <c r="O67" i="9"/>
  <c r="P67" i="9"/>
  <c r="Q67" i="9"/>
  <c r="K67" i="9"/>
  <c r="L67" i="9"/>
  <c r="G67" i="9"/>
  <c r="H67" i="9"/>
  <c r="I67" i="9"/>
  <c r="J67" i="9"/>
  <c r="F67" i="9"/>
  <c r="E67" i="9"/>
  <c r="AF66" i="9"/>
  <c r="AG66" i="9"/>
  <c r="AH66" i="9"/>
  <c r="AI66" i="9"/>
  <c r="Y66" i="9"/>
  <c r="Z66" i="9"/>
  <c r="AA66" i="9"/>
  <c r="AB66" i="9"/>
  <c r="AC66" i="9"/>
  <c r="AD66" i="9"/>
  <c r="AE66" i="9"/>
  <c r="V66" i="9"/>
  <c r="W66" i="9"/>
  <c r="X66" i="9"/>
  <c r="R66" i="9"/>
  <c r="S66" i="9"/>
  <c r="T66" i="9"/>
  <c r="U66" i="9"/>
  <c r="M66" i="9"/>
  <c r="N66" i="9"/>
  <c r="O66" i="9"/>
  <c r="P66" i="9"/>
  <c r="Q66" i="9"/>
  <c r="K66" i="9"/>
  <c r="L66" i="9"/>
  <c r="G66" i="9"/>
  <c r="H66" i="9"/>
  <c r="I66" i="9"/>
  <c r="J66" i="9"/>
  <c r="F66" i="9"/>
  <c r="AU1182" i="1"/>
  <c r="AU1183" i="1" s="1"/>
  <c r="AT1182" i="1"/>
  <c r="AT1183" i="1" s="1"/>
  <c r="AS1182" i="1"/>
  <c r="AR1182" i="1"/>
  <c r="AR1183" i="1" s="1"/>
  <c r="AQ1182" i="1"/>
  <c r="AQ1183" i="1" s="1"/>
  <c r="AU1180" i="1"/>
  <c r="AU1184" i="1" s="1"/>
  <c r="AT1180" i="1"/>
  <c r="AT1184" i="1" s="1"/>
  <c r="AS1180" i="1"/>
  <c r="AR1180" i="1"/>
  <c r="AR1184" i="1" s="1"/>
  <c r="AQ1180" i="1"/>
  <c r="AQ1184" i="1" s="1"/>
  <c r="AU1179" i="1"/>
  <c r="AT1179" i="1"/>
  <c r="AS1179" i="1"/>
  <c r="AR1179" i="1"/>
  <c r="AQ1179" i="1"/>
  <c r="AU1168" i="1"/>
  <c r="AU1169" i="1" s="1"/>
  <c r="AT1168" i="1"/>
  <c r="AT1169" i="1" s="1"/>
  <c r="AS1168" i="1"/>
  <c r="AS1169" i="1" s="1"/>
  <c r="AR1168" i="1"/>
  <c r="AR1169" i="1" s="1"/>
  <c r="AQ1168" i="1"/>
  <c r="AQ1169" i="1" s="1"/>
  <c r="AU1166" i="1"/>
  <c r="AU1170" i="1" s="1"/>
  <c r="AT1166" i="1"/>
  <c r="AT1170" i="1" s="1"/>
  <c r="AS1166" i="1"/>
  <c r="AS1170" i="1" s="1"/>
  <c r="AR1166" i="1"/>
  <c r="AR1170" i="1" s="1"/>
  <c r="AQ1166" i="1"/>
  <c r="AQ1170" i="1" s="1"/>
  <c r="AU1165" i="1"/>
  <c r="AT1165" i="1"/>
  <c r="AS1165" i="1"/>
  <c r="AR1165" i="1"/>
  <c r="AQ1165" i="1"/>
  <c r="AU1154" i="1"/>
  <c r="AU1155" i="1" s="1"/>
  <c r="AT1154" i="1"/>
  <c r="AT1155" i="1" s="1"/>
  <c r="AS1154" i="1"/>
  <c r="AS1155" i="1" s="1"/>
  <c r="AR1154" i="1"/>
  <c r="AR1155" i="1" s="1"/>
  <c r="AQ1154" i="1"/>
  <c r="AQ1155" i="1" s="1"/>
  <c r="AU1152" i="1"/>
  <c r="AU1156" i="1" s="1"/>
  <c r="AT1152" i="1"/>
  <c r="AT1156" i="1" s="1"/>
  <c r="AS1152" i="1"/>
  <c r="AS1156" i="1" s="1"/>
  <c r="AR1152" i="1"/>
  <c r="AR1156" i="1" s="1"/>
  <c r="AQ1152" i="1"/>
  <c r="AQ1156" i="1" s="1"/>
  <c r="AU1151" i="1"/>
  <c r="AT1151" i="1"/>
  <c r="AS1151" i="1"/>
  <c r="AR1151" i="1"/>
  <c r="AQ1151" i="1"/>
  <c r="AU1141" i="1"/>
  <c r="AU1142" i="1" s="1"/>
  <c r="AT1141" i="1"/>
  <c r="AT1142" i="1" s="1"/>
  <c r="AS1141" i="1"/>
  <c r="AS1142" i="1" s="1"/>
  <c r="AR1141" i="1"/>
  <c r="AR1142" i="1" s="1"/>
  <c r="AQ1141" i="1"/>
  <c r="AQ1142" i="1" s="1"/>
  <c r="AU1139" i="1"/>
  <c r="AU1143" i="1" s="1"/>
  <c r="AT1139" i="1"/>
  <c r="AT1143" i="1" s="1"/>
  <c r="AS1139" i="1"/>
  <c r="AS1143" i="1" s="1"/>
  <c r="AR1139" i="1"/>
  <c r="AR1143" i="1" s="1"/>
  <c r="AQ1139" i="1"/>
  <c r="AU1138" i="1"/>
  <c r="AT1138" i="1"/>
  <c r="AS1138" i="1"/>
  <c r="AR1138" i="1"/>
  <c r="AQ1138" i="1"/>
  <c r="AU1127" i="1"/>
  <c r="AU1128" i="1" s="1"/>
  <c r="AT1127" i="1"/>
  <c r="AT1128" i="1" s="1"/>
  <c r="AS1127" i="1"/>
  <c r="AS1128" i="1" s="1"/>
  <c r="AR1127" i="1"/>
  <c r="AR1128" i="1" s="1"/>
  <c r="AQ1127" i="1"/>
  <c r="AQ1128" i="1" s="1"/>
  <c r="AU1125" i="1"/>
  <c r="AU1129" i="1" s="1"/>
  <c r="AT1125" i="1"/>
  <c r="AS1125" i="1"/>
  <c r="AR1125" i="1"/>
  <c r="AQ1125" i="1"/>
  <c r="AQ1129" i="1" s="1"/>
  <c r="AU1124" i="1"/>
  <c r="AT1124" i="1"/>
  <c r="AS1124" i="1"/>
  <c r="AR1124" i="1"/>
  <c r="AQ1124" i="1"/>
  <c r="AU1113" i="1"/>
  <c r="AU1114" i="1" s="1"/>
  <c r="AT1113" i="1"/>
  <c r="AT1114" i="1" s="1"/>
  <c r="AS1113" i="1"/>
  <c r="AS1114" i="1" s="1"/>
  <c r="AR1113" i="1"/>
  <c r="AR1114" i="1" s="1"/>
  <c r="AQ1113" i="1"/>
  <c r="AQ1114" i="1" s="1"/>
  <c r="AU1111" i="1"/>
  <c r="AU1115" i="1" s="1"/>
  <c r="AT1111" i="1"/>
  <c r="AT1115" i="1" s="1"/>
  <c r="AS1111" i="1"/>
  <c r="AS1115" i="1" s="1"/>
  <c r="AR1111" i="1"/>
  <c r="AQ1111" i="1"/>
  <c r="AQ1115" i="1" s="1"/>
  <c r="AU1110" i="1"/>
  <c r="AT1110" i="1"/>
  <c r="AS1110" i="1"/>
  <c r="AR1110" i="1"/>
  <c r="AQ1110" i="1"/>
  <c r="AU1099" i="1"/>
  <c r="AU1100" i="1" s="1"/>
  <c r="AT1099" i="1"/>
  <c r="AT1100" i="1" s="1"/>
  <c r="AS1099" i="1"/>
  <c r="AS1100" i="1" s="1"/>
  <c r="AR1099" i="1"/>
  <c r="AR1100" i="1" s="1"/>
  <c r="AQ1099" i="1"/>
  <c r="AQ1100" i="1" s="1"/>
  <c r="AU1097" i="1"/>
  <c r="AU1101" i="1" s="1"/>
  <c r="AT1097" i="1"/>
  <c r="AT1101" i="1" s="1"/>
  <c r="AS1097" i="1"/>
  <c r="AS1101" i="1" s="1"/>
  <c r="AR1097" i="1"/>
  <c r="AR1101" i="1" s="1"/>
  <c r="AQ1097" i="1"/>
  <c r="AQ1101" i="1" s="1"/>
  <c r="AU1096" i="1"/>
  <c r="AT1096" i="1"/>
  <c r="AS1096" i="1"/>
  <c r="AR1096" i="1"/>
  <c r="AQ1096" i="1"/>
  <c r="AU1058" i="1"/>
  <c r="AU1059" i="1" s="1"/>
  <c r="AT1058" i="1"/>
  <c r="AT1059" i="1" s="1"/>
  <c r="AS1058" i="1"/>
  <c r="AS1059" i="1" s="1"/>
  <c r="AR1058" i="1"/>
  <c r="AR1059" i="1" s="1"/>
  <c r="AQ1058" i="1"/>
  <c r="AQ1059" i="1" s="1"/>
  <c r="AU1056" i="1"/>
  <c r="AT1056" i="1"/>
  <c r="AT1060" i="1" s="1"/>
  <c r="AS1056" i="1"/>
  <c r="AS1060" i="1" s="1"/>
  <c r="AR1056" i="1"/>
  <c r="AQ1056" i="1"/>
  <c r="AQ1060" i="1" s="1"/>
  <c r="AU1055" i="1"/>
  <c r="AT1055" i="1"/>
  <c r="AS1055" i="1"/>
  <c r="AR1055" i="1"/>
  <c r="AQ1055" i="1"/>
  <c r="AU1044" i="1"/>
  <c r="AU1045" i="1" s="1"/>
  <c r="AT1044" i="1"/>
  <c r="AT1045" i="1" s="1"/>
  <c r="AS1044" i="1"/>
  <c r="AS1045" i="1" s="1"/>
  <c r="AR1044" i="1"/>
  <c r="AR1045" i="1" s="1"/>
  <c r="AQ1044" i="1"/>
  <c r="AQ1045" i="1" s="1"/>
  <c r="AU1042" i="1"/>
  <c r="AU1046" i="1" s="1"/>
  <c r="AT1042" i="1"/>
  <c r="AT1046" i="1" s="1"/>
  <c r="AS1042" i="1"/>
  <c r="AS1046" i="1" s="1"/>
  <c r="AR1042" i="1"/>
  <c r="AR1046" i="1" s="1"/>
  <c r="AQ1042" i="1"/>
  <c r="AQ1046" i="1" s="1"/>
  <c r="AU1041" i="1"/>
  <c r="AT1041" i="1"/>
  <c r="AS1041" i="1"/>
  <c r="AR1041" i="1"/>
  <c r="AQ1041" i="1"/>
  <c r="AU1030" i="1"/>
  <c r="AU1031" i="1" s="1"/>
  <c r="AT1030" i="1"/>
  <c r="AT1031" i="1" s="1"/>
  <c r="AS1030" i="1"/>
  <c r="AS1031" i="1" s="1"/>
  <c r="AR1030" i="1"/>
  <c r="AR1031" i="1" s="1"/>
  <c r="AQ1030" i="1"/>
  <c r="AQ1031" i="1" s="1"/>
  <c r="AU1028" i="1"/>
  <c r="AU1032" i="1" s="1"/>
  <c r="AT1028" i="1"/>
  <c r="AT1032" i="1" s="1"/>
  <c r="AS1028" i="1"/>
  <c r="AR1028" i="1"/>
  <c r="AR1032" i="1" s="1"/>
  <c r="AQ1028" i="1"/>
  <c r="AU1027" i="1"/>
  <c r="AT1027" i="1"/>
  <c r="AS1027" i="1"/>
  <c r="AR1027" i="1"/>
  <c r="AQ1027" i="1"/>
  <c r="AU1017" i="1"/>
  <c r="AU1018" i="1" s="1"/>
  <c r="AT1017" i="1"/>
  <c r="AT1018" i="1" s="1"/>
  <c r="AS1017" i="1"/>
  <c r="AS1018" i="1" s="1"/>
  <c r="AR1017" i="1"/>
  <c r="AR1018" i="1" s="1"/>
  <c r="AQ1017" i="1"/>
  <c r="AQ1018" i="1" s="1"/>
  <c r="AU1015" i="1"/>
  <c r="AU1019" i="1" s="1"/>
  <c r="AT1015" i="1"/>
  <c r="AT1019" i="1" s="1"/>
  <c r="AS1015" i="1"/>
  <c r="AS1019" i="1" s="1"/>
  <c r="AR1015" i="1"/>
  <c r="AQ1015" i="1"/>
  <c r="AU1014" i="1"/>
  <c r="AT1014" i="1"/>
  <c r="AS1014" i="1"/>
  <c r="AR1014" i="1"/>
  <c r="AQ1014" i="1"/>
  <c r="AU1003" i="1"/>
  <c r="AU1004" i="1" s="1"/>
  <c r="AT1003" i="1"/>
  <c r="AT1004" i="1" s="1"/>
  <c r="AS1003" i="1"/>
  <c r="AR1003" i="1"/>
  <c r="AR1004" i="1" s="1"/>
  <c r="AQ1003" i="1"/>
  <c r="AQ1004" i="1" s="1"/>
  <c r="AU1001" i="1"/>
  <c r="AU1005" i="1" s="1"/>
  <c r="AT1001" i="1"/>
  <c r="AT1005" i="1" s="1"/>
  <c r="AS1001" i="1"/>
  <c r="AS1005" i="1" s="1"/>
  <c r="AR1001" i="1"/>
  <c r="AR1005" i="1" s="1"/>
  <c r="AQ1001" i="1"/>
  <c r="AQ1005" i="1" s="1"/>
  <c r="AU1000" i="1"/>
  <c r="AT1000" i="1"/>
  <c r="AS1000" i="1"/>
  <c r="AR1000" i="1"/>
  <c r="AQ1000" i="1"/>
  <c r="AU990" i="1"/>
  <c r="AU991" i="1" s="1"/>
  <c r="AT990" i="1"/>
  <c r="AT991" i="1" s="1"/>
  <c r="AS990" i="1"/>
  <c r="AR990" i="1"/>
  <c r="AR991" i="1" s="1"/>
  <c r="AQ990" i="1"/>
  <c r="AQ991" i="1" s="1"/>
  <c r="AU988" i="1"/>
  <c r="AT988" i="1"/>
  <c r="AT992" i="1" s="1"/>
  <c r="AS988" i="1"/>
  <c r="AS992" i="1" s="1"/>
  <c r="AR988" i="1"/>
  <c r="AR992" i="1" s="1"/>
  <c r="AQ988" i="1"/>
  <c r="AQ992" i="1" s="1"/>
  <c r="AU987" i="1"/>
  <c r="AT987" i="1"/>
  <c r="AS987" i="1"/>
  <c r="AR987" i="1"/>
  <c r="AQ987" i="1"/>
  <c r="AU976" i="1"/>
  <c r="AU977" i="1" s="1"/>
  <c r="AT976" i="1"/>
  <c r="AT977" i="1" s="1"/>
  <c r="AS976" i="1"/>
  <c r="AR976" i="1"/>
  <c r="AR977" i="1" s="1"/>
  <c r="AQ976" i="1"/>
  <c r="AQ977" i="1" s="1"/>
  <c r="AU974" i="1"/>
  <c r="AU978" i="1" s="1"/>
  <c r="AT974" i="1"/>
  <c r="AT978" i="1" s="1"/>
  <c r="AS974" i="1"/>
  <c r="AS978" i="1" s="1"/>
  <c r="AR974" i="1"/>
  <c r="AR978" i="1" s="1"/>
  <c r="AQ974" i="1"/>
  <c r="AQ978" i="1" s="1"/>
  <c r="AU973" i="1"/>
  <c r="AT973" i="1"/>
  <c r="AS973" i="1"/>
  <c r="AR973" i="1"/>
  <c r="AQ973" i="1"/>
  <c r="AU936" i="1"/>
  <c r="AU937" i="1" s="1"/>
  <c r="AT936" i="1"/>
  <c r="AT937" i="1" s="1"/>
  <c r="AS936" i="1"/>
  <c r="AR936" i="1"/>
  <c r="AR937" i="1" s="1"/>
  <c r="AQ936" i="1"/>
  <c r="AQ937" i="1" s="1"/>
  <c r="AU934" i="1"/>
  <c r="AU938" i="1" s="1"/>
  <c r="AT934" i="1"/>
  <c r="AT938" i="1" s="1"/>
  <c r="AS934" i="1"/>
  <c r="AR934" i="1"/>
  <c r="AQ934" i="1"/>
  <c r="AU933" i="1"/>
  <c r="AT933" i="1"/>
  <c r="AS933" i="1"/>
  <c r="AR933" i="1"/>
  <c r="AQ933" i="1"/>
  <c r="AU922" i="1"/>
  <c r="AU923" i="1" s="1"/>
  <c r="AT922" i="1"/>
  <c r="AT923" i="1" s="1"/>
  <c r="AS922" i="1"/>
  <c r="AS923" i="1" s="1"/>
  <c r="AR922" i="1"/>
  <c r="AR923" i="1" s="1"/>
  <c r="AQ922" i="1"/>
  <c r="AQ923" i="1" s="1"/>
  <c r="AU920" i="1"/>
  <c r="AU924" i="1" s="1"/>
  <c r="AT920" i="1"/>
  <c r="AT924" i="1" s="1"/>
  <c r="AS920" i="1"/>
  <c r="AR920" i="1"/>
  <c r="AR924" i="1" s="1"/>
  <c r="AQ920" i="1"/>
  <c r="AU919" i="1"/>
  <c r="AT919" i="1"/>
  <c r="AS919" i="1"/>
  <c r="AR919" i="1"/>
  <c r="AQ919" i="1"/>
  <c r="AU909" i="1"/>
  <c r="AU910" i="1" s="1"/>
  <c r="AT909" i="1"/>
  <c r="AT910" i="1" s="1"/>
  <c r="AS909" i="1"/>
  <c r="AS910" i="1" s="1"/>
  <c r="AR909" i="1"/>
  <c r="AR910" i="1" s="1"/>
  <c r="AQ909" i="1"/>
  <c r="AQ910" i="1" s="1"/>
  <c r="AU907" i="1"/>
  <c r="AU911" i="1" s="1"/>
  <c r="AT907" i="1"/>
  <c r="AT911" i="1" s="1"/>
  <c r="AS907" i="1"/>
  <c r="AS911" i="1" s="1"/>
  <c r="AR907" i="1"/>
  <c r="AR911" i="1" s="1"/>
  <c r="AQ907" i="1"/>
  <c r="AQ911" i="1" s="1"/>
  <c r="AU906" i="1"/>
  <c r="AT906" i="1"/>
  <c r="AS906" i="1"/>
  <c r="AR906" i="1"/>
  <c r="AQ906" i="1"/>
  <c r="AU895" i="1"/>
  <c r="AU896" i="1" s="1"/>
  <c r="AT895" i="1"/>
  <c r="AT896" i="1" s="1"/>
  <c r="AS895" i="1"/>
  <c r="AS896" i="1" s="1"/>
  <c r="AR895" i="1"/>
  <c r="AR896" i="1" s="1"/>
  <c r="AQ895" i="1"/>
  <c r="AQ896" i="1" s="1"/>
  <c r="AU893" i="1"/>
  <c r="AU897" i="1" s="1"/>
  <c r="AT893" i="1"/>
  <c r="AT897" i="1" s="1"/>
  <c r="AS893" i="1"/>
  <c r="AS897" i="1" s="1"/>
  <c r="AR893" i="1"/>
  <c r="AQ893" i="1"/>
  <c r="AU892" i="1"/>
  <c r="AT892" i="1"/>
  <c r="AS892" i="1"/>
  <c r="AR892" i="1"/>
  <c r="AQ892" i="1"/>
  <c r="AU828" i="1"/>
  <c r="AU829" i="1" s="1"/>
  <c r="AT828" i="1"/>
  <c r="AT829" i="1" s="1"/>
  <c r="AS828" i="1"/>
  <c r="AS829" i="1" s="1"/>
  <c r="AR828" i="1"/>
  <c r="AQ828" i="1"/>
  <c r="AQ829" i="1" s="1"/>
  <c r="AU826" i="1"/>
  <c r="AU830" i="1" s="1"/>
  <c r="AT826" i="1"/>
  <c r="AT830" i="1" s="1"/>
  <c r="AS826" i="1"/>
  <c r="AR826" i="1"/>
  <c r="AR830" i="1" s="1"/>
  <c r="AQ826" i="1"/>
  <c r="AU825" i="1"/>
  <c r="AT825" i="1"/>
  <c r="AS825" i="1"/>
  <c r="AR825" i="1"/>
  <c r="AQ825" i="1"/>
  <c r="AU814" i="1"/>
  <c r="AU815" i="1" s="1"/>
  <c r="AT814" i="1"/>
  <c r="AT815" i="1" s="1"/>
  <c r="AS814" i="1"/>
  <c r="AS815" i="1" s="1"/>
  <c r="AR814" i="1"/>
  <c r="AR815" i="1" s="1"/>
  <c r="AQ814" i="1"/>
  <c r="AQ815" i="1" s="1"/>
  <c r="AU812" i="1"/>
  <c r="AU816" i="1" s="1"/>
  <c r="AT812" i="1"/>
  <c r="AT816" i="1" s="1"/>
  <c r="AS812" i="1"/>
  <c r="AS816" i="1" s="1"/>
  <c r="AR812" i="1"/>
  <c r="AR816" i="1" s="1"/>
  <c r="AQ812" i="1"/>
  <c r="AQ816" i="1" s="1"/>
  <c r="AU811" i="1"/>
  <c r="AT811" i="1"/>
  <c r="AS811" i="1"/>
  <c r="AR811" i="1"/>
  <c r="AQ811" i="1"/>
  <c r="AU800" i="1"/>
  <c r="AU801" i="1" s="1"/>
  <c r="AT800" i="1"/>
  <c r="AT801" i="1" s="1"/>
  <c r="AS800" i="1"/>
  <c r="AS801" i="1" s="1"/>
  <c r="AR800" i="1"/>
  <c r="AR801" i="1" s="1"/>
  <c r="AQ800" i="1"/>
  <c r="AQ801" i="1" s="1"/>
  <c r="AU798" i="1"/>
  <c r="AU802" i="1" s="1"/>
  <c r="AT798" i="1"/>
  <c r="AT802" i="1" s="1"/>
  <c r="AS798" i="1"/>
  <c r="AS802" i="1" s="1"/>
  <c r="AR798" i="1"/>
  <c r="AR802" i="1" s="1"/>
  <c r="AQ798" i="1"/>
  <c r="AQ802" i="1" s="1"/>
  <c r="AU797" i="1"/>
  <c r="AT797" i="1"/>
  <c r="AS797" i="1"/>
  <c r="AR797" i="1"/>
  <c r="AQ797" i="1"/>
  <c r="AU787" i="1"/>
  <c r="AU788" i="1" s="1"/>
  <c r="AT787" i="1"/>
  <c r="AT788" i="1" s="1"/>
  <c r="AS787" i="1"/>
  <c r="AR787" i="1"/>
  <c r="AR788" i="1" s="1"/>
  <c r="AQ787" i="1"/>
  <c r="AQ788" i="1" s="1"/>
  <c r="AU785" i="1"/>
  <c r="AU789" i="1" s="1"/>
  <c r="AT785" i="1"/>
  <c r="AT789" i="1" s="1"/>
  <c r="AS785" i="1"/>
  <c r="AR785" i="1"/>
  <c r="AQ785" i="1"/>
  <c r="AU784" i="1"/>
  <c r="AT784" i="1"/>
  <c r="AS784" i="1"/>
  <c r="AR784" i="1"/>
  <c r="AQ784" i="1"/>
  <c r="AU773" i="1"/>
  <c r="AU774" i="1" s="1"/>
  <c r="AT773" i="1"/>
  <c r="AT774" i="1" s="1"/>
  <c r="AS773" i="1"/>
  <c r="AS774" i="1" s="1"/>
  <c r="AR773" i="1"/>
  <c r="AR774" i="1" s="1"/>
  <c r="AQ773" i="1"/>
  <c r="AQ774" i="1" s="1"/>
  <c r="AU771" i="1"/>
  <c r="AT771" i="1"/>
  <c r="AT775" i="1" s="1"/>
  <c r="AS771" i="1"/>
  <c r="AS775" i="1" s="1"/>
  <c r="AR771" i="1"/>
  <c r="AR775" i="1" s="1"/>
  <c r="AQ771" i="1"/>
  <c r="AQ775" i="1" s="1"/>
  <c r="AU770" i="1"/>
  <c r="AT770" i="1"/>
  <c r="AS770" i="1"/>
  <c r="AR770" i="1"/>
  <c r="AQ770" i="1"/>
  <c r="AU759" i="1"/>
  <c r="AU760" i="1" s="1"/>
  <c r="AT759" i="1"/>
  <c r="AT760" i="1" s="1"/>
  <c r="AS759" i="1"/>
  <c r="AS760" i="1" s="1"/>
  <c r="AR759" i="1"/>
  <c r="AR760" i="1" s="1"/>
  <c r="AQ759" i="1"/>
  <c r="AQ760" i="1" s="1"/>
  <c r="AU757" i="1"/>
  <c r="AU761" i="1" s="1"/>
  <c r="AT757" i="1"/>
  <c r="AT761" i="1" s="1"/>
  <c r="AS757" i="1"/>
  <c r="AS761" i="1" s="1"/>
  <c r="AR757" i="1"/>
  <c r="AR761" i="1" s="1"/>
  <c r="AQ757" i="1"/>
  <c r="AQ761" i="1" s="1"/>
  <c r="AU756" i="1"/>
  <c r="AT756" i="1"/>
  <c r="AS756" i="1"/>
  <c r="AR756" i="1"/>
  <c r="AQ756" i="1"/>
  <c r="AU745" i="1"/>
  <c r="AU746" i="1" s="1"/>
  <c r="AT745" i="1"/>
  <c r="AT746" i="1" s="1"/>
  <c r="AS745" i="1"/>
  <c r="AR745" i="1"/>
  <c r="AR746" i="1" s="1"/>
  <c r="AQ745" i="1"/>
  <c r="AQ746" i="1" s="1"/>
  <c r="AU743" i="1"/>
  <c r="AU747" i="1" s="1"/>
  <c r="AT743" i="1"/>
  <c r="AT747" i="1" s="1"/>
  <c r="AS743" i="1"/>
  <c r="AS747" i="1" s="1"/>
  <c r="AR743" i="1"/>
  <c r="AR747" i="1" s="1"/>
  <c r="AQ743" i="1"/>
  <c r="AU742" i="1"/>
  <c r="AT742" i="1"/>
  <c r="AS742" i="1"/>
  <c r="AR742" i="1"/>
  <c r="AQ742" i="1"/>
  <c r="AU732" i="1"/>
  <c r="AU733" i="1" s="1"/>
  <c r="AT732" i="1"/>
  <c r="AT733" i="1" s="1"/>
  <c r="AS732" i="1"/>
  <c r="AR732" i="1"/>
  <c r="AR733" i="1" s="1"/>
  <c r="AQ732" i="1"/>
  <c r="AQ733" i="1" s="1"/>
  <c r="AU730" i="1"/>
  <c r="AU734" i="1" s="1"/>
  <c r="AT730" i="1"/>
  <c r="AT734" i="1" s="1"/>
  <c r="AS730" i="1"/>
  <c r="AS734" i="1" s="1"/>
  <c r="AR730" i="1"/>
  <c r="AQ730" i="1"/>
  <c r="AU729" i="1"/>
  <c r="AT729" i="1"/>
  <c r="AS729" i="1"/>
  <c r="AR729" i="1"/>
  <c r="AQ729" i="1"/>
  <c r="AU718" i="1"/>
  <c r="AU719" i="1" s="1"/>
  <c r="AT718" i="1"/>
  <c r="AT719" i="1" s="1"/>
  <c r="AS718" i="1"/>
  <c r="AS719" i="1" s="1"/>
  <c r="AR718" i="1"/>
  <c r="AR719" i="1" s="1"/>
  <c r="AQ718" i="1"/>
  <c r="AQ719" i="1" s="1"/>
  <c r="AU716" i="1"/>
  <c r="AU720" i="1" s="1"/>
  <c r="AT716" i="1"/>
  <c r="AT720" i="1" s="1"/>
  <c r="AS716" i="1"/>
  <c r="AS720" i="1" s="1"/>
  <c r="AR716" i="1"/>
  <c r="AR720" i="1" s="1"/>
  <c r="AQ716" i="1"/>
  <c r="AU715" i="1"/>
  <c r="AT715" i="1"/>
  <c r="AS715" i="1"/>
  <c r="AR715" i="1"/>
  <c r="AQ715" i="1"/>
  <c r="AU692" i="1"/>
  <c r="AU693" i="1" s="1"/>
  <c r="AT692" i="1"/>
  <c r="AT693" i="1" s="1"/>
  <c r="AS692" i="1"/>
  <c r="AS693" i="1" s="1"/>
  <c r="AR692" i="1"/>
  <c r="AR693" i="1" s="1"/>
  <c r="AQ692" i="1"/>
  <c r="AQ693" i="1" s="1"/>
  <c r="AU690" i="1"/>
  <c r="AU694" i="1" s="1"/>
  <c r="AT690" i="1"/>
  <c r="AT694" i="1" s="1"/>
  <c r="AS690" i="1"/>
  <c r="AS694" i="1" s="1"/>
  <c r="AR690" i="1"/>
  <c r="AR694" i="1" s="1"/>
  <c r="AQ690" i="1"/>
  <c r="AQ694" i="1" s="1"/>
  <c r="AU689" i="1"/>
  <c r="AT689" i="1"/>
  <c r="AS689" i="1"/>
  <c r="AR689" i="1"/>
  <c r="AQ689" i="1"/>
  <c r="AU678" i="1"/>
  <c r="AU679" i="1" s="1"/>
  <c r="AT678" i="1"/>
  <c r="AT679" i="1" s="1"/>
  <c r="AS678" i="1"/>
  <c r="AS679" i="1" s="1"/>
  <c r="AR678" i="1"/>
  <c r="AR679" i="1" s="1"/>
  <c r="AQ678" i="1"/>
  <c r="AQ679" i="1" s="1"/>
  <c r="AU676" i="1"/>
  <c r="AU680" i="1" s="1"/>
  <c r="AT676" i="1"/>
  <c r="AT680" i="1" s="1"/>
  <c r="AS676" i="1"/>
  <c r="AS680" i="1" s="1"/>
  <c r="AR676" i="1"/>
  <c r="AR680" i="1" s="1"/>
  <c r="AQ676" i="1"/>
  <c r="AQ680" i="1" s="1"/>
  <c r="AU675" i="1"/>
  <c r="AT675" i="1"/>
  <c r="AS675" i="1"/>
  <c r="AR675" i="1"/>
  <c r="AQ675" i="1"/>
  <c r="AR666" i="1"/>
  <c r="AQ666" i="1"/>
  <c r="AU666" i="1"/>
  <c r="AT666" i="1"/>
  <c r="AU667" i="1"/>
  <c r="AS667" i="1"/>
  <c r="AR667" i="1"/>
  <c r="AQ667" i="1"/>
  <c r="AU651" i="1"/>
  <c r="AU652" i="1" s="1"/>
  <c r="AT651" i="1"/>
  <c r="AT652" i="1" s="1"/>
  <c r="AS651" i="1"/>
  <c r="AR651" i="1"/>
  <c r="AR652" i="1" s="1"/>
  <c r="AQ651" i="1"/>
  <c r="AQ652" i="1" s="1"/>
  <c r="AU649" i="1"/>
  <c r="AU653" i="1" s="1"/>
  <c r="AT649" i="1"/>
  <c r="AT653" i="1" s="1"/>
  <c r="AS649" i="1"/>
  <c r="AS653" i="1" s="1"/>
  <c r="AR649" i="1"/>
  <c r="AR653" i="1" s="1"/>
  <c r="AQ649" i="1"/>
  <c r="AQ653" i="1" s="1"/>
  <c r="AU648" i="1"/>
  <c r="AT648" i="1"/>
  <c r="AS648" i="1"/>
  <c r="AR648" i="1"/>
  <c r="AQ648" i="1"/>
  <c r="AU637" i="1"/>
  <c r="AU638" i="1" s="1"/>
  <c r="AT637" i="1"/>
  <c r="AT638" i="1" s="1"/>
  <c r="AS637" i="1"/>
  <c r="AS638" i="1" s="1"/>
  <c r="AR637" i="1"/>
  <c r="AR638" i="1" s="1"/>
  <c r="AQ637" i="1"/>
  <c r="AQ638" i="1" s="1"/>
  <c r="AU635" i="1"/>
  <c r="AU639" i="1" s="1"/>
  <c r="AT635" i="1"/>
  <c r="AS635" i="1"/>
  <c r="AS639" i="1" s="1"/>
  <c r="AR635" i="1"/>
  <c r="AR639" i="1" s="1"/>
  <c r="AQ635" i="1"/>
  <c r="AQ639" i="1" s="1"/>
  <c r="AU634" i="1"/>
  <c r="AT634" i="1"/>
  <c r="AS634" i="1"/>
  <c r="AR634" i="1"/>
  <c r="AQ634" i="1"/>
  <c r="AU624" i="1"/>
  <c r="AU625" i="1" s="1"/>
  <c r="AT624" i="1"/>
  <c r="AT625" i="1" s="1"/>
  <c r="AS624" i="1"/>
  <c r="AS625" i="1" s="1"/>
  <c r="AR624" i="1"/>
  <c r="AR625" i="1" s="1"/>
  <c r="AQ624" i="1"/>
  <c r="AQ625" i="1" s="1"/>
  <c r="AU622" i="1"/>
  <c r="AT622" i="1"/>
  <c r="AS622" i="1"/>
  <c r="AS626" i="1" s="1"/>
  <c r="AR622" i="1"/>
  <c r="AR626" i="1" s="1"/>
  <c r="AQ622" i="1"/>
  <c r="AQ626" i="1" s="1"/>
  <c r="AU621" i="1"/>
  <c r="AT621" i="1"/>
  <c r="AS621" i="1"/>
  <c r="AR621" i="1"/>
  <c r="AQ621" i="1"/>
  <c r="AU610" i="1"/>
  <c r="AU611" i="1" s="1"/>
  <c r="AT610" i="1"/>
  <c r="AT611" i="1" s="1"/>
  <c r="AS610" i="1"/>
  <c r="AR610" i="1"/>
  <c r="AR611" i="1" s="1"/>
  <c r="AQ610" i="1"/>
  <c r="AQ611" i="1" s="1"/>
  <c r="AU608" i="1"/>
  <c r="AU612" i="1" s="1"/>
  <c r="AT608" i="1"/>
  <c r="AT612" i="1" s="1"/>
  <c r="AS608" i="1"/>
  <c r="AS612" i="1" s="1"/>
  <c r="AR608" i="1"/>
  <c r="AQ608" i="1"/>
  <c r="AQ612" i="1" s="1"/>
  <c r="AU607" i="1"/>
  <c r="AT607" i="1"/>
  <c r="AS607" i="1"/>
  <c r="AR607" i="1"/>
  <c r="AQ607" i="1"/>
  <c r="AU596" i="1"/>
  <c r="AU597" i="1" s="1"/>
  <c r="AT596" i="1"/>
  <c r="AT597" i="1" s="1"/>
  <c r="AS596" i="1"/>
  <c r="AS597" i="1" s="1"/>
  <c r="AR596" i="1"/>
  <c r="AR597" i="1" s="1"/>
  <c r="AQ596" i="1"/>
  <c r="AQ597" i="1" s="1"/>
  <c r="AU594" i="1"/>
  <c r="AU598" i="1" s="1"/>
  <c r="AT594" i="1"/>
  <c r="AT598" i="1" s="1"/>
  <c r="AS594" i="1"/>
  <c r="AS598" i="1" s="1"/>
  <c r="AR594" i="1"/>
  <c r="AR598" i="1" s="1"/>
  <c r="AQ594" i="1"/>
  <c r="AU593" i="1"/>
  <c r="AT593" i="1"/>
  <c r="AS593" i="1"/>
  <c r="AR593" i="1"/>
  <c r="AQ593" i="1"/>
  <c r="AU529" i="1"/>
  <c r="AU530" i="1" s="1"/>
  <c r="AT529" i="1"/>
  <c r="AT530" i="1" s="1"/>
  <c r="AS529" i="1"/>
  <c r="AR529" i="1"/>
  <c r="AR530" i="1" s="1"/>
  <c r="AQ529" i="1"/>
  <c r="AQ530" i="1" s="1"/>
  <c r="AU527" i="1"/>
  <c r="AU531" i="1" s="1"/>
  <c r="AT527" i="1"/>
  <c r="AT531" i="1" s="1"/>
  <c r="AS527" i="1"/>
  <c r="AS531" i="1" s="1"/>
  <c r="AR527" i="1"/>
  <c r="AR531" i="1" s="1"/>
  <c r="AQ527" i="1"/>
  <c r="AQ531" i="1" s="1"/>
  <c r="AU526" i="1"/>
  <c r="AT526" i="1"/>
  <c r="AS526" i="1"/>
  <c r="AR526" i="1"/>
  <c r="AQ526" i="1"/>
  <c r="AU515" i="1"/>
  <c r="AU516" i="1" s="1"/>
  <c r="AT515" i="1"/>
  <c r="AT516" i="1" s="1"/>
  <c r="AS515" i="1"/>
  <c r="AS516" i="1" s="1"/>
  <c r="AR515" i="1"/>
  <c r="AR516" i="1" s="1"/>
  <c r="AQ515" i="1"/>
  <c r="AQ516" i="1" s="1"/>
  <c r="AU513" i="1"/>
  <c r="AT513" i="1"/>
  <c r="AT517" i="1" s="1"/>
  <c r="AS513" i="1"/>
  <c r="AS517" i="1" s="1"/>
  <c r="AR513" i="1"/>
  <c r="AR517" i="1" s="1"/>
  <c r="AQ513" i="1"/>
  <c r="AQ517" i="1" s="1"/>
  <c r="AU512" i="1"/>
  <c r="AT512" i="1"/>
  <c r="AS512" i="1"/>
  <c r="AR512" i="1"/>
  <c r="AQ512" i="1"/>
  <c r="AU502" i="1"/>
  <c r="AU503" i="1" s="1"/>
  <c r="AT502" i="1"/>
  <c r="AT503" i="1" s="1"/>
  <c r="AS502" i="1"/>
  <c r="AS503" i="1" s="1"/>
  <c r="AR502" i="1"/>
  <c r="AR503" i="1" s="1"/>
  <c r="AQ502" i="1"/>
  <c r="AQ503" i="1" s="1"/>
  <c r="AU500" i="1"/>
  <c r="AU504" i="1" s="1"/>
  <c r="AT500" i="1"/>
  <c r="AT504" i="1" s="1"/>
  <c r="AS500" i="1"/>
  <c r="AS504" i="1" s="1"/>
  <c r="AR500" i="1"/>
  <c r="AR504" i="1" s="1"/>
  <c r="AQ500" i="1"/>
  <c r="AQ504" i="1" s="1"/>
  <c r="AU499" i="1"/>
  <c r="AT499" i="1"/>
  <c r="AS499" i="1"/>
  <c r="AR499" i="1"/>
  <c r="AQ499" i="1"/>
  <c r="AU488" i="1"/>
  <c r="AU489" i="1" s="1"/>
  <c r="AT488" i="1"/>
  <c r="AT489" i="1" s="1"/>
  <c r="AS488" i="1"/>
  <c r="AR488" i="1"/>
  <c r="AR489" i="1" s="1"/>
  <c r="AQ488" i="1"/>
  <c r="AQ489" i="1" s="1"/>
  <c r="AU486" i="1"/>
  <c r="AU490" i="1" s="1"/>
  <c r="AT486" i="1"/>
  <c r="AS486" i="1"/>
  <c r="AR486" i="1"/>
  <c r="AR490" i="1" s="1"/>
  <c r="AQ486" i="1"/>
  <c r="AQ490" i="1" s="1"/>
  <c r="AU485" i="1"/>
  <c r="AT485" i="1"/>
  <c r="AS485" i="1"/>
  <c r="AR485" i="1"/>
  <c r="AQ485" i="1"/>
  <c r="AU475" i="1"/>
  <c r="AU476" i="1" s="1"/>
  <c r="AT475" i="1"/>
  <c r="AT476" i="1" s="1"/>
  <c r="AS475" i="1"/>
  <c r="AS476" i="1" s="1"/>
  <c r="AR475" i="1"/>
  <c r="AQ475" i="1"/>
  <c r="AQ476" i="1" s="1"/>
  <c r="AU473" i="1"/>
  <c r="AU477" i="1" s="1"/>
  <c r="AT473" i="1"/>
  <c r="AT477" i="1" s="1"/>
  <c r="AS473" i="1"/>
  <c r="AS477" i="1" s="1"/>
  <c r="AR473" i="1"/>
  <c r="AQ473" i="1"/>
  <c r="AU472" i="1"/>
  <c r="AT472" i="1"/>
  <c r="AS472" i="1"/>
  <c r="AR472" i="1"/>
  <c r="AQ472" i="1"/>
  <c r="AU461" i="1"/>
  <c r="AU462" i="1" s="1"/>
  <c r="AT461" i="1"/>
  <c r="AT462" i="1" s="1"/>
  <c r="AS461" i="1"/>
  <c r="AS462" i="1" s="1"/>
  <c r="AR461" i="1"/>
  <c r="AR462" i="1" s="1"/>
  <c r="AQ461" i="1"/>
  <c r="AQ462" i="1" s="1"/>
  <c r="AU459" i="1"/>
  <c r="AU463" i="1" s="1"/>
  <c r="AT459" i="1"/>
  <c r="AS459" i="1"/>
  <c r="AS463" i="1" s="1"/>
  <c r="AR459" i="1"/>
  <c r="AR463" i="1" s="1"/>
  <c r="AQ459" i="1"/>
  <c r="AQ463" i="1" s="1"/>
  <c r="AU458" i="1"/>
  <c r="AT458" i="1"/>
  <c r="AS458" i="1"/>
  <c r="AR458" i="1"/>
  <c r="AQ458" i="1"/>
  <c r="AU448" i="1"/>
  <c r="AU449" i="1" s="1"/>
  <c r="AT448" i="1"/>
  <c r="AT449" i="1" s="1"/>
  <c r="AS448" i="1"/>
  <c r="AS449" i="1" s="1"/>
  <c r="AR448" i="1"/>
  <c r="AR449" i="1" s="1"/>
  <c r="AQ448" i="1"/>
  <c r="AQ449" i="1" s="1"/>
  <c r="AU446" i="1"/>
  <c r="AU450" i="1" s="1"/>
  <c r="AT446" i="1"/>
  <c r="AS446" i="1"/>
  <c r="AR446" i="1"/>
  <c r="AR450" i="1" s="1"/>
  <c r="AQ446" i="1"/>
  <c r="AU445" i="1"/>
  <c r="AT445" i="1"/>
  <c r="AS445" i="1"/>
  <c r="AR445" i="1"/>
  <c r="AQ445" i="1"/>
  <c r="AU434" i="1"/>
  <c r="AU435" i="1" s="1"/>
  <c r="AT434" i="1"/>
  <c r="AT435" i="1" s="1"/>
  <c r="AS434" i="1"/>
  <c r="AR434" i="1"/>
  <c r="AR435" i="1" s="1"/>
  <c r="AQ434" i="1"/>
  <c r="AQ435" i="1" s="1"/>
  <c r="AU432" i="1"/>
  <c r="AU436" i="1" s="1"/>
  <c r="AT432" i="1"/>
  <c r="AT436" i="1" s="1"/>
  <c r="AS432" i="1"/>
  <c r="AS436" i="1" s="1"/>
  <c r="AR432" i="1"/>
  <c r="AR436" i="1" s="1"/>
  <c r="AQ432" i="1"/>
  <c r="AQ436" i="1" s="1"/>
  <c r="AU431" i="1"/>
  <c r="AT431" i="1"/>
  <c r="AS431" i="1"/>
  <c r="AR431" i="1"/>
  <c r="AQ431" i="1"/>
  <c r="AU421" i="1"/>
  <c r="AU422" i="1" s="1"/>
  <c r="AT421" i="1"/>
  <c r="AT422" i="1" s="1"/>
  <c r="AS421" i="1"/>
  <c r="AS422" i="1" s="1"/>
  <c r="AR421" i="1"/>
  <c r="AR422" i="1" s="1"/>
  <c r="AQ421" i="1"/>
  <c r="AQ422" i="1" s="1"/>
  <c r="AU419" i="1"/>
  <c r="AU423" i="1" s="1"/>
  <c r="AT419" i="1"/>
  <c r="AT423" i="1" s="1"/>
  <c r="AS419" i="1"/>
  <c r="AR419" i="1"/>
  <c r="AR423" i="1" s="1"/>
  <c r="AQ419" i="1"/>
  <c r="AU418" i="1"/>
  <c r="AT418" i="1"/>
  <c r="AS418" i="1"/>
  <c r="AR418" i="1"/>
  <c r="AQ418" i="1"/>
  <c r="AU407" i="1"/>
  <c r="AU408" i="1" s="1"/>
  <c r="AT407" i="1"/>
  <c r="AT408" i="1" s="1"/>
  <c r="AS407" i="1"/>
  <c r="AS408" i="1" s="1"/>
  <c r="AR407" i="1"/>
  <c r="AR408" i="1" s="1"/>
  <c r="AQ407" i="1"/>
  <c r="AQ408" i="1" s="1"/>
  <c r="AU405" i="1"/>
  <c r="AU409" i="1" s="1"/>
  <c r="AT405" i="1"/>
  <c r="AT409" i="1" s="1"/>
  <c r="AS405" i="1"/>
  <c r="AS409" i="1" s="1"/>
  <c r="AR405" i="1"/>
  <c r="AR409" i="1" s="1"/>
  <c r="AQ405" i="1"/>
  <c r="AU404" i="1"/>
  <c r="AT404" i="1"/>
  <c r="AS404" i="1"/>
  <c r="AR404" i="1"/>
  <c r="AQ404" i="1"/>
  <c r="AU393" i="1"/>
  <c r="AU394" i="1" s="1"/>
  <c r="AT393" i="1"/>
  <c r="AT394" i="1" s="1"/>
  <c r="AS393" i="1"/>
  <c r="AS394" i="1" s="1"/>
  <c r="AR393" i="1"/>
  <c r="AR394" i="1" s="1"/>
  <c r="AQ393" i="1"/>
  <c r="AQ394" i="1" s="1"/>
  <c r="AU391" i="1"/>
  <c r="AU395" i="1" s="1"/>
  <c r="AT391" i="1"/>
  <c r="AT395" i="1" s="1"/>
  <c r="AS391" i="1"/>
  <c r="AS395" i="1" s="1"/>
  <c r="AR391" i="1"/>
  <c r="AR395" i="1" s="1"/>
  <c r="AQ391" i="1"/>
  <c r="AQ395" i="1" s="1"/>
  <c r="AU390" i="1"/>
  <c r="AT390" i="1"/>
  <c r="AS390" i="1"/>
  <c r="AR390" i="1"/>
  <c r="AQ390" i="1"/>
  <c r="AU380" i="1"/>
  <c r="AU381" i="1" s="1"/>
  <c r="AT380" i="1"/>
  <c r="AT381" i="1" s="1"/>
  <c r="AS380" i="1"/>
  <c r="AS381" i="1" s="1"/>
  <c r="AR380" i="1"/>
  <c r="AR381" i="1" s="1"/>
  <c r="AQ380" i="1"/>
  <c r="AQ381" i="1" s="1"/>
  <c r="AU378" i="1"/>
  <c r="AU382" i="1" s="1"/>
  <c r="AT378" i="1"/>
  <c r="AT382" i="1" s="1"/>
  <c r="AS378" i="1"/>
  <c r="AS382" i="1" s="1"/>
  <c r="AR378" i="1"/>
  <c r="AR382" i="1" s="1"/>
  <c r="AQ378" i="1"/>
  <c r="AQ382" i="1" s="1"/>
  <c r="AU377" i="1"/>
  <c r="AT377" i="1"/>
  <c r="AS377" i="1"/>
  <c r="AR377" i="1"/>
  <c r="AQ377" i="1"/>
  <c r="AU366" i="1"/>
  <c r="AU367" i="1" s="1"/>
  <c r="AT366" i="1"/>
  <c r="AT367" i="1" s="1"/>
  <c r="AS366" i="1"/>
  <c r="AR366" i="1"/>
  <c r="AR367" i="1" s="1"/>
  <c r="AQ366" i="1"/>
  <c r="AQ367" i="1" s="1"/>
  <c r="AU364" i="1"/>
  <c r="AU368" i="1" s="1"/>
  <c r="AT364" i="1"/>
  <c r="AT368" i="1" s="1"/>
  <c r="AS364" i="1"/>
  <c r="AS368" i="1" s="1"/>
  <c r="AR364" i="1"/>
  <c r="AQ364" i="1"/>
  <c r="AQ368" i="1" s="1"/>
  <c r="AU363" i="1"/>
  <c r="AT363" i="1"/>
  <c r="AS363" i="1"/>
  <c r="AR363" i="1"/>
  <c r="AQ363" i="1"/>
  <c r="AU352" i="1"/>
  <c r="AU353" i="1" s="1"/>
  <c r="AT352" i="1"/>
  <c r="AT353" i="1" s="1"/>
  <c r="AS352" i="1"/>
  <c r="AR352" i="1"/>
  <c r="AR353" i="1" s="1"/>
  <c r="AQ352" i="1"/>
  <c r="AQ353" i="1" s="1"/>
  <c r="AU350" i="1"/>
  <c r="AU354" i="1" s="1"/>
  <c r="AT350" i="1"/>
  <c r="AT354" i="1" s="1"/>
  <c r="AS350" i="1"/>
  <c r="AS354" i="1" s="1"/>
  <c r="AR350" i="1"/>
  <c r="AR354" i="1" s="1"/>
  <c r="AQ350" i="1"/>
  <c r="AQ354" i="1" s="1"/>
  <c r="AU349" i="1"/>
  <c r="AT349" i="1"/>
  <c r="AS349" i="1"/>
  <c r="AR349" i="1"/>
  <c r="AQ349" i="1"/>
  <c r="AU339" i="1"/>
  <c r="AU340" i="1" s="1"/>
  <c r="AT339" i="1"/>
  <c r="AT340" i="1" s="1"/>
  <c r="AS339" i="1"/>
  <c r="AS340" i="1" s="1"/>
  <c r="AR339" i="1"/>
  <c r="AR340" i="1" s="1"/>
  <c r="AQ339" i="1"/>
  <c r="AQ340" i="1" s="1"/>
  <c r="AU337" i="1"/>
  <c r="AU341" i="1" s="1"/>
  <c r="AT337" i="1"/>
  <c r="AT341" i="1" s="1"/>
  <c r="AS337" i="1"/>
  <c r="AS341" i="1" s="1"/>
  <c r="AR337" i="1"/>
  <c r="AQ337" i="1"/>
  <c r="AQ341" i="1" s="1"/>
  <c r="AU336" i="1"/>
  <c r="AT336" i="1"/>
  <c r="AS336" i="1"/>
  <c r="AR336" i="1"/>
  <c r="AQ336" i="1"/>
  <c r="AU325" i="1"/>
  <c r="AU326" i="1" s="1"/>
  <c r="AT325" i="1"/>
  <c r="AT326" i="1" s="1"/>
  <c r="AS325" i="1"/>
  <c r="AS326" i="1" s="1"/>
  <c r="AR325" i="1"/>
  <c r="AR326" i="1" s="1"/>
  <c r="AQ325" i="1"/>
  <c r="AQ326" i="1" s="1"/>
  <c r="AU323" i="1"/>
  <c r="AU327" i="1" s="1"/>
  <c r="AT323" i="1"/>
  <c r="AT327" i="1" s="1"/>
  <c r="AS323" i="1"/>
  <c r="AS327" i="1" s="1"/>
  <c r="AR323" i="1"/>
  <c r="AR327" i="1" s="1"/>
  <c r="AQ323" i="1"/>
  <c r="AQ327" i="1" s="1"/>
  <c r="AU322" i="1"/>
  <c r="AT322" i="1"/>
  <c r="AS322" i="1"/>
  <c r="AR322" i="1"/>
  <c r="AQ322" i="1"/>
  <c r="AU311" i="1"/>
  <c r="AU312" i="1" s="1"/>
  <c r="AT311" i="1"/>
  <c r="AT312" i="1" s="1"/>
  <c r="AS311" i="1"/>
  <c r="AS312" i="1" s="1"/>
  <c r="AR311" i="1"/>
  <c r="AR312" i="1" s="1"/>
  <c r="AQ311" i="1"/>
  <c r="AQ312" i="1" s="1"/>
  <c r="AU309" i="1"/>
  <c r="AU313" i="1" s="1"/>
  <c r="AT309" i="1"/>
  <c r="AT313" i="1" s="1"/>
  <c r="AS309" i="1"/>
  <c r="AS313" i="1" s="1"/>
  <c r="AR309" i="1"/>
  <c r="AR313" i="1" s="1"/>
  <c r="AQ309" i="1"/>
  <c r="AQ313" i="1" s="1"/>
  <c r="AU308" i="1"/>
  <c r="AT308" i="1"/>
  <c r="AS308" i="1"/>
  <c r="AR308" i="1"/>
  <c r="AQ308" i="1"/>
  <c r="AU298" i="1"/>
  <c r="AU299" i="1" s="1"/>
  <c r="AT298" i="1"/>
  <c r="AT299" i="1" s="1"/>
  <c r="AS298" i="1"/>
  <c r="AR298" i="1"/>
  <c r="AR299" i="1" s="1"/>
  <c r="AQ298" i="1"/>
  <c r="AQ299" i="1" s="1"/>
  <c r="AU296" i="1"/>
  <c r="AU300" i="1" s="1"/>
  <c r="AT296" i="1"/>
  <c r="AT300" i="1" s="1"/>
  <c r="AS296" i="1"/>
  <c r="AS300" i="1" s="1"/>
  <c r="AR296" i="1"/>
  <c r="AQ296" i="1"/>
  <c r="AU295" i="1"/>
  <c r="AT295" i="1"/>
  <c r="AS295" i="1"/>
  <c r="AR295" i="1"/>
  <c r="AQ295" i="1"/>
  <c r="AU284" i="1"/>
  <c r="AU285" i="1" s="1"/>
  <c r="AT284" i="1"/>
  <c r="AT285" i="1" s="1"/>
  <c r="AS284" i="1"/>
  <c r="AS285" i="1" s="1"/>
  <c r="AR284" i="1"/>
  <c r="AR285" i="1" s="1"/>
  <c r="AQ284" i="1"/>
  <c r="AQ285" i="1" s="1"/>
  <c r="AU282" i="1"/>
  <c r="AU286" i="1" s="1"/>
  <c r="AT282" i="1"/>
  <c r="AT286" i="1" s="1"/>
  <c r="AS282" i="1"/>
  <c r="AR282" i="1"/>
  <c r="AR286" i="1" s="1"/>
  <c r="AQ282" i="1"/>
  <c r="AQ286" i="1" s="1"/>
  <c r="AU281" i="1"/>
  <c r="AT281" i="1"/>
  <c r="AS281" i="1"/>
  <c r="AR281" i="1"/>
  <c r="AQ281" i="1"/>
  <c r="AU270" i="1"/>
  <c r="AU271" i="1" s="1"/>
  <c r="AT270" i="1"/>
  <c r="AT271" i="1" s="1"/>
  <c r="AS270" i="1"/>
  <c r="AS271" i="1" s="1"/>
  <c r="AR270" i="1"/>
  <c r="AR271" i="1" s="1"/>
  <c r="AQ270" i="1"/>
  <c r="AQ271" i="1" s="1"/>
  <c r="AU268" i="1"/>
  <c r="AU272" i="1" s="1"/>
  <c r="AT268" i="1"/>
  <c r="AT272" i="1" s="1"/>
  <c r="AS268" i="1"/>
  <c r="AS272" i="1" s="1"/>
  <c r="AR268" i="1"/>
  <c r="AR272" i="1" s="1"/>
  <c r="AQ268" i="1"/>
  <c r="AQ272" i="1" s="1"/>
  <c r="AU267" i="1"/>
  <c r="AT267" i="1"/>
  <c r="AS267" i="1"/>
  <c r="AR267" i="1"/>
  <c r="AQ267" i="1"/>
  <c r="AU257" i="1"/>
  <c r="AU258" i="1" s="1"/>
  <c r="AT257" i="1"/>
  <c r="AT258" i="1" s="1"/>
  <c r="AS257" i="1"/>
  <c r="AS258" i="1" s="1"/>
  <c r="AR257" i="1"/>
  <c r="AR258" i="1" s="1"/>
  <c r="AQ257" i="1"/>
  <c r="AQ258" i="1" s="1"/>
  <c r="AU255" i="1"/>
  <c r="AU259" i="1" s="1"/>
  <c r="AT255" i="1"/>
  <c r="AT259" i="1" s="1"/>
  <c r="AS255" i="1"/>
  <c r="AS259" i="1" s="1"/>
  <c r="AR255" i="1"/>
  <c r="AR259" i="1" s="1"/>
  <c r="AQ255" i="1"/>
  <c r="AU254" i="1"/>
  <c r="AT254" i="1"/>
  <c r="AS254" i="1"/>
  <c r="AR254" i="1"/>
  <c r="AQ254" i="1"/>
  <c r="AU243" i="1"/>
  <c r="AU244" i="1" s="1"/>
  <c r="AT243" i="1"/>
  <c r="AT244" i="1" s="1"/>
  <c r="AS243" i="1"/>
  <c r="AS244" i="1" s="1"/>
  <c r="AR243" i="1"/>
  <c r="AR244" i="1" s="1"/>
  <c r="AQ243" i="1"/>
  <c r="AU241" i="1"/>
  <c r="AT241" i="1"/>
  <c r="AT245" i="1" s="1"/>
  <c r="AS241" i="1"/>
  <c r="AR241" i="1"/>
  <c r="AR245" i="1" s="1"/>
  <c r="AQ241" i="1"/>
  <c r="AU240" i="1"/>
  <c r="AT240" i="1"/>
  <c r="AS240" i="1"/>
  <c r="AR240" i="1"/>
  <c r="AQ240" i="1"/>
  <c r="AU229" i="1"/>
  <c r="AU230" i="1" s="1"/>
  <c r="AT229" i="1"/>
  <c r="AT230" i="1" s="1"/>
  <c r="AS229" i="1"/>
  <c r="AS230" i="1" s="1"/>
  <c r="AR229" i="1"/>
  <c r="AR230" i="1" s="1"/>
  <c r="AQ229" i="1"/>
  <c r="AQ230" i="1" s="1"/>
  <c r="AU227" i="1"/>
  <c r="AU231" i="1" s="1"/>
  <c r="AT227" i="1"/>
  <c r="AS227" i="1"/>
  <c r="AR227" i="1"/>
  <c r="AR231" i="1" s="1"/>
  <c r="AQ227" i="1"/>
  <c r="AU226" i="1"/>
  <c r="AT226" i="1"/>
  <c r="AS226" i="1"/>
  <c r="AR226" i="1"/>
  <c r="AQ226" i="1"/>
  <c r="AU216" i="1"/>
  <c r="AU217" i="1" s="1"/>
  <c r="AT216" i="1"/>
  <c r="AT217" i="1" s="1"/>
  <c r="AS216" i="1"/>
  <c r="AS217" i="1" s="1"/>
  <c r="AR216" i="1"/>
  <c r="AR217" i="1" s="1"/>
  <c r="AQ216" i="1"/>
  <c r="AQ217" i="1" s="1"/>
  <c r="AU214" i="1"/>
  <c r="AU218" i="1" s="1"/>
  <c r="AT214" i="1"/>
  <c r="AT218" i="1" s="1"/>
  <c r="AS214" i="1"/>
  <c r="AS218" i="1" s="1"/>
  <c r="AR214" i="1"/>
  <c r="AR218" i="1" s="1"/>
  <c r="AQ214" i="1"/>
  <c r="AQ218" i="1" s="1"/>
  <c r="AU213" i="1"/>
  <c r="AT213" i="1"/>
  <c r="AS213" i="1"/>
  <c r="AR213" i="1"/>
  <c r="AQ213" i="1"/>
  <c r="AU202" i="1"/>
  <c r="AU203" i="1" s="1"/>
  <c r="AT202" i="1"/>
  <c r="AT203" i="1" s="1"/>
  <c r="AS202" i="1"/>
  <c r="AS203" i="1" s="1"/>
  <c r="AR202" i="1"/>
  <c r="AQ202" i="1"/>
  <c r="AQ203" i="1" s="1"/>
  <c r="AU200" i="1"/>
  <c r="AU204" i="1" s="1"/>
  <c r="AT200" i="1"/>
  <c r="AT204" i="1" s="1"/>
  <c r="AS200" i="1"/>
  <c r="AS204" i="1" s="1"/>
  <c r="AR200" i="1"/>
  <c r="AR204" i="1" s="1"/>
  <c r="AQ200" i="1"/>
  <c r="AQ204" i="1" s="1"/>
  <c r="AU199" i="1"/>
  <c r="AT199" i="1"/>
  <c r="AS199" i="1"/>
  <c r="AR199" i="1"/>
  <c r="AQ199" i="1"/>
  <c r="AU189" i="1"/>
  <c r="AU190" i="1" s="1"/>
  <c r="AT189" i="1"/>
  <c r="AT190" i="1" s="1"/>
  <c r="AS189" i="1"/>
  <c r="AS190" i="1" s="1"/>
  <c r="AR189" i="1"/>
  <c r="AR190" i="1" s="1"/>
  <c r="AQ189" i="1"/>
  <c r="AQ190" i="1" s="1"/>
  <c r="AU187" i="1"/>
  <c r="AU191" i="1" s="1"/>
  <c r="AT187" i="1"/>
  <c r="AT191" i="1" s="1"/>
  <c r="AS187" i="1"/>
  <c r="AS191" i="1" s="1"/>
  <c r="AR187" i="1"/>
  <c r="AR191" i="1" s="1"/>
  <c r="AQ187" i="1"/>
  <c r="AQ191" i="1" s="1"/>
  <c r="AU186" i="1"/>
  <c r="AT186" i="1"/>
  <c r="AS186" i="1"/>
  <c r="AR186" i="1"/>
  <c r="AQ186" i="1"/>
  <c r="AU162" i="1"/>
  <c r="AU163" i="1" s="1"/>
  <c r="AT162" i="1"/>
  <c r="AT163" i="1" s="1"/>
  <c r="AS162" i="1"/>
  <c r="AS163" i="1" s="1"/>
  <c r="AR162" i="1"/>
  <c r="AR163" i="1" s="1"/>
  <c r="AQ162" i="1"/>
  <c r="AQ163" i="1" s="1"/>
  <c r="AU160" i="1"/>
  <c r="AU164" i="1" s="1"/>
  <c r="AT160" i="1"/>
  <c r="AT164" i="1" s="1"/>
  <c r="AS160" i="1"/>
  <c r="AS164" i="1" s="1"/>
  <c r="AR160" i="1"/>
  <c r="AR164" i="1" s="1"/>
  <c r="AQ160" i="1"/>
  <c r="AQ164" i="1" s="1"/>
  <c r="AU159" i="1"/>
  <c r="AT159" i="1"/>
  <c r="AS159" i="1"/>
  <c r="AR159" i="1"/>
  <c r="AQ159" i="1"/>
  <c r="AU148" i="1"/>
  <c r="AU149" i="1" s="1"/>
  <c r="AT148" i="1"/>
  <c r="AT149" i="1" s="1"/>
  <c r="AS148" i="1"/>
  <c r="AS149" i="1" s="1"/>
  <c r="AR148" i="1"/>
  <c r="AQ148" i="1"/>
  <c r="AQ149" i="1" s="1"/>
  <c r="AU146" i="1"/>
  <c r="AU150" i="1" s="1"/>
  <c r="AT146" i="1"/>
  <c r="AT150" i="1" s="1"/>
  <c r="AS146" i="1"/>
  <c r="AS150" i="1" s="1"/>
  <c r="AR146" i="1"/>
  <c r="AR150" i="1" s="1"/>
  <c r="AQ146" i="1"/>
  <c r="AQ150" i="1" s="1"/>
  <c r="AU145" i="1"/>
  <c r="AT145" i="1"/>
  <c r="AS145" i="1"/>
  <c r="AR145" i="1"/>
  <c r="AQ145" i="1"/>
  <c r="AU135" i="1"/>
  <c r="AU136" i="1" s="1"/>
  <c r="AT135" i="1"/>
  <c r="AT136" i="1" s="1"/>
  <c r="AS135" i="1"/>
  <c r="AS136" i="1" s="1"/>
  <c r="AR135" i="1"/>
  <c r="AR136" i="1" s="1"/>
  <c r="AQ135" i="1"/>
  <c r="AQ136" i="1" s="1"/>
  <c r="AU133" i="1"/>
  <c r="AU137" i="1" s="1"/>
  <c r="AT133" i="1"/>
  <c r="AS133" i="1"/>
  <c r="AS137" i="1" s="1"/>
  <c r="AR133" i="1"/>
  <c r="AQ133" i="1"/>
  <c r="AQ137" i="1" s="1"/>
  <c r="AU132" i="1"/>
  <c r="AT132" i="1"/>
  <c r="AS132" i="1"/>
  <c r="AR132" i="1"/>
  <c r="AQ132" i="1"/>
  <c r="AU121" i="1"/>
  <c r="AU122" i="1" s="1"/>
  <c r="AT121" i="1"/>
  <c r="AT122" i="1" s="1"/>
  <c r="AS121" i="1"/>
  <c r="AS122" i="1" s="1"/>
  <c r="AR121" i="1"/>
  <c r="AR122" i="1" s="1"/>
  <c r="AQ121" i="1"/>
  <c r="AQ122" i="1" s="1"/>
  <c r="AU119" i="1"/>
  <c r="AU123" i="1" s="1"/>
  <c r="AT119" i="1"/>
  <c r="AT123" i="1" s="1"/>
  <c r="AS119" i="1"/>
  <c r="AS123" i="1" s="1"/>
  <c r="AR119" i="1"/>
  <c r="AR123" i="1" s="1"/>
  <c r="AQ119" i="1"/>
  <c r="AQ123" i="1" s="1"/>
  <c r="AU118" i="1"/>
  <c r="AT118" i="1"/>
  <c r="AS118" i="1"/>
  <c r="AR118" i="1"/>
  <c r="AQ118" i="1"/>
  <c r="AU108" i="1"/>
  <c r="AU109" i="1" s="1"/>
  <c r="AT108" i="1"/>
  <c r="AT109" i="1" s="1"/>
  <c r="AS108" i="1"/>
  <c r="AS109" i="1" s="1"/>
  <c r="AR108" i="1"/>
  <c r="AR109" i="1" s="1"/>
  <c r="AQ108" i="1"/>
  <c r="AQ109" i="1" s="1"/>
  <c r="AU106" i="1"/>
  <c r="AT106" i="1"/>
  <c r="AT110" i="1" s="1"/>
  <c r="AS106" i="1"/>
  <c r="AS110" i="1" s="1"/>
  <c r="AR106" i="1"/>
  <c r="AR110" i="1" s="1"/>
  <c r="AQ106" i="1"/>
  <c r="AQ110" i="1" s="1"/>
  <c r="AU105" i="1"/>
  <c r="AT105" i="1"/>
  <c r="AS105" i="1"/>
  <c r="AR105" i="1"/>
  <c r="AQ105" i="1"/>
  <c r="AU94" i="1"/>
  <c r="AU95" i="1" s="1"/>
  <c r="AT94" i="1"/>
  <c r="AT95" i="1" s="1"/>
  <c r="AS94" i="1"/>
  <c r="AS95" i="1" s="1"/>
  <c r="AR94" i="1"/>
  <c r="AQ94" i="1"/>
  <c r="AQ95" i="1" s="1"/>
  <c r="AU92" i="1"/>
  <c r="AU96" i="1" s="1"/>
  <c r="AT92" i="1"/>
  <c r="AT96" i="1" s="1"/>
  <c r="AS92" i="1"/>
  <c r="AR92" i="1"/>
  <c r="AR96" i="1" s="1"/>
  <c r="AQ92" i="1"/>
  <c r="AQ96" i="1" s="1"/>
  <c r="AU91" i="1"/>
  <c r="AT91" i="1"/>
  <c r="AS91" i="1"/>
  <c r="AR91" i="1"/>
  <c r="AQ91" i="1"/>
  <c r="AU81" i="1"/>
  <c r="AU82" i="1" s="1"/>
  <c r="AT81" i="1"/>
  <c r="AT82" i="1" s="1"/>
  <c r="AS81" i="1"/>
  <c r="AS82" i="1" s="1"/>
  <c r="AR81" i="1"/>
  <c r="AR82" i="1" s="1"/>
  <c r="AQ81" i="1"/>
  <c r="AQ82" i="1" s="1"/>
  <c r="AU79" i="1"/>
  <c r="AU83" i="1" s="1"/>
  <c r="AT79" i="1"/>
  <c r="AT83" i="1" s="1"/>
  <c r="AS79" i="1"/>
  <c r="AS83" i="1" s="1"/>
  <c r="AR79" i="1"/>
  <c r="AR83" i="1" s="1"/>
  <c r="AQ79" i="1"/>
  <c r="AQ83" i="1" s="1"/>
  <c r="AU78" i="1"/>
  <c r="AT78" i="1"/>
  <c r="AS78" i="1"/>
  <c r="AR78" i="1"/>
  <c r="AQ78" i="1"/>
  <c r="AU67" i="1"/>
  <c r="AU68" i="1" s="1"/>
  <c r="AT67" i="1"/>
  <c r="AT68" i="1" s="1"/>
  <c r="AS67" i="1"/>
  <c r="AS68" i="1" s="1"/>
  <c r="AR67" i="1"/>
  <c r="AR68" i="1" s="1"/>
  <c r="AQ67" i="1"/>
  <c r="AQ68" i="1" s="1"/>
  <c r="AU65" i="1"/>
  <c r="AU69" i="1" s="1"/>
  <c r="AT65" i="1"/>
  <c r="AT69" i="1" s="1"/>
  <c r="AS65" i="1"/>
  <c r="AS69" i="1" s="1"/>
  <c r="AR65" i="1"/>
  <c r="AR69" i="1" s="1"/>
  <c r="AQ65" i="1"/>
  <c r="AQ69" i="1" s="1"/>
  <c r="AU64" i="1"/>
  <c r="AT64" i="1"/>
  <c r="AS64" i="1"/>
  <c r="AR64" i="1"/>
  <c r="AQ64" i="1"/>
  <c r="AU54" i="1"/>
  <c r="AU55" i="1" s="1"/>
  <c r="AT54" i="1"/>
  <c r="AT55" i="1" s="1"/>
  <c r="AS54" i="1"/>
  <c r="AS55" i="1" s="1"/>
  <c r="AR54" i="1"/>
  <c r="AR55" i="1" s="1"/>
  <c r="AQ54" i="1"/>
  <c r="AQ55" i="1" s="1"/>
  <c r="AU52" i="1"/>
  <c r="AU56" i="1" s="1"/>
  <c r="AT52" i="1"/>
  <c r="AT56" i="1" s="1"/>
  <c r="AS52" i="1"/>
  <c r="AS56" i="1" s="1"/>
  <c r="AR52" i="1"/>
  <c r="AR56" i="1" s="1"/>
  <c r="AQ52" i="1"/>
  <c r="AQ56" i="1" s="1"/>
  <c r="AU51" i="1"/>
  <c r="AT51" i="1"/>
  <c r="AS51" i="1"/>
  <c r="AR51" i="1"/>
  <c r="AQ51" i="1"/>
  <c r="AU40" i="1"/>
  <c r="AU41" i="1" s="1"/>
  <c r="AT40" i="1"/>
  <c r="AT41" i="1" s="1"/>
  <c r="AS40" i="1"/>
  <c r="AS41" i="1" s="1"/>
  <c r="AR40" i="1"/>
  <c r="AQ40" i="1"/>
  <c r="AQ41" i="1" s="1"/>
  <c r="AU38" i="1"/>
  <c r="AU42" i="1" s="1"/>
  <c r="AT38" i="1"/>
  <c r="AT42" i="1" s="1"/>
  <c r="AS38" i="1"/>
  <c r="AS42" i="1" s="1"/>
  <c r="AR38" i="1"/>
  <c r="AR42" i="1" s="1"/>
  <c r="AQ38" i="1"/>
  <c r="AQ42" i="1" s="1"/>
  <c r="AU37" i="1"/>
  <c r="AT37" i="1"/>
  <c r="AS37" i="1"/>
  <c r="AR37" i="1"/>
  <c r="AQ37" i="1"/>
  <c r="AU26" i="1"/>
  <c r="AU27" i="1" s="1"/>
  <c r="AT26" i="1"/>
  <c r="AT27" i="1" s="1"/>
  <c r="AS26" i="1"/>
  <c r="AS27" i="1" s="1"/>
  <c r="AR26" i="1"/>
  <c r="AR27" i="1" s="1"/>
  <c r="AQ26" i="1"/>
  <c r="AQ27" i="1" s="1"/>
  <c r="AU24" i="1"/>
  <c r="AU28" i="1" s="1"/>
  <c r="AT24" i="1"/>
  <c r="AT28" i="1" s="1"/>
  <c r="AS24" i="1"/>
  <c r="AS28" i="1" s="1"/>
  <c r="AR24" i="1"/>
  <c r="AQ24" i="1"/>
  <c r="AQ28" i="1" s="1"/>
  <c r="AU23" i="1"/>
  <c r="AT23" i="1"/>
  <c r="AS23" i="1"/>
  <c r="AR23" i="1"/>
  <c r="AQ23" i="1"/>
  <c r="AU12" i="1"/>
  <c r="AT12" i="1"/>
  <c r="AS12" i="1"/>
  <c r="AR12" i="1"/>
  <c r="AR13" i="1" s="1"/>
  <c r="AQ12" i="1"/>
  <c r="AU10" i="1"/>
  <c r="AT10" i="1"/>
  <c r="AS10" i="1"/>
  <c r="AR10" i="1"/>
  <c r="AQ10" i="1"/>
  <c r="AU9" i="1"/>
  <c r="AT9" i="1"/>
  <c r="AS9" i="1"/>
  <c r="AR9" i="1"/>
  <c r="AQ9" i="1"/>
  <c r="AQ119" i="10"/>
  <c r="AF80" i="2"/>
  <c r="AG80" i="2"/>
  <c r="AH80" i="2"/>
  <c r="AI80" i="2"/>
  <c r="AF81" i="2"/>
  <c r="AG81" i="2"/>
  <c r="AH81" i="2"/>
  <c r="AI81" i="2"/>
  <c r="AF82" i="2"/>
  <c r="AG82" i="2"/>
  <c r="AH82" i="2"/>
  <c r="AI82" i="2"/>
  <c r="AF83" i="2"/>
  <c r="AG83" i="2"/>
  <c r="AH83" i="2"/>
  <c r="AI83" i="2"/>
  <c r="Y80" i="2"/>
  <c r="Z80" i="2"/>
  <c r="AA80" i="2"/>
  <c r="AB80" i="2"/>
  <c r="AC80" i="2"/>
  <c r="AD80" i="2"/>
  <c r="AE80" i="2"/>
  <c r="Y81" i="2"/>
  <c r="Z81" i="2"/>
  <c r="AA81" i="2"/>
  <c r="AB81" i="2"/>
  <c r="AC81" i="2"/>
  <c r="AD81" i="2"/>
  <c r="AE81" i="2"/>
  <c r="Y82" i="2"/>
  <c r="Z82" i="2"/>
  <c r="AA82" i="2"/>
  <c r="AB82" i="2"/>
  <c r="AC82" i="2"/>
  <c r="AD82" i="2"/>
  <c r="AE82" i="2"/>
  <c r="Y83" i="2"/>
  <c r="Z83" i="2"/>
  <c r="AA83" i="2"/>
  <c r="AB83" i="2"/>
  <c r="AC83" i="2"/>
  <c r="AD83" i="2"/>
  <c r="AE83" i="2"/>
  <c r="U83" i="2"/>
  <c r="V83" i="2"/>
  <c r="W83" i="2"/>
  <c r="X83" i="2"/>
  <c r="U82" i="2"/>
  <c r="V82" i="2"/>
  <c r="W82" i="2"/>
  <c r="X82" i="2"/>
  <c r="U81" i="2"/>
  <c r="V81" i="2"/>
  <c r="W81" i="2"/>
  <c r="X81" i="2"/>
  <c r="U80" i="2"/>
  <c r="V80" i="2"/>
  <c r="W80" i="2"/>
  <c r="X80" i="2"/>
  <c r="T83" i="2"/>
  <c r="T82" i="2"/>
  <c r="T81" i="2"/>
  <c r="T80" i="2"/>
  <c r="Q80" i="2"/>
  <c r="Q1192" i="1"/>
  <c r="Q155" i="4"/>
  <c r="Q123" i="4"/>
  <c r="Q91" i="4"/>
  <c r="Q1016" i="1"/>
  <c r="Q1002" i="1"/>
  <c r="Q962" i="1"/>
  <c r="Q948" i="1"/>
  <c r="Q854" i="1"/>
  <c r="Q840" i="1"/>
  <c r="Q650" i="1"/>
  <c r="AJ392" i="4"/>
  <c r="G54" i="13" s="1"/>
  <c r="AQ830" i="1" l="1"/>
  <c r="AQ1200" i="1"/>
  <c r="AT228" i="1"/>
  <c r="AU242" i="1"/>
  <c r="AQ1167" i="1"/>
  <c r="AU1057" i="1"/>
  <c r="AU772" i="1"/>
  <c r="AU989" i="1"/>
  <c r="AV893" i="1"/>
  <c r="AV1041" i="1"/>
  <c r="AV123" i="1"/>
  <c r="AV449" i="1"/>
  <c r="AQ595" i="1"/>
  <c r="AT636" i="1"/>
  <c r="AU134" i="1"/>
  <c r="AT623" i="1"/>
  <c r="AU623" i="1"/>
  <c r="AV770" i="1"/>
  <c r="AV1014" i="1"/>
  <c r="AQ1029" i="1"/>
  <c r="AV761" i="1"/>
  <c r="AU1002" i="1"/>
  <c r="AQ1016" i="1"/>
  <c r="AV743" i="1"/>
  <c r="AR1016" i="1"/>
  <c r="AV1128" i="1"/>
  <c r="AR134" i="1"/>
  <c r="AV42" i="1"/>
  <c r="AS283" i="1"/>
  <c r="AS228" i="1"/>
  <c r="AV243" i="1"/>
  <c r="AT134" i="1"/>
  <c r="AQ297" i="1"/>
  <c r="AT487" i="1"/>
  <c r="AR25" i="1"/>
  <c r="AV593" i="1"/>
  <c r="AV648" i="1"/>
  <c r="AQ256" i="1"/>
  <c r="AV105" i="1"/>
  <c r="AV82" i="1"/>
  <c r="AV217" i="1"/>
  <c r="AV512" i="1"/>
  <c r="AT137" i="1"/>
  <c r="AU324" i="1"/>
  <c r="AV354" i="1"/>
  <c r="AR137" i="1"/>
  <c r="AV281" i="1"/>
  <c r="AV313" i="1"/>
  <c r="AV327" i="1"/>
  <c r="AV382" i="1"/>
  <c r="AV240" i="1"/>
  <c r="AR297" i="1"/>
  <c r="AV23" i="1"/>
  <c r="AS487" i="1"/>
  <c r="AU514" i="1"/>
  <c r="AV340" i="1"/>
  <c r="AV326" i="1"/>
  <c r="AS447" i="1"/>
  <c r="AT460" i="1"/>
  <c r="AV83" i="1"/>
  <c r="AV150" i="1"/>
  <c r="AV164" i="1"/>
  <c r="AS242" i="1"/>
  <c r="AV352" i="1"/>
  <c r="AV51" i="1"/>
  <c r="AV69" i="1"/>
  <c r="AS93" i="1"/>
  <c r="AV271" i="1"/>
  <c r="AV634" i="1"/>
  <c r="AT827" i="1"/>
  <c r="AU827" i="1"/>
  <c r="AV811" i="1"/>
  <c r="AV816" i="1"/>
  <c r="AS799" i="1"/>
  <c r="AT799" i="1"/>
  <c r="AV987" i="1"/>
  <c r="AU1112" i="1"/>
  <c r="AR1126" i="1"/>
  <c r="AR1112" i="1"/>
  <c r="AQ1140" i="1"/>
  <c r="AR1167" i="1"/>
  <c r="AV1169" i="1"/>
  <c r="AV1003" i="1"/>
  <c r="AV651" i="1"/>
  <c r="AT1002" i="1"/>
  <c r="AV1005" i="1"/>
  <c r="AV653" i="1"/>
  <c r="AV1124" i="1"/>
  <c r="AV1179" i="1"/>
  <c r="AR1129" i="1"/>
  <c r="AS1029" i="1"/>
  <c r="AV1125" i="1"/>
  <c r="AV1168" i="1"/>
  <c r="AS1181" i="1"/>
  <c r="AV1096" i="1"/>
  <c r="AV1046" i="1"/>
  <c r="AR1043" i="1"/>
  <c r="AS1043" i="1"/>
  <c r="AV1055" i="1"/>
  <c r="AU1060" i="1"/>
  <c r="AQ1126" i="1"/>
  <c r="AV1138" i="1"/>
  <c r="AV1182" i="1"/>
  <c r="AV1151" i="1"/>
  <c r="AV1165" i="1"/>
  <c r="AV1056" i="1"/>
  <c r="AV1059" i="1"/>
  <c r="AR1057" i="1"/>
  <c r="AV1127" i="1"/>
  <c r="AT1126" i="1"/>
  <c r="AV1027" i="1"/>
  <c r="AV976" i="1"/>
  <c r="AV990" i="1"/>
  <c r="AV973" i="1"/>
  <c r="AV936" i="1"/>
  <c r="AV892" i="1"/>
  <c r="AV919" i="1"/>
  <c r="AV920" i="1"/>
  <c r="AV933" i="1"/>
  <c r="AV906" i="1"/>
  <c r="AQ935" i="1"/>
  <c r="AS921" i="1"/>
  <c r="AR935" i="1"/>
  <c r="AR894" i="1"/>
  <c r="AS935" i="1"/>
  <c r="AV732" i="1"/>
  <c r="AV675" i="1"/>
  <c r="AU775" i="1"/>
  <c r="AV775" i="1" s="1"/>
  <c r="AV693" i="1"/>
  <c r="AV689" i="1"/>
  <c r="AQ717" i="1"/>
  <c r="AV729" i="1"/>
  <c r="AV828" i="1"/>
  <c r="AV715" i="1"/>
  <c r="AT664" i="1"/>
  <c r="AQ731" i="1"/>
  <c r="AV742" i="1"/>
  <c r="AV756" i="1"/>
  <c r="AV787" i="1"/>
  <c r="AV662" i="1"/>
  <c r="AV784" i="1"/>
  <c r="AS827" i="1"/>
  <c r="AQ786" i="1"/>
  <c r="AU799" i="1"/>
  <c r="AV665" i="1"/>
  <c r="AR786" i="1"/>
  <c r="AV802" i="1"/>
  <c r="AS830" i="1"/>
  <c r="AV830" i="1" s="1"/>
  <c r="AR731" i="1"/>
  <c r="AT772" i="1"/>
  <c r="AS786" i="1"/>
  <c r="AV745" i="1"/>
  <c r="AV621" i="1"/>
  <c r="AR609" i="1"/>
  <c r="AV607" i="1"/>
  <c r="AV610" i="1"/>
  <c r="AV272" i="1"/>
  <c r="AV295" i="1"/>
  <c r="AV349" i="1"/>
  <c r="AR338" i="1"/>
  <c r="AV94" i="1"/>
  <c r="AR365" i="1"/>
  <c r="AV390" i="1"/>
  <c r="AV404" i="1"/>
  <c r="AV159" i="1"/>
  <c r="AV395" i="1"/>
  <c r="AV418" i="1"/>
  <c r="AV336" i="1"/>
  <c r="AV475" i="1"/>
  <c r="AU107" i="1"/>
  <c r="AV298" i="1"/>
  <c r="AV436" i="1"/>
  <c r="AV445" i="1"/>
  <c r="AV363" i="1"/>
  <c r="AQ420" i="1"/>
  <c r="AS420" i="1"/>
  <c r="AQ447" i="1"/>
  <c r="AV458" i="1"/>
  <c r="AV472" i="1"/>
  <c r="AS134" i="1"/>
  <c r="AV377" i="1"/>
  <c r="AV529" i="1"/>
  <c r="AV40" i="1"/>
  <c r="AU245" i="1"/>
  <c r="AQ406" i="1"/>
  <c r="AV431" i="1"/>
  <c r="AU110" i="1"/>
  <c r="AV110" i="1" s="1"/>
  <c r="AV186" i="1"/>
  <c r="AV199" i="1"/>
  <c r="AV213" i="1"/>
  <c r="AV485" i="1"/>
  <c r="AV118" i="1"/>
  <c r="AV202" i="1"/>
  <c r="AV488" i="1"/>
  <c r="AU517" i="1"/>
  <c r="AV517" i="1" s="1"/>
  <c r="AV191" i="1"/>
  <c r="AU201" i="1"/>
  <c r="AV226" i="1"/>
  <c r="AV366" i="1"/>
  <c r="AV473" i="1"/>
  <c r="AV499" i="1"/>
  <c r="AV204" i="1"/>
  <c r="AQ228" i="1"/>
  <c r="AV254" i="1"/>
  <c r="AT447" i="1"/>
  <c r="AR474" i="1"/>
  <c r="AV504" i="1"/>
  <c r="AV526" i="1"/>
  <c r="AV308" i="1"/>
  <c r="AV394" i="1"/>
  <c r="AV109" i="1"/>
  <c r="AV145" i="1"/>
  <c r="AV37" i="1"/>
  <c r="AV64" i="1"/>
  <c r="AV78" i="1"/>
  <c r="AV91" i="1"/>
  <c r="AV148" i="1"/>
  <c r="AV241" i="1"/>
  <c r="AV267" i="1"/>
  <c r="AV531" i="1"/>
  <c r="AV434" i="1"/>
  <c r="AV56" i="1"/>
  <c r="AS1183" i="1"/>
  <c r="AV1183" i="1" s="1"/>
  <c r="AR1181" i="1"/>
  <c r="AQ1181" i="1"/>
  <c r="AT1181" i="1"/>
  <c r="AU1181" i="1"/>
  <c r="AS1184" i="1"/>
  <c r="AV1184" i="1" s="1"/>
  <c r="AV1180" i="1"/>
  <c r="AV1170" i="1"/>
  <c r="AS1167" i="1"/>
  <c r="AV1166" i="1"/>
  <c r="AT1167" i="1"/>
  <c r="AU1167" i="1"/>
  <c r="AV1156" i="1"/>
  <c r="AV1155" i="1"/>
  <c r="AV1152" i="1"/>
  <c r="AV1154" i="1"/>
  <c r="AQ1153" i="1"/>
  <c r="AR1153" i="1"/>
  <c r="AT1153" i="1"/>
  <c r="AU1153" i="1"/>
  <c r="AS1153" i="1"/>
  <c r="AV1142" i="1"/>
  <c r="AV1141" i="1"/>
  <c r="AR1140" i="1"/>
  <c r="AS1140" i="1"/>
  <c r="AT1140" i="1"/>
  <c r="AQ1143" i="1"/>
  <c r="AV1143" i="1" s="1"/>
  <c r="AU1140" i="1"/>
  <c r="AV1139" i="1"/>
  <c r="AS1126" i="1"/>
  <c r="AU1126" i="1"/>
  <c r="AS1129" i="1"/>
  <c r="AT1129" i="1"/>
  <c r="AV1114" i="1"/>
  <c r="AV1113" i="1"/>
  <c r="AT1112" i="1"/>
  <c r="AR1115" i="1"/>
  <c r="AV1115" i="1" s="1"/>
  <c r="AQ1112" i="1"/>
  <c r="AV1110" i="1"/>
  <c r="AV1111" i="1"/>
  <c r="AS1112" i="1"/>
  <c r="AV1101" i="1"/>
  <c r="AV1100" i="1"/>
  <c r="AV1099" i="1"/>
  <c r="AV1097" i="1"/>
  <c r="AQ1098" i="1"/>
  <c r="AR1098" i="1"/>
  <c r="AS1098" i="1"/>
  <c r="AT1098" i="1"/>
  <c r="AU1098" i="1"/>
  <c r="AV1058" i="1"/>
  <c r="AQ1057" i="1"/>
  <c r="AT1057" i="1"/>
  <c r="AR1060" i="1"/>
  <c r="AS1057" i="1"/>
  <c r="AV1045" i="1"/>
  <c r="AU1043" i="1"/>
  <c r="AV1044" i="1"/>
  <c r="AQ1043" i="1"/>
  <c r="AT1043" i="1"/>
  <c r="AV1042" i="1"/>
  <c r="AV1031" i="1"/>
  <c r="AV1030" i="1"/>
  <c r="AR1029" i="1"/>
  <c r="AQ1032" i="1"/>
  <c r="AT1029" i="1"/>
  <c r="AS1032" i="1"/>
  <c r="AV1028" i="1"/>
  <c r="AU1029" i="1"/>
  <c r="AV1018" i="1"/>
  <c r="AV1017" i="1"/>
  <c r="AV1015" i="1"/>
  <c r="AS1016" i="1"/>
  <c r="AQ1019" i="1"/>
  <c r="AT1016" i="1"/>
  <c r="AR1019" i="1"/>
  <c r="AU1016" i="1"/>
  <c r="AS1004" i="1"/>
  <c r="AV1004" i="1" s="1"/>
  <c r="AV1001" i="1"/>
  <c r="AQ1002" i="1"/>
  <c r="AV1000" i="1"/>
  <c r="AR1002" i="1"/>
  <c r="AS1002" i="1"/>
  <c r="AV988" i="1"/>
  <c r="AQ989" i="1"/>
  <c r="AR989" i="1"/>
  <c r="AS989" i="1"/>
  <c r="AS991" i="1"/>
  <c r="AV991" i="1" s="1"/>
  <c r="AT989" i="1"/>
  <c r="AU992" i="1"/>
  <c r="AV992" i="1" s="1"/>
  <c r="AV978" i="1"/>
  <c r="AS977" i="1"/>
  <c r="AV977" i="1" s="1"/>
  <c r="AV974" i="1"/>
  <c r="AQ975" i="1"/>
  <c r="AR975" i="1"/>
  <c r="AS975" i="1"/>
  <c r="AU975" i="1"/>
  <c r="AT975" i="1"/>
  <c r="AS937" i="1"/>
  <c r="AV937" i="1" s="1"/>
  <c r="AQ938" i="1"/>
  <c r="AT935" i="1"/>
  <c r="AR938" i="1"/>
  <c r="AU935" i="1"/>
  <c r="AS938" i="1"/>
  <c r="AV934" i="1"/>
  <c r="AV923" i="1"/>
  <c r="AV922" i="1"/>
  <c r="AQ921" i="1"/>
  <c r="AR921" i="1"/>
  <c r="AQ924" i="1"/>
  <c r="AT921" i="1"/>
  <c r="AU921" i="1"/>
  <c r="AS924" i="1"/>
  <c r="AV911" i="1"/>
  <c r="AV910" i="1"/>
  <c r="AV907" i="1"/>
  <c r="AQ908" i="1"/>
  <c r="AR908" i="1"/>
  <c r="AS908" i="1"/>
  <c r="AT908" i="1"/>
  <c r="AU908" i="1"/>
  <c r="AV909" i="1"/>
  <c r="AV896" i="1"/>
  <c r="AV895" i="1"/>
  <c r="AQ894" i="1"/>
  <c r="AS894" i="1"/>
  <c r="AQ897" i="1"/>
  <c r="AT894" i="1"/>
  <c r="AR897" i="1"/>
  <c r="AU894" i="1"/>
  <c r="AR829" i="1"/>
  <c r="AV829" i="1" s="1"/>
  <c r="AV826" i="1"/>
  <c r="AV825" i="1"/>
  <c r="AQ827" i="1"/>
  <c r="AR827" i="1"/>
  <c r="AV815" i="1"/>
  <c r="AV812" i="1"/>
  <c r="AQ813" i="1"/>
  <c r="AR813" i="1"/>
  <c r="AS813" i="1"/>
  <c r="AT813" i="1"/>
  <c r="AU813" i="1"/>
  <c r="AV814" i="1"/>
  <c r="AV801" i="1"/>
  <c r="AV797" i="1"/>
  <c r="AV800" i="1"/>
  <c r="AV798" i="1"/>
  <c r="AQ799" i="1"/>
  <c r="AR799" i="1"/>
  <c r="AS788" i="1"/>
  <c r="AV788" i="1" s="1"/>
  <c r="AQ789" i="1"/>
  <c r="AT786" i="1"/>
  <c r="AR789" i="1"/>
  <c r="AU786" i="1"/>
  <c r="AS789" i="1"/>
  <c r="AV785" i="1"/>
  <c r="AV774" i="1"/>
  <c r="AV773" i="1"/>
  <c r="AV771" i="1"/>
  <c r="AQ772" i="1"/>
  <c r="AR772" i="1"/>
  <c r="AS772" i="1"/>
  <c r="AV760" i="1"/>
  <c r="AV759" i="1"/>
  <c r="AV757" i="1"/>
  <c r="AR758" i="1"/>
  <c r="AS758" i="1"/>
  <c r="AT758" i="1"/>
  <c r="AU758" i="1"/>
  <c r="AQ758" i="1"/>
  <c r="AS746" i="1"/>
  <c r="AV746" i="1" s="1"/>
  <c r="AQ744" i="1"/>
  <c r="AR744" i="1"/>
  <c r="AS744" i="1"/>
  <c r="AQ747" i="1"/>
  <c r="AV747" i="1" s="1"/>
  <c r="AT744" i="1"/>
  <c r="AU744" i="1"/>
  <c r="AS733" i="1"/>
  <c r="AV733" i="1" s="1"/>
  <c r="AV730" i="1"/>
  <c r="AS731" i="1"/>
  <c r="AQ734" i="1"/>
  <c r="AT731" i="1"/>
  <c r="AU731" i="1"/>
  <c r="AR734" i="1"/>
  <c r="AV719" i="1"/>
  <c r="AV716" i="1"/>
  <c r="AR717" i="1"/>
  <c r="AS717" i="1"/>
  <c r="AQ720" i="1"/>
  <c r="AV720" i="1" s="1"/>
  <c r="AT717" i="1"/>
  <c r="AU717" i="1"/>
  <c r="AV718" i="1"/>
  <c r="AV694" i="1"/>
  <c r="AV692" i="1"/>
  <c r="AR691" i="1"/>
  <c r="AV690" i="1"/>
  <c r="AQ691" i="1"/>
  <c r="AS691" i="1"/>
  <c r="AT691" i="1"/>
  <c r="AU691" i="1"/>
  <c r="AV680" i="1"/>
  <c r="AV679" i="1"/>
  <c r="AV678" i="1"/>
  <c r="AV676" i="1"/>
  <c r="AR677" i="1"/>
  <c r="AT677" i="1"/>
  <c r="AQ677" i="1"/>
  <c r="AS677" i="1"/>
  <c r="AU677" i="1"/>
  <c r="AQ664" i="1"/>
  <c r="AR664" i="1"/>
  <c r="AS664" i="1"/>
  <c r="AT667" i="1"/>
  <c r="AV667" i="1" s="1"/>
  <c r="AS666" i="1"/>
  <c r="AV666" i="1" s="1"/>
  <c r="AU664" i="1"/>
  <c r="AV663" i="1"/>
  <c r="AS652" i="1"/>
  <c r="AV652" i="1" s="1"/>
  <c r="AV649" i="1"/>
  <c r="AQ650" i="1"/>
  <c r="AR650" i="1"/>
  <c r="AS650" i="1"/>
  <c r="AT650" i="1"/>
  <c r="AU650" i="1"/>
  <c r="AV638" i="1"/>
  <c r="AV637" i="1"/>
  <c r="AR636" i="1"/>
  <c r="AS636" i="1"/>
  <c r="AT639" i="1"/>
  <c r="AV639" i="1" s="1"/>
  <c r="AV635" i="1"/>
  <c r="AQ636" i="1"/>
  <c r="AU636" i="1"/>
  <c r="AV625" i="1"/>
  <c r="AT626" i="1"/>
  <c r="AV624" i="1"/>
  <c r="AV622" i="1"/>
  <c r="AQ623" i="1"/>
  <c r="AS623" i="1"/>
  <c r="AU626" i="1"/>
  <c r="AR623" i="1"/>
  <c r="AS611" i="1"/>
  <c r="AV611" i="1" s="1"/>
  <c r="AS609" i="1"/>
  <c r="AR612" i="1"/>
  <c r="AV612" i="1" s="1"/>
  <c r="AU609" i="1"/>
  <c r="AV608" i="1"/>
  <c r="AQ609" i="1"/>
  <c r="AT609" i="1"/>
  <c r="AV597" i="1"/>
  <c r="AQ598" i="1"/>
  <c r="AV598" i="1" s="1"/>
  <c r="AV596" i="1"/>
  <c r="AR595" i="1"/>
  <c r="AV594" i="1"/>
  <c r="AS595" i="1"/>
  <c r="AT595" i="1"/>
  <c r="AU595" i="1"/>
  <c r="AS530" i="1"/>
  <c r="AV530" i="1" s="1"/>
  <c r="AQ528" i="1"/>
  <c r="AS528" i="1"/>
  <c r="AV527" i="1"/>
  <c r="AR528" i="1"/>
  <c r="AT528" i="1"/>
  <c r="AU528" i="1"/>
  <c r="AV516" i="1"/>
  <c r="AV515" i="1"/>
  <c r="AV513" i="1"/>
  <c r="AQ514" i="1"/>
  <c r="AR514" i="1"/>
  <c r="AS514" i="1"/>
  <c r="AT514" i="1"/>
  <c r="AV503" i="1"/>
  <c r="AV502" i="1"/>
  <c r="AV500" i="1"/>
  <c r="AQ501" i="1"/>
  <c r="AR501" i="1"/>
  <c r="AS501" i="1"/>
  <c r="AT501" i="1"/>
  <c r="AU501" i="1"/>
  <c r="AS489" i="1"/>
  <c r="AV489" i="1" s="1"/>
  <c r="AR487" i="1"/>
  <c r="AU487" i="1"/>
  <c r="AS490" i="1"/>
  <c r="AT490" i="1"/>
  <c r="AV486" i="1"/>
  <c r="AQ487" i="1"/>
  <c r="AR476" i="1"/>
  <c r="AV476" i="1" s="1"/>
  <c r="AQ477" i="1"/>
  <c r="AT474" i="1"/>
  <c r="AR477" i="1"/>
  <c r="AQ474" i="1"/>
  <c r="AS474" i="1"/>
  <c r="AU474" i="1"/>
  <c r="AV462" i="1"/>
  <c r="AV459" i="1"/>
  <c r="AT463" i="1"/>
  <c r="AV463" i="1" s="1"/>
  <c r="AV461" i="1"/>
  <c r="AQ460" i="1"/>
  <c r="AR460" i="1"/>
  <c r="AS460" i="1"/>
  <c r="AU460" i="1"/>
  <c r="AR447" i="1"/>
  <c r="AQ450" i="1"/>
  <c r="AU447" i="1"/>
  <c r="AS450" i="1"/>
  <c r="AT450" i="1"/>
  <c r="AV448" i="1"/>
  <c r="AV446" i="1"/>
  <c r="AS435" i="1"/>
  <c r="AV435" i="1" s="1"/>
  <c r="AR433" i="1"/>
  <c r="AS433" i="1"/>
  <c r="AT433" i="1"/>
  <c r="AV432" i="1"/>
  <c r="AQ433" i="1"/>
  <c r="AU433" i="1"/>
  <c r="AV422" i="1"/>
  <c r="AV421" i="1"/>
  <c r="AR420" i="1"/>
  <c r="AQ423" i="1"/>
  <c r="AT420" i="1"/>
  <c r="AU420" i="1"/>
  <c r="AS423" i="1"/>
  <c r="AV419" i="1"/>
  <c r="AV408" i="1"/>
  <c r="AV405" i="1"/>
  <c r="AS406" i="1"/>
  <c r="AQ409" i="1"/>
  <c r="AV409" i="1" s="1"/>
  <c r="AV407" i="1"/>
  <c r="AR406" i="1"/>
  <c r="AT406" i="1"/>
  <c r="AU406" i="1"/>
  <c r="AV393" i="1"/>
  <c r="AV391" i="1"/>
  <c r="AQ392" i="1"/>
  <c r="AR392" i="1"/>
  <c r="AS392" i="1"/>
  <c r="AT392" i="1"/>
  <c r="AU392" i="1"/>
  <c r="AV381" i="1"/>
  <c r="AQ379" i="1"/>
  <c r="AV380" i="1"/>
  <c r="AV378" i="1"/>
  <c r="AR379" i="1"/>
  <c r="AS379" i="1"/>
  <c r="AT379" i="1"/>
  <c r="AU379" i="1"/>
  <c r="AS367" i="1"/>
  <c r="AV367" i="1" s="1"/>
  <c r="AV364" i="1"/>
  <c r="AQ365" i="1"/>
  <c r="AS365" i="1"/>
  <c r="AT365" i="1"/>
  <c r="AR368" i="1"/>
  <c r="AV368" i="1" s="1"/>
  <c r="AU365" i="1"/>
  <c r="AS353" i="1"/>
  <c r="AV353" i="1" s="1"/>
  <c r="AV350" i="1"/>
  <c r="AQ351" i="1"/>
  <c r="AR351" i="1"/>
  <c r="AS351" i="1"/>
  <c r="AT351" i="1"/>
  <c r="AU351" i="1"/>
  <c r="AV337" i="1"/>
  <c r="AQ338" i="1"/>
  <c r="AS338" i="1"/>
  <c r="AT338" i="1"/>
  <c r="AR341" i="1"/>
  <c r="AV341" i="1" s="1"/>
  <c r="AU338" i="1"/>
  <c r="AV339" i="1"/>
  <c r="AV322" i="1"/>
  <c r="AV325" i="1"/>
  <c r="AV323" i="1"/>
  <c r="AQ324" i="1"/>
  <c r="AR324" i="1"/>
  <c r="AS324" i="1"/>
  <c r="AT324" i="1"/>
  <c r="AV312" i="1"/>
  <c r="AV311" i="1"/>
  <c r="AV309" i="1"/>
  <c r="AQ310" i="1"/>
  <c r="AR310" i="1"/>
  <c r="AS310" i="1"/>
  <c r="AT310" i="1"/>
  <c r="AU310" i="1"/>
  <c r="AV296" i="1"/>
  <c r="AS297" i="1"/>
  <c r="AQ300" i="1"/>
  <c r="AT297" i="1"/>
  <c r="AR300" i="1"/>
  <c r="AU297" i="1"/>
  <c r="AS299" i="1"/>
  <c r="AV299" i="1" s="1"/>
  <c r="AV285" i="1"/>
  <c r="AV284" i="1"/>
  <c r="AU283" i="1"/>
  <c r="AS286" i="1"/>
  <c r="AV286" i="1" s="1"/>
  <c r="AV282" i="1"/>
  <c r="AQ283" i="1"/>
  <c r="AR283" i="1"/>
  <c r="AT283" i="1"/>
  <c r="AV270" i="1"/>
  <c r="AV268" i="1"/>
  <c r="AQ269" i="1"/>
  <c r="AR269" i="1"/>
  <c r="AS269" i="1"/>
  <c r="AT269" i="1"/>
  <c r="AU269" i="1"/>
  <c r="AV258" i="1"/>
  <c r="AR256" i="1"/>
  <c r="AS256" i="1"/>
  <c r="AQ259" i="1"/>
  <c r="AV259" i="1" s="1"/>
  <c r="AT256" i="1"/>
  <c r="AV257" i="1"/>
  <c r="AV255" i="1"/>
  <c r="AU256" i="1"/>
  <c r="AQ244" i="1"/>
  <c r="AV244" i="1" s="1"/>
  <c r="AQ242" i="1"/>
  <c r="AQ245" i="1"/>
  <c r="AT242" i="1"/>
  <c r="AS245" i="1"/>
  <c r="AR242" i="1"/>
  <c r="AV230" i="1"/>
  <c r="AV229" i="1"/>
  <c r="AS231" i="1"/>
  <c r="AT231" i="1"/>
  <c r="AV227" i="1"/>
  <c r="AR228" i="1"/>
  <c r="AQ231" i="1"/>
  <c r="AU228" i="1"/>
  <c r="AV218" i="1"/>
  <c r="AV216" i="1"/>
  <c r="AV214" i="1"/>
  <c r="AQ215" i="1"/>
  <c r="AR215" i="1"/>
  <c r="AS215" i="1"/>
  <c r="AT215" i="1"/>
  <c r="AU215" i="1"/>
  <c r="AR203" i="1"/>
  <c r="AV203" i="1" s="1"/>
  <c r="AV200" i="1"/>
  <c r="AQ201" i="1"/>
  <c r="AR201" i="1"/>
  <c r="AS201" i="1"/>
  <c r="AT201" i="1"/>
  <c r="AV190" i="1"/>
  <c r="AV189" i="1"/>
  <c r="AV187" i="1"/>
  <c r="AQ188" i="1"/>
  <c r="AR188" i="1"/>
  <c r="AS188" i="1"/>
  <c r="AT188" i="1"/>
  <c r="AU188" i="1"/>
  <c r="AV163" i="1"/>
  <c r="AV162" i="1"/>
  <c r="AV160" i="1"/>
  <c r="AQ161" i="1"/>
  <c r="AR161" i="1"/>
  <c r="AS161" i="1"/>
  <c r="AT161" i="1"/>
  <c r="AU161" i="1"/>
  <c r="AR149" i="1"/>
  <c r="AV149" i="1" s="1"/>
  <c r="AV146" i="1"/>
  <c r="AQ147" i="1"/>
  <c r="AR147" i="1"/>
  <c r="AS147" i="1"/>
  <c r="AT147" i="1"/>
  <c r="AU147" i="1"/>
  <c r="AV136" i="1"/>
  <c r="AV132" i="1"/>
  <c r="AV135" i="1"/>
  <c r="AV133" i="1"/>
  <c r="AQ134" i="1"/>
  <c r="AV122" i="1"/>
  <c r="AV121" i="1"/>
  <c r="AV119" i="1"/>
  <c r="AQ120" i="1"/>
  <c r="AR120" i="1"/>
  <c r="AT120" i="1"/>
  <c r="AU120" i="1"/>
  <c r="AS120" i="1"/>
  <c r="AV108" i="1"/>
  <c r="AV106" i="1"/>
  <c r="AQ107" i="1"/>
  <c r="AR107" i="1"/>
  <c r="AS107" i="1"/>
  <c r="AT107" i="1"/>
  <c r="AR95" i="1"/>
  <c r="AV95" i="1" s="1"/>
  <c r="AV92" i="1"/>
  <c r="AQ93" i="1"/>
  <c r="AT93" i="1"/>
  <c r="AS96" i="1"/>
  <c r="AV96" i="1" s="1"/>
  <c r="AR93" i="1"/>
  <c r="AU93" i="1"/>
  <c r="AV81" i="1"/>
  <c r="AV79" i="1"/>
  <c r="AQ80" i="1"/>
  <c r="AR80" i="1"/>
  <c r="AS80" i="1"/>
  <c r="AT80" i="1"/>
  <c r="AU80" i="1"/>
  <c r="AV68" i="1"/>
  <c r="AV67" i="1"/>
  <c r="AT66" i="1"/>
  <c r="AU66" i="1"/>
  <c r="AR66" i="1"/>
  <c r="AS66" i="1"/>
  <c r="AV65" i="1"/>
  <c r="AQ66" i="1"/>
  <c r="AV55" i="1"/>
  <c r="AV54" i="1"/>
  <c r="AV52" i="1"/>
  <c r="AQ53" i="1"/>
  <c r="AR53" i="1"/>
  <c r="AS53" i="1"/>
  <c r="AT53" i="1"/>
  <c r="AU53" i="1"/>
  <c r="AR41" i="1"/>
  <c r="AV41" i="1" s="1"/>
  <c r="AV38" i="1"/>
  <c r="AQ39" i="1"/>
  <c r="AR39" i="1"/>
  <c r="AS39" i="1"/>
  <c r="AT39" i="1"/>
  <c r="AU39" i="1"/>
  <c r="AV27" i="1"/>
  <c r="AV24" i="1"/>
  <c r="AV26" i="1"/>
  <c r="AQ25" i="1"/>
  <c r="AS25" i="1"/>
  <c r="AT25" i="1"/>
  <c r="AR28" i="1"/>
  <c r="AV28" i="1" s="1"/>
  <c r="AU25" i="1"/>
  <c r="AV137" i="1" l="1"/>
  <c r="AV134" i="1"/>
  <c r="AV297" i="1"/>
  <c r="AV487" i="1"/>
  <c r="AV242" i="1"/>
  <c r="AV66" i="1"/>
  <c r="AV231" i="1"/>
  <c r="AV256" i="1"/>
  <c r="AV626" i="1"/>
  <c r="AV717" i="1"/>
  <c r="AV758" i="1"/>
  <c r="AV1029" i="1"/>
  <c r="AV1016" i="1"/>
  <c r="AV1129" i="1"/>
  <c r="AV1126" i="1"/>
  <c r="AV1167" i="1"/>
  <c r="AV1140" i="1"/>
  <c r="AV1060" i="1"/>
  <c r="AV935" i="1"/>
  <c r="AV731" i="1"/>
  <c r="AV786" i="1"/>
  <c r="AV595" i="1"/>
  <c r="AV245" i="1"/>
  <c r="AV228" i="1"/>
  <c r="AV490" i="1"/>
  <c r="AV447" i="1"/>
  <c r="AV406" i="1"/>
  <c r="AV188" i="1"/>
  <c r="AV420" i="1"/>
  <c r="AV1181" i="1"/>
  <c r="AV1153" i="1"/>
  <c r="AV1112" i="1"/>
  <c r="AV1098" i="1"/>
  <c r="AV1057" i="1"/>
  <c r="AV1043" i="1"/>
  <c r="AV1032" i="1"/>
  <c r="AV1019" i="1"/>
  <c r="AV1002" i="1"/>
  <c r="AV989" i="1"/>
  <c r="AV975" i="1"/>
  <c r="AV938" i="1"/>
  <c r="AV921" i="1"/>
  <c r="AV924" i="1"/>
  <c r="AV908" i="1"/>
  <c r="AV897" i="1"/>
  <c r="AV894" i="1"/>
  <c r="AV827" i="1"/>
  <c r="AV813" i="1"/>
  <c r="AV799" i="1"/>
  <c r="AV789" i="1"/>
  <c r="AV772" i="1"/>
  <c r="AV744" i="1"/>
  <c r="AV734" i="1"/>
  <c r="AV691" i="1"/>
  <c r="AV677" i="1"/>
  <c r="AV664" i="1"/>
  <c r="AV650" i="1"/>
  <c r="AV636" i="1"/>
  <c r="AV623" i="1"/>
  <c r="AV609" i="1"/>
  <c r="AV528" i="1"/>
  <c r="AV514" i="1"/>
  <c r="AV501" i="1"/>
  <c r="AV474" i="1"/>
  <c r="AV477" i="1"/>
  <c r="AV460" i="1"/>
  <c r="AV450" i="1"/>
  <c r="AV433" i="1"/>
  <c r="AV423" i="1"/>
  <c r="AV392" i="1"/>
  <c r="AV379" i="1"/>
  <c r="AV365" i="1"/>
  <c r="AV351" i="1"/>
  <c r="AV338" i="1"/>
  <c r="AV324" i="1"/>
  <c r="AV310" i="1"/>
  <c r="AV300" i="1"/>
  <c r="AV283" i="1"/>
  <c r="AV269" i="1"/>
  <c r="AV215" i="1"/>
  <c r="AV201" i="1"/>
  <c r="AV161" i="1"/>
  <c r="AV147" i="1"/>
  <c r="AV120" i="1"/>
  <c r="AV107" i="1"/>
  <c r="AV93" i="1"/>
  <c r="AV80" i="1"/>
  <c r="AV53" i="1"/>
  <c r="AV39" i="1"/>
  <c r="AV25" i="1"/>
  <c r="E66" i="1"/>
  <c r="Q160" i="4"/>
  <c r="AC475" i="4" l="1"/>
  <c r="AD475" i="4"/>
  <c r="J251" i="4" l="1"/>
  <c r="J203" i="4"/>
  <c r="E203" i="4"/>
  <c r="F235" i="4"/>
  <c r="G235" i="4"/>
  <c r="H235" i="4"/>
  <c r="I235" i="4"/>
  <c r="J235" i="4"/>
  <c r="K235" i="4"/>
  <c r="L235" i="4"/>
  <c r="M235" i="4"/>
  <c r="N235" i="4"/>
  <c r="O235" i="4"/>
  <c r="P235" i="4"/>
  <c r="Q235" i="4"/>
  <c r="R235" i="4"/>
  <c r="S235" i="4"/>
  <c r="T235" i="4"/>
  <c r="U235" i="4"/>
  <c r="V235" i="4"/>
  <c r="W235" i="4"/>
  <c r="X235" i="4"/>
  <c r="Y235" i="4"/>
  <c r="Z235" i="4"/>
  <c r="AA235" i="4"/>
  <c r="AB235" i="4"/>
  <c r="AC235" i="4"/>
  <c r="AD235" i="4"/>
  <c r="AE235" i="4"/>
  <c r="AF235" i="4"/>
  <c r="AG235" i="4"/>
  <c r="AH235" i="4"/>
  <c r="AI235" i="4"/>
  <c r="E235" i="4"/>
  <c r="I267" i="4"/>
  <c r="I251" i="4"/>
  <c r="I155" i="4"/>
  <c r="I203" i="4"/>
  <c r="I347" i="4"/>
  <c r="G650" i="1" l="1"/>
  <c r="AU27" i="2" l="1"/>
  <c r="AT27" i="2"/>
  <c r="AS27" i="2"/>
  <c r="AR27" i="2"/>
  <c r="AQ27" i="2"/>
  <c r="AU25" i="2"/>
  <c r="AT25" i="2"/>
  <c r="AS25" i="2"/>
  <c r="AR25" i="2"/>
  <c r="AQ25" i="2"/>
  <c r="AU24" i="2"/>
  <c r="AT24" i="2"/>
  <c r="AS24" i="2"/>
  <c r="AR24" i="2"/>
  <c r="AQ24" i="2"/>
  <c r="E357" i="4"/>
  <c r="C331" i="4"/>
  <c r="C338" i="4"/>
  <c r="C258" i="4"/>
  <c r="C251" i="4"/>
  <c r="C236" i="4"/>
  <c r="C139" i="4"/>
  <c r="C146" i="4"/>
  <c r="C130" i="4"/>
  <c r="C123" i="4"/>
  <c r="C98" i="4"/>
  <c r="C91" i="4"/>
  <c r="AV24" i="2" l="1"/>
  <c r="AV27" i="2"/>
  <c r="AV25" i="2"/>
  <c r="AQ26" i="2"/>
  <c r="AR26" i="2"/>
  <c r="AS26" i="2"/>
  <c r="AT26" i="2"/>
  <c r="AU26" i="2"/>
  <c r="C558" i="3"/>
  <c r="C574" i="3"/>
  <c r="C545" i="3"/>
  <c r="C476" i="3"/>
  <c r="C348" i="3"/>
  <c r="C335" i="3"/>
  <c r="C236" i="3"/>
  <c r="C208" i="3"/>
  <c r="C138" i="3"/>
  <c r="C96" i="3"/>
  <c r="AV26" i="2" l="1"/>
  <c r="C82" i="3"/>
  <c r="AR73" i="9" l="1"/>
  <c r="AQ73" i="9"/>
  <c r="AU76" i="9"/>
  <c r="AU508" i="4"/>
  <c r="AU509" i="4" s="1"/>
  <c r="AT508" i="4"/>
  <c r="AT509" i="4" s="1"/>
  <c r="AS508" i="4"/>
  <c r="AR508" i="4"/>
  <c r="AR509" i="4" s="1"/>
  <c r="AQ508" i="4"/>
  <c r="AQ509" i="4" s="1"/>
  <c r="AU506" i="4"/>
  <c r="AU510" i="4" s="1"/>
  <c r="AT506" i="4"/>
  <c r="AT510" i="4" s="1"/>
  <c r="AS506" i="4"/>
  <c r="AS510" i="4" s="1"/>
  <c r="AR506" i="4"/>
  <c r="AR510" i="4" s="1"/>
  <c r="AQ506" i="4"/>
  <c r="AU505" i="4"/>
  <c r="AT505" i="4"/>
  <c r="AS505" i="4"/>
  <c r="AR505" i="4"/>
  <c r="AQ505" i="4"/>
  <c r="AU444" i="4"/>
  <c r="AT444" i="4"/>
  <c r="AS444" i="4"/>
  <c r="AR444" i="4"/>
  <c r="AQ444" i="4"/>
  <c r="AU442" i="4"/>
  <c r="AT442" i="4"/>
  <c r="AS442" i="4"/>
  <c r="AR442" i="4"/>
  <c r="AQ442" i="4"/>
  <c r="AU441" i="4"/>
  <c r="AT441" i="4"/>
  <c r="AS441" i="4"/>
  <c r="AR441" i="4"/>
  <c r="AQ441" i="4"/>
  <c r="AU428" i="4"/>
  <c r="AT428" i="4"/>
  <c r="AS428" i="4"/>
  <c r="AR428" i="4"/>
  <c r="AQ428" i="4"/>
  <c r="AU426" i="4"/>
  <c r="AT426" i="4"/>
  <c r="AS426" i="4"/>
  <c r="AR426" i="4"/>
  <c r="AQ426" i="4"/>
  <c r="AU425" i="4"/>
  <c r="AT425" i="4"/>
  <c r="AS425" i="4"/>
  <c r="AR425" i="4"/>
  <c r="AQ425" i="4"/>
  <c r="AU412" i="4"/>
  <c r="AT412" i="4"/>
  <c r="AS412" i="4"/>
  <c r="AR412" i="4"/>
  <c r="AQ412" i="4"/>
  <c r="AU410" i="4"/>
  <c r="AT410" i="4"/>
  <c r="AS410" i="4"/>
  <c r="AR410" i="4"/>
  <c r="AQ410" i="4"/>
  <c r="AU409" i="4"/>
  <c r="AT409" i="4"/>
  <c r="AS409" i="4"/>
  <c r="AR409" i="4"/>
  <c r="AQ409" i="4"/>
  <c r="AU348" i="4"/>
  <c r="AU349" i="4" s="1"/>
  <c r="AT348" i="4"/>
  <c r="AT349" i="4" s="1"/>
  <c r="AS348" i="4"/>
  <c r="AR348" i="4"/>
  <c r="AR349" i="4" s="1"/>
  <c r="AQ348" i="4"/>
  <c r="AQ349" i="4" s="1"/>
  <c r="AU346" i="4"/>
  <c r="AU350" i="4" s="1"/>
  <c r="AT346" i="4"/>
  <c r="AT350" i="4" s="1"/>
  <c r="AS346" i="4"/>
  <c r="AS350" i="4" s="1"/>
  <c r="AR346" i="4"/>
  <c r="AQ346" i="4"/>
  <c r="AQ350" i="4" s="1"/>
  <c r="AU345" i="4"/>
  <c r="AT345" i="4"/>
  <c r="AS345" i="4"/>
  <c r="AR345" i="4"/>
  <c r="AQ345" i="4"/>
  <c r="AU316" i="4"/>
  <c r="AU317" i="4" s="1"/>
  <c r="AT316" i="4"/>
  <c r="AT317" i="4" s="1"/>
  <c r="AS316" i="4"/>
  <c r="AS317" i="4" s="1"/>
  <c r="AR316" i="4"/>
  <c r="AR317" i="4" s="1"/>
  <c r="AQ316" i="4"/>
  <c r="AQ317" i="4" s="1"/>
  <c r="AU314" i="4"/>
  <c r="AU318" i="4" s="1"/>
  <c r="AT314" i="4"/>
  <c r="AS314" i="4"/>
  <c r="AS318" i="4" s="1"/>
  <c r="AR314" i="4"/>
  <c r="AQ314" i="4"/>
  <c r="AU313" i="4"/>
  <c r="AT313" i="4"/>
  <c r="AS313" i="4"/>
  <c r="AR313" i="4"/>
  <c r="AQ313" i="4"/>
  <c r="AU300" i="4"/>
  <c r="AU301" i="4" s="1"/>
  <c r="AT300" i="4"/>
  <c r="AT301" i="4" s="1"/>
  <c r="AS300" i="4"/>
  <c r="AS301" i="4" s="1"/>
  <c r="AR300" i="4"/>
  <c r="AR301" i="4" s="1"/>
  <c r="AQ300" i="4"/>
  <c r="AQ301" i="4" s="1"/>
  <c r="AU298" i="4"/>
  <c r="AU302" i="4" s="1"/>
  <c r="AT298" i="4"/>
  <c r="AT302" i="4" s="1"/>
  <c r="AS298" i="4"/>
  <c r="AS302" i="4" s="1"/>
  <c r="AR298" i="4"/>
  <c r="AR302" i="4" s="1"/>
  <c r="AQ298" i="4"/>
  <c r="AU297" i="4"/>
  <c r="AT297" i="4"/>
  <c r="AS297" i="4"/>
  <c r="AR297" i="4"/>
  <c r="AQ297" i="4"/>
  <c r="AU284" i="4"/>
  <c r="AU285" i="4" s="1"/>
  <c r="AT284" i="4"/>
  <c r="AT285" i="4" s="1"/>
  <c r="AS284" i="4"/>
  <c r="AS285" i="4" s="1"/>
  <c r="AR284" i="4"/>
  <c r="AR285" i="4" s="1"/>
  <c r="AQ284" i="4"/>
  <c r="AQ285" i="4" s="1"/>
  <c r="AU282" i="4"/>
  <c r="AU286" i="4" s="1"/>
  <c r="AT282" i="4"/>
  <c r="AT286" i="4" s="1"/>
  <c r="AS282" i="4"/>
  <c r="AS286" i="4" s="1"/>
  <c r="AR282" i="4"/>
  <c r="AQ282" i="4"/>
  <c r="AQ286" i="4" s="1"/>
  <c r="AU281" i="4"/>
  <c r="AT281" i="4"/>
  <c r="AS281" i="4"/>
  <c r="AR281" i="4"/>
  <c r="AQ281" i="4"/>
  <c r="AU220" i="4"/>
  <c r="AU221" i="4" s="1"/>
  <c r="AT220" i="4"/>
  <c r="AT221" i="4" s="1"/>
  <c r="AS220" i="4"/>
  <c r="AS221" i="4" s="1"/>
  <c r="AR220" i="4"/>
  <c r="AR221" i="4" s="1"/>
  <c r="AQ220" i="4"/>
  <c r="AQ221" i="4" s="1"/>
  <c r="AU218" i="4"/>
  <c r="AU222" i="4" s="1"/>
  <c r="AT218" i="4"/>
  <c r="AT222" i="4" s="1"/>
  <c r="AS218" i="4"/>
  <c r="AS222" i="4" s="1"/>
  <c r="AR218" i="4"/>
  <c r="AR222" i="4" s="1"/>
  <c r="AQ218" i="4"/>
  <c r="AQ222" i="4" s="1"/>
  <c r="AU217" i="4"/>
  <c r="AT217" i="4"/>
  <c r="AS217" i="4"/>
  <c r="AR217" i="4"/>
  <c r="AQ217" i="4"/>
  <c r="AU188" i="4"/>
  <c r="AU189" i="4" s="1"/>
  <c r="AT188" i="4"/>
  <c r="AT189" i="4" s="1"/>
  <c r="AS188" i="4"/>
  <c r="AS189" i="4" s="1"/>
  <c r="AR188" i="4"/>
  <c r="AR189" i="4" s="1"/>
  <c r="AQ188" i="4"/>
  <c r="AQ189" i="4" s="1"/>
  <c r="AU186" i="4"/>
  <c r="AT186" i="4"/>
  <c r="AS186" i="4"/>
  <c r="AR186" i="4"/>
  <c r="AQ186" i="4"/>
  <c r="AU185" i="4"/>
  <c r="AT185" i="4"/>
  <c r="AS185" i="4"/>
  <c r="AR185" i="4"/>
  <c r="AQ185" i="4"/>
  <c r="AU108" i="4"/>
  <c r="AU109" i="4" s="1"/>
  <c r="AT108" i="4"/>
  <c r="AT109" i="4" s="1"/>
  <c r="AS108" i="4"/>
  <c r="AS109" i="4" s="1"/>
  <c r="AR108" i="4"/>
  <c r="AR109" i="4" s="1"/>
  <c r="AQ108" i="4"/>
  <c r="AQ109" i="4" s="1"/>
  <c r="AU106" i="4"/>
  <c r="AU110" i="4" s="1"/>
  <c r="AT106" i="4"/>
  <c r="AT110" i="4" s="1"/>
  <c r="AS106" i="4"/>
  <c r="AS110" i="4" s="1"/>
  <c r="AR106" i="4"/>
  <c r="AR110" i="4" s="1"/>
  <c r="AQ106" i="4"/>
  <c r="AU105" i="4"/>
  <c r="AT105" i="4"/>
  <c r="AS105" i="4"/>
  <c r="AR105" i="4"/>
  <c r="AQ105" i="4"/>
  <c r="AU76" i="4"/>
  <c r="AT76" i="4"/>
  <c r="AS76" i="4"/>
  <c r="AR76" i="4"/>
  <c r="AQ76" i="4"/>
  <c r="AU74" i="4"/>
  <c r="AT74" i="4"/>
  <c r="AS74" i="4"/>
  <c r="AR74" i="4"/>
  <c r="AQ74" i="4"/>
  <c r="AU73" i="4"/>
  <c r="AT73" i="4"/>
  <c r="AS73" i="4"/>
  <c r="AR73" i="4"/>
  <c r="AQ73" i="4"/>
  <c r="AU60" i="4"/>
  <c r="AT60" i="4"/>
  <c r="AS60" i="4"/>
  <c r="AR60" i="4"/>
  <c r="AQ60" i="4"/>
  <c r="AU58" i="4"/>
  <c r="AT58" i="4"/>
  <c r="AS58" i="4"/>
  <c r="AR58" i="4"/>
  <c r="AQ58" i="4"/>
  <c r="AU57" i="4"/>
  <c r="AT57" i="4"/>
  <c r="AS57" i="4"/>
  <c r="AR57" i="4"/>
  <c r="AQ57" i="4"/>
  <c r="AU44" i="4"/>
  <c r="AT44" i="4"/>
  <c r="AS44" i="4"/>
  <c r="AR44" i="4"/>
  <c r="AQ44" i="4"/>
  <c r="AU42" i="4"/>
  <c r="AT42" i="4"/>
  <c r="AS42" i="4"/>
  <c r="AR42" i="4"/>
  <c r="AQ42" i="4"/>
  <c r="AU41" i="4"/>
  <c r="AT41" i="4"/>
  <c r="AS41" i="4"/>
  <c r="AR41" i="4"/>
  <c r="AQ41" i="4"/>
  <c r="AR528" i="4" l="1"/>
  <c r="AU528" i="4"/>
  <c r="AQ528" i="4"/>
  <c r="AS190" i="4"/>
  <c r="AS528" i="4"/>
  <c r="AV189" i="4"/>
  <c r="AT190" i="4"/>
  <c r="AT528" i="4"/>
  <c r="AQ74" i="9"/>
  <c r="AQ107" i="4"/>
  <c r="AQ187" i="4"/>
  <c r="AV57" i="4"/>
  <c r="AT75" i="4"/>
  <c r="AR75" i="4"/>
  <c r="AR76" i="9"/>
  <c r="AQ76" i="9"/>
  <c r="AT73" i="9"/>
  <c r="AU73" i="9"/>
  <c r="AS73" i="9"/>
  <c r="AT76" i="9"/>
  <c r="AS76" i="9"/>
  <c r="AS75" i="4"/>
  <c r="AV24" i="9"/>
  <c r="AV25" i="9"/>
  <c r="AV313" i="4"/>
  <c r="AQ315" i="4"/>
  <c r="AR315" i="4"/>
  <c r="AQ507" i="4"/>
  <c r="AV345" i="4"/>
  <c r="AT315" i="4"/>
  <c r="AR347" i="4"/>
  <c r="AT43" i="4"/>
  <c r="AV73" i="4"/>
  <c r="AV508" i="4"/>
  <c r="AV348" i="4"/>
  <c r="AQ427" i="4"/>
  <c r="AV409" i="4"/>
  <c r="AV410" i="4"/>
  <c r="AV505" i="4"/>
  <c r="AQ443" i="4"/>
  <c r="AU427" i="4"/>
  <c r="AV425" i="4"/>
  <c r="AV441" i="4"/>
  <c r="AR427" i="4"/>
  <c r="AV281" i="4"/>
  <c r="AV297" i="4"/>
  <c r="AQ299" i="4"/>
  <c r="AR283" i="4"/>
  <c r="AV217" i="4"/>
  <c r="AV222" i="4"/>
  <c r="AV185" i="4"/>
  <c r="AR187" i="4"/>
  <c r="AU187" i="4"/>
  <c r="AU190" i="4"/>
  <c r="AV105" i="4"/>
  <c r="AV106" i="4"/>
  <c r="AV58" i="4"/>
  <c r="AV41" i="4"/>
  <c r="AV27" i="9"/>
  <c r="AS509" i="4"/>
  <c r="AV509" i="4" s="1"/>
  <c r="AR507" i="4"/>
  <c r="AQ510" i="4"/>
  <c r="AV510" i="4" s="1"/>
  <c r="AT507" i="4"/>
  <c r="AV506" i="4"/>
  <c r="AS507" i="4"/>
  <c r="AU507" i="4"/>
  <c r="AV444" i="4"/>
  <c r="AV442" i="4"/>
  <c r="AR443" i="4"/>
  <c r="AS443" i="4"/>
  <c r="AT443" i="4"/>
  <c r="AU443" i="4"/>
  <c r="AV428" i="4"/>
  <c r="AV426" i="4"/>
  <c r="AS427" i="4"/>
  <c r="AT427" i="4"/>
  <c r="AV412" i="4"/>
  <c r="AQ411" i="4"/>
  <c r="AT411" i="4"/>
  <c r="AU411" i="4"/>
  <c r="AR411" i="4"/>
  <c r="AS411" i="4"/>
  <c r="AS349" i="4"/>
  <c r="AV349" i="4" s="1"/>
  <c r="AS347" i="4"/>
  <c r="AT347" i="4"/>
  <c r="AR350" i="4"/>
  <c r="AV350" i="4" s="1"/>
  <c r="AV346" i="4"/>
  <c r="AQ347" i="4"/>
  <c r="AU347" i="4"/>
  <c r="AV317" i="4"/>
  <c r="AT318" i="4"/>
  <c r="AV316" i="4"/>
  <c r="AS315" i="4"/>
  <c r="AQ318" i="4"/>
  <c r="AR318" i="4"/>
  <c r="AU315" i="4"/>
  <c r="AV314" i="4"/>
  <c r="AV301" i="4"/>
  <c r="AR299" i="4"/>
  <c r="AS299" i="4"/>
  <c r="AQ302" i="4"/>
  <c r="AV302" i="4" s="1"/>
  <c r="AV300" i="4"/>
  <c r="AV298" i="4"/>
  <c r="AT299" i="4"/>
  <c r="AU299" i="4"/>
  <c r="AV285" i="4"/>
  <c r="AS283" i="4"/>
  <c r="AT283" i="4"/>
  <c r="AR286" i="4"/>
  <c r="AV286" i="4" s="1"/>
  <c r="AV282" i="4"/>
  <c r="AQ283" i="4"/>
  <c r="AU283" i="4"/>
  <c r="AV284" i="4"/>
  <c r="AV221" i="4"/>
  <c r="AV218" i="4"/>
  <c r="AQ219" i="4"/>
  <c r="AR219" i="4"/>
  <c r="AS219" i="4"/>
  <c r="AT219" i="4"/>
  <c r="AU219" i="4"/>
  <c r="AV220" i="4"/>
  <c r="AS187" i="4"/>
  <c r="AQ190" i="4"/>
  <c r="AT187" i="4"/>
  <c r="AR190" i="4"/>
  <c r="AV188" i="4"/>
  <c r="AV186" i="4"/>
  <c r="AV109" i="4"/>
  <c r="AV108" i="4"/>
  <c r="AR107" i="4"/>
  <c r="AS107" i="4"/>
  <c r="AQ110" i="4"/>
  <c r="AV110" i="4" s="1"/>
  <c r="AT107" i="4"/>
  <c r="AU107" i="4"/>
  <c r="AU530" i="4"/>
  <c r="AV76" i="4"/>
  <c r="AV74" i="4"/>
  <c r="AQ75" i="4"/>
  <c r="AU75" i="4"/>
  <c r="AV60" i="4"/>
  <c r="AT530" i="4"/>
  <c r="AQ59" i="4"/>
  <c r="AR59" i="4"/>
  <c r="AS59" i="4"/>
  <c r="AT59" i="4"/>
  <c r="AU59" i="4"/>
  <c r="AV44" i="4"/>
  <c r="AV42" i="4"/>
  <c r="AQ43" i="4"/>
  <c r="AR43" i="4"/>
  <c r="AS43" i="4"/>
  <c r="AU43" i="4"/>
  <c r="AS530" i="4"/>
  <c r="AR530" i="4"/>
  <c r="AQ530" i="4"/>
  <c r="AV315" i="4" l="1"/>
  <c r="AV107" i="4"/>
  <c r="AV507" i="4"/>
  <c r="AV427" i="4"/>
  <c r="AV443" i="4"/>
  <c r="AV299" i="4"/>
  <c r="AV187" i="4"/>
  <c r="AV26" i="9"/>
  <c r="AV411" i="4"/>
  <c r="AV347" i="4"/>
  <c r="AV318" i="4"/>
  <c r="AV283" i="4"/>
  <c r="AV219" i="4"/>
  <c r="AV190" i="4"/>
  <c r="AU531" i="4"/>
  <c r="AV75" i="4"/>
  <c r="AV59" i="4"/>
  <c r="AV43" i="4"/>
  <c r="AU527" i="4"/>
  <c r="AT527" i="4"/>
  <c r="AS527" i="4"/>
  <c r="AR527" i="4"/>
  <c r="AQ527" i="4"/>
  <c r="AU475" i="3"/>
  <c r="AT475" i="3"/>
  <c r="AS475" i="3"/>
  <c r="AR475" i="3"/>
  <c r="AQ475" i="3"/>
  <c r="AU473" i="3"/>
  <c r="AT473" i="3"/>
  <c r="AS473" i="3"/>
  <c r="AR473" i="3"/>
  <c r="AQ473" i="3"/>
  <c r="AU472" i="3"/>
  <c r="AT472" i="3"/>
  <c r="AS472" i="3"/>
  <c r="AR472" i="3"/>
  <c r="AQ472" i="3"/>
  <c r="AU167" i="6"/>
  <c r="AT167" i="6"/>
  <c r="AS167" i="6"/>
  <c r="AR167" i="6"/>
  <c r="AQ167" i="6"/>
  <c r="AU165" i="6"/>
  <c r="AT165" i="6"/>
  <c r="AS165" i="6"/>
  <c r="AR165" i="6"/>
  <c r="AQ165" i="6"/>
  <c r="AU164" i="6"/>
  <c r="AT164" i="6"/>
  <c r="AS164" i="6"/>
  <c r="AR164" i="6"/>
  <c r="AQ164" i="6"/>
  <c r="AU125" i="6"/>
  <c r="AU126" i="6" s="1"/>
  <c r="AT125" i="6"/>
  <c r="AT126" i="6" s="1"/>
  <c r="AS125" i="6"/>
  <c r="AS126" i="6" s="1"/>
  <c r="AR125" i="6"/>
  <c r="AR126" i="6" s="1"/>
  <c r="AQ125" i="6"/>
  <c r="AQ126" i="6" s="1"/>
  <c r="AU123" i="6"/>
  <c r="AU127" i="6" s="1"/>
  <c r="AT123" i="6"/>
  <c r="AT127" i="6" s="1"/>
  <c r="AS123" i="6"/>
  <c r="AS127" i="6" s="1"/>
  <c r="AR123" i="6"/>
  <c r="AR127" i="6" s="1"/>
  <c r="AQ123" i="6"/>
  <c r="AQ127" i="6" s="1"/>
  <c r="AU122" i="6"/>
  <c r="AT122" i="6"/>
  <c r="AS122" i="6"/>
  <c r="AR122" i="6"/>
  <c r="AQ122" i="6"/>
  <c r="AU111" i="6"/>
  <c r="AU112" i="6" s="1"/>
  <c r="AT111" i="6"/>
  <c r="AT112" i="6" s="1"/>
  <c r="AS111" i="6"/>
  <c r="AS112" i="6" s="1"/>
  <c r="AR111" i="6"/>
  <c r="AR112" i="6" s="1"/>
  <c r="AQ111" i="6"/>
  <c r="AQ112" i="6" s="1"/>
  <c r="AU109" i="6"/>
  <c r="AU113" i="6" s="1"/>
  <c r="AT109" i="6"/>
  <c r="AT113" i="6" s="1"/>
  <c r="AS109" i="6"/>
  <c r="AS113" i="6" s="1"/>
  <c r="AR109" i="6"/>
  <c r="AR113" i="6" s="1"/>
  <c r="AQ109" i="6"/>
  <c r="AQ113" i="6" s="1"/>
  <c r="AU108" i="6"/>
  <c r="AT108" i="6"/>
  <c r="AS108" i="6"/>
  <c r="AR108" i="6"/>
  <c r="AQ108" i="6"/>
  <c r="AU122" i="10"/>
  <c r="AU123" i="10" s="1"/>
  <c r="AT122" i="10"/>
  <c r="AT123" i="10" s="1"/>
  <c r="AS122" i="10"/>
  <c r="AS123" i="10" s="1"/>
  <c r="AR122" i="10"/>
  <c r="AR123" i="10" s="1"/>
  <c r="AQ122" i="10"/>
  <c r="AQ123" i="10" s="1"/>
  <c r="AU120" i="10"/>
  <c r="AU124" i="10" s="1"/>
  <c r="AT120" i="10"/>
  <c r="AT124" i="10" s="1"/>
  <c r="AS120" i="10"/>
  <c r="AS124" i="10" s="1"/>
  <c r="AR120" i="10"/>
  <c r="AR124" i="10" s="1"/>
  <c r="AQ120" i="10"/>
  <c r="AQ124" i="10" s="1"/>
  <c r="AU119" i="10"/>
  <c r="AT119" i="10"/>
  <c r="AS119" i="10"/>
  <c r="AR119" i="10"/>
  <c r="AU94" i="10"/>
  <c r="AT94" i="10"/>
  <c r="AS94" i="10"/>
  <c r="AR94" i="10"/>
  <c r="AQ94" i="10"/>
  <c r="AU92" i="10"/>
  <c r="AT92" i="10"/>
  <c r="AS92" i="10"/>
  <c r="AR92" i="10"/>
  <c r="AQ92" i="10"/>
  <c r="AU91" i="10"/>
  <c r="AT91" i="10"/>
  <c r="AS91" i="10"/>
  <c r="AR91" i="10"/>
  <c r="AQ91" i="10"/>
  <c r="AU26" i="10"/>
  <c r="AT26" i="10"/>
  <c r="AS26" i="10"/>
  <c r="AR26" i="10"/>
  <c r="AQ26" i="10"/>
  <c r="AU24" i="10"/>
  <c r="AT24" i="10"/>
  <c r="AS24" i="10"/>
  <c r="AR24" i="10"/>
  <c r="AQ24" i="10"/>
  <c r="AU23" i="10"/>
  <c r="AT23" i="10"/>
  <c r="AS23" i="10"/>
  <c r="AR23" i="10"/>
  <c r="AQ23" i="10"/>
  <c r="AU41" i="2"/>
  <c r="AU42" i="2" s="1"/>
  <c r="AT41" i="2"/>
  <c r="AT42" i="2" s="1"/>
  <c r="AS41" i="2"/>
  <c r="AS42" i="2" s="1"/>
  <c r="AR41" i="2"/>
  <c r="AR42" i="2" s="1"/>
  <c r="AQ41" i="2"/>
  <c r="AQ42" i="2" s="1"/>
  <c r="AU39" i="2"/>
  <c r="AU43" i="2" s="1"/>
  <c r="AT39" i="2"/>
  <c r="AT43" i="2" s="1"/>
  <c r="AS39" i="2"/>
  <c r="AS43" i="2" s="1"/>
  <c r="AR39" i="2"/>
  <c r="AR43" i="2" s="1"/>
  <c r="AQ39" i="2"/>
  <c r="AQ43" i="2" s="1"/>
  <c r="AU38" i="2"/>
  <c r="AT38" i="2"/>
  <c r="AS38" i="2"/>
  <c r="AR38" i="2"/>
  <c r="AQ38" i="2"/>
  <c r="AU13" i="2"/>
  <c r="AT13" i="2"/>
  <c r="AS13" i="2"/>
  <c r="AR13" i="2"/>
  <c r="AQ13" i="2"/>
  <c r="AU11" i="2"/>
  <c r="AT11" i="2"/>
  <c r="AS11" i="2"/>
  <c r="AR11" i="2"/>
  <c r="AQ11" i="2"/>
  <c r="AQ87" i="2" l="1"/>
  <c r="AR87" i="2"/>
  <c r="AQ89" i="2"/>
  <c r="AR89" i="2"/>
  <c r="AU89" i="2"/>
  <c r="AU87" i="2"/>
  <c r="AT89" i="2"/>
  <c r="AT87" i="2"/>
  <c r="AS89" i="2"/>
  <c r="AS87" i="2"/>
  <c r="AV38" i="2"/>
  <c r="AV119" i="10"/>
  <c r="AU121" i="10"/>
  <c r="AQ93" i="10"/>
  <c r="AV91" i="10"/>
  <c r="AU93" i="10"/>
  <c r="AT166" i="6"/>
  <c r="AV164" i="6"/>
  <c r="AV122" i="6"/>
  <c r="AT110" i="6"/>
  <c r="AV108" i="6"/>
  <c r="AU110" i="6"/>
  <c r="AV43" i="2"/>
  <c r="AV124" i="10"/>
  <c r="AV123" i="10"/>
  <c r="AV112" i="6"/>
  <c r="AV113" i="6"/>
  <c r="AV472" i="3"/>
  <c r="AR474" i="3"/>
  <c r="AV475" i="3"/>
  <c r="AV473" i="3"/>
  <c r="AQ474" i="3"/>
  <c r="AS474" i="3"/>
  <c r="AT474" i="3"/>
  <c r="AU474" i="3"/>
  <c r="AV167" i="6"/>
  <c r="AV165" i="6"/>
  <c r="AQ166" i="6"/>
  <c r="AR166" i="6"/>
  <c r="AS166" i="6"/>
  <c r="AU166" i="6"/>
  <c r="AV126" i="6"/>
  <c r="AV127" i="6"/>
  <c r="AV125" i="6"/>
  <c r="AV123" i="6"/>
  <c r="AQ124" i="6"/>
  <c r="AR124" i="6"/>
  <c r="AS124" i="6"/>
  <c r="AT124" i="6"/>
  <c r="AU124" i="6"/>
  <c r="AV111" i="6"/>
  <c r="AV109" i="6"/>
  <c r="AQ110" i="6"/>
  <c r="AR110" i="6"/>
  <c r="AS110" i="6"/>
  <c r="AV122" i="10"/>
  <c r="AV120" i="10"/>
  <c r="AQ121" i="10"/>
  <c r="AR121" i="10"/>
  <c r="AS121" i="10"/>
  <c r="AT121" i="10"/>
  <c r="AV94" i="10"/>
  <c r="AV92" i="10"/>
  <c r="AR93" i="10"/>
  <c r="AS93" i="10"/>
  <c r="AT93" i="10"/>
  <c r="AV42" i="2"/>
  <c r="AV41" i="2"/>
  <c r="AV39" i="2"/>
  <c r="AQ40" i="2"/>
  <c r="AR40" i="2"/>
  <c r="AS40" i="2"/>
  <c r="AT40" i="2"/>
  <c r="AU40" i="2"/>
  <c r="AQ10" i="2"/>
  <c r="AQ86" i="2" s="1"/>
  <c r="AQ88" i="2" s="1"/>
  <c r="AU10" i="2"/>
  <c r="AU86" i="2" s="1"/>
  <c r="AT10" i="2"/>
  <c r="AT86" i="2" s="1"/>
  <c r="AS10" i="2"/>
  <c r="AS86" i="2" s="1"/>
  <c r="AR10" i="2"/>
  <c r="AR86" i="2" s="1"/>
  <c r="AJ200" i="4"/>
  <c r="AJ37" i="9"/>
  <c r="AJ118" i="10"/>
  <c r="AV93" i="10" l="1"/>
  <c r="AV110" i="6"/>
  <c r="AQ531" i="4"/>
  <c r="AV474" i="3"/>
  <c r="AV166" i="6"/>
  <c r="AV124" i="6"/>
  <c r="AV121" i="10"/>
  <c r="AV40" i="2"/>
  <c r="AJ248" i="4"/>
  <c r="AJ93" i="6" l="1"/>
  <c r="G87" i="13" s="1"/>
  <c r="Y962" i="1"/>
  <c r="X138" i="3"/>
  <c r="I52" i="5"/>
  <c r="Q636" i="1"/>
  <c r="Q215" i="1"/>
  <c r="Q201" i="1"/>
  <c r="Q53" i="1"/>
  <c r="Q39" i="1"/>
  <c r="Q11" i="1"/>
  <c r="Q16" i="1"/>
  <c r="Q19" i="1"/>
  <c r="Q23" i="1"/>
  <c r="Q25" i="1"/>
  <c r="O226" i="10"/>
  <c r="P226" i="10"/>
  <c r="Q226" i="10"/>
  <c r="Q587" i="3"/>
  <c r="Q585" i="3"/>
  <c r="Q584" i="3"/>
  <c r="AJ126" i="4"/>
  <c r="AJ125" i="4"/>
  <c r="AJ124" i="4"/>
  <c r="AJ122" i="4"/>
  <c r="AJ158" i="4"/>
  <c r="AJ157" i="4"/>
  <c r="AJ156" i="4"/>
  <c r="AJ154" i="4"/>
  <c r="AJ202" i="4"/>
  <c r="AJ234" i="4"/>
  <c r="AJ250" i="4"/>
  <c r="AJ298" i="4"/>
  <c r="AJ330" i="4"/>
  <c r="AJ346" i="4"/>
  <c r="AJ394" i="4"/>
  <c r="AJ474" i="4"/>
  <c r="N11" i="1"/>
  <c r="N331" i="4" l="1"/>
  <c r="F208" i="4"/>
  <c r="M39" i="1" l="1"/>
  <c r="M53" i="1"/>
  <c r="L677" i="1"/>
  <c r="L96" i="6"/>
  <c r="J110" i="6"/>
  <c r="G53" i="1" l="1"/>
  <c r="E685" i="1" l="1"/>
  <c r="E234" i="10"/>
  <c r="E20" i="6"/>
  <c r="AA19" i="1" l="1"/>
  <c r="AB19" i="1"/>
  <c r="AC19" i="1"/>
  <c r="AD19" i="1"/>
  <c r="AE19" i="1"/>
  <c r="AF19" i="1"/>
  <c r="AG19" i="1"/>
  <c r="AH19" i="1"/>
  <c r="AI19" i="1"/>
  <c r="AU40" i="5" l="1"/>
  <c r="AT40" i="5"/>
  <c r="AS40" i="5"/>
  <c r="AR40" i="5"/>
  <c r="AQ40" i="5"/>
  <c r="AU38" i="5"/>
  <c r="AT38" i="5"/>
  <c r="AS38" i="5"/>
  <c r="AR38" i="5"/>
  <c r="AQ38" i="5"/>
  <c r="AU37" i="5"/>
  <c r="AT37" i="5"/>
  <c r="AS37" i="5"/>
  <c r="AR37" i="5"/>
  <c r="AQ37" i="5"/>
  <c r="AU12" i="5"/>
  <c r="AT12" i="5"/>
  <c r="AS12" i="5"/>
  <c r="AR12" i="5"/>
  <c r="AQ12" i="5"/>
  <c r="AU10" i="5"/>
  <c r="AT10" i="5"/>
  <c r="AS10" i="5"/>
  <c r="AR10" i="5"/>
  <c r="AQ10" i="5"/>
  <c r="AU9" i="5"/>
  <c r="AT9" i="5"/>
  <c r="AS9" i="5"/>
  <c r="AR9" i="5"/>
  <c r="AQ9" i="5"/>
  <c r="AQ13" i="6"/>
  <c r="AU13" i="6"/>
  <c r="AT13" i="6"/>
  <c r="AS13" i="6"/>
  <c r="AR13" i="6"/>
  <c r="AU11" i="6"/>
  <c r="AT11" i="6"/>
  <c r="AS11" i="6"/>
  <c r="AR11" i="6"/>
  <c r="AQ11" i="6"/>
  <c r="AU10" i="6"/>
  <c r="AT10" i="6"/>
  <c r="AS10" i="6"/>
  <c r="AR10" i="6"/>
  <c r="AQ10" i="6"/>
  <c r="AU227" i="10"/>
  <c r="AT227" i="10"/>
  <c r="AS227" i="10"/>
  <c r="AR227" i="10"/>
  <c r="AQ227" i="10"/>
  <c r="AU225" i="10"/>
  <c r="AT225" i="10"/>
  <c r="AS225" i="10"/>
  <c r="AR225" i="10"/>
  <c r="AQ225" i="10"/>
  <c r="AU224" i="10"/>
  <c r="AT224" i="10"/>
  <c r="AS224" i="10"/>
  <c r="AR224" i="10"/>
  <c r="AQ224" i="10"/>
  <c r="AS39" i="5" l="1"/>
  <c r="AT39" i="5"/>
  <c r="AQ226" i="10"/>
  <c r="AV40" i="5"/>
  <c r="AV37" i="5"/>
  <c r="AV38" i="5"/>
  <c r="AV224" i="10"/>
  <c r="AR226" i="10"/>
  <c r="AQ39" i="5"/>
  <c r="AR39" i="5"/>
  <c r="AU39" i="5"/>
  <c r="AT226" i="10"/>
  <c r="AV225" i="10"/>
  <c r="AS226" i="10"/>
  <c r="AU226" i="10"/>
  <c r="AV227" i="10"/>
  <c r="AR11" i="1"/>
  <c r="AV226" i="10" l="1"/>
  <c r="AV39" i="5"/>
  <c r="AC89" i="4"/>
  <c r="E453" i="4" l="1"/>
  <c r="E347" i="4" l="1"/>
  <c r="AQ11" i="5"/>
  <c r="AA677" i="1"/>
  <c r="X256" i="4"/>
  <c r="X251" i="4"/>
  <c r="E414" i="1" l="1"/>
  <c r="E400" i="1"/>
  <c r="E468" i="3"/>
  <c r="Q96" i="6"/>
  <c r="E26" i="3"/>
  <c r="K406" i="1"/>
  <c r="K68" i="2"/>
  <c r="K121" i="10"/>
  <c r="K12" i="6"/>
  <c r="AM76" i="2" l="1"/>
  <c r="AK76" i="2"/>
  <c r="AI76" i="2"/>
  <c r="AH76" i="2"/>
  <c r="AG76" i="2"/>
  <c r="AF76" i="2"/>
  <c r="AE76" i="2"/>
  <c r="AM75" i="2"/>
  <c r="AK75" i="2"/>
  <c r="AM74" i="2"/>
  <c r="AK74" i="2"/>
  <c r="C74" i="2"/>
  <c r="AM73" i="2"/>
  <c r="AK73" i="2"/>
  <c r="AI73" i="2"/>
  <c r="AH73" i="2"/>
  <c r="AG73" i="2"/>
  <c r="AF73" i="2"/>
  <c r="AE73" i="2"/>
  <c r="AD73" i="2"/>
  <c r="AD76" i="2" s="1"/>
  <c r="AC73" i="2"/>
  <c r="AC76" i="2" s="1"/>
  <c r="AB73" i="2"/>
  <c r="AB76" i="2" s="1"/>
  <c r="AA73" i="2"/>
  <c r="AA76" i="2" s="1"/>
  <c r="Z73" i="2"/>
  <c r="Y73" i="2"/>
  <c r="X73" i="2"/>
  <c r="W73" i="2"/>
  <c r="V73" i="2"/>
  <c r="U73" i="2"/>
  <c r="T73" i="2"/>
  <c r="S73" i="2"/>
  <c r="R73" i="2"/>
  <c r="Q73" i="2"/>
  <c r="P73" i="2"/>
  <c r="O73" i="2"/>
  <c r="N73" i="2"/>
  <c r="M73" i="2"/>
  <c r="K73" i="2"/>
  <c r="J73" i="2"/>
  <c r="I73" i="2"/>
  <c r="H73" i="2"/>
  <c r="G73" i="2"/>
  <c r="F73" i="2"/>
  <c r="F76" i="2" s="1"/>
  <c r="E73" i="2"/>
  <c r="AM72" i="2"/>
  <c r="AK72" i="2"/>
  <c r="AM71" i="2"/>
  <c r="AM70" i="2"/>
  <c r="AK70" i="2"/>
  <c r="AJ70" i="2"/>
  <c r="AJ69" i="2"/>
  <c r="AI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J68" i="2"/>
  <c r="I68" i="2"/>
  <c r="H68" i="2"/>
  <c r="G68" i="2"/>
  <c r="F68" i="2"/>
  <c r="AJ67" i="2"/>
  <c r="E66" i="2"/>
  <c r="F66" i="2" s="1"/>
  <c r="G66" i="2" s="1"/>
  <c r="H66" i="2" s="1"/>
  <c r="I66" i="2" s="1"/>
  <c r="J66" i="2" s="1"/>
  <c r="K66" i="2" s="1"/>
  <c r="L66" i="2" s="1"/>
  <c r="M66" i="2" s="1"/>
  <c r="N66" i="2" s="1"/>
  <c r="O66" i="2" s="1"/>
  <c r="P66" i="2" s="1"/>
  <c r="Q66" i="2" s="1"/>
  <c r="R66" i="2" s="1"/>
  <c r="S66" i="2" s="1"/>
  <c r="T66" i="2" s="1"/>
  <c r="U66" i="2" s="1"/>
  <c r="V66" i="2" s="1"/>
  <c r="W66" i="2" s="1"/>
  <c r="X66" i="2" s="1"/>
  <c r="Y66" i="2" s="1"/>
  <c r="Z66" i="2" s="1"/>
  <c r="AJ65" i="2"/>
  <c r="G63" i="13" s="1"/>
  <c r="E78" i="2" l="1"/>
  <c r="E75" i="2"/>
  <c r="E76" i="2"/>
  <c r="F78" i="2"/>
  <c r="G78" i="2" s="1"/>
  <c r="H78" i="2" s="1"/>
  <c r="I78" i="2" s="1"/>
  <c r="J78" i="2" s="1"/>
  <c r="K78" i="2" s="1"/>
  <c r="G76" i="2"/>
  <c r="H76" i="2" s="1"/>
  <c r="I76" i="2" s="1"/>
  <c r="AK67" i="2"/>
  <c r="J76" i="2"/>
  <c r="K76" i="2" s="1"/>
  <c r="AO65" i="2"/>
  <c r="AD66" i="2"/>
  <c r="AH66" i="2" s="1"/>
  <c r="AI66" i="2" s="1"/>
  <c r="AA66" i="2"/>
  <c r="AK68" i="2"/>
  <c r="F75" i="2"/>
  <c r="G75" i="2" s="1"/>
  <c r="H75" i="2" s="1"/>
  <c r="I75" i="2" s="1"/>
  <c r="J75" i="2" s="1"/>
  <c r="K75" i="2" s="1"/>
  <c r="AK65" i="2"/>
  <c r="H63" i="13" s="1"/>
  <c r="K63" i="13" s="1"/>
  <c r="L63" i="13" s="1"/>
  <c r="AJ68" i="2"/>
  <c r="AN69" i="2"/>
  <c r="AU125" i="3"/>
  <c r="AU126" i="3" s="1"/>
  <c r="AT125" i="3"/>
  <c r="AT126" i="3" s="1"/>
  <c r="AS125" i="3"/>
  <c r="AS126" i="3" s="1"/>
  <c r="AR125" i="3"/>
  <c r="AR126" i="3" s="1"/>
  <c r="AQ125" i="3"/>
  <c r="AQ126" i="3" s="1"/>
  <c r="AU123" i="3"/>
  <c r="AU127" i="3" s="1"/>
  <c r="AT123" i="3"/>
  <c r="AS123" i="3"/>
  <c r="AR123" i="3"/>
  <c r="AR127" i="3" s="1"/>
  <c r="AQ123" i="3"/>
  <c r="AU122" i="3"/>
  <c r="AT122" i="3"/>
  <c r="AS122" i="3"/>
  <c r="AR122" i="3"/>
  <c r="AQ122" i="3"/>
  <c r="AQ108" i="3"/>
  <c r="AT62" i="8"/>
  <c r="AS62" i="8"/>
  <c r="AR62" i="8"/>
  <c r="AQ62" i="8"/>
  <c r="AU60" i="8"/>
  <c r="AT60" i="8"/>
  <c r="AS60" i="8"/>
  <c r="AR60" i="8"/>
  <c r="AQ60" i="8"/>
  <c r="AU59" i="8"/>
  <c r="AT59" i="8"/>
  <c r="AS59" i="8"/>
  <c r="AR59" i="8"/>
  <c r="AQ59" i="8"/>
  <c r="AU13" i="8"/>
  <c r="AT13" i="8"/>
  <c r="AS13" i="8"/>
  <c r="AR13" i="8"/>
  <c r="AQ13" i="8"/>
  <c r="AU11" i="8"/>
  <c r="AT11" i="8"/>
  <c r="AS11" i="8"/>
  <c r="AR11" i="8"/>
  <c r="AQ11" i="8"/>
  <c r="AU10" i="8"/>
  <c r="AT10" i="8"/>
  <c r="AS10" i="8"/>
  <c r="AR10" i="8"/>
  <c r="AQ10" i="8"/>
  <c r="AU11" i="5"/>
  <c r="AV9" i="5"/>
  <c r="AU531" i="3"/>
  <c r="AT531" i="3"/>
  <c r="AS531" i="3"/>
  <c r="AR531" i="3"/>
  <c r="AQ531" i="3"/>
  <c r="AU529" i="3"/>
  <c r="AT529" i="3"/>
  <c r="AS529" i="3"/>
  <c r="AR529" i="3"/>
  <c r="AQ529" i="3"/>
  <c r="AU528" i="3"/>
  <c r="AT528" i="3"/>
  <c r="AS528" i="3"/>
  <c r="AR528" i="3"/>
  <c r="AQ528" i="3"/>
  <c r="AU517" i="3"/>
  <c r="AT517" i="3"/>
  <c r="AS517" i="3"/>
  <c r="AR517" i="3"/>
  <c r="AQ517" i="3"/>
  <c r="AU515" i="3"/>
  <c r="AT515" i="3"/>
  <c r="AS515" i="3"/>
  <c r="AR515" i="3"/>
  <c r="AQ515" i="3"/>
  <c r="AU514" i="3"/>
  <c r="AT514" i="3"/>
  <c r="AS514" i="3"/>
  <c r="AR514" i="3"/>
  <c r="AQ514" i="3"/>
  <c r="AU503" i="3"/>
  <c r="AU504" i="3" s="1"/>
  <c r="AT503" i="3"/>
  <c r="AT504" i="3" s="1"/>
  <c r="AS503" i="3"/>
  <c r="AS504" i="3" s="1"/>
  <c r="AR503" i="3"/>
  <c r="AR504" i="3" s="1"/>
  <c r="AQ503" i="3"/>
  <c r="AQ504" i="3" s="1"/>
  <c r="AU501" i="3"/>
  <c r="AU505" i="3" s="1"/>
  <c r="AT501" i="3"/>
  <c r="AT505" i="3" s="1"/>
  <c r="AS501" i="3"/>
  <c r="AR501" i="3"/>
  <c r="AR505" i="3" s="1"/>
  <c r="AQ501" i="3"/>
  <c r="AQ505" i="3" s="1"/>
  <c r="AU500" i="3"/>
  <c r="AT500" i="3"/>
  <c r="AS500" i="3"/>
  <c r="AR500" i="3"/>
  <c r="AQ500" i="3"/>
  <c r="AU489" i="3"/>
  <c r="AT489" i="3"/>
  <c r="AS489" i="3"/>
  <c r="AR489" i="3"/>
  <c r="AQ489" i="3"/>
  <c r="AU487" i="3"/>
  <c r="AT487" i="3"/>
  <c r="AS487" i="3"/>
  <c r="AR487" i="3"/>
  <c r="AQ487" i="3"/>
  <c r="AU486" i="3"/>
  <c r="AT486" i="3"/>
  <c r="AS486" i="3"/>
  <c r="AR486" i="3"/>
  <c r="AQ486" i="3"/>
  <c r="AU461" i="3"/>
  <c r="AT461" i="3"/>
  <c r="AS461" i="3"/>
  <c r="AR461" i="3"/>
  <c r="AQ461" i="3"/>
  <c r="AU459" i="3"/>
  <c r="AT459" i="3"/>
  <c r="AS459" i="3"/>
  <c r="AR459" i="3"/>
  <c r="AQ459" i="3"/>
  <c r="AU458" i="3"/>
  <c r="AT458" i="3"/>
  <c r="AS458" i="3"/>
  <c r="AR458" i="3"/>
  <c r="AQ458" i="3"/>
  <c r="AU447" i="3"/>
  <c r="AT447" i="3"/>
  <c r="AS447" i="3"/>
  <c r="AR447" i="3"/>
  <c r="AQ447" i="3"/>
  <c r="AU445" i="3"/>
  <c r="AT445" i="3"/>
  <c r="AS445" i="3"/>
  <c r="AR445" i="3"/>
  <c r="AQ445" i="3"/>
  <c r="AU444" i="3"/>
  <c r="AT444" i="3"/>
  <c r="AS444" i="3"/>
  <c r="AR444" i="3"/>
  <c r="AQ444" i="3"/>
  <c r="AU433" i="3"/>
  <c r="AT433" i="3"/>
  <c r="AS433" i="3"/>
  <c r="AR433" i="3"/>
  <c r="AQ433" i="3"/>
  <c r="AU431" i="3"/>
  <c r="AT431" i="3"/>
  <c r="AS431" i="3"/>
  <c r="AR431" i="3"/>
  <c r="AQ431" i="3"/>
  <c r="AU430" i="3"/>
  <c r="AT430" i="3"/>
  <c r="AS430" i="3"/>
  <c r="AR430" i="3"/>
  <c r="AQ430" i="3"/>
  <c r="AU391" i="3"/>
  <c r="AT391" i="3"/>
  <c r="AS391" i="3"/>
  <c r="AR391" i="3"/>
  <c r="AQ391" i="3"/>
  <c r="AU389" i="3"/>
  <c r="AT389" i="3"/>
  <c r="AS389" i="3"/>
  <c r="AR389" i="3"/>
  <c r="AQ389" i="3"/>
  <c r="AU388" i="3"/>
  <c r="AT388" i="3"/>
  <c r="AS388" i="3"/>
  <c r="AR388" i="3"/>
  <c r="AQ388" i="3"/>
  <c r="AU377" i="3"/>
  <c r="AT377" i="3"/>
  <c r="AS377" i="3"/>
  <c r="AR377" i="3"/>
  <c r="AQ377" i="3"/>
  <c r="AU375" i="3"/>
  <c r="AT375" i="3"/>
  <c r="AS375" i="3"/>
  <c r="AR375" i="3"/>
  <c r="AQ375" i="3"/>
  <c r="AU374" i="3"/>
  <c r="AT374" i="3"/>
  <c r="AS374" i="3"/>
  <c r="AR374" i="3"/>
  <c r="AQ374" i="3"/>
  <c r="AU363" i="3"/>
  <c r="AT363" i="3"/>
  <c r="AS363" i="3"/>
  <c r="AR363" i="3"/>
  <c r="AQ363" i="3"/>
  <c r="AU361" i="3"/>
  <c r="AT361" i="3"/>
  <c r="AS361" i="3"/>
  <c r="AR361" i="3"/>
  <c r="AQ361" i="3"/>
  <c r="AU360" i="3"/>
  <c r="AT360" i="3"/>
  <c r="AS360" i="3"/>
  <c r="AR360" i="3"/>
  <c r="AQ360" i="3"/>
  <c r="AU321" i="3"/>
  <c r="AT321" i="3"/>
  <c r="AS321" i="3"/>
  <c r="AR321" i="3"/>
  <c r="AQ321" i="3"/>
  <c r="AU319" i="3"/>
  <c r="AT319" i="3"/>
  <c r="AS319" i="3"/>
  <c r="AR319" i="3"/>
  <c r="AQ319" i="3"/>
  <c r="AU318" i="3"/>
  <c r="AT318" i="3"/>
  <c r="AS318" i="3"/>
  <c r="AR318" i="3"/>
  <c r="AQ318" i="3"/>
  <c r="AU307" i="3"/>
  <c r="AT307" i="3"/>
  <c r="AS307" i="3"/>
  <c r="AR307" i="3"/>
  <c r="AQ307" i="3"/>
  <c r="AU305" i="3"/>
  <c r="AT305" i="3"/>
  <c r="AS305" i="3"/>
  <c r="AR305" i="3"/>
  <c r="AQ305" i="3"/>
  <c r="AU304" i="3"/>
  <c r="AT304" i="3"/>
  <c r="AS304" i="3"/>
  <c r="AR304" i="3"/>
  <c r="AQ304" i="3"/>
  <c r="AU293" i="3"/>
  <c r="AT293" i="3"/>
  <c r="AS293" i="3"/>
  <c r="AR293" i="3"/>
  <c r="AQ293" i="3"/>
  <c r="AU291" i="3"/>
  <c r="AT291" i="3"/>
  <c r="AS291" i="3"/>
  <c r="AR291" i="3"/>
  <c r="AQ291" i="3"/>
  <c r="AU290" i="3"/>
  <c r="AT290" i="3"/>
  <c r="AS290" i="3"/>
  <c r="AR290" i="3"/>
  <c r="AQ290" i="3"/>
  <c r="AU279" i="3"/>
  <c r="AU280" i="3" s="1"/>
  <c r="AT279" i="3"/>
  <c r="AT280" i="3" s="1"/>
  <c r="AS279" i="3"/>
  <c r="AS280" i="3" s="1"/>
  <c r="AR279" i="3"/>
  <c r="AR280" i="3" s="1"/>
  <c r="AQ279" i="3"/>
  <c r="AQ280" i="3" s="1"/>
  <c r="AU277" i="3"/>
  <c r="AU281" i="3" s="1"/>
  <c r="AT277" i="3"/>
  <c r="AT281" i="3" s="1"/>
  <c r="AS277" i="3"/>
  <c r="AS281" i="3" s="1"/>
  <c r="AR277" i="3"/>
  <c r="AR281" i="3" s="1"/>
  <c r="AQ277" i="3"/>
  <c r="AQ281" i="3" s="1"/>
  <c r="AU276" i="3"/>
  <c r="AT276" i="3"/>
  <c r="AS276" i="3"/>
  <c r="AR276" i="3"/>
  <c r="AQ276" i="3"/>
  <c r="AU265" i="3"/>
  <c r="AT265" i="3"/>
  <c r="AS265" i="3"/>
  <c r="AR265" i="3"/>
  <c r="AQ265" i="3"/>
  <c r="AU263" i="3"/>
  <c r="AT263" i="3"/>
  <c r="AS263" i="3"/>
  <c r="AR263" i="3"/>
  <c r="AQ263" i="3"/>
  <c r="AU262" i="3"/>
  <c r="AT262" i="3"/>
  <c r="AS262" i="3"/>
  <c r="AR262" i="3"/>
  <c r="AQ262" i="3"/>
  <c r="AU251" i="3"/>
  <c r="AT251" i="3"/>
  <c r="AS251" i="3"/>
  <c r="AR251" i="3"/>
  <c r="AQ251" i="3"/>
  <c r="AU249" i="3"/>
  <c r="AT249" i="3"/>
  <c r="AS249" i="3"/>
  <c r="AR249" i="3"/>
  <c r="AQ249" i="3"/>
  <c r="AU248" i="3"/>
  <c r="AT248" i="3"/>
  <c r="AS248" i="3"/>
  <c r="AR248" i="3"/>
  <c r="AQ248" i="3"/>
  <c r="AU223" i="3"/>
  <c r="AT223" i="3"/>
  <c r="AS223" i="3"/>
  <c r="AR223" i="3"/>
  <c r="AQ223" i="3"/>
  <c r="AU221" i="3"/>
  <c r="AT221" i="3"/>
  <c r="AS221" i="3"/>
  <c r="AR221" i="3"/>
  <c r="AQ221" i="3"/>
  <c r="AU220" i="3"/>
  <c r="AT220" i="3"/>
  <c r="AS220" i="3"/>
  <c r="AR220" i="3"/>
  <c r="AQ220" i="3"/>
  <c r="AU195" i="3"/>
  <c r="AT195" i="3"/>
  <c r="AS195" i="3"/>
  <c r="AR195" i="3"/>
  <c r="AQ195" i="3"/>
  <c r="AU193" i="3"/>
  <c r="AT193" i="3"/>
  <c r="AS193" i="3"/>
  <c r="AR193" i="3"/>
  <c r="AQ193" i="3"/>
  <c r="AU192" i="3"/>
  <c r="AT192" i="3"/>
  <c r="AS192" i="3"/>
  <c r="AR192" i="3"/>
  <c r="AQ192" i="3"/>
  <c r="AU181" i="3"/>
  <c r="AT181" i="3"/>
  <c r="AS181" i="3"/>
  <c r="AR181" i="3"/>
  <c r="AQ181" i="3"/>
  <c r="AU179" i="3"/>
  <c r="AT179" i="3"/>
  <c r="AS179" i="3"/>
  <c r="AR179" i="3"/>
  <c r="AQ179" i="3"/>
  <c r="AU178" i="3"/>
  <c r="AT178" i="3"/>
  <c r="AS178" i="3"/>
  <c r="AR178" i="3"/>
  <c r="AQ178" i="3"/>
  <c r="AU167" i="3"/>
  <c r="AT167" i="3"/>
  <c r="AS167" i="3"/>
  <c r="AR167" i="3"/>
  <c r="AQ167" i="3"/>
  <c r="AU165" i="3"/>
  <c r="AT165" i="3"/>
  <c r="AS165" i="3"/>
  <c r="AR165" i="3"/>
  <c r="AQ165" i="3"/>
  <c r="AU164" i="3"/>
  <c r="AT164" i="3"/>
  <c r="AS164" i="3"/>
  <c r="AR164" i="3"/>
  <c r="AQ164" i="3"/>
  <c r="AU153" i="3"/>
  <c r="AT153" i="3"/>
  <c r="AS153" i="3"/>
  <c r="AR153" i="3"/>
  <c r="AQ153" i="3"/>
  <c r="AU151" i="3"/>
  <c r="AT151" i="3"/>
  <c r="AS151" i="3"/>
  <c r="AR151" i="3"/>
  <c r="AQ151" i="3"/>
  <c r="AU150" i="3"/>
  <c r="AT150" i="3"/>
  <c r="AS150" i="3"/>
  <c r="AR150" i="3"/>
  <c r="AQ150" i="3"/>
  <c r="AU111" i="3"/>
  <c r="AU112" i="3" s="1"/>
  <c r="AT111" i="3"/>
  <c r="AT112" i="3" s="1"/>
  <c r="AS111" i="3"/>
  <c r="AS112" i="3" s="1"/>
  <c r="AR111" i="3"/>
  <c r="AR112" i="3" s="1"/>
  <c r="AQ111" i="3"/>
  <c r="AQ112" i="3" s="1"/>
  <c r="AU109" i="3"/>
  <c r="AT109" i="3"/>
  <c r="AT113" i="3" s="1"/>
  <c r="AS109" i="3"/>
  <c r="AS113" i="3" s="1"/>
  <c r="AR109" i="3"/>
  <c r="AR113" i="3" s="1"/>
  <c r="AQ109" i="3"/>
  <c r="AQ113" i="3" s="1"/>
  <c r="AU108" i="3"/>
  <c r="AT108" i="3"/>
  <c r="AS108" i="3"/>
  <c r="AR108" i="3"/>
  <c r="AU69" i="3"/>
  <c r="AT69" i="3"/>
  <c r="AS69" i="3"/>
  <c r="AR69" i="3"/>
  <c r="AQ69" i="3"/>
  <c r="AU67" i="3"/>
  <c r="AT67" i="3"/>
  <c r="AS67" i="3"/>
  <c r="AR67" i="3"/>
  <c r="AQ67" i="3"/>
  <c r="AU66" i="3"/>
  <c r="AT66" i="3"/>
  <c r="AS66" i="3"/>
  <c r="AR66" i="3"/>
  <c r="AQ66" i="3"/>
  <c r="AU55" i="3"/>
  <c r="AT55" i="3"/>
  <c r="AS55" i="3"/>
  <c r="AR55" i="3"/>
  <c r="AQ55" i="3"/>
  <c r="AU53" i="3"/>
  <c r="AT53" i="3"/>
  <c r="AS53" i="3"/>
  <c r="AR53" i="3"/>
  <c r="AQ53" i="3"/>
  <c r="AU52" i="3"/>
  <c r="AT52" i="3"/>
  <c r="AS52" i="3"/>
  <c r="AR52" i="3"/>
  <c r="AQ52" i="3"/>
  <c r="AU153" i="6"/>
  <c r="AT153" i="6"/>
  <c r="AS153" i="6"/>
  <c r="AR153" i="6"/>
  <c r="AQ153" i="6"/>
  <c r="AU151" i="6"/>
  <c r="AT151" i="6"/>
  <c r="AS151" i="6"/>
  <c r="AR151" i="6"/>
  <c r="AQ151" i="6"/>
  <c r="AU150" i="6"/>
  <c r="AT150" i="6"/>
  <c r="AS150" i="6"/>
  <c r="AR150" i="6"/>
  <c r="AQ150" i="6"/>
  <c r="AU69" i="6"/>
  <c r="AT69" i="6"/>
  <c r="AS69" i="6"/>
  <c r="AR69" i="6"/>
  <c r="AQ69" i="6"/>
  <c r="AU67" i="6"/>
  <c r="AT67" i="6"/>
  <c r="AS67" i="6"/>
  <c r="AR67" i="6"/>
  <c r="AQ67" i="6"/>
  <c r="AU66" i="6"/>
  <c r="AT66" i="6"/>
  <c r="AS66" i="6"/>
  <c r="AR66" i="6"/>
  <c r="AQ66" i="6"/>
  <c r="AU55" i="6"/>
  <c r="AT55" i="6"/>
  <c r="AS55" i="6"/>
  <c r="AR55" i="6"/>
  <c r="AQ55" i="6"/>
  <c r="AU53" i="6"/>
  <c r="AT53" i="6"/>
  <c r="AS53" i="6"/>
  <c r="AR53" i="6"/>
  <c r="AQ53" i="6"/>
  <c r="AU52" i="6"/>
  <c r="AT52" i="6"/>
  <c r="AS52" i="6"/>
  <c r="AR52" i="6"/>
  <c r="AQ52" i="6"/>
  <c r="AU41" i="6"/>
  <c r="AT41" i="6"/>
  <c r="AS41" i="6"/>
  <c r="AR41" i="6"/>
  <c r="AQ41" i="6"/>
  <c r="AU39" i="6"/>
  <c r="AT39" i="6"/>
  <c r="AS39" i="6"/>
  <c r="AR39" i="6"/>
  <c r="AQ39" i="6"/>
  <c r="AU38" i="6"/>
  <c r="AT38" i="6"/>
  <c r="AS38" i="6"/>
  <c r="AR38" i="6"/>
  <c r="AQ38" i="6"/>
  <c r="AU27" i="6"/>
  <c r="AT27" i="6"/>
  <c r="AS27" i="6"/>
  <c r="AR27" i="6"/>
  <c r="AQ27" i="6"/>
  <c r="AU25" i="6"/>
  <c r="AT25" i="6"/>
  <c r="AS25" i="6"/>
  <c r="AR25" i="6"/>
  <c r="AQ25" i="6"/>
  <c r="AU24" i="6"/>
  <c r="AT24" i="6"/>
  <c r="AS24" i="6"/>
  <c r="AR24" i="6"/>
  <c r="AQ24" i="6"/>
  <c r="AU14" i="6"/>
  <c r="AT14" i="6"/>
  <c r="AS14" i="6"/>
  <c r="AR14" i="6"/>
  <c r="AQ14" i="6"/>
  <c r="AU15" i="6"/>
  <c r="AT15" i="6"/>
  <c r="AS15" i="6"/>
  <c r="AR15" i="6"/>
  <c r="AQ15" i="6"/>
  <c r="AQ186" i="6" l="1"/>
  <c r="AQ591" i="3"/>
  <c r="AQ185" i="6"/>
  <c r="AT592" i="3"/>
  <c r="AV38" i="6"/>
  <c r="AV221" i="3"/>
  <c r="AQ292" i="3"/>
  <c r="AV281" i="3"/>
  <c r="AV293" i="3"/>
  <c r="AQ320" i="3"/>
  <c r="AU320" i="3"/>
  <c r="AR250" i="3"/>
  <c r="AU306" i="3"/>
  <c r="AS460" i="3"/>
  <c r="AS530" i="3"/>
  <c r="AR222" i="3"/>
  <c r="AV248" i="3"/>
  <c r="AV251" i="3"/>
  <c r="AU194" i="3"/>
  <c r="AT124" i="3"/>
  <c r="AV108" i="3"/>
  <c r="AV13" i="8"/>
  <c r="AQ530" i="3"/>
  <c r="AV486" i="3"/>
  <c r="AV500" i="3"/>
  <c r="AR530" i="3"/>
  <c r="AR488" i="3"/>
  <c r="AU530" i="3"/>
  <c r="AV514" i="3"/>
  <c r="AU152" i="6"/>
  <c r="AS592" i="3"/>
  <c r="AV15" i="6"/>
  <c r="AV150" i="6"/>
  <c r="AU74" i="9"/>
  <c r="AR74" i="9"/>
  <c r="AS74" i="9"/>
  <c r="AT74" i="9"/>
  <c r="AQ432" i="3"/>
  <c r="AT432" i="3"/>
  <c r="AU460" i="3"/>
  <c r="AS12" i="8"/>
  <c r="AV10" i="8"/>
  <c r="AT12" i="8"/>
  <c r="AV504" i="3"/>
  <c r="AT530" i="3"/>
  <c r="AS502" i="3"/>
  <c r="AT516" i="3"/>
  <c r="AV528" i="3"/>
  <c r="AV529" i="3"/>
  <c r="AV430" i="3"/>
  <c r="AV444" i="3"/>
  <c r="AV447" i="3"/>
  <c r="AV360" i="3"/>
  <c r="AS432" i="3"/>
  <c r="AV458" i="3"/>
  <c r="AV374" i="3"/>
  <c r="AV388" i="3"/>
  <c r="AU432" i="3"/>
  <c r="AV262" i="3"/>
  <c r="AV304" i="3"/>
  <c r="AV318" i="3"/>
  <c r="AV290" i="3"/>
  <c r="AS250" i="3"/>
  <c r="AV305" i="3"/>
  <c r="AT264" i="3"/>
  <c r="AR320" i="3"/>
  <c r="AV276" i="3"/>
  <c r="AS292" i="3"/>
  <c r="AT292" i="3"/>
  <c r="AV178" i="3"/>
  <c r="AV181" i="3"/>
  <c r="AQ180" i="3"/>
  <c r="AV192" i="3"/>
  <c r="AV150" i="3"/>
  <c r="AV164" i="3"/>
  <c r="AQ194" i="3"/>
  <c r="AV167" i="3"/>
  <c r="AV220" i="3"/>
  <c r="AS124" i="3"/>
  <c r="AV122" i="3"/>
  <c r="AR124" i="3"/>
  <c r="AU110" i="3"/>
  <c r="AV125" i="3"/>
  <c r="AU124" i="3"/>
  <c r="AV123" i="3"/>
  <c r="AT54" i="3"/>
  <c r="AV52" i="3"/>
  <c r="AV66" i="3"/>
  <c r="AV66" i="6"/>
  <c r="AV52" i="6"/>
  <c r="AV24" i="6"/>
  <c r="AB66" i="2"/>
  <c r="AE66" i="2"/>
  <c r="AK66" i="2"/>
  <c r="AU529" i="4"/>
  <c r="AV10" i="6"/>
  <c r="AV321" i="3"/>
  <c r="AV126" i="3"/>
  <c r="AQ124" i="3"/>
  <c r="AS127" i="3"/>
  <c r="AT127" i="3"/>
  <c r="AQ127" i="3"/>
  <c r="AQ12" i="8"/>
  <c r="AR12" i="8"/>
  <c r="AU12" i="8"/>
  <c r="AV11" i="8"/>
  <c r="AV12" i="5"/>
  <c r="AV10" i="5"/>
  <c r="AR11" i="5"/>
  <c r="AS11" i="5"/>
  <c r="AT11" i="5"/>
  <c r="AQ529" i="4"/>
  <c r="AR529" i="4"/>
  <c r="AS529" i="4"/>
  <c r="AT529" i="4"/>
  <c r="AV531" i="3"/>
  <c r="AR516" i="3"/>
  <c r="AS516" i="3"/>
  <c r="AU516" i="3"/>
  <c r="AV517" i="3"/>
  <c r="AV515" i="3"/>
  <c r="AQ516" i="3"/>
  <c r="AQ502" i="3"/>
  <c r="AR502" i="3"/>
  <c r="AU502" i="3"/>
  <c r="AS505" i="3"/>
  <c r="AV505" i="3" s="1"/>
  <c r="AV503" i="3"/>
  <c r="AV501" i="3"/>
  <c r="AT502" i="3"/>
  <c r="AS488" i="3"/>
  <c r="AU488" i="3"/>
  <c r="AV487" i="3"/>
  <c r="AQ488" i="3"/>
  <c r="AV489" i="3"/>
  <c r="AT488" i="3"/>
  <c r="AV461" i="3"/>
  <c r="AV459" i="3"/>
  <c r="AT460" i="3"/>
  <c r="AR460" i="3"/>
  <c r="AQ460" i="3"/>
  <c r="AR446" i="3"/>
  <c r="AS446" i="3"/>
  <c r="AU446" i="3"/>
  <c r="AV445" i="3"/>
  <c r="AQ446" i="3"/>
  <c r="AT446" i="3"/>
  <c r="AV433" i="3"/>
  <c r="AV431" i="3"/>
  <c r="AR432" i="3"/>
  <c r="AV389" i="3"/>
  <c r="AQ390" i="3"/>
  <c r="AV391" i="3"/>
  <c r="AR390" i="3"/>
  <c r="AS390" i="3"/>
  <c r="AT390" i="3"/>
  <c r="AU390" i="3"/>
  <c r="AV377" i="3"/>
  <c r="AR376" i="3"/>
  <c r="AS376" i="3"/>
  <c r="AT376" i="3"/>
  <c r="AU376" i="3"/>
  <c r="AV375" i="3"/>
  <c r="AQ376" i="3"/>
  <c r="AV363" i="3"/>
  <c r="AV361" i="3"/>
  <c r="AQ362" i="3"/>
  <c r="AR362" i="3"/>
  <c r="AS362" i="3"/>
  <c r="AT362" i="3"/>
  <c r="AU362" i="3"/>
  <c r="AS320" i="3"/>
  <c r="AT320" i="3"/>
  <c r="AV319" i="3"/>
  <c r="AQ306" i="3"/>
  <c r="AR306" i="3"/>
  <c r="AS306" i="3"/>
  <c r="AT306" i="3"/>
  <c r="AV307" i="3"/>
  <c r="AR292" i="3"/>
  <c r="AV291" i="3"/>
  <c r="AU292" i="3"/>
  <c r="AV280" i="3"/>
  <c r="AV279" i="3"/>
  <c r="AR278" i="3"/>
  <c r="AS278" i="3"/>
  <c r="AV277" i="3"/>
  <c r="AQ278" i="3"/>
  <c r="AT278" i="3"/>
  <c r="AU278" i="3"/>
  <c r="AV265" i="3"/>
  <c r="AV263" i="3"/>
  <c r="AQ264" i="3"/>
  <c r="AR264" i="3"/>
  <c r="AU264" i="3"/>
  <c r="AS264" i="3"/>
  <c r="AV249" i="3"/>
  <c r="AQ250" i="3"/>
  <c r="AT250" i="3"/>
  <c r="AU250" i="3"/>
  <c r="AV223" i="3"/>
  <c r="AQ222" i="3"/>
  <c r="AS222" i="3"/>
  <c r="AT222" i="3"/>
  <c r="AU222" i="3"/>
  <c r="AV195" i="3"/>
  <c r="AS194" i="3"/>
  <c r="AV193" i="3"/>
  <c r="AR194" i="3"/>
  <c r="AT194" i="3"/>
  <c r="AV179" i="3"/>
  <c r="AS180" i="3"/>
  <c r="AR180" i="3"/>
  <c r="AT180" i="3"/>
  <c r="AU180" i="3"/>
  <c r="AV165" i="3"/>
  <c r="AQ166" i="3"/>
  <c r="AR166" i="3"/>
  <c r="AS166" i="3"/>
  <c r="AT166" i="3"/>
  <c r="AU166" i="3"/>
  <c r="AV153" i="3"/>
  <c r="AR152" i="3"/>
  <c r="AV151" i="3"/>
  <c r="AQ152" i="3"/>
  <c r="AS152" i="3"/>
  <c r="AT152" i="3"/>
  <c r="AU152" i="3"/>
  <c r="AV112" i="3"/>
  <c r="AU113" i="3"/>
  <c r="AV113" i="3" s="1"/>
  <c r="AV111" i="3"/>
  <c r="AV109" i="3"/>
  <c r="AQ110" i="3"/>
  <c r="AR110" i="3"/>
  <c r="AS110" i="3"/>
  <c r="AT110" i="3"/>
  <c r="AV69" i="3"/>
  <c r="AV67" i="3"/>
  <c r="AQ68" i="3"/>
  <c r="AR68" i="3"/>
  <c r="AS68" i="3"/>
  <c r="AT68" i="3"/>
  <c r="AU68" i="3"/>
  <c r="AV55" i="3"/>
  <c r="AV53" i="3"/>
  <c r="AQ54" i="3"/>
  <c r="AR54" i="3"/>
  <c r="AS54" i="3"/>
  <c r="AU54" i="3"/>
  <c r="AV153" i="6"/>
  <c r="AV151" i="6"/>
  <c r="AQ152" i="6"/>
  <c r="AR152" i="6"/>
  <c r="AS152" i="6"/>
  <c r="AT152" i="6"/>
  <c r="AV69" i="6"/>
  <c r="AV67" i="6"/>
  <c r="AQ68" i="6"/>
  <c r="AR68" i="6"/>
  <c r="AS68" i="6"/>
  <c r="AT68" i="6"/>
  <c r="AU68" i="6"/>
  <c r="AV55" i="6"/>
  <c r="AV53" i="6"/>
  <c r="AQ54" i="6"/>
  <c r="AR54" i="6"/>
  <c r="AS54" i="6"/>
  <c r="AT54" i="6"/>
  <c r="AU54" i="6"/>
  <c r="AV41" i="6"/>
  <c r="AV39" i="6"/>
  <c r="AQ40" i="6"/>
  <c r="AR40" i="6"/>
  <c r="AS40" i="6"/>
  <c r="AT40" i="6"/>
  <c r="AU40" i="6"/>
  <c r="AV27" i="6"/>
  <c r="AV25" i="6"/>
  <c r="AQ26" i="6"/>
  <c r="AR26" i="6"/>
  <c r="AS26" i="6"/>
  <c r="AT26" i="6"/>
  <c r="AU26" i="6"/>
  <c r="AV14" i="6"/>
  <c r="AV13" i="6"/>
  <c r="AV11" i="6"/>
  <c r="AQ12" i="6"/>
  <c r="AR12" i="6"/>
  <c r="AS12" i="6"/>
  <c r="AT12" i="6"/>
  <c r="AU12" i="6"/>
  <c r="AU214" i="10"/>
  <c r="AU215" i="10" s="1"/>
  <c r="AT214" i="10"/>
  <c r="AT215" i="10" s="1"/>
  <c r="AS214" i="10"/>
  <c r="AS215" i="10" s="1"/>
  <c r="AR214" i="10"/>
  <c r="AR215" i="10" s="1"/>
  <c r="AQ214" i="10"/>
  <c r="AQ215" i="10" s="1"/>
  <c r="AU212" i="10"/>
  <c r="AU216" i="10" s="1"/>
  <c r="AT212" i="10"/>
  <c r="AT216" i="10" s="1"/>
  <c r="AS212" i="10"/>
  <c r="AS216" i="10" s="1"/>
  <c r="AR212" i="10"/>
  <c r="AR216" i="10" s="1"/>
  <c r="AQ212" i="10"/>
  <c r="AQ216" i="10" s="1"/>
  <c r="AU211" i="10"/>
  <c r="AT211" i="10"/>
  <c r="AS211" i="10"/>
  <c r="AR211" i="10"/>
  <c r="AQ211" i="10"/>
  <c r="AU201" i="10"/>
  <c r="AU202" i="10" s="1"/>
  <c r="AT201" i="10"/>
  <c r="AT202" i="10" s="1"/>
  <c r="AS201" i="10"/>
  <c r="AS202" i="10" s="1"/>
  <c r="AR201" i="10"/>
  <c r="AR202" i="10" s="1"/>
  <c r="AQ201" i="10"/>
  <c r="AQ202" i="10" s="1"/>
  <c r="AU199" i="10"/>
  <c r="AU203" i="10" s="1"/>
  <c r="AT199" i="10"/>
  <c r="AT203" i="10" s="1"/>
  <c r="AS199" i="10"/>
  <c r="AR199" i="10"/>
  <c r="AR203" i="10" s="1"/>
  <c r="AQ199" i="10"/>
  <c r="AQ203" i="10" s="1"/>
  <c r="AU198" i="10"/>
  <c r="AT198" i="10"/>
  <c r="AS198" i="10"/>
  <c r="AR198" i="10"/>
  <c r="AQ198" i="10"/>
  <c r="AU188" i="10"/>
  <c r="AU189" i="10" s="1"/>
  <c r="AT188" i="10"/>
  <c r="AT189" i="10" s="1"/>
  <c r="AS188" i="10"/>
  <c r="AS189" i="10" s="1"/>
  <c r="AR188" i="10"/>
  <c r="AR189" i="10" s="1"/>
  <c r="AQ188" i="10"/>
  <c r="AQ189" i="10" s="1"/>
  <c r="AU186" i="10"/>
  <c r="AU190" i="10" s="1"/>
  <c r="AT186" i="10"/>
  <c r="AT190" i="10" s="1"/>
  <c r="AS186" i="10"/>
  <c r="AS190" i="10" s="1"/>
  <c r="AR186" i="10"/>
  <c r="AR190" i="10" s="1"/>
  <c r="AQ186" i="10"/>
  <c r="AU185" i="10"/>
  <c r="AT185" i="10"/>
  <c r="AS185" i="10"/>
  <c r="AR185" i="10"/>
  <c r="AQ185" i="10"/>
  <c r="AU175" i="10"/>
  <c r="AU176" i="10" s="1"/>
  <c r="AT175" i="10"/>
  <c r="AT176" i="10" s="1"/>
  <c r="AS175" i="10"/>
  <c r="AR175" i="10"/>
  <c r="AR176" i="10" s="1"/>
  <c r="AQ175" i="10"/>
  <c r="AQ176" i="10" s="1"/>
  <c r="AU173" i="10"/>
  <c r="AU177" i="10" s="1"/>
  <c r="AT173" i="10"/>
  <c r="AT177" i="10" s="1"/>
  <c r="AS173" i="10"/>
  <c r="AS177" i="10" s="1"/>
  <c r="AR173" i="10"/>
  <c r="AR177" i="10" s="1"/>
  <c r="AQ173" i="10"/>
  <c r="AU172" i="10"/>
  <c r="AT172" i="10"/>
  <c r="AS172" i="10"/>
  <c r="AR172" i="10"/>
  <c r="AQ172" i="10"/>
  <c r="AU162" i="10"/>
  <c r="AU163" i="10" s="1"/>
  <c r="AT162" i="10"/>
  <c r="AT163" i="10" s="1"/>
  <c r="AS162" i="10"/>
  <c r="AS163" i="10" s="1"/>
  <c r="AR162" i="10"/>
  <c r="AR163" i="10" s="1"/>
  <c r="AQ162" i="10"/>
  <c r="AQ163" i="10" s="1"/>
  <c r="AU160" i="10"/>
  <c r="AT160" i="10"/>
  <c r="AT164" i="10" s="1"/>
  <c r="AS160" i="10"/>
  <c r="AS164" i="10" s="1"/>
  <c r="AR160" i="10"/>
  <c r="AR164" i="10" s="1"/>
  <c r="AQ160" i="10"/>
  <c r="AQ164" i="10" s="1"/>
  <c r="AU159" i="10"/>
  <c r="AT159" i="10"/>
  <c r="AS159" i="10"/>
  <c r="AR159" i="10"/>
  <c r="AQ159" i="10"/>
  <c r="AU149" i="10"/>
  <c r="AU150" i="10" s="1"/>
  <c r="AT149" i="10"/>
  <c r="AT150" i="10" s="1"/>
  <c r="AS149" i="10"/>
  <c r="AS150" i="10" s="1"/>
  <c r="AR149" i="10"/>
  <c r="AR150" i="10" s="1"/>
  <c r="AQ149" i="10"/>
  <c r="AQ150" i="10" s="1"/>
  <c r="AU147" i="10"/>
  <c r="AU151" i="10" s="1"/>
  <c r="AT147" i="10"/>
  <c r="AT151" i="10" s="1"/>
  <c r="AS147" i="10"/>
  <c r="AS151" i="10" s="1"/>
  <c r="AR147" i="10"/>
  <c r="AR151" i="10" s="1"/>
  <c r="AQ147" i="10"/>
  <c r="AQ151" i="10" s="1"/>
  <c r="AU146" i="10"/>
  <c r="AT146" i="10"/>
  <c r="AS146" i="10"/>
  <c r="AR146" i="10"/>
  <c r="AQ146" i="10"/>
  <c r="AU136" i="10"/>
  <c r="AU137" i="10" s="1"/>
  <c r="AT136" i="10"/>
  <c r="AT137" i="10" s="1"/>
  <c r="AS136" i="10"/>
  <c r="AR136" i="10"/>
  <c r="AR137" i="10" s="1"/>
  <c r="AQ136" i="10"/>
  <c r="AQ137" i="10" s="1"/>
  <c r="AU134" i="10"/>
  <c r="AU138" i="10" s="1"/>
  <c r="AT134" i="10"/>
  <c r="AT138" i="10" s="1"/>
  <c r="AS134" i="10"/>
  <c r="AR134" i="10"/>
  <c r="AR138" i="10" s="1"/>
  <c r="AQ134" i="10"/>
  <c r="AU133" i="10"/>
  <c r="AT133" i="10"/>
  <c r="AS133" i="10"/>
  <c r="AR133" i="10"/>
  <c r="AQ133" i="10"/>
  <c r="AU108" i="10"/>
  <c r="AT108" i="10"/>
  <c r="AS108" i="10"/>
  <c r="AR108" i="10"/>
  <c r="AQ108" i="10"/>
  <c r="AU106" i="10"/>
  <c r="AT106" i="10"/>
  <c r="AS106" i="10"/>
  <c r="AR106" i="10"/>
  <c r="AQ106" i="10"/>
  <c r="AU105" i="10"/>
  <c r="AT105" i="10"/>
  <c r="AS105" i="10"/>
  <c r="AR105" i="10"/>
  <c r="AQ105" i="10"/>
  <c r="AU80" i="10"/>
  <c r="AT80" i="10"/>
  <c r="AS80" i="10"/>
  <c r="AR80" i="10"/>
  <c r="AQ80" i="10"/>
  <c r="AU78" i="10"/>
  <c r="AT78" i="10"/>
  <c r="AS78" i="10"/>
  <c r="AR78" i="10"/>
  <c r="AQ78" i="10"/>
  <c r="AU77" i="10"/>
  <c r="AT77" i="10"/>
  <c r="AS77" i="10"/>
  <c r="AR77" i="10"/>
  <c r="AQ77" i="10"/>
  <c r="AU66" i="10"/>
  <c r="AT66" i="10"/>
  <c r="AS66" i="10"/>
  <c r="AR66" i="10"/>
  <c r="AQ66" i="10"/>
  <c r="AU64" i="10"/>
  <c r="AT64" i="10"/>
  <c r="AS64" i="10"/>
  <c r="AR64" i="10"/>
  <c r="AQ64" i="10"/>
  <c r="AU63" i="10"/>
  <c r="AT63" i="10"/>
  <c r="AS63" i="10"/>
  <c r="AR63" i="10"/>
  <c r="AQ63" i="10"/>
  <c r="AU39" i="10"/>
  <c r="AT39" i="10"/>
  <c r="AS39" i="10"/>
  <c r="AR39" i="10"/>
  <c r="AQ39" i="10"/>
  <c r="AU37" i="10"/>
  <c r="AT37" i="10"/>
  <c r="AS37" i="10"/>
  <c r="AR37" i="10"/>
  <c r="AQ37" i="10"/>
  <c r="AU36" i="10"/>
  <c r="AT36" i="10"/>
  <c r="AS36" i="10"/>
  <c r="AR36" i="10"/>
  <c r="AQ36" i="10"/>
  <c r="AU13" i="10"/>
  <c r="AT13" i="10"/>
  <c r="AS13" i="10"/>
  <c r="AR13" i="10"/>
  <c r="AQ13" i="10"/>
  <c r="AU11" i="10"/>
  <c r="AT11" i="10"/>
  <c r="AS11" i="10"/>
  <c r="AR11" i="10"/>
  <c r="AQ11" i="10"/>
  <c r="AU10" i="10"/>
  <c r="AT10" i="10"/>
  <c r="AS10" i="10"/>
  <c r="AR10" i="10"/>
  <c r="AQ10" i="10"/>
  <c r="AU55" i="2"/>
  <c r="AT55" i="2"/>
  <c r="AS55" i="2"/>
  <c r="AR55" i="2"/>
  <c r="AQ55" i="2"/>
  <c r="AU53" i="2"/>
  <c r="AT53" i="2"/>
  <c r="AS53" i="2"/>
  <c r="AR53" i="2"/>
  <c r="AQ53" i="2"/>
  <c r="AU52" i="2"/>
  <c r="AT52" i="2"/>
  <c r="AS52" i="2"/>
  <c r="AR52" i="2"/>
  <c r="AQ52" i="2"/>
  <c r="AU200" i="10" l="1"/>
  <c r="AV530" i="3"/>
  <c r="AV320" i="3"/>
  <c r="AV180" i="3"/>
  <c r="AC66" i="2"/>
  <c r="AG66" i="2" s="1"/>
  <c r="AF66" i="2"/>
  <c r="AV163" i="10"/>
  <c r="AR25" i="10"/>
  <c r="AS25" i="10"/>
  <c r="AV63" i="10"/>
  <c r="AR65" i="10"/>
  <c r="AV77" i="10"/>
  <c r="AT79" i="10"/>
  <c r="AV80" i="10"/>
  <c r="AR107" i="10"/>
  <c r="AU161" i="10"/>
  <c r="AS200" i="10"/>
  <c r="AS203" i="10"/>
  <c r="AV203" i="10" s="1"/>
  <c r="AQ245" i="10"/>
  <c r="AV460" i="3"/>
  <c r="AV516" i="3"/>
  <c r="AV432" i="3"/>
  <c r="AV376" i="3"/>
  <c r="AV292" i="3"/>
  <c r="AV194" i="3"/>
  <c r="AV54" i="6"/>
  <c r="AV202" i="10"/>
  <c r="AV133" i="10"/>
  <c r="AV136" i="10"/>
  <c r="AQ135" i="10"/>
  <c r="AU148" i="10"/>
  <c r="AQ213" i="10"/>
  <c r="AV159" i="10"/>
  <c r="AV172" i="10"/>
  <c r="AV175" i="10"/>
  <c r="AV199" i="10"/>
  <c r="AR213" i="10"/>
  <c r="AS135" i="10"/>
  <c r="AQ174" i="10"/>
  <c r="AV185" i="10"/>
  <c r="AT200" i="10"/>
  <c r="AQ200" i="10"/>
  <c r="AU213" i="10"/>
  <c r="AS213" i="10"/>
  <c r="AV215" i="10"/>
  <c r="AQ187" i="10"/>
  <c r="AR200" i="10"/>
  <c r="AT213" i="10"/>
  <c r="AU164" i="10"/>
  <c r="AV164" i="10" s="1"/>
  <c r="AV105" i="10"/>
  <c r="AV66" i="10"/>
  <c r="AV10" i="10"/>
  <c r="AQ12" i="10"/>
  <c r="AV23" i="10"/>
  <c r="AR12" i="10"/>
  <c r="AQ25" i="10"/>
  <c r="AV36" i="10"/>
  <c r="AV10" i="2"/>
  <c r="AV52" i="2"/>
  <c r="AV55" i="2"/>
  <c r="AV124" i="3"/>
  <c r="AV127" i="3"/>
  <c r="AV12" i="8"/>
  <c r="AV11" i="5"/>
  <c r="AV502" i="3"/>
  <c r="AV488" i="3"/>
  <c r="AV446" i="3"/>
  <c r="AV390" i="3"/>
  <c r="AV362" i="3"/>
  <c r="AV306" i="3"/>
  <c r="AV278" i="3"/>
  <c r="AV264" i="3"/>
  <c r="AV250" i="3"/>
  <c r="AV222" i="3"/>
  <c r="AV166" i="3"/>
  <c r="AV152" i="3"/>
  <c r="AV110" i="3"/>
  <c r="AV68" i="3"/>
  <c r="AV54" i="3"/>
  <c r="AV152" i="6"/>
  <c r="AV68" i="6"/>
  <c r="AV40" i="6"/>
  <c r="AV26" i="6"/>
  <c r="AV12" i="6"/>
  <c r="AV216" i="10"/>
  <c r="AV211" i="10"/>
  <c r="AV214" i="10"/>
  <c r="AV212" i="10"/>
  <c r="AV198" i="10"/>
  <c r="AV201" i="10"/>
  <c r="AV189" i="10"/>
  <c r="AV188" i="10"/>
  <c r="AR187" i="10"/>
  <c r="AS187" i="10"/>
  <c r="AQ190" i="10"/>
  <c r="AV190" i="10" s="1"/>
  <c r="AT187" i="10"/>
  <c r="AU187" i="10"/>
  <c r="AV186" i="10"/>
  <c r="AS176" i="10"/>
  <c r="AV176" i="10" s="1"/>
  <c r="AR174" i="10"/>
  <c r="AS174" i="10"/>
  <c r="AQ177" i="10"/>
  <c r="AV177" i="10" s="1"/>
  <c r="AT174" i="10"/>
  <c r="AV173" i="10"/>
  <c r="AU174" i="10"/>
  <c r="AV162" i="10"/>
  <c r="AV160" i="10"/>
  <c r="AQ161" i="10"/>
  <c r="AR161" i="10"/>
  <c r="AS161" i="10"/>
  <c r="AT161" i="10"/>
  <c r="AV151" i="10"/>
  <c r="AV150" i="10"/>
  <c r="AV149" i="10"/>
  <c r="AV147" i="10"/>
  <c r="AQ148" i="10"/>
  <c r="AR148" i="10"/>
  <c r="AS148" i="10"/>
  <c r="AV146" i="10"/>
  <c r="AT148" i="10"/>
  <c r="AQ138" i="10"/>
  <c r="AT135" i="10"/>
  <c r="AU135" i="10"/>
  <c r="AS138" i="10"/>
  <c r="AS137" i="10"/>
  <c r="AV137" i="10" s="1"/>
  <c r="AR135" i="10"/>
  <c r="AV134" i="10"/>
  <c r="AV108" i="10"/>
  <c r="AV106" i="10"/>
  <c r="AQ107" i="10"/>
  <c r="AS107" i="10"/>
  <c r="AT107" i="10"/>
  <c r="AU107" i="10"/>
  <c r="AV78" i="10"/>
  <c r="AQ79" i="10"/>
  <c r="AR79" i="10"/>
  <c r="AS79" i="10"/>
  <c r="AU79" i="10"/>
  <c r="AV64" i="10"/>
  <c r="AQ65" i="10"/>
  <c r="AS65" i="10"/>
  <c r="AT65" i="10"/>
  <c r="AU65" i="10"/>
  <c r="AV39" i="10"/>
  <c r="AR38" i="10"/>
  <c r="AS38" i="10"/>
  <c r="AT38" i="10"/>
  <c r="AU38" i="10"/>
  <c r="AV37" i="10"/>
  <c r="AQ38" i="10"/>
  <c r="AV26" i="10"/>
  <c r="AV24" i="10"/>
  <c r="AT25" i="10"/>
  <c r="AU25" i="10"/>
  <c r="AV13" i="10"/>
  <c r="AV11" i="10"/>
  <c r="AS12" i="10"/>
  <c r="AT12" i="10"/>
  <c r="AU12" i="10"/>
  <c r="AR54" i="2"/>
  <c r="AS54" i="2"/>
  <c r="AT54" i="2"/>
  <c r="AU54" i="2"/>
  <c r="AV53" i="2"/>
  <c r="AQ54" i="2"/>
  <c r="AV13" i="2"/>
  <c r="AR12" i="2"/>
  <c r="AS12" i="2"/>
  <c r="AT12" i="2"/>
  <c r="AU12" i="2"/>
  <c r="AV11" i="2"/>
  <c r="AQ12" i="2"/>
  <c r="AT88" i="2" l="1"/>
  <c r="AV135" i="10"/>
  <c r="AV148" i="10"/>
  <c r="AV174" i="10"/>
  <c r="AV187" i="10"/>
  <c r="AV213" i="10"/>
  <c r="AV200" i="10"/>
  <c r="AV38" i="10"/>
  <c r="AV25" i="10"/>
  <c r="AV12" i="10"/>
  <c r="AV54" i="2"/>
  <c r="AV161" i="10"/>
  <c r="AV138" i="10"/>
  <c r="AV107" i="10"/>
  <c r="AV79" i="10"/>
  <c r="AV65" i="10"/>
  <c r="AV12" i="2"/>
  <c r="AJ637" i="1"/>
  <c r="AJ638" i="1"/>
  <c r="AJ639" i="1"/>
  <c r="V139" i="4" l="1"/>
  <c r="V365" i="1"/>
  <c r="S51" i="10"/>
  <c r="R272" i="4" l="1"/>
  <c r="R240" i="4"/>
  <c r="O70" i="10"/>
  <c r="P70" i="10"/>
  <c r="Q70" i="10"/>
  <c r="R70" i="10"/>
  <c r="N70" i="10"/>
  <c r="K395" i="4"/>
  <c r="K379" i="4"/>
  <c r="K363" i="4"/>
  <c r="K82" i="3"/>
  <c r="K138" i="6"/>
  <c r="K65" i="10"/>
  <c r="K51" i="10"/>
  <c r="K26" i="2"/>
  <c r="K12" i="2"/>
  <c r="K96" i="6"/>
  <c r="K1084" i="1"/>
  <c r="K1070" i="1"/>
  <c r="K854" i="1"/>
  <c r="K840" i="1"/>
  <c r="K744" i="1"/>
  <c r="K664" i="1"/>
  <c r="K636" i="1"/>
  <c r="K379" i="1"/>
  <c r="K365" i="1"/>
  <c r="K215" i="1"/>
  <c r="I70" i="10"/>
  <c r="J70" i="10"/>
  <c r="K70" i="10"/>
  <c r="H96" i="4" l="1"/>
  <c r="H70" i="10"/>
  <c r="G32" i="4" l="1"/>
  <c r="G70" i="10"/>
  <c r="E73" i="10"/>
  <c r="E75" i="10" l="1"/>
  <c r="E12" i="6"/>
  <c r="AJ543" i="3" l="1"/>
  <c r="AH584" i="3"/>
  <c r="V138" i="6" l="1"/>
  <c r="V177" i="6"/>
  <c r="AB26" i="9" l="1"/>
  <c r="AB12" i="9"/>
  <c r="AB26" i="8"/>
  <c r="AB12" i="7"/>
  <c r="AB39" i="5"/>
  <c r="AB25" i="5"/>
  <c r="AB11" i="5"/>
  <c r="AB411" i="4"/>
  <c r="AB203" i="4"/>
  <c r="AB488" i="3"/>
  <c r="AB474" i="3"/>
  <c r="AB138" i="6"/>
  <c r="AB124" i="6"/>
  <c r="AB96" i="6"/>
  <c r="AB65" i="10"/>
  <c r="AB51" i="10"/>
  <c r="AB1140" i="1"/>
  <c r="AB1112" i="1"/>
  <c r="AB1016" i="1"/>
  <c r="AB1002" i="1"/>
  <c r="AB854" i="1"/>
  <c r="AB840" i="1"/>
  <c r="AB351" i="1"/>
  <c r="AB338" i="1"/>
  <c r="AB256" i="1"/>
  <c r="AB242" i="1"/>
  <c r="AB228" i="1"/>
  <c r="AB215" i="1"/>
  <c r="AB201" i="1"/>
  <c r="AA12" i="7"/>
  <c r="W840" i="1"/>
  <c r="W664" i="1"/>
  <c r="V664" i="1"/>
  <c r="U26" i="9"/>
  <c r="U12" i="9"/>
  <c r="U12" i="7"/>
  <c r="U39" i="5"/>
  <c r="U25" i="5"/>
  <c r="U11" i="5"/>
  <c r="U488" i="3"/>
  <c r="U460" i="3"/>
  <c r="U82" i="3"/>
  <c r="U138" i="6"/>
  <c r="U96" i="6"/>
  <c r="U65" i="10"/>
  <c r="U51" i="10"/>
  <c r="U1016" i="1"/>
  <c r="U1002" i="1"/>
  <c r="U854" i="1"/>
  <c r="U840" i="1"/>
  <c r="U664" i="1"/>
  <c r="U351" i="1"/>
  <c r="U338" i="1"/>
  <c r="U256" i="1"/>
  <c r="U242" i="1"/>
  <c r="U215" i="1"/>
  <c r="U201" i="1"/>
  <c r="P26" i="9" l="1"/>
  <c r="O26" i="9"/>
  <c r="P12" i="9"/>
  <c r="O12" i="9"/>
  <c r="P12" i="7"/>
  <c r="O12" i="7"/>
  <c r="P39" i="5"/>
  <c r="O39" i="5"/>
  <c r="P25" i="5"/>
  <c r="O25" i="5"/>
  <c r="P11" i="5"/>
  <c r="O11" i="5"/>
  <c r="P411" i="4"/>
  <c r="O411" i="4"/>
  <c r="P395" i="4"/>
  <c r="O395" i="4"/>
  <c r="P139" i="4"/>
  <c r="O139" i="4"/>
  <c r="P27" i="4"/>
  <c r="O27" i="4"/>
  <c r="P572" i="3"/>
  <c r="O572" i="3"/>
  <c r="P488" i="3"/>
  <c r="O488" i="3"/>
  <c r="P474" i="3"/>
  <c r="O474" i="3"/>
  <c r="P460" i="3"/>
  <c r="O460" i="3"/>
  <c r="P334" i="3"/>
  <c r="O334" i="3"/>
  <c r="P82" i="3"/>
  <c r="O82" i="3"/>
  <c r="P26" i="3"/>
  <c r="O26" i="3"/>
  <c r="P166" i="6"/>
  <c r="O166" i="6"/>
  <c r="P138" i="6"/>
  <c r="O138" i="6"/>
  <c r="P124" i="6"/>
  <c r="O124" i="6"/>
  <c r="P110" i="6"/>
  <c r="O110" i="6"/>
  <c r="P96" i="6"/>
  <c r="O96" i="6"/>
  <c r="P68" i="6"/>
  <c r="O68" i="6"/>
  <c r="P26" i="6"/>
  <c r="N121" i="10"/>
  <c r="N65" i="10"/>
  <c r="N51" i="10"/>
  <c r="P121" i="10"/>
  <c r="O121" i="10"/>
  <c r="P65" i="10"/>
  <c r="O65" i="10"/>
  <c r="P51" i="10"/>
  <c r="O51" i="10"/>
  <c r="P40" i="2"/>
  <c r="O40" i="2"/>
  <c r="P12" i="2"/>
  <c r="O12" i="2"/>
  <c r="P1016" i="1"/>
  <c r="O1016" i="1"/>
  <c r="P1002" i="1"/>
  <c r="O1002" i="1"/>
  <c r="P854" i="1"/>
  <c r="O854" i="1"/>
  <c r="P840" i="1"/>
  <c r="O840" i="1"/>
  <c r="P351" i="1"/>
  <c r="O351" i="1"/>
  <c r="P338" i="1"/>
  <c r="O338" i="1"/>
  <c r="P256" i="1"/>
  <c r="O256" i="1"/>
  <c r="P242" i="1"/>
  <c r="O242" i="1"/>
  <c r="P228" i="1"/>
  <c r="O228" i="1"/>
  <c r="P215" i="1"/>
  <c r="O215" i="1"/>
  <c r="P201" i="1"/>
  <c r="K68" i="6" l="1"/>
  <c r="AM7" i="1"/>
  <c r="AM13" i="1"/>
  <c r="AM14" i="1"/>
  <c r="AM15" i="1"/>
  <c r="AM16" i="1"/>
  <c r="AM17" i="1"/>
  <c r="AM18" i="1"/>
  <c r="AM19" i="1"/>
  <c r="AM21" i="1"/>
  <c r="AM27" i="1"/>
  <c r="AM28" i="1"/>
  <c r="AM29" i="1"/>
  <c r="AM30" i="1"/>
  <c r="AM31" i="1"/>
  <c r="AM32" i="1"/>
  <c r="AM33" i="1"/>
  <c r="AM35" i="1"/>
  <c r="AM41" i="1"/>
  <c r="AM42" i="1"/>
  <c r="AM43" i="1"/>
  <c r="AM44" i="1"/>
  <c r="AM45" i="1"/>
  <c r="AM46" i="1"/>
  <c r="AM47" i="1"/>
  <c r="AM49" i="1"/>
  <c r="AM55" i="1"/>
  <c r="AM56" i="1"/>
  <c r="AM57" i="1"/>
  <c r="AM58" i="1"/>
  <c r="AM59" i="1"/>
  <c r="AM60" i="1"/>
  <c r="AM62" i="1"/>
  <c r="AM68" i="1"/>
  <c r="AM69" i="1"/>
  <c r="AM70" i="1"/>
  <c r="AM71" i="1"/>
  <c r="AM72" i="1"/>
  <c r="AM73" i="1"/>
  <c r="AM74" i="1"/>
  <c r="AM76" i="1"/>
  <c r="AM82" i="1"/>
  <c r="AM83" i="1"/>
  <c r="AM84" i="1"/>
  <c r="AM85" i="1"/>
  <c r="AM86" i="1"/>
  <c r="AM87" i="1"/>
  <c r="AM89" i="1"/>
  <c r="AM95" i="1"/>
  <c r="AM96" i="1"/>
  <c r="AM97" i="1"/>
  <c r="AM98" i="1"/>
  <c r="AM99" i="1"/>
  <c r="AM100" i="1"/>
  <c r="AM101" i="1"/>
  <c r="AM103" i="1"/>
  <c r="AM109" i="1"/>
  <c r="AM110" i="1"/>
  <c r="AM111" i="1"/>
  <c r="AM112" i="1"/>
  <c r="AM113" i="1"/>
  <c r="AM114" i="1"/>
  <c r="AM116" i="1"/>
  <c r="AM122" i="1"/>
  <c r="AM123" i="1"/>
  <c r="AM124" i="1"/>
  <c r="AM125" i="1"/>
  <c r="AM126" i="1"/>
  <c r="AM127" i="1"/>
  <c r="AM128" i="1"/>
  <c r="AM130" i="1"/>
  <c r="AM136" i="1"/>
  <c r="AM137" i="1"/>
  <c r="AM138" i="1"/>
  <c r="AM139" i="1"/>
  <c r="AM140" i="1"/>
  <c r="AM141" i="1"/>
  <c r="AM143" i="1"/>
  <c r="AM149" i="1"/>
  <c r="AM150" i="1"/>
  <c r="AM151" i="1"/>
  <c r="AM152" i="1"/>
  <c r="AM153" i="1"/>
  <c r="AM154" i="1"/>
  <c r="AM155" i="1"/>
  <c r="AM157" i="1"/>
  <c r="AM163" i="1"/>
  <c r="AM164" i="1"/>
  <c r="AM165" i="1"/>
  <c r="AM166" i="1"/>
  <c r="AM167" i="1"/>
  <c r="AM168" i="1"/>
  <c r="AM170" i="1"/>
  <c r="AM176" i="1"/>
  <c r="AM177" i="1"/>
  <c r="AM178" i="1"/>
  <c r="AM179" i="1"/>
  <c r="AM180" i="1"/>
  <c r="AM181" i="1"/>
  <c r="AM182" i="1"/>
  <c r="AM184" i="1"/>
  <c r="AM190" i="1"/>
  <c r="AM191" i="1"/>
  <c r="AM192" i="1"/>
  <c r="AM193" i="1"/>
  <c r="AM194" i="1"/>
  <c r="AM195" i="1"/>
  <c r="AM197" i="1"/>
  <c r="AM271" i="1"/>
  <c r="AM272" i="1"/>
  <c r="AM273" i="1"/>
  <c r="AM274" i="1"/>
  <c r="AM275" i="1"/>
  <c r="AM276" i="1"/>
  <c r="AM277" i="1"/>
  <c r="AM279" i="1"/>
  <c r="AM285" i="1"/>
  <c r="AM286" i="1"/>
  <c r="AM287" i="1"/>
  <c r="AM288" i="1"/>
  <c r="AM289" i="1"/>
  <c r="AM290" i="1"/>
  <c r="AM291" i="1"/>
  <c r="AM293" i="1"/>
  <c r="AM299" i="1"/>
  <c r="AM300" i="1"/>
  <c r="AM301" i="1"/>
  <c r="AM302" i="1"/>
  <c r="AM303" i="1"/>
  <c r="AM304" i="1"/>
  <c r="AM306" i="1"/>
  <c r="AM312" i="1"/>
  <c r="AM313" i="1"/>
  <c r="AM314" i="1"/>
  <c r="AM315" i="1"/>
  <c r="AM316" i="1"/>
  <c r="AM317" i="1"/>
  <c r="AM318" i="1"/>
  <c r="AM320" i="1"/>
  <c r="AM326" i="1"/>
  <c r="AM327" i="1"/>
  <c r="AM328" i="1"/>
  <c r="AM329" i="1"/>
  <c r="AM330" i="1"/>
  <c r="AM331" i="1"/>
  <c r="AM332" i="1"/>
  <c r="AM334" i="1"/>
  <c r="AM367" i="1"/>
  <c r="AM368" i="1"/>
  <c r="AM369" i="1"/>
  <c r="AM370" i="1"/>
  <c r="AM371" i="1"/>
  <c r="AM372" i="1"/>
  <c r="AM373" i="1"/>
  <c r="AM375" i="1"/>
  <c r="AM381" i="1"/>
  <c r="AM382" i="1"/>
  <c r="AM383" i="1"/>
  <c r="AM384" i="1"/>
  <c r="AM385" i="1"/>
  <c r="AM386" i="1"/>
  <c r="AM388" i="1"/>
  <c r="AM394" i="1"/>
  <c r="AM395" i="1"/>
  <c r="AM396" i="1"/>
  <c r="AM397" i="1"/>
  <c r="AM398" i="1"/>
  <c r="AM399" i="1"/>
  <c r="AM400" i="1"/>
  <c r="AM402" i="1"/>
  <c r="AM408" i="1"/>
  <c r="AM409" i="1"/>
  <c r="AM410" i="1"/>
  <c r="AM411" i="1"/>
  <c r="AM412" i="1"/>
  <c r="AM413" i="1"/>
  <c r="AM414" i="1"/>
  <c r="AM416" i="1"/>
  <c r="AM422" i="1"/>
  <c r="AM423" i="1"/>
  <c r="AM424" i="1"/>
  <c r="AM425" i="1"/>
  <c r="AM426" i="1"/>
  <c r="AM427" i="1"/>
  <c r="AM429" i="1"/>
  <c r="AM435" i="1"/>
  <c r="AM436" i="1"/>
  <c r="AM437" i="1"/>
  <c r="AM438" i="1"/>
  <c r="AM439" i="1"/>
  <c r="AM440" i="1"/>
  <c r="AM441" i="1"/>
  <c r="AM443" i="1"/>
  <c r="AM449" i="1"/>
  <c r="AM450" i="1"/>
  <c r="AM451" i="1"/>
  <c r="AM452" i="1"/>
  <c r="AM453" i="1"/>
  <c r="AM454" i="1"/>
  <c r="AM456" i="1"/>
  <c r="AM462" i="1"/>
  <c r="AM463" i="1"/>
  <c r="AM464" i="1"/>
  <c r="AM465" i="1"/>
  <c r="AM466" i="1"/>
  <c r="AM467" i="1"/>
  <c r="AM468" i="1"/>
  <c r="AM470" i="1"/>
  <c r="AM476" i="1"/>
  <c r="AM477" i="1"/>
  <c r="AM478" i="1"/>
  <c r="AM479" i="1"/>
  <c r="AM480" i="1"/>
  <c r="AM481" i="1"/>
  <c r="AM483" i="1"/>
  <c r="AM489" i="1"/>
  <c r="AM490" i="1"/>
  <c r="AM491" i="1"/>
  <c r="AM492" i="1"/>
  <c r="AM493" i="1"/>
  <c r="AM494" i="1"/>
  <c r="AM495" i="1"/>
  <c r="AM497" i="1"/>
  <c r="AM503" i="1"/>
  <c r="AM504" i="1"/>
  <c r="AM505" i="1"/>
  <c r="AM506" i="1"/>
  <c r="AM507" i="1"/>
  <c r="AM508" i="1"/>
  <c r="AM510" i="1"/>
  <c r="AM516" i="1"/>
  <c r="AM517" i="1"/>
  <c r="AM518" i="1"/>
  <c r="AM519" i="1"/>
  <c r="AM520" i="1"/>
  <c r="AM521" i="1"/>
  <c r="AM522" i="1"/>
  <c r="AM524" i="1"/>
  <c r="AM530" i="1"/>
  <c r="AM531" i="1"/>
  <c r="AM532" i="1"/>
  <c r="AM533" i="1"/>
  <c r="AM534" i="1"/>
  <c r="AM535" i="1"/>
  <c r="AM537" i="1"/>
  <c r="AM543" i="1"/>
  <c r="AM544" i="1"/>
  <c r="AM545" i="1"/>
  <c r="AM546" i="1"/>
  <c r="AM547" i="1"/>
  <c r="AM548" i="1"/>
  <c r="AM549" i="1"/>
  <c r="AM551" i="1"/>
  <c r="AM557" i="1"/>
  <c r="AM558" i="1"/>
  <c r="AM559" i="1"/>
  <c r="AM560" i="1"/>
  <c r="AM561" i="1"/>
  <c r="AM562" i="1"/>
  <c r="AM564" i="1"/>
  <c r="AM570" i="1"/>
  <c r="AM571" i="1"/>
  <c r="AM572" i="1"/>
  <c r="AM573" i="1"/>
  <c r="AM574" i="1"/>
  <c r="AM575" i="1"/>
  <c r="AM576" i="1"/>
  <c r="AM578" i="1"/>
  <c r="AM584" i="1"/>
  <c r="AM585" i="1"/>
  <c r="AM586" i="1"/>
  <c r="AM587" i="1"/>
  <c r="AM588" i="1"/>
  <c r="AM589" i="1"/>
  <c r="AM591" i="1"/>
  <c r="AM597" i="1"/>
  <c r="AM598" i="1"/>
  <c r="AM599" i="1"/>
  <c r="AM600" i="1"/>
  <c r="AM601" i="1"/>
  <c r="AM602" i="1"/>
  <c r="AM603" i="1"/>
  <c r="AM605" i="1"/>
  <c r="AM611" i="1"/>
  <c r="AM612" i="1"/>
  <c r="AM613" i="1"/>
  <c r="AM614" i="1"/>
  <c r="AM615" i="1"/>
  <c r="AM616" i="1"/>
  <c r="AM617" i="1"/>
  <c r="AM619" i="1"/>
  <c r="AM625" i="1"/>
  <c r="AM626" i="1"/>
  <c r="AM627" i="1"/>
  <c r="AM628" i="1"/>
  <c r="AM629" i="1"/>
  <c r="AM630" i="1"/>
  <c r="AM632" i="1"/>
  <c r="AM638" i="1"/>
  <c r="AM639" i="1"/>
  <c r="AM640" i="1"/>
  <c r="AM641" i="1"/>
  <c r="AM642" i="1"/>
  <c r="AM643" i="1"/>
  <c r="AM644" i="1"/>
  <c r="AM646" i="1"/>
  <c r="AM652" i="1"/>
  <c r="AM653" i="1"/>
  <c r="AM654" i="1"/>
  <c r="AM655" i="1"/>
  <c r="AM656" i="1"/>
  <c r="AM657" i="1"/>
  <c r="AM658" i="1"/>
  <c r="AM660" i="1"/>
  <c r="AM666" i="1"/>
  <c r="AM667" i="1"/>
  <c r="AM668" i="1"/>
  <c r="AM669" i="1"/>
  <c r="AM670" i="1"/>
  <c r="AM671" i="1"/>
  <c r="AM673" i="1"/>
  <c r="AM679" i="1"/>
  <c r="AM680" i="1"/>
  <c r="AM681" i="1"/>
  <c r="AM682" i="1"/>
  <c r="AM683" i="1"/>
  <c r="AM684" i="1"/>
  <c r="AM685" i="1"/>
  <c r="AM687" i="1"/>
  <c r="AM693" i="1"/>
  <c r="AM694" i="1"/>
  <c r="AM695" i="1"/>
  <c r="AM696" i="1"/>
  <c r="AM697" i="1"/>
  <c r="AM698" i="1"/>
  <c r="AM700" i="1"/>
  <c r="AM706" i="1"/>
  <c r="AM707" i="1"/>
  <c r="AM708" i="1"/>
  <c r="AM709" i="1"/>
  <c r="AM710" i="1"/>
  <c r="AM711" i="1"/>
  <c r="AM713" i="1"/>
  <c r="AM719" i="1"/>
  <c r="AM720" i="1"/>
  <c r="AM721" i="1"/>
  <c r="AM722" i="1"/>
  <c r="AM723" i="1"/>
  <c r="AM724" i="1"/>
  <c r="AM725" i="1"/>
  <c r="AM727" i="1"/>
  <c r="AM733" i="1"/>
  <c r="AM734" i="1"/>
  <c r="AM735" i="1"/>
  <c r="AM736" i="1"/>
  <c r="AM737" i="1"/>
  <c r="AM738" i="1"/>
  <c r="AM740" i="1"/>
  <c r="AM746" i="1"/>
  <c r="AM747" i="1"/>
  <c r="AM748" i="1"/>
  <c r="AM749" i="1"/>
  <c r="AM750" i="1"/>
  <c r="AM751" i="1"/>
  <c r="AM752" i="1"/>
  <c r="AM754" i="1"/>
  <c r="AM760" i="1"/>
  <c r="AM761" i="1"/>
  <c r="AM762" i="1"/>
  <c r="AM763" i="1"/>
  <c r="AM764" i="1"/>
  <c r="AM765" i="1"/>
  <c r="AM766" i="1"/>
  <c r="AM768" i="1"/>
  <c r="AM774" i="1"/>
  <c r="AM775" i="1"/>
  <c r="AM776" i="1"/>
  <c r="AM777" i="1"/>
  <c r="AM778" i="1"/>
  <c r="AM779" i="1"/>
  <c r="AM780" i="1"/>
  <c r="AM782" i="1"/>
  <c r="AM788" i="1"/>
  <c r="AM789" i="1"/>
  <c r="AM790" i="1"/>
  <c r="AM791" i="1"/>
  <c r="AM792" i="1"/>
  <c r="AM793" i="1"/>
  <c r="AM795" i="1"/>
  <c r="AM801" i="1"/>
  <c r="AM802" i="1"/>
  <c r="AM803" i="1"/>
  <c r="AM804" i="1"/>
  <c r="AM805" i="1"/>
  <c r="AM806" i="1"/>
  <c r="AM807" i="1"/>
  <c r="AM809" i="1"/>
  <c r="AM815" i="1"/>
  <c r="AM816" i="1"/>
  <c r="AM817" i="1"/>
  <c r="AM818" i="1"/>
  <c r="AM819" i="1"/>
  <c r="AM820" i="1"/>
  <c r="AM821" i="1"/>
  <c r="AM823" i="1"/>
  <c r="AM829" i="1"/>
  <c r="AM830" i="1"/>
  <c r="AM831" i="1"/>
  <c r="AM832" i="1"/>
  <c r="AM833" i="1"/>
  <c r="AM834" i="1"/>
  <c r="AM836" i="1"/>
  <c r="AM869" i="1"/>
  <c r="AM870" i="1"/>
  <c r="AM871" i="1"/>
  <c r="AM872" i="1"/>
  <c r="AM873" i="1"/>
  <c r="AM874" i="1"/>
  <c r="AM875" i="1"/>
  <c r="AM877" i="1"/>
  <c r="AM883" i="1"/>
  <c r="AM884" i="1"/>
  <c r="AM885" i="1"/>
  <c r="AM886" i="1"/>
  <c r="AM887" i="1"/>
  <c r="AM888" i="1"/>
  <c r="AM890" i="1"/>
  <c r="AM896" i="1"/>
  <c r="AM897" i="1"/>
  <c r="AM898" i="1"/>
  <c r="AM899" i="1"/>
  <c r="AM900" i="1"/>
  <c r="AM901" i="1"/>
  <c r="AM902" i="1"/>
  <c r="AM904" i="1"/>
  <c r="AM910" i="1"/>
  <c r="AM911" i="1"/>
  <c r="AM912" i="1"/>
  <c r="AM913" i="1"/>
  <c r="AM914" i="1"/>
  <c r="AM915" i="1"/>
  <c r="AM917" i="1"/>
  <c r="AM923" i="1"/>
  <c r="AM924" i="1"/>
  <c r="AM925" i="1"/>
  <c r="AM926" i="1"/>
  <c r="AM927" i="1"/>
  <c r="AM928" i="1"/>
  <c r="AM929" i="1"/>
  <c r="AM931" i="1"/>
  <c r="AM937" i="1"/>
  <c r="AM938" i="1"/>
  <c r="AM939" i="1"/>
  <c r="AM940" i="1"/>
  <c r="AM941" i="1"/>
  <c r="AM942" i="1"/>
  <c r="AM944" i="1"/>
  <c r="AM950" i="1"/>
  <c r="AM951" i="1"/>
  <c r="AM952" i="1"/>
  <c r="AM953" i="1"/>
  <c r="AM954" i="1"/>
  <c r="AM955" i="1"/>
  <c r="AM956" i="1"/>
  <c r="AM958" i="1"/>
  <c r="AM964" i="1"/>
  <c r="AM965" i="1"/>
  <c r="AM966" i="1"/>
  <c r="AM967" i="1"/>
  <c r="AM968" i="1"/>
  <c r="AM969" i="1"/>
  <c r="AM971" i="1"/>
  <c r="AM977" i="1"/>
  <c r="AM978" i="1"/>
  <c r="AM979" i="1"/>
  <c r="AM980" i="1"/>
  <c r="AM981" i="1"/>
  <c r="AM982" i="1"/>
  <c r="AM983" i="1"/>
  <c r="AM985" i="1"/>
  <c r="AM991" i="1"/>
  <c r="AM992" i="1"/>
  <c r="AM993" i="1"/>
  <c r="AM994" i="1"/>
  <c r="AM995" i="1"/>
  <c r="AM996" i="1"/>
  <c r="AM998" i="1"/>
  <c r="AM1031" i="1"/>
  <c r="AM1032" i="1"/>
  <c r="AM1033" i="1"/>
  <c r="AM1034" i="1"/>
  <c r="AM1035" i="1"/>
  <c r="AM1036" i="1"/>
  <c r="AM1037" i="1"/>
  <c r="AM1039" i="1"/>
  <c r="AM1045" i="1"/>
  <c r="AM1046" i="1"/>
  <c r="AM1047" i="1"/>
  <c r="AM1048" i="1"/>
  <c r="AM1049" i="1"/>
  <c r="AM1050" i="1"/>
  <c r="AM1051" i="1"/>
  <c r="AM1053" i="1"/>
  <c r="AM1059" i="1"/>
  <c r="AM1060" i="1"/>
  <c r="AM1061" i="1"/>
  <c r="AM1062" i="1"/>
  <c r="AM1063" i="1"/>
  <c r="AM1064" i="1"/>
  <c r="AM1066" i="1"/>
  <c r="AM1072" i="1"/>
  <c r="AM1073" i="1"/>
  <c r="AM1074" i="1"/>
  <c r="AM1075" i="1"/>
  <c r="AM1076" i="1"/>
  <c r="AM1077" i="1"/>
  <c r="AM1078" i="1"/>
  <c r="AM1080" i="1"/>
  <c r="AM1086" i="1"/>
  <c r="AM1087" i="1"/>
  <c r="AM1088" i="1"/>
  <c r="AM1089" i="1"/>
  <c r="AM1090" i="1"/>
  <c r="AM1091" i="1"/>
  <c r="AM1092" i="1"/>
  <c r="AM1094" i="1"/>
  <c r="AM1100" i="1"/>
  <c r="AM1101" i="1"/>
  <c r="AM1102" i="1"/>
  <c r="AM1103" i="1"/>
  <c r="AM1104" i="1"/>
  <c r="AM1105" i="1"/>
  <c r="AM1106" i="1"/>
  <c r="AM1108" i="1"/>
  <c r="AM1114" i="1"/>
  <c r="AM1115" i="1"/>
  <c r="AM1116" i="1"/>
  <c r="AM1117" i="1"/>
  <c r="AM1118" i="1"/>
  <c r="AM1119" i="1"/>
  <c r="AM1120" i="1"/>
  <c r="AM1122" i="1"/>
  <c r="AM1128" i="1"/>
  <c r="AM1129" i="1"/>
  <c r="AM1130" i="1"/>
  <c r="AM1131" i="1"/>
  <c r="AM1132" i="1"/>
  <c r="AM1133" i="1"/>
  <c r="AM1134" i="1"/>
  <c r="AM1136" i="1"/>
  <c r="AM1142" i="1"/>
  <c r="AM1143" i="1"/>
  <c r="AM1144" i="1"/>
  <c r="AM1145" i="1"/>
  <c r="AM1146" i="1"/>
  <c r="AM1147" i="1"/>
  <c r="AM1149" i="1"/>
  <c r="AM1155" i="1"/>
  <c r="AM1156" i="1"/>
  <c r="AM1157" i="1"/>
  <c r="AM1158" i="1"/>
  <c r="AM1159" i="1"/>
  <c r="AM1160" i="1"/>
  <c r="AM1161" i="1"/>
  <c r="AM1163" i="1"/>
  <c r="AM1169" i="1"/>
  <c r="AM1170" i="1"/>
  <c r="AM1171" i="1"/>
  <c r="AM1172" i="1"/>
  <c r="AM1173" i="1"/>
  <c r="AM1174" i="1"/>
  <c r="AM1175" i="1"/>
  <c r="AM1177" i="1"/>
  <c r="AM1183" i="1"/>
  <c r="AM1184" i="1"/>
  <c r="AM1185" i="1"/>
  <c r="AM1186" i="1"/>
  <c r="AM1187" i="1"/>
  <c r="AM1188" i="1"/>
  <c r="AM1195" i="1"/>
  <c r="AM1196" i="1"/>
  <c r="AK7" i="1"/>
  <c r="AK1195" i="1"/>
  <c r="AK1196" i="1"/>
  <c r="H400" i="4"/>
  <c r="F351" i="1" l="1"/>
  <c r="AJ53" i="9"/>
  <c r="AJ331" i="3" l="1"/>
  <c r="AJ275" i="3"/>
  <c r="AJ261" i="3"/>
  <c r="AJ233" i="3"/>
  <c r="AJ191" i="3"/>
  <c r="AJ177" i="3"/>
  <c r="G10" i="13" s="1"/>
  <c r="AJ163" i="3"/>
  <c r="G11" i="13" s="1"/>
  <c r="AJ457" i="3"/>
  <c r="G16" i="13" s="1"/>
  <c r="AM14" i="9" l="1"/>
  <c r="AM15" i="9"/>
  <c r="AM16" i="9"/>
  <c r="AM17" i="9"/>
  <c r="AM18" i="9"/>
  <c r="AM19" i="9"/>
  <c r="AM20" i="9"/>
  <c r="AM22" i="9"/>
  <c r="AM28" i="9"/>
  <c r="AM29" i="9"/>
  <c r="AM30" i="9"/>
  <c r="AM31" i="9"/>
  <c r="AM32" i="9"/>
  <c r="AM33" i="9"/>
  <c r="AM34" i="9"/>
  <c r="AM36" i="9"/>
  <c r="AM42" i="9"/>
  <c r="AM43" i="9"/>
  <c r="AM44" i="9"/>
  <c r="AM45" i="9"/>
  <c r="AM46" i="9"/>
  <c r="AM47" i="9"/>
  <c r="AM48" i="9"/>
  <c r="AM50" i="9"/>
  <c r="AM56" i="9"/>
  <c r="AM57" i="9"/>
  <c r="AM58" i="9"/>
  <c r="AM59" i="9"/>
  <c r="AM60" i="9"/>
  <c r="AM61" i="9"/>
  <c r="AM62" i="9"/>
  <c r="AM69" i="9"/>
  <c r="AM70" i="9"/>
  <c r="AK14" i="9"/>
  <c r="AK16" i="9"/>
  <c r="AK17" i="9"/>
  <c r="AK18" i="9"/>
  <c r="AK19" i="9"/>
  <c r="AK20" i="9"/>
  <c r="AK22" i="9"/>
  <c r="AK28" i="9"/>
  <c r="AK30" i="9"/>
  <c r="AK31" i="9"/>
  <c r="AK32" i="9"/>
  <c r="AK33" i="9"/>
  <c r="AK34" i="9"/>
  <c r="AK36" i="9"/>
  <c r="AK42" i="9"/>
  <c r="AK44" i="9"/>
  <c r="AK45" i="9"/>
  <c r="AK46" i="9"/>
  <c r="AK47" i="9"/>
  <c r="AK48" i="9"/>
  <c r="AK50" i="9"/>
  <c r="AK56" i="9"/>
  <c r="AK58" i="9"/>
  <c r="AK59" i="9"/>
  <c r="AK60" i="9"/>
  <c r="AK61" i="9"/>
  <c r="AK62" i="9"/>
  <c r="AK69" i="9"/>
  <c r="AK70" i="9"/>
  <c r="AM14" i="8"/>
  <c r="AM15" i="8"/>
  <c r="AM16" i="8"/>
  <c r="AM17" i="8"/>
  <c r="AM18" i="8"/>
  <c r="AM19" i="8"/>
  <c r="AM20" i="8"/>
  <c r="AM22" i="8"/>
  <c r="AM28" i="8"/>
  <c r="AM29" i="8"/>
  <c r="AM30" i="8"/>
  <c r="AM31" i="8"/>
  <c r="AM32" i="8"/>
  <c r="AM33" i="8"/>
  <c r="AM34" i="8"/>
  <c r="AM36" i="8"/>
  <c r="AM42" i="8"/>
  <c r="AM43" i="8"/>
  <c r="AM44" i="8"/>
  <c r="AM45" i="8"/>
  <c r="AM46" i="8"/>
  <c r="AM47" i="8"/>
  <c r="AM48" i="8"/>
  <c r="AM55" i="8"/>
  <c r="AM56" i="8"/>
  <c r="AK14" i="8"/>
  <c r="AK16" i="8"/>
  <c r="AK17" i="8"/>
  <c r="AK18" i="8"/>
  <c r="AK19" i="8"/>
  <c r="AK20" i="8"/>
  <c r="AK22" i="8"/>
  <c r="AK28" i="8"/>
  <c r="AK30" i="8"/>
  <c r="AK31" i="8"/>
  <c r="AK32" i="8"/>
  <c r="AK33" i="8"/>
  <c r="AK34" i="8"/>
  <c r="AK36" i="8"/>
  <c r="AK42" i="8"/>
  <c r="AK44" i="8"/>
  <c r="AK45" i="8"/>
  <c r="AK46" i="8"/>
  <c r="AK47" i="8"/>
  <c r="AK48" i="8"/>
  <c r="AK55" i="8"/>
  <c r="AK56" i="8"/>
  <c r="AM14" i="7"/>
  <c r="AM15" i="7"/>
  <c r="AM16" i="7"/>
  <c r="AM17" i="7"/>
  <c r="AM18" i="7"/>
  <c r="AM19" i="7"/>
  <c r="AM20" i="7"/>
  <c r="AM27" i="7"/>
  <c r="AM28" i="7"/>
  <c r="AK14" i="7"/>
  <c r="AK16" i="7"/>
  <c r="AK17" i="7"/>
  <c r="AK18" i="7"/>
  <c r="AK19" i="7"/>
  <c r="AK20" i="7"/>
  <c r="AK27" i="7"/>
  <c r="AK28" i="7"/>
  <c r="AM13" i="5"/>
  <c r="AM14" i="5"/>
  <c r="AM15" i="5"/>
  <c r="AM16" i="5"/>
  <c r="AM17" i="5"/>
  <c r="AM18" i="5"/>
  <c r="AM19" i="5"/>
  <c r="AM21" i="5"/>
  <c r="AM27" i="5"/>
  <c r="AM28" i="5"/>
  <c r="AM29" i="5"/>
  <c r="AM30" i="5"/>
  <c r="AM31" i="5"/>
  <c r="AM32" i="5"/>
  <c r="AM33" i="5"/>
  <c r="AM35" i="5"/>
  <c r="AM41" i="5"/>
  <c r="AM42" i="5"/>
  <c r="AM43" i="5"/>
  <c r="AM44" i="5"/>
  <c r="AM45" i="5"/>
  <c r="AM46" i="5"/>
  <c r="AM47" i="5"/>
  <c r="AM54" i="5"/>
  <c r="AM55" i="5"/>
  <c r="AK13" i="5"/>
  <c r="AK15" i="5"/>
  <c r="AK16" i="5"/>
  <c r="AK17" i="5"/>
  <c r="AK18" i="5"/>
  <c r="AK19" i="5"/>
  <c r="AK21" i="5"/>
  <c r="AK27" i="5"/>
  <c r="AK29" i="5"/>
  <c r="AK30" i="5"/>
  <c r="AK31" i="5"/>
  <c r="AK32" i="5"/>
  <c r="AK33" i="5"/>
  <c r="AK35" i="5"/>
  <c r="AK41" i="5"/>
  <c r="AK43" i="5"/>
  <c r="AK44" i="5"/>
  <c r="AK45" i="5"/>
  <c r="AK46" i="5"/>
  <c r="AK47" i="5"/>
  <c r="AK54" i="5"/>
  <c r="AK55" i="5"/>
  <c r="AM13" i="4"/>
  <c r="AM14" i="4"/>
  <c r="AM15" i="4"/>
  <c r="AM16" i="4"/>
  <c r="AM17" i="4"/>
  <c r="AM18" i="4"/>
  <c r="AM19" i="4"/>
  <c r="AM20" i="4"/>
  <c r="AM21" i="4"/>
  <c r="AM23" i="4"/>
  <c r="AM29" i="4"/>
  <c r="AM30" i="4"/>
  <c r="AM31" i="4"/>
  <c r="AM32" i="4"/>
  <c r="AM33" i="4"/>
  <c r="AM34" i="4"/>
  <c r="AM35" i="4"/>
  <c r="AM36" i="4"/>
  <c r="AM37" i="4"/>
  <c r="AM39" i="4"/>
  <c r="AM45" i="4"/>
  <c r="AM46" i="4"/>
  <c r="AM47" i="4"/>
  <c r="AM48" i="4"/>
  <c r="AM49" i="4"/>
  <c r="AM50" i="4"/>
  <c r="AM51" i="4"/>
  <c r="AM52" i="4"/>
  <c r="AM53" i="4"/>
  <c r="AM55" i="4"/>
  <c r="AM61" i="4"/>
  <c r="AM62" i="4"/>
  <c r="AM63" i="4"/>
  <c r="AM64" i="4"/>
  <c r="AM65" i="4"/>
  <c r="AM66" i="4"/>
  <c r="AM67" i="4"/>
  <c r="AM68" i="4"/>
  <c r="AM69" i="4"/>
  <c r="AM71" i="4"/>
  <c r="AM77" i="4"/>
  <c r="AM78" i="4"/>
  <c r="AM79" i="4"/>
  <c r="AM80" i="4"/>
  <c r="AM81" i="4"/>
  <c r="AM82" i="4"/>
  <c r="AM83" i="4"/>
  <c r="AM84" i="4"/>
  <c r="AM85" i="4"/>
  <c r="AM87" i="4"/>
  <c r="AM93" i="4"/>
  <c r="AM94" i="4"/>
  <c r="AM95" i="4"/>
  <c r="AM96" i="4"/>
  <c r="AM97" i="4"/>
  <c r="AM98" i="4"/>
  <c r="AM99" i="4"/>
  <c r="AM100" i="4"/>
  <c r="AM101" i="4"/>
  <c r="AM103" i="4"/>
  <c r="AM109" i="4"/>
  <c r="AM110" i="4"/>
  <c r="AM111" i="4"/>
  <c r="AM112" i="4"/>
  <c r="AM113" i="4"/>
  <c r="AM114" i="4"/>
  <c r="AM115" i="4"/>
  <c r="AM116" i="4"/>
  <c r="AM117" i="4"/>
  <c r="AM119" i="4"/>
  <c r="AM125" i="4"/>
  <c r="AM126" i="4"/>
  <c r="AM127" i="4"/>
  <c r="AM128" i="4"/>
  <c r="AM129" i="4"/>
  <c r="AM130" i="4"/>
  <c r="AM131" i="4"/>
  <c r="AM132" i="4"/>
  <c r="AM133" i="4"/>
  <c r="AM135" i="4"/>
  <c r="AM141" i="4"/>
  <c r="AM142" i="4"/>
  <c r="AM143" i="4"/>
  <c r="AM144" i="4"/>
  <c r="AM145" i="4"/>
  <c r="AM146" i="4"/>
  <c r="AM147" i="4"/>
  <c r="AM148" i="4"/>
  <c r="AM149" i="4"/>
  <c r="AM151" i="4"/>
  <c r="AM157" i="4"/>
  <c r="AM158" i="4"/>
  <c r="AM159" i="4"/>
  <c r="AM160" i="4"/>
  <c r="AM161" i="4"/>
  <c r="AM162" i="4"/>
  <c r="AM163" i="4"/>
  <c r="AM164" i="4"/>
  <c r="AM165" i="4"/>
  <c r="AM167" i="4"/>
  <c r="AM173" i="4"/>
  <c r="AM174" i="4"/>
  <c r="AM175" i="4"/>
  <c r="AM176" i="4"/>
  <c r="AM177" i="4"/>
  <c r="AM178" i="4"/>
  <c r="AM179" i="4"/>
  <c r="AM180" i="4"/>
  <c r="AM181" i="4"/>
  <c r="AM183" i="4"/>
  <c r="AM189" i="4"/>
  <c r="AM190" i="4"/>
  <c r="AM191" i="4"/>
  <c r="AM192" i="4"/>
  <c r="AM193" i="4"/>
  <c r="AM194" i="4"/>
  <c r="AM195" i="4"/>
  <c r="AM196" i="4"/>
  <c r="AM197" i="4"/>
  <c r="AM199" i="4"/>
  <c r="AM205" i="4"/>
  <c r="AM206" i="4"/>
  <c r="AM207" i="4"/>
  <c r="AM208" i="4"/>
  <c r="AM209" i="4"/>
  <c r="AM210" i="4"/>
  <c r="AM211" i="4"/>
  <c r="AM212" i="4"/>
  <c r="AM213" i="4"/>
  <c r="AM215" i="4"/>
  <c r="AM221" i="4"/>
  <c r="AM222" i="4"/>
  <c r="AM223" i="4"/>
  <c r="AM224" i="4"/>
  <c r="AM225" i="4"/>
  <c r="AM226" i="4"/>
  <c r="AM227" i="4"/>
  <c r="AM228" i="4"/>
  <c r="AM229" i="4"/>
  <c r="AM231" i="4"/>
  <c r="AM237" i="4"/>
  <c r="AM238" i="4"/>
  <c r="AM239" i="4"/>
  <c r="AM240" i="4"/>
  <c r="AM241" i="4"/>
  <c r="AM242" i="4"/>
  <c r="AM243" i="4"/>
  <c r="AM244" i="4"/>
  <c r="AM245" i="4"/>
  <c r="AM247" i="4"/>
  <c r="AM253" i="4"/>
  <c r="AM254" i="4"/>
  <c r="AM255" i="4"/>
  <c r="AM256" i="4"/>
  <c r="AM257" i="4"/>
  <c r="AM258" i="4"/>
  <c r="AM259" i="4"/>
  <c r="AM260" i="4"/>
  <c r="AM261" i="4"/>
  <c r="AM263" i="4"/>
  <c r="AM269" i="4"/>
  <c r="AM270" i="4"/>
  <c r="AM271" i="4"/>
  <c r="AM272" i="4"/>
  <c r="AM273" i="4"/>
  <c r="AM274" i="4"/>
  <c r="AM275" i="4"/>
  <c r="AM276" i="4"/>
  <c r="AM277" i="4"/>
  <c r="AM279" i="4"/>
  <c r="AM285" i="4"/>
  <c r="AM286" i="4"/>
  <c r="AM287" i="4"/>
  <c r="AM288" i="4"/>
  <c r="AM289" i="4"/>
  <c r="AM290" i="4"/>
  <c r="AM291" i="4"/>
  <c r="AM292" i="4"/>
  <c r="AM293" i="4"/>
  <c r="AM295" i="4"/>
  <c r="AM301" i="4"/>
  <c r="AM302" i="4"/>
  <c r="AM303" i="4"/>
  <c r="AM304" i="4"/>
  <c r="AM305" i="4"/>
  <c r="AM306" i="4"/>
  <c r="AM307" i="4"/>
  <c r="AM308" i="4"/>
  <c r="AM309" i="4"/>
  <c r="AM311" i="4"/>
  <c r="AM317" i="4"/>
  <c r="AM318" i="4"/>
  <c r="AM319" i="4"/>
  <c r="AM320" i="4"/>
  <c r="AM321" i="4"/>
  <c r="AM322" i="4"/>
  <c r="AM323" i="4"/>
  <c r="AM324" i="4"/>
  <c r="AM325" i="4"/>
  <c r="AM327" i="4"/>
  <c r="AM333" i="4"/>
  <c r="AM334" i="4"/>
  <c r="AM335" i="4"/>
  <c r="AM336" i="4"/>
  <c r="AM337" i="4"/>
  <c r="AM338" i="4"/>
  <c r="AM339" i="4"/>
  <c r="AM340" i="4"/>
  <c r="AM341" i="4"/>
  <c r="AM343" i="4"/>
  <c r="AM349" i="4"/>
  <c r="AM350" i="4"/>
  <c r="AM351" i="4"/>
  <c r="AM352" i="4"/>
  <c r="AM353" i="4"/>
  <c r="AM354" i="4"/>
  <c r="AM355" i="4"/>
  <c r="AM356" i="4"/>
  <c r="AM357" i="4"/>
  <c r="AM359" i="4"/>
  <c r="AM365" i="4"/>
  <c r="AM366" i="4"/>
  <c r="AM367" i="4"/>
  <c r="AM368" i="4"/>
  <c r="AM369" i="4"/>
  <c r="AM370" i="4"/>
  <c r="AM371" i="4"/>
  <c r="AM372" i="4"/>
  <c r="AM373" i="4"/>
  <c r="AM375" i="4"/>
  <c r="AM381" i="4"/>
  <c r="AM382" i="4"/>
  <c r="AM383" i="4"/>
  <c r="AM384" i="4"/>
  <c r="AM385" i="4"/>
  <c r="AM386" i="4"/>
  <c r="AM387" i="4"/>
  <c r="AM388" i="4"/>
  <c r="AM389" i="4"/>
  <c r="AM391" i="4"/>
  <c r="AM397" i="4"/>
  <c r="AM398" i="4"/>
  <c r="AM399" i="4"/>
  <c r="AM400" i="4"/>
  <c r="AM401" i="4"/>
  <c r="AM402" i="4"/>
  <c r="AM403" i="4"/>
  <c r="AM404" i="4"/>
  <c r="AM405" i="4"/>
  <c r="AM407" i="4"/>
  <c r="AM413" i="4"/>
  <c r="AM414" i="4"/>
  <c r="AM415" i="4"/>
  <c r="AM416" i="4"/>
  <c r="AM417" i="4"/>
  <c r="AM418" i="4"/>
  <c r="AM419" i="4"/>
  <c r="AM420" i="4"/>
  <c r="AM421" i="4"/>
  <c r="AM423" i="4"/>
  <c r="AM429" i="4"/>
  <c r="AM430" i="4"/>
  <c r="AM431" i="4"/>
  <c r="AM432" i="4"/>
  <c r="AM433" i="4"/>
  <c r="AM434" i="4"/>
  <c r="AM435" i="4"/>
  <c r="AM436" i="4"/>
  <c r="AM437" i="4"/>
  <c r="AM439" i="4"/>
  <c r="AM445" i="4"/>
  <c r="AM446" i="4"/>
  <c r="AM447" i="4"/>
  <c r="AM448" i="4"/>
  <c r="AM449" i="4"/>
  <c r="AM450" i="4"/>
  <c r="AM451" i="4"/>
  <c r="AM452" i="4"/>
  <c r="AM453" i="4"/>
  <c r="AM455" i="4"/>
  <c r="AM461" i="4"/>
  <c r="AM462" i="4"/>
  <c r="AM463" i="4"/>
  <c r="AM464" i="4"/>
  <c r="AM465" i="4"/>
  <c r="AM466" i="4"/>
  <c r="AM467" i="4"/>
  <c r="AM468" i="4"/>
  <c r="AM469" i="4"/>
  <c r="AM471" i="4"/>
  <c r="AM477" i="4"/>
  <c r="AM478" i="4"/>
  <c r="AM479" i="4"/>
  <c r="AM480" i="4"/>
  <c r="AM481" i="4"/>
  <c r="AM482" i="4"/>
  <c r="AM483" i="4"/>
  <c r="AM484" i="4"/>
  <c r="AM485" i="4"/>
  <c r="AM487" i="4"/>
  <c r="AM493" i="4"/>
  <c r="AM494" i="4"/>
  <c r="AM495" i="4"/>
  <c r="AM496" i="4"/>
  <c r="AM497" i="4"/>
  <c r="AM498" i="4"/>
  <c r="AM499" i="4"/>
  <c r="AM500" i="4"/>
  <c r="AM501" i="4"/>
  <c r="AM503" i="4"/>
  <c r="AM509" i="4"/>
  <c r="AM510" i="4"/>
  <c r="AM511" i="4"/>
  <c r="AM512" i="4"/>
  <c r="AM513" i="4"/>
  <c r="AM514" i="4"/>
  <c r="AM515" i="4"/>
  <c r="AM516" i="4"/>
  <c r="AM517" i="4"/>
  <c r="AM524" i="4"/>
  <c r="AM525" i="4"/>
  <c r="AM14" i="10"/>
  <c r="AM15" i="10"/>
  <c r="AM16" i="10"/>
  <c r="AM17" i="10"/>
  <c r="AM18" i="10"/>
  <c r="AM19" i="10"/>
  <c r="AM21" i="10"/>
  <c r="AM27" i="10"/>
  <c r="AM28" i="10"/>
  <c r="AM29" i="10"/>
  <c r="AM30" i="10"/>
  <c r="AM31" i="10"/>
  <c r="AM32" i="10"/>
  <c r="AM34" i="10"/>
  <c r="AM40" i="10"/>
  <c r="AM41" i="10"/>
  <c r="AM42" i="10"/>
  <c r="AM43" i="10"/>
  <c r="AM44" i="10"/>
  <c r="AM45" i="10"/>
  <c r="AM47" i="10"/>
  <c r="AM53" i="10"/>
  <c r="AM54" i="10"/>
  <c r="AM55" i="10"/>
  <c r="AM56" i="10"/>
  <c r="AM57" i="10"/>
  <c r="AM58" i="10"/>
  <c r="AM59" i="10"/>
  <c r="AM61" i="10"/>
  <c r="AM67" i="10"/>
  <c r="AM68" i="10"/>
  <c r="AM69" i="10"/>
  <c r="AM70" i="10"/>
  <c r="AM71" i="10"/>
  <c r="AM72" i="10"/>
  <c r="AM73" i="10"/>
  <c r="AM75" i="10"/>
  <c r="AM81" i="10"/>
  <c r="AM82" i="10"/>
  <c r="AM83" i="10"/>
  <c r="AM84" i="10"/>
  <c r="AM85" i="10"/>
  <c r="AM86" i="10"/>
  <c r="AM87" i="10"/>
  <c r="AM89" i="10"/>
  <c r="AM95" i="10"/>
  <c r="AM96" i="10"/>
  <c r="AM97" i="10"/>
  <c r="AM98" i="10"/>
  <c r="AM99" i="10"/>
  <c r="AM100" i="10"/>
  <c r="AM101" i="10"/>
  <c r="AM103" i="10"/>
  <c r="AM109" i="10"/>
  <c r="AM110" i="10"/>
  <c r="AM111" i="10"/>
  <c r="AM112" i="10"/>
  <c r="AM113" i="10"/>
  <c r="AM114" i="10"/>
  <c r="AM115" i="10"/>
  <c r="AM117" i="10"/>
  <c r="AM123" i="10"/>
  <c r="AM124" i="10"/>
  <c r="AM125" i="10"/>
  <c r="AM126" i="10"/>
  <c r="AM127" i="10"/>
  <c r="AM128" i="10"/>
  <c r="AM129" i="10"/>
  <c r="AM131" i="10"/>
  <c r="AM137" i="10"/>
  <c r="AM138" i="10"/>
  <c r="AM139" i="10"/>
  <c r="AM140" i="10"/>
  <c r="AM141" i="10"/>
  <c r="AM142" i="10"/>
  <c r="AM144" i="10"/>
  <c r="AM150" i="10"/>
  <c r="AM151" i="10"/>
  <c r="AM152" i="10"/>
  <c r="AM153" i="10"/>
  <c r="AM154" i="10"/>
  <c r="AM155" i="10"/>
  <c r="AM157" i="10"/>
  <c r="AM163" i="10"/>
  <c r="AM164" i="10"/>
  <c r="AM165" i="10"/>
  <c r="AM166" i="10"/>
  <c r="AM167" i="10"/>
  <c r="AM168" i="10"/>
  <c r="AM170" i="10"/>
  <c r="AM176" i="10"/>
  <c r="AM177" i="10"/>
  <c r="AM178" i="10"/>
  <c r="AM179" i="10"/>
  <c r="AM180" i="10"/>
  <c r="AM181" i="10"/>
  <c r="AM183" i="10"/>
  <c r="AM189" i="10"/>
  <c r="AM190" i="10"/>
  <c r="AM191" i="10"/>
  <c r="AM192" i="10"/>
  <c r="AM193" i="10"/>
  <c r="AM194" i="10"/>
  <c r="AM196" i="10"/>
  <c r="AM202" i="10"/>
  <c r="AM203" i="10"/>
  <c r="AM204" i="10"/>
  <c r="AM205" i="10"/>
  <c r="AM206" i="10"/>
  <c r="AM207" i="10"/>
  <c r="AM209" i="10"/>
  <c r="AM215" i="10"/>
  <c r="AM216" i="10"/>
  <c r="AM217" i="10"/>
  <c r="AM218" i="10"/>
  <c r="AM219" i="10"/>
  <c r="AM220" i="10"/>
  <c r="AM222" i="10"/>
  <c r="AM228" i="10"/>
  <c r="AM229" i="10"/>
  <c r="AM230" i="10"/>
  <c r="AM231" i="10"/>
  <c r="AM232" i="10"/>
  <c r="AM233" i="10"/>
  <c r="AM234" i="10"/>
  <c r="AM241" i="10"/>
  <c r="AM242" i="10"/>
  <c r="AK14" i="10"/>
  <c r="AK16" i="10"/>
  <c r="AK17" i="10"/>
  <c r="AK18" i="10"/>
  <c r="AK19" i="10"/>
  <c r="AK21" i="10"/>
  <c r="AK27" i="10"/>
  <c r="AK29" i="10"/>
  <c r="AK30" i="10"/>
  <c r="AK31" i="10"/>
  <c r="AK32" i="10"/>
  <c r="AK34" i="10"/>
  <c r="AK40" i="10"/>
  <c r="AK42" i="10"/>
  <c r="AK43" i="10"/>
  <c r="AK44" i="10"/>
  <c r="AK45" i="10"/>
  <c r="AK47" i="10"/>
  <c r="AK53" i="10"/>
  <c r="AK55" i="10"/>
  <c r="AK56" i="10"/>
  <c r="AK57" i="10"/>
  <c r="AK58" i="10"/>
  <c r="AK59" i="10"/>
  <c r="AK61" i="10"/>
  <c r="AK67" i="10"/>
  <c r="AK69" i="10"/>
  <c r="AK70" i="10"/>
  <c r="AK71" i="10"/>
  <c r="AK72" i="10"/>
  <c r="AK73" i="10"/>
  <c r="AK75" i="10"/>
  <c r="AK81" i="10"/>
  <c r="AK83" i="10"/>
  <c r="AK84" i="10"/>
  <c r="AK85" i="10"/>
  <c r="AK86" i="10"/>
  <c r="AK87" i="10"/>
  <c r="AK89" i="10"/>
  <c r="AK95" i="10"/>
  <c r="AK97" i="10"/>
  <c r="AK98" i="10"/>
  <c r="AK99" i="10"/>
  <c r="AK100" i="10"/>
  <c r="AK101" i="10"/>
  <c r="AK103" i="10"/>
  <c r="AK109" i="10"/>
  <c r="AK111" i="10"/>
  <c r="AK112" i="10"/>
  <c r="AK113" i="10"/>
  <c r="AK114" i="10"/>
  <c r="AK115" i="10"/>
  <c r="AK117" i="10"/>
  <c r="AK123" i="10"/>
  <c r="AK125" i="10"/>
  <c r="AK126" i="10"/>
  <c r="AK127" i="10"/>
  <c r="AK128" i="10"/>
  <c r="AK129" i="10"/>
  <c r="AK131" i="10"/>
  <c r="AK137" i="10"/>
  <c r="AK139" i="10"/>
  <c r="AK140" i="10"/>
  <c r="AK141" i="10"/>
  <c r="AK142" i="10"/>
  <c r="AK144" i="10"/>
  <c r="AK150" i="10"/>
  <c r="AK152" i="10"/>
  <c r="AK153" i="10"/>
  <c r="AK154" i="10"/>
  <c r="AK155" i="10"/>
  <c r="AK157" i="10"/>
  <c r="AK163" i="10"/>
  <c r="AK165" i="10"/>
  <c r="AK166" i="10"/>
  <c r="AK167" i="10"/>
  <c r="AK168" i="10"/>
  <c r="AK170" i="10"/>
  <c r="AK176" i="10"/>
  <c r="AK178" i="10"/>
  <c r="AK179" i="10"/>
  <c r="AK180" i="10"/>
  <c r="AK181" i="10"/>
  <c r="AK183" i="10"/>
  <c r="AK189" i="10"/>
  <c r="AK191" i="10"/>
  <c r="AK192" i="10"/>
  <c r="AK193" i="10"/>
  <c r="AK194" i="10"/>
  <c r="AK196" i="10"/>
  <c r="AK202" i="10"/>
  <c r="AK204" i="10"/>
  <c r="AK205" i="10"/>
  <c r="AK206" i="10"/>
  <c r="AK207" i="10"/>
  <c r="AK209" i="10"/>
  <c r="AK215" i="10"/>
  <c r="AK217" i="10"/>
  <c r="AK218" i="10"/>
  <c r="AK219" i="10"/>
  <c r="AK220" i="10"/>
  <c r="AK222" i="10"/>
  <c r="AK228" i="10"/>
  <c r="AK230" i="10"/>
  <c r="AK231" i="10"/>
  <c r="AK232" i="10"/>
  <c r="AK233" i="10"/>
  <c r="AK234" i="10"/>
  <c r="AK241" i="10"/>
  <c r="AK242" i="10"/>
  <c r="AM14" i="2" l="1"/>
  <c r="AM15" i="2"/>
  <c r="AM16" i="2"/>
  <c r="AM17" i="2"/>
  <c r="AM18" i="2"/>
  <c r="AM19" i="2"/>
  <c r="AM20" i="2"/>
  <c r="AM22" i="2"/>
  <c r="AM28" i="2"/>
  <c r="AM29" i="2"/>
  <c r="AM30" i="2"/>
  <c r="AM31" i="2"/>
  <c r="AM32" i="2"/>
  <c r="AM33" i="2"/>
  <c r="AM34" i="2"/>
  <c r="AM36" i="2"/>
  <c r="AM42" i="2"/>
  <c r="AM43" i="2"/>
  <c r="AM44" i="2"/>
  <c r="AM45" i="2"/>
  <c r="AM46" i="2"/>
  <c r="AM47" i="2"/>
  <c r="AM48" i="2"/>
  <c r="AM50" i="2"/>
  <c r="AM56" i="2"/>
  <c r="AM57" i="2"/>
  <c r="AM58" i="2"/>
  <c r="AM59" i="2"/>
  <c r="AM60" i="2"/>
  <c r="AM61" i="2"/>
  <c r="AM62" i="2"/>
  <c r="AM83" i="2"/>
  <c r="AM84" i="2"/>
  <c r="AK14" i="2"/>
  <c r="AK16" i="2"/>
  <c r="AK17" i="2"/>
  <c r="AK18" i="2"/>
  <c r="AK19" i="2"/>
  <c r="AK20" i="2"/>
  <c r="AK22" i="2"/>
  <c r="AK28" i="2"/>
  <c r="AK30" i="2"/>
  <c r="AK31" i="2"/>
  <c r="AK32" i="2"/>
  <c r="AK33" i="2"/>
  <c r="AK34" i="2"/>
  <c r="AK36" i="2"/>
  <c r="AK42" i="2"/>
  <c r="AK44" i="2"/>
  <c r="AK45" i="2"/>
  <c r="AK46" i="2"/>
  <c r="AK47" i="2"/>
  <c r="AK48" i="2"/>
  <c r="AK50" i="2"/>
  <c r="AK56" i="2"/>
  <c r="AK58" i="2"/>
  <c r="AK59" i="2"/>
  <c r="AK60" i="2"/>
  <c r="AK61" i="2"/>
  <c r="AK62" i="2"/>
  <c r="AK83" i="2"/>
  <c r="AK84" i="2"/>
  <c r="AK85" i="2"/>
  <c r="AK86" i="2"/>
  <c r="AK87" i="2"/>
  <c r="AK88" i="2"/>
  <c r="AK89" i="2"/>
  <c r="AK90" i="2"/>
  <c r="AK91" i="2"/>
  <c r="AK92" i="2"/>
  <c r="AK93" i="2"/>
  <c r="AK94" i="2"/>
  <c r="AK95" i="2"/>
  <c r="AK96" i="2"/>
  <c r="AK97" i="2"/>
  <c r="AK98" i="2"/>
  <c r="AK99" i="2"/>
  <c r="AK100" i="2"/>
  <c r="AK101" i="2"/>
  <c r="AK102" i="2"/>
  <c r="AK103" i="2"/>
  <c r="AK104" i="2"/>
  <c r="AK105" i="2"/>
  <c r="AK13" i="4"/>
  <c r="AK15" i="4"/>
  <c r="AK16" i="4"/>
  <c r="AK17" i="4"/>
  <c r="AK18" i="4"/>
  <c r="AK19" i="4"/>
  <c r="AK20" i="4"/>
  <c r="AK21" i="4"/>
  <c r="AK23" i="4"/>
  <c r="AK29" i="4"/>
  <c r="AK31" i="4"/>
  <c r="AK32" i="4"/>
  <c r="AK33" i="4"/>
  <c r="AK34" i="4"/>
  <c r="AK35" i="4"/>
  <c r="AK36" i="4"/>
  <c r="AK37" i="4"/>
  <c r="AK39" i="4"/>
  <c r="AK45" i="4"/>
  <c r="AK47" i="4"/>
  <c r="AK48" i="4"/>
  <c r="AK49" i="4"/>
  <c r="AK50" i="4"/>
  <c r="AK51" i="4"/>
  <c r="AK52" i="4"/>
  <c r="AK53" i="4"/>
  <c r="AK55" i="4"/>
  <c r="AK61" i="4"/>
  <c r="AK63" i="4"/>
  <c r="AK64" i="4"/>
  <c r="AK65" i="4"/>
  <c r="AK66" i="4"/>
  <c r="AK67" i="4"/>
  <c r="AK68" i="4"/>
  <c r="AK69" i="4"/>
  <c r="AK71" i="4"/>
  <c r="AK77" i="4"/>
  <c r="AK79" i="4"/>
  <c r="AK80" i="4"/>
  <c r="AK81" i="4"/>
  <c r="AK82" i="4"/>
  <c r="AK83" i="4"/>
  <c r="AK84" i="4"/>
  <c r="AK85" i="4"/>
  <c r="AK87" i="4"/>
  <c r="AK93" i="4"/>
  <c r="AK95" i="4"/>
  <c r="AK96" i="4"/>
  <c r="AK97" i="4"/>
  <c r="AK98" i="4"/>
  <c r="AK99" i="4"/>
  <c r="AK100" i="4"/>
  <c r="AK101" i="4"/>
  <c r="AK103" i="4"/>
  <c r="AK109" i="4"/>
  <c r="AK111" i="4"/>
  <c r="AK112" i="4"/>
  <c r="AK113" i="4"/>
  <c r="AK114" i="4"/>
  <c r="AK115" i="4"/>
  <c r="AK116" i="4"/>
  <c r="AK117" i="4"/>
  <c r="AK119" i="4"/>
  <c r="AK125" i="4"/>
  <c r="AK127" i="4"/>
  <c r="AK128" i="4"/>
  <c r="AK129" i="4"/>
  <c r="AK130" i="4"/>
  <c r="AK131" i="4"/>
  <c r="AK132" i="4"/>
  <c r="AK133" i="4"/>
  <c r="AK135" i="4"/>
  <c r="AK141" i="4"/>
  <c r="AK143" i="4"/>
  <c r="AK144" i="4"/>
  <c r="AK145" i="4"/>
  <c r="AK146" i="4"/>
  <c r="AK147" i="4"/>
  <c r="AK148" i="4"/>
  <c r="AK149" i="4"/>
  <c r="AK151" i="4"/>
  <c r="AK157" i="4"/>
  <c r="AK159" i="4"/>
  <c r="AK160" i="4"/>
  <c r="AK161" i="4"/>
  <c r="AK162" i="4"/>
  <c r="AK163" i="4"/>
  <c r="AK164" i="4"/>
  <c r="AK165" i="4"/>
  <c r="AK167" i="4"/>
  <c r="AK173" i="4"/>
  <c r="AK175" i="4"/>
  <c r="AK176" i="4"/>
  <c r="AK177" i="4"/>
  <c r="AK178" i="4"/>
  <c r="AK179" i="4"/>
  <c r="AK180" i="4"/>
  <c r="AK181" i="4"/>
  <c r="AK183" i="4"/>
  <c r="AK189" i="4"/>
  <c r="AK191" i="4"/>
  <c r="AK192" i="4"/>
  <c r="AK193" i="4"/>
  <c r="AK194" i="4"/>
  <c r="AK195" i="4"/>
  <c r="AK196" i="4"/>
  <c r="AK197" i="4"/>
  <c r="AK199" i="4"/>
  <c r="AK205" i="4"/>
  <c r="AK207" i="4"/>
  <c r="AK208" i="4"/>
  <c r="AK209" i="4"/>
  <c r="AK210" i="4"/>
  <c r="AK211" i="4"/>
  <c r="AK212" i="4"/>
  <c r="AK213" i="4"/>
  <c r="AK215" i="4"/>
  <c r="AK221" i="4"/>
  <c r="AK223" i="4"/>
  <c r="AK224" i="4"/>
  <c r="AK225" i="4"/>
  <c r="AK226" i="4"/>
  <c r="AK227" i="4"/>
  <c r="AK228" i="4"/>
  <c r="AK229" i="4"/>
  <c r="AK231" i="4"/>
  <c r="AK237" i="4"/>
  <c r="AK239" i="4"/>
  <c r="AK240" i="4"/>
  <c r="AK241" i="4"/>
  <c r="AK242" i="4"/>
  <c r="AK243" i="4"/>
  <c r="AK244" i="4"/>
  <c r="AK245" i="4"/>
  <c r="AK247" i="4"/>
  <c r="AK253" i="4"/>
  <c r="AK255" i="4"/>
  <c r="AK256" i="4"/>
  <c r="AK257" i="4"/>
  <c r="AK258" i="4"/>
  <c r="AK259" i="4"/>
  <c r="AK260" i="4"/>
  <c r="AK261" i="4"/>
  <c r="AK263" i="4"/>
  <c r="AK269" i="4"/>
  <c r="AK271" i="4"/>
  <c r="AK272" i="4"/>
  <c r="AK273" i="4"/>
  <c r="AK274" i="4"/>
  <c r="AK275" i="4"/>
  <c r="AK276" i="4"/>
  <c r="AK277" i="4"/>
  <c r="AK279" i="4"/>
  <c r="AK285" i="4"/>
  <c r="AK287" i="4"/>
  <c r="AK288" i="4"/>
  <c r="AK289" i="4"/>
  <c r="AK290" i="4"/>
  <c r="AK291" i="4"/>
  <c r="AK292" i="4"/>
  <c r="AK293" i="4"/>
  <c r="AK295" i="4"/>
  <c r="AK301" i="4"/>
  <c r="AK303" i="4"/>
  <c r="AK304" i="4"/>
  <c r="AK305" i="4"/>
  <c r="AK306" i="4"/>
  <c r="AK307" i="4"/>
  <c r="AK308" i="4"/>
  <c r="AK309" i="4"/>
  <c r="AK311" i="4"/>
  <c r="AK317" i="4"/>
  <c r="AK319" i="4"/>
  <c r="AK320" i="4"/>
  <c r="AK321" i="4"/>
  <c r="AK322" i="4"/>
  <c r="AK323" i="4"/>
  <c r="AK324" i="4"/>
  <c r="AK325" i="4"/>
  <c r="AK327" i="4"/>
  <c r="AK333" i="4"/>
  <c r="AK335" i="4"/>
  <c r="AK336" i="4"/>
  <c r="AK337" i="4"/>
  <c r="AK338" i="4"/>
  <c r="AK339" i="4"/>
  <c r="AK340" i="4"/>
  <c r="AK341" i="4"/>
  <c r="AK343" i="4"/>
  <c r="AK349" i="4"/>
  <c r="AK351" i="4"/>
  <c r="AK352" i="4"/>
  <c r="AK353" i="4"/>
  <c r="AK354" i="4"/>
  <c r="AK355" i="4"/>
  <c r="AK356" i="4"/>
  <c r="AK357" i="4"/>
  <c r="AK359" i="4"/>
  <c r="AK365" i="4"/>
  <c r="AK367" i="4"/>
  <c r="AK368" i="4"/>
  <c r="AK369" i="4"/>
  <c r="AK370" i="4"/>
  <c r="AK371" i="4"/>
  <c r="AK372" i="4"/>
  <c r="AK373" i="4"/>
  <c r="AK375" i="4"/>
  <c r="AK381" i="4"/>
  <c r="AK383" i="4"/>
  <c r="AK384" i="4"/>
  <c r="AK385" i="4"/>
  <c r="AK386" i="4"/>
  <c r="AK387" i="4"/>
  <c r="AK388" i="4"/>
  <c r="AK389" i="4"/>
  <c r="AK391" i="4"/>
  <c r="AK397" i="4"/>
  <c r="AK399" i="4"/>
  <c r="AK400" i="4"/>
  <c r="AK401" i="4"/>
  <c r="AK402" i="4"/>
  <c r="AK403" i="4"/>
  <c r="AK404" i="4"/>
  <c r="AK405" i="4"/>
  <c r="AK407" i="4"/>
  <c r="AK413" i="4"/>
  <c r="AK415" i="4"/>
  <c r="AK416" i="4"/>
  <c r="AK417" i="4"/>
  <c r="AK418" i="4"/>
  <c r="AK419" i="4"/>
  <c r="AK420" i="4"/>
  <c r="AK421" i="4"/>
  <c r="AK423" i="4"/>
  <c r="AK429" i="4"/>
  <c r="AK431" i="4"/>
  <c r="AK432" i="4"/>
  <c r="AK433" i="4"/>
  <c r="AK434" i="4"/>
  <c r="AK435" i="4"/>
  <c r="AK436" i="4"/>
  <c r="AK437" i="4"/>
  <c r="AK439" i="4"/>
  <c r="AK445" i="4"/>
  <c r="AK447" i="4"/>
  <c r="AK448" i="4"/>
  <c r="AK449" i="4"/>
  <c r="AK450" i="4"/>
  <c r="AK451" i="4"/>
  <c r="AK452" i="4"/>
  <c r="AK453" i="4"/>
  <c r="AK455" i="4"/>
  <c r="AK461" i="4"/>
  <c r="AK463" i="4"/>
  <c r="AK464" i="4"/>
  <c r="AK465" i="4"/>
  <c r="AK466" i="4"/>
  <c r="AK467" i="4"/>
  <c r="AK468" i="4"/>
  <c r="AK469" i="4"/>
  <c r="AK471" i="4"/>
  <c r="AK477" i="4"/>
  <c r="AK479" i="4"/>
  <c r="AK480" i="4"/>
  <c r="AK481" i="4"/>
  <c r="AK482" i="4"/>
  <c r="AK483" i="4"/>
  <c r="AK484" i="4"/>
  <c r="AK485" i="4"/>
  <c r="AK487" i="4"/>
  <c r="AK493" i="4"/>
  <c r="AK495" i="4"/>
  <c r="AK496" i="4"/>
  <c r="AK497" i="4"/>
  <c r="AK498" i="4"/>
  <c r="AK499" i="4"/>
  <c r="AK500" i="4"/>
  <c r="AK501" i="4"/>
  <c r="AK503" i="4"/>
  <c r="AK509" i="4"/>
  <c r="AK511" i="4"/>
  <c r="AK512" i="4"/>
  <c r="AK513" i="4"/>
  <c r="AK514" i="4"/>
  <c r="AK515" i="4"/>
  <c r="AK516" i="4"/>
  <c r="AK517" i="4"/>
  <c r="AK524" i="4"/>
  <c r="AK525" i="4"/>
  <c r="AA251" i="4"/>
  <c r="F79" i="2"/>
  <c r="G79" i="2"/>
  <c r="H79" i="2"/>
  <c r="I79" i="2"/>
  <c r="J79" i="2"/>
  <c r="K79" i="2"/>
  <c r="L79" i="2"/>
  <c r="M79" i="2"/>
  <c r="N79" i="2"/>
  <c r="O79" i="2"/>
  <c r="P79" i="2"/>
  <c r="Q79" i="2"/>
  <c r="R79" i="2"/>
  <c r="S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AF359" i="1"/>
  <c r="AG359" i="1"/>
  <c r="AH359" i="1"/>
  <c r="R818" i="1" l="1"/>
  <c r="Q251" i="4"/>
  <c r="M544" i="3" l="1"/>
  <c r="M70" i="10"/>
  <c r="L98" i="1"/>
  <c r="L70" i="10"/>
  <c r="K12" i="7" l="1"/>
  <c r="I12" i="9" l="1"/>
  <c r="I26" i="8"/>
  <c r="I12" i="8"/>
  <c r="I25" i="5"/>
  <c r="I459" i="4"/>
  <c r="H12" i="8"/>
  <c r="G241" i="3"/>
  <c r="AJ23" i="8" l="1"/>
  <c r="E24" i="8"/>
  <c r="E26" i="8"/>
  <c r="E31" i="8"/>
  <c r="E36" i="8" s="1"/>
  <c r="E33" i="8" l="1"/>
  <c r="E34" i="8"/>
  <c r="AK21" i="8"/>
  <c r="AJ152" i="4" l="1"/>
  <c r="AK150" i="4" s="1"/>
  <c r="AJ62" i="10" l="1"/>
  <c r="F7" i="5"/>
  <c r="G7" i="5" s="1"/>
  <c r="E9" i="5"/>
  <c r="F9" i="5"/>
  <c r="G9" i="5"/>
  <c r="E11" i="5"/>
  <c r="F11" i="5"/>
  <c r="G11" i="5"/>
  <c r="AJ24" i="5"/>
  <c r="AK22" i="5" l="1"/>
  <c r="H21" i="13" s="1"/>
  <c r="AK60" i="10"/>
  <c r="AC40" i="2" l="1"/>
  <c r="AC948" i="1"/>
  <c r="AC572" i="3"/>
  <c r="Z65" i="10"/>
  <c r="Z51" i="10"/>
  <c r="Y40" i="2"/>
  <c r="Z40" i="2"/>
  <c r="Y26" i="2"/>
  <c r="Z26" i="2"/>
  <c r="Z664" i="1"/>
  <c r="T12" i="6" l="1"/>
  <c r="S12" i="6"/>
  <c r="R12" i="6"/>
  <c r="Q12" i="6"/>
  <c r="N12" i="6"/>
  <c r="O12" i="6"/>
  <c r="P12" i="6"/>
  <c r="M12" i="6"/>
  <c r="I12" i="6"/>
  <c r="J12" i="6"/>
  <c r="L12" i="6"/>
  <c r="X474" i="3"/>
  <c r="W474" i="3"/>
  <c r="V474" i="3"/>
  <c r="U474" i="3"/>
  <c r="T474" i="3"/>
  <c r="S474" i="3"/>
  <c r="R474" i="3"/>
  <c r="Q474" i="3"/>
  <c r="N474" i="3"/>
  <c r="I474" i="3"/>
  <c r="J474" i="3"/>
  <c r="K474" i="3"/>
  <c r="L474" i="3"/>
  <c r="G474" i="3"/>
  <c r="U1070" i="1"/>
  <c r="U107" i="1"/>
  <c r="U171" i="4"/>
  <c r="Q208" i="3" l="1"/>
  <c r="H27" i="4" l="1"/>
  <c r="AJ39" i="9" l="1"/>
  <c r="AI40" i="9"/>
  <c r="AJ41" i="9"/>
  <c r="AJ42" i="9"/>
  <c r="AJ43" i="9"/>
  <c r="AI45" i="9"/>
  <c r="AI48" i="9"/>
  <c r="AJ23" i="9"/>
  <c r="E24" i="9"/>
  <c r="F24" i="9" s="1"/>
  <c r="G24" i="9" s="1"/>
  <c r="H24" i="9" s="1"/>
  <c r="I24" i="9" s="1"/>
  <c r="J24" i="9" s="1"/>
  <c r="K24" i="9" s="1"/>
  <c r="L24" i="9" s="1"/>
  <c r="M24" i="9" s="1"/>
  <c r="N24" i="9" s="1"/>
  <c r="O24" i="9" s="1"/>
  <c r="P24" i="9" s="1"/>
  <c r="Q24" i="9" s="1"/>
  <c r="R24" i="9" s="1"/>
  <c r="S24" i="9" s="1"/>
  <c r="T24" i="9" s="1"/>
  <c r="U24" i="9" s="1"/>
  <c r="V24" i="9" s="1"/>
  <c r="W24" i="9" s="1"/>
  <c r="X24" i="9" s="1"/>
  <c r="Y24" i="9" s="1"/>
  <c r="Z24" i="9" s="1"/>
  <c r="AJ25" i="9"/>
  <c r="AK23" i="9" s="1"/>
  <c r="H26" i="13" s="1"/>
  <c r="K26" i="13" s="1"/>
  <c r="L26" i="13" s="1"/>
  <c r="E26" i="9"/>
  <c r="F26" i="9"/>
  <c r="G26" i="9"/>
  <c r="H26" i="9"/>
  <c r="I26" i="9"/>
  <c r="J26" i="9"/>
  <c r="K26" i="9"/>
  <c r="L26" i="9"/>
  <c r="M26" i="9"/>
  <c r="N26" i="9"/>
  <c r="Q26" i="9"/>
  <c r="R26" i="9"/>
  <c r="S26" i="9"/>
  <c r="T26" i="9"/>
  <c r="V26" i="9"/>
  <c r="W26" i="9"/>
  <c r="X26" i="9"/>
  <c r="Y26" i="9"/>
  <c r="Z26" i="9"/>
  <c r="AA26" i="9"/>
  <c r="AC26" i="9"/>
  <c r="AD26" i="9"/>
  <c r="AE26" i="9"/>
  <c r="AF26" i="9"/>
  <c r="AG26" i="9"/>
  <c r="AH26" i="9"/>
  <c r="AI26" i="9"/>
  <c r="AJ27" i="9"/>
  <c r="AJ28" i="9"/>
  <c r="AJ29" i="9"/>
  <c r="E31" i="9"/>
  <c r="F31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T31" i="9"/>
  <c r="U31" i="9"/>
  <c r="V31" i="9"/>
  <c r="W31" i="9"/>
  <c r="X31" i="9"/>
  <c r="X34" i="9" s="1"/>
  <c r="Y31" i="9"/>
  <c r="Y34" i="9" s="1"/>
  <c r="Z31" i="9"/>
  <c r="AA31" i="9"/>
  <c r="AA34" i="9" s="1"/>
  <c r="AB31" i="9"/>
  <c r="AC31" i="9"/>
  <c r="AC34" i="9" s="1"/>
  <c r="AD34" i="9" s="1"/>
  <c r="AD31" i="9"/>
  <c r="AE31" i="9"/>
  <c r="AF31" i="9"/>
  <c r="AG31" i="9"/>
  <c r="AH31" i="9"/>
  <c r="AI31" i="9"/>
  <c r="AB34" i="9"/>
  <c r="AE34" i="9"/>
  <c r="AF34" i="9"/>
  <c r="AG34" i="9"/>
  <c r="AH34" i="9"/>
  <c r="AI34" i="9"/>
  <c r="C36" i="9"/>
  <c r="AJ456" i="4"/>
  <c r="AK454" i="4" s="1"/>
  <c r="AJ9" i="7"/>
  <c r="E33" i="9" l="1"/>
  <c r="E36" i="9"/>
  <c r="F36" i="9" s="1"/>
  <c r="G36" i="9" s="1"/>
  <c r="H36" i="9" s="1"/>
  <c r="I36" i="9" s="1"/>
  <c r="J36" i="9" s="1"/>
  <c r="K36" i="9" s="1"/>
  <c r="L36" i="9" s="1"/>
  <c r="M36" i="9" s="1"/>
  <c r="N36" i="9" s="1"/>
  <c r="O36" i="9" s="1"/>
  <c r="P36" i="9" s="1"/>
  <c r="Q36" i="9" s="1"/>
  <c r="R36" i="9" s="1"/>
  <c r="S36" i="9" s="1"/>
  <c r="T36" i="9" s="1"/>
  <c r="U36" i="9" s="1"/>
  <c r="V36" i="9" s="1"/>
  <c r="W36" i="9" s="1"/>
  <c r="X36" i="9" s="1"/>
  <c r="Y36" i="9" s="1"/>
  <c r="Z36" i="9" s="1"/>
  <c r="AA36" i="9" s="1"/>
  <c r="AB36" i="9" s="1"/>
  <c r="AC36" i="9" s="1"/>
  <c r="AD36" i="9" s="1"/>
  <c r="AE36" i="9" s="1"/>
  <c r="AF36" i="9" s="1"/>
  <c r="AG36" i="9" s="1"/>
  <c r="AH36" i="9" s="1"/>
  <c r="AI36" i="9" s="1"/>
  <c r="E34" i="9"/>
  <c r="Z34" i="9"/>
  <c r="F34" i="9"/>
  <c r="G34" i="9" s="1"/>
  <c r="H34" i="9" s="1"/>
  <c r="I34" i="9" s="1"/>
  <c r="J34" i="9" s="1"/>
  <c r="K34" i="9" s="1"/>
  <c r="L34" i="9" s="1"/>
  <c r="M34" i="9" s="1"/>
  <c r="N34" i="9" s="1"/>
  <c r="O34" i="9" s="1"/>
  <c r="P34" i="9" s="1"/>
  <c r="Q34" i="9" s="1"/>
  <c r="R34" i="9" s="1"/>
  <c r="S34" i="9" s="1"/>
  <c r="T34" i="9" s="1"/>
  <c r="U34" i="9" s="1"/>
  <c r="V34" i="9" s="1"/>
  <c r="W34" i="9" s="1"/>
  <c r="AO23" i="9"/>
  <c r="AK21" i="9"/>
  <c r="AK35" i="9"/>
  <c r="AK40" i="9"/>
  <c r="AK39" i="9"/>
  <c r="AL43" i="9"/>
  <c r="AM41" i="9" s="1"/>
  <c r="AK41" i="9"/>
  <c r="AK37" i="9"/>
  <c r="H24" i="13" s="1"/>
  <c r="K24" i="13" s="1"/>
  <c r="L24" i="13" s="1"/>
  <c r="AK25" i="9"/>
  <c r="AL29" i="9"/>
  <c r="AM27" i="9" s="1"/>
  <c r="AK27" i="9"/>
  <c r="AK26" i="9"/>
  <c r="AJ26" i="9"/>
  <c r="AN27" i="9"/>
  <c r="AI47" i="9"/>
  <c r="AI50" i="9"/>
  <c r="AN41" i="9"/>
  <c r="AO39" i="9"/>
  <c r="AJ45" i="9"/>
  <c r="AK43" i="9" s="1"/>
  <c r="AA24" i="9"/>
  <c r="AD24" i="9"/>
  <c r="AH24" i="9" s="1"/>
  <c r="AI24" i="9" s="1"/>
  <c r="AI38" i="9"/>
  <c r="AJ31" i="9"/>
  <c r="AK29" i="9" s="1"/>
  <c r="F33" i="9"/>
  <c r="G33" i="9" s="1"/>
  <c r="H33" i="9" s="1"/>
  <c r="I33" i="9" s="1"/>
  <c r="J33" i="9" s="1"/>
  <c r="K33" i="9" s="1"/>
  <c r="L33" i="9" s="1"/>
  <c r="M33" i="9" s="1"/>
  <c r="N33" i="9" s="1"/>
  <c r="O33" i="9" s="1"/>
  <c r="P33" i="9" s="1"/>
  <c r="Q33" i="9" s="1"/>
  <c r="R33" i="9" s="1"/>
  <c r="S33" i="9" s="1"/>
  <c r="T33" i="9" s="1"/>
  <c r="U33" i="9" s="1"/>
  <c r="V33" i="9" s="1"/>
  <c r="W33" i="9" s="1"/>
  <c r="X33" i="9" s="1"/>
  <c r="Y33" i="9" s="1"/>
  <c r="Z33" i="9" s="1"/>
  <c r="AA33" i="9" s="1"/>
  <c r="AB33" i="9" s="1"/>
  <c r="AC33" i="9" s="1"/>
  <c r="AD33" i="9" s="1"/>
  <c r="AE33" i="9" s="1"/>
  <c r="AF33" i="9" s="1"/>
  <c r="AG33" i="9" s="1"/>
  <c r="AH33" i="9" s="1"/>
  <c r="AI33" i="9" s="1"/>
  <c r="AO25" i="9"/>
  <c r="AJ40" i="9"/>
  <c r="AO37" i="9"/>
  <c r="AO9" i="7"/>
  <c r="AO27" i="9" l="1"/>
  <c r="AK38" i="9"/>
  <c r="AK24" i="9"/>
  <c r="AO41" i="9"/>
  <c r="AB24" i="9"/>
  <c r="AE24" i="9"/>
  <c r="E1000" i="1"/>
  <c r="F1000" i="1" s="1"/>
  <c r="G1000" i="1" s="1"/>
  <c r="H1000" i="1" s="1"/>
  <c r="I1000" i="1" s="1"/>
  <c r="J1000" i="1" s="1"/>
  <c r="K1000" i="1" s="1"/>
  <c r="L1000" i="1" s="1"/>
  <c r="M1000" i="1" s="1"/>
  <c r="N1000" i="1" s="1"/>
  <c r="O1000" i="1" s="1"/>
  <c r="P1000" i="1" s="1"/>
  <c r="Q1000" i="1" s="1"/>
  <c r="R1000" i="1" s="1"/>
  <c r="S1000" i="1" s="1"/>
  <c r="T1000" i="1" s="1"/>
  <c r="U1000" i="1" s="1"/>
  <c r="V1000" i="1" s="1"/>
  <c r="W1000" i="1" s="1"/>
  <c r="X1000" i="1" s="1"/>
  <c r="Y1000" i="1" s="1"/>
  <c r="Z1000" i="1" s="1"/>
  <c r="AA1000" i="1" s="1"/>
  <c r="AB1000" i="1" s="1"/>
  <c r="AC1000" i="1" s="1"/>
  <c r="AD1000" i="1" s="1"/>
  <c r="AE1000" i="1" s="1"/>
  <c r="AF1000" i="1" s="1"/>
  <c r="AG1000" i="1" s="1"/>
  <c r="AH1000" i="1" s="1"/>
  <c r="AI1000" i="1" s="1"/>
  <c r="AC24" i="9" l="1"/>
  <c r="AG24" i="9" s="1"/>
  <c r="AF24" i="9"/>
  <c r="C36" i="8" l="1"/>
  <c r="AI31" i="8"/>
  <c r="AH31" i="8"/>
  <c r="AG31" i="8"/>
  <c r="AF31" i="8"/>
  <c r="AD31" i="8"/>
  <c r="AC31" i="8"/>
  <c r="AB31" i="8"/>
  <c r="AA31" i="8"/>
  <c r="Z31" i="8"/>
  <c r="Y31" i="8"/>
  <c r="X31" i="8"/>
  <c r="W31" i="8"/>
  <c r="V31" i="8"/>
  <c r="U31" i="8"/>
  <c r="T31" i="8"/>
  <c r="S31" i="8"/>
  <c r="R31" i="8"/>
  <c r="Q31" i="8"/>
  <c r="P31" i="8"/>
  <c r="O31" i="8"/>
  <c r="N31" i="8"/>
  <c r="M31" i="8"/>
  <c r="L31" i="8"/>
  <c r="K31" i="8"/>
  <c r="J31" i="8"/>
  <c r="I31" i="8"/>
  <c r="H31" i="8"/>
  <c r="G31" i="8"/>
  <c r="F31" i="8"/>
  <c r="F34" i="8" s="1"/>
  <c r="AJ29" i="8"/>
  <c r="AJ28" i="8"/>
  <c r="AI26" i="8"/>
  <c r="AH26" i="8"/>
  <c r="AG26" i="8"/>
  <c r="AF26" i="8"/>
  <c r="AE26" i="8"/>
  <c r="AD26" i="8"/>
  <c r="AC26" i="8"/>
  <c r="AA26" i="8"/>
  <c r="Z26" i="8"/>
  <c r="Y26" i="8"/>
  <c r="X26" i="8"/>
  <c r="W26" i="8"/>
  <c r="V26" i="8"/>
  <c r="U26" i="8"/>
  <c r="T26" i="8"/>
  <c r="S26" i="8"/>
  <c r="R26" i="8"/>
  <c r="Q26" i="8"/>
  <c r="P26" i="8"/>
  <c r="O26" i="8"/>
  <c r="N26" i="8"/>
  <c r="M26" i="8"/>
  <c r="L26" i="8"/>
  <c r="K26" i="8"/>
  <c r="J26" i="8"/>
  <c r="H26" i="8"/>
  <c r="G26" i="8"/>
  <c r="F26" i="8"/>
  <c r="AJ25" i="8"/>
  <c r="AK23" i="8" s="1"/>
  <c r="H28" i="13" s="1"/>
  <c r="K28" i="13" s="1"/>
  <c r="L28" i="13" s="1"/>
  <c r="F24" i="8"/>
  <c r="G24" i="8" s="1"/>
  <c r="H24" i="8" s="1"/>
  <c r="I24" i="8" s="1"/>
  <c r="J24" i="8" s="1"/>
  <c r="K24" i="8" s="1"/>
  <c r="L24" i="8" s="1"/>
  <c r="M24" i="8" s="1"/>
  <c r="N24" i="8" s="1"/>
  <c r="O24" i="8" s="1"/>
  <c r="P24" i="8" s="1"/>
  <c r="Q24" i="8" s="1"/>
  <c r="R24" i="8" s="1"/>
  <c r="S24" i="8" s="1"/>
  <c r="T24" i="8" s="1"/>
  <c r="U24" i="8" s="1"/>
  <c r="V24" i="8" s="1"/>
  <c r="W24" i="8" s="1"/>
  <c r="X24" i="8" s="1"/>
  <c r="Y24" i="8" s="1"/>
  <c r="Z24" i="8" s="1"/>
  <c r="AA24" i="8" s="1"/>
  <c r="AB24" i="8" s="1"/>
  <c r="AF24" i="8" s="1"/>
  <c r="E40" i="8"/>
  <c r="E12" i="8"/>
  <c r="E39" i="5"/>
  <c r="E25" i="5"/>
  <c r="E491" i="4"/>
  <c r="E443" i="4"/>
  <c r="E315" i="4"/>
  <c r="E219" i="4"/>
  <c r="E59" i="4"/>
  <c r="E222" i="3"/>
  <c r="E110" i="6"/>
  <c r="E96" i="6"/>
  <c r="E40" i="2"/>
  <c r="E226" i="10"/>
  <c r="E121" i="10"/>
  <c r="E25" i="10"/>
  <c r="E854" i="1"/>
  <c r="E840" i="1"/>
  <c r="E528" i="1"/>
  <c r="E514" i="1"/>
  <c r="E53" i="1"/>
  <c r="AL29" i="8" l="1"/>
  <c r="AM27" i="8" s="1"/>
  <c r="AK27" i="8"/>
  <c r="AK26" i="8"/>
  <c r="F33" i="8"/>
  <c r="G33" i="8" s="1"/>
  <c r="H33" i="8" s="1"/>
  <c r="I33" i="8" s="1"/>
  <c r="J33" i="8" s="1"/>
  <c r="K33" i="8" s="1"/>
  <c r="L33" i="8" s="1"/>
  <c r="M33" i="8" s="1"/>
  <c r="N33" i="8" s="1"/>
  <c r="O33" i="8" s="1"/>
  <c r="P33" i="8" s="1"/>
  <c r="Q33" i="8" s="1"/>
  <c r="R33" i="8" s="1"/>
  <c r="S33" i="8" s="1"/>
  <c r="T33" i="8" s="1"/>
  <c r="U33" i="8" s="1"/>
  <c r="V33" i="8" s="1"/>
  <c r="W33" i="8" s="1"/>
  <c r="X33" i="8" s="1"/>
  <c r="Y33" i="8" s="1"/>
  <c r="Z33" i="8" s="1"/>
  <c r="AA33" i="8" s="1"/>
  <c r="AB33" i="8" s="1"/>
  <c r="AC33" i="8" s="1"/>
  <c r="AD33" i="8" s="1"/>
  <c r="G34" i="8"/>
  <c r="H34" i="8" s="1"/>
  <c r="I34" i="8" s="1"/>
  <c r="J34" i="8" s="1"/>
  <c r="K34" i="8" s="1"/>
  <c r="L34" i="8" s="1"/>
  <c r="M34" i="8" s="1"/>
  <c r="N34" i="8" s="1"/>
  <c r="O34" i="8" s="1"/>
  <c r="P34" i="8" s="1"/>
  <c r="Q34" i="8" s="1"/>
  <c r="R34" i="8" s="1"/>
  <c r="S34" i="8" s="1"/>
  <c r="T34" i="8" s="1"/>
  <c r="U34" i="8" s="1"/>
  <c r="V34" i="8" s="1"/>
  <c r="W34" i="8" s="1"/>
  <c r="X34" i="8" s="1"/>
  <c r="Y34" i="8" s="1"/>
  <c r="Z34" i="8" s="1"/>
  <c r="AA34" i="8" s="1"/>
  <c r="AB34" i="8" s="1"/>
  <c r="AC34" i="8" s="1"/>
  <c r="AD34" i="8" s="1"/>
  <c r="AD24" i="8"/>
  <c r="AH24" i="8" s="1"/>
  <c r="AI24" i="8" s="1"/>
  <c r="AC24" i="8"/>
  <c r="AG24" i="8" s="1"/>
  <c r="AE24" i="8"/>
  <c r="F36" i="8"/>
  <c r="G36" i="8" s="1"/>
  <c r="H36" i="8" s="1"/>
  <c r="I36" i="8" s="1"/>
  <c r="J36" i="8" s="1"/>
  <c r="K36" i="8" s="1"/>
  <c r="L36" i="8" s="1"/>
  <c r="M36" i="8" s="1"/>
  <c r="N36" i="8" s="1"/>
  <c r="O36" i="8" s="1"/>
  <c r="P36" i="8" s="1"/>
  <c r="Q36" i="8" s="1"/>
  <c r="R36" i="8" s="1"/>
  <c r="S36" i="8" s="1"/>
  <c r="T36" i="8" s="1"/>
  <c r="U36" i="8" s="1"/>
  <c r="V36" i="8" s="1"/>
  <c r="W36" i="8" s="1"/>
  <c r="X36" i="8" s="1"/>
  <c r="Y36" i="8" s="1"/>
  <c r="Z36" i="8" s="1"/>
  <c r="AA36" i="8" s="1"/>
  <c r="AB36" i="8" s="1"/>
  <c r="AC36" i="8" s="1"/>
  <c r="AD36" i="8" s="1"/>
  <c r="AJ26" i="8"/>
  <c r="G21" i="11"/>
  <c r="H21" i="11"/>
  <c r="G10" i="11"/>
  <c r="G20" i="11" s="1"/>
  <c r="H10" i="11"/>
  <c r="H20" i="11" s="1"/>
  <c r="G19" i="11"/>
  <c r="H19" i="11"/>
  <c r="G18" i="11"/>
  <c r="H18" i="11"/>
  <c r="G17" i="11"/>
  <c r="H17" i="11"/>
  <c r="G16" i="11"/>
  <c r="H16" i="11"/>
  <c r="G15" i="11"/>
  <c r="H15" i="11"/>
  <c r="G11" i="11"/>
  <c r="G22" i="11" s="1"/>
  <c r="H11" i="11"/>
  <c r="H22" i="11" s="1"/>
  <c r="AK24" i="8" l="1"/>
  <c r="AA219" i="4"/>
  <c r="AA25" i="10"/>
  <c r="Z488" i="3" l="1"/>
  <c r="X166" i="6"/>
  <c r="W166" i="6"/>
  <c r="X110" i="6"/>
  <c r="W110" i="6"/>
  <c r="X96" i="6"/>
  <c r="S12" i="9"/>
  <c r="V12" i="9"/>
  <c r="R12" i="9"/>
  <c r="V315" i="4"/>
  <c r="V219" i="4"/>
  <c r="V59" i="4"/>
  <c r="V27" i="4"/>
  <c r="V544" i="3"/>
  <c r="V488" i="3"/>
  <c r="V222" i="3"/>
  <c r="V138" i="3"/>
  <c r="V110" i="6"/>
  <c r="V40" i="2"/>
  <c r="V1016" i="1"/>
  <c r="U251" i="4"/>
  <c r="T39" i="1"/>
  <c r="S219" i="4"/>
  <c r="X1191" i="1"/>
  <c r="H38" i="8"/>
  <c r="I38" i="8"/>
  <c r="N315" i="4"/>
  <c r="M40" i="2"/>
  <c r="N40" i="2"/>
  <c r="N226" i="10"/>
  <c r="M226" i="10"/>
  <c r="N1016" i="1"/>
  <c r="N1002" i="1"/>
  <c r="N854" i="1"/>
  <c r="O53" i="1"/>
  <c r="N53" i="1"/>
  <c r="N39" i="1"/>
  <c r="O267" i="4"/>
  <c r="G110" i="6"/>
  <c r="H110" i="6"/>
  <c r="I110" i="6"/>
  <c r="K110" i="6"/>
  <c r="L110" i="6"/>
  <c r="M110" i="6"/>
  <c r="M96" i="3" l="1"/>
  <c r="AJ218" i="4" l="1"/>
  <c r="AK216" i="4" s="1"/>
  <c r="H44" i="13" s="1"/>
  <c r="AO999" i="1"/>
  <c r="E1037" i="1"/>
  <c r="E1051" i="1"/>
  <c r="E1134" i="1"/>
  <c r="E1161" i="1"/>
  <c r="E1175" i="1"/>
  <c r="AI1175" i="1"/>
  <c r="AH1175" i="1"/>
  <c r="AG1175" i="1"/>
  <c r="AF1175" i="1"/>
  <c r="AE1175" i="1"/>
  <c r="AD1175" i="1"/>
  <c r="AC1175" i="1"/>
  <c r="AB1175" i="1"/>
  <c r="AA1175" i="1"/>
  <c r="Z1175" i="1"/>
  <c r="Y1175" i="1"/>
  <c r="X1175" i="1"/>
  <c r="W1175" i="1"/>
  <c r="V1175" i="1"/>
  <c r="U1175" i="1"/>
  <c r="T1175" i="1"/>
  <c r="S1175" i="1"/>
  <c r="R1175" i="1"/>
  <c r="Q1175" i="1"/>
  <c r="P1175" i="1"/>
  <c r="O1175" i="1"/>
  <c r="N1175" i="1"/>
  <c r="M1175" i="1"/>
  <c r="L1175" i="1"/>
  <c r="K1175" i="1"/>
  <c r="J1175" i="1"/>
  <c r="I1175" i="1"/>
  <c r="H1175" i="1"/>
  <c r="G1175" i="1"/>
  <c r="F1175" i="1"/>
  <c r="AI1161" i="1"/>
  <c r="AH1161" i="1"/>
  <c r="AG1161" i="1"/>
  <c r="AF1161" i="1"/>
  <c r="AE1161" i="1"/>
  <c r="AD1161" i="1"/>
  <c r="AC1161" i="1"/>
  <c r="AB1161" i="1"/>
  <c r="AA1161" i="1"/>
  <c r="Z1161" i="1"/>
  <c r="Y1161" i="1"/>
  <c r="X1161" i="1"/>
  <c r="W1161" i="1"/>
  <c r="V1161" i="1"/>
  <c r="U1161" i="1"/>
  <c r="T1161" i="1"/>
  <c r="S1161" i="1"/>
  <c r="R1161" i="1"/>
  <c r="Q1161" i="1"/>
  <c r="P1161" i="1"/>
  <c r="O1161" i="1"/>
  <c r="N1161" i="1"/>
  <c r="M1161" i="1"/>
  <c r="L1161" i="1"/>
  <c r="K1161" i="1"/>
  <c r="J1161" i="1"/>
  <c r="I1161" i="1"/>
  <c r="H1161" i="1"/>
  <c r="G1161" i="1"/>
  <c r="F1161" i="1"/>
  <c r="AI1134" i="1"/>
  <c r="AH1134" i="1"/>
  <c r="AG1134" i="1"/>
  <c r="AF1134" i="1"/>
  <c r="AE1134" i="1"/>
  <c r="AD1134" i="1"/>
  <c r="AC1134" i="1"/>
  <c r="AB1134" i="1"/>
  <c r="AA1134" i="1"/>
  <c r="Z1134" i="1"/>
  <c r="Y1134" i="1"/>
  <c r="X1134" i="1"/>
  <c r="W1134" i="1"/>
  <c r="V1134" i="1"/>
  <c r="U1134" i="1"/>
  <c r="T1134" i="1"/>
  <c r="S1134" i="1"/>
  <c r="R1134" i="1"/>
  <c r="Q1134" i="1"/>
  <c r="P1134" i="1"/>
  <c r="O1134" i="1"/>
  <c r="N1134" i="1"/>
  <c r="M1134" i="1"/>
  <c r="L1134" i="1"/>
  <c r="K1134" i="1"/>
  <c r="J1134" i="1"/>
  <c r="I1134" i="1"/>
  <c r="H1134" i="1"/>
  <c r="G1134" i="1"/>
  <c r="F1134" i="1"/>
  <c r="AI1120" i="1"/>
  <c r="AH1120" i="1"/>
  <c r="AG1120" i="1"/>
  <c r="AF1120" i="1"/>
  <c r="AI1106" i="1"/>
  <c r="AH1106" i="1"/>
  <c r="AG1106" i="1"/>
  <c r="AF1106" i="1"/>
  <c r="AE1106" i="1"/>
  <c r="AD1106" i="1"/>
  <c r="AC1106" i="1"/>
  <c r="AB1106" i="1"/>
  <c r="AA1106" i="1"/>
  <c r="Z1106" i="1"/>
  <c r="Y1106" i="1"/>
  <c r="X1106" i="1"/>
  <c r="W1106" i="1"/>
  <c r="V1106" i="1"/>
  <c r="U1106" i="1"/>
  <c r="T1106" i="1"/>
  <c r="S1106" i="1"/>
  <c r="R1106" i="1"/>
  <c r="Q1106" i="1"/>
  <c r="P1106" i="1"/>
  <c r="O1106" i="1"/>
  <c r="N1106" i="1"/>
  <c r="M1106" i="1"/>
  <c r="L1106" i="1"/>
  <c r="K1106" i="1"/>
  <c r="J1106" i="1"/>
  <c r="I1106" i="1"/>
  <c r="H1106" i="1"/>
  <c r="G1106" i="1"/>
  <c r="F1106" i="1"/>
  <c r="E1106" i="1"/>
  <c r="AI1092" i="1"/>
  <c r="AH1092" i="1"/>
  <c r="AG1092" i="1"/>
  <c r="AF1092" i="1"/>
  <c r="AI1078" i="1"/>
  <c r="AH1078" i="1"/>
  <c r="AG1078" i="1"/>
  <c r="AF1078" i="1"/>
  <c r="AI1051" i="1"/>
  <c r="AH1051" i="1"/>
  <c r="AG1051" i="1"/>
  <c r="AF1051" i="1"/>
  <c r="AE1051" i="1"/>
  <c r="AD1051" i="1"/>
  <c r="AC1051" i="1"/>
  <c r="AB1051" i="1"/>
  <c r="AA1051" i="1"/>
  <c r="Z1051" i="1"/>
  <c r="Y1051" i="1"/>
  <c r="X1051" i="1"/>
  <c r="W1051" i="1"/>
  <c r="V1051" i="1"/>
  <c r="U1051" i="1"/>
  <c r="T1051" i="1"/>
  <c r="S1051" i="1"/>
  <c r="R1051" i="1"/>
  <c r="Q1051" i="1"/>
  <c r="P1051" i="1"/>
  <c r="O1051" i="1"/>
  <c r="N1051" i="1"/>
  <c r="M1051" i="1"/>
  <c r="L1051" i="1"/>
  <c r="K1051" i="1"/>
  <c r="J1051" i="1"/>
  <c r="I1051" i="1"/>
  <c r="H1051" i="1"/>
  <c r="G1051" i="1"/>
  <c r="F1051" i="1"/>
  <c r="AI1037" i="1"/>
  <c r="AH1037" i="1"/>
  <c r="AG1037" i="1"/>
  <c r="AF1037" i="1"/>
  <c r="AE1037" i="1"/>
  <c r="AD1037" i="1"/>
  <c r="AC1037" i="1"/>
  <c r="AB1037" i="1"/>
  <c r="AA1037" i="1"/>
  <c r="Z1037" i="1"/>
  <c r="Y1037" i="1"/>
  <c r="X1037" i="1"/>
  <c r="W1037" i="1"/>
  <c r="V1037" i="1"/>
  <c r="U1037" i="1"/>
  <c r="T1037" i="1"/>
  <c r="S1037" i="1"/>
  <c r="R1037" i="1"/>
  <c r="Q1037" i="1"/>
  <c r="P1037" i="1"/>
  <c r="O1037" i="1"/>
  <c r="N1037" i="1"/>
  <c r="M1037" i="1"/>
  <c r="L1037" i="1"/>
  <c r="K1037" i="1"/>
  <c r="J1037" i="1"/>
  <c r="I1037" i="1"/>
  <c r="H1037" i="1"/>
  <c r="G1037" i="1"/>
  <c r="F1037" i="1"/>
  <c r="AI1010" i="1"/>
  <c r="AI983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AI956" i="1"/>
  <c r="AH956" i="1"/>
  <c r="AG956" i="1"/>
  <c r="AF956" i="1"/>
  <c r="AI929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AI875" i="1"/>
  <c r="AH875" i="1"/>
  <c r="AG875" i="1"/>
  <c r="AF875" i="1"/>
  <c r="AE875" i="1"/>
  <c r="AI848" i="1"/>
  <c r="AI821" i="1"/>
  <c r="AH821" i="1"/>
  <c r="AG821" i="1"/>
  <c r="AF821" i="1"/>
  <c r="AE821" i="1"/>
  <c r="AD821" i="1"/>
  <c r="AC821" i="1"/>
  <c r="AB821" i="1"/>
  <c r="AA821" i="1"/>
  <c r="Z821" i="1"/>
  <c r="AI807" i="1"/>
  <c r="AH807" i="1"/>
  <c r="AG807" i="1"/>
  <c r="AF807" i="1"/>
  <c r="AE807" i="1"/>
  <c r="AD807" i="1"/>
  <c r="AC807" i="1"/>
  <c r="AB807" i="1"/>
  <c r="AA807" i="1"/>
  <c r="Z807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AI752" i="1"/>
  <c r="AH752" i="1"/>
  <c r="AG752" i="1"/>
  <c r="AF752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AI685" i="1"/>
  <c r="AH685" i="1"/>
  <c r="AG685" i="1"/>
  <c r="AF685" i="1"/>
  <c r="AE685" i="1"/>
  <c r="AD685" i="1"/>
  <c r="AC685" i="1"/>
  <c r="AB685" i="1"/>
  <c r="AI658" i="1"/>
  <c r="AH658" i="1"/>
  <c r="AG658" i="1"/>
  <c r="AF658" i="1"/>
  <c r="AI644" i="1"/>
  <c r="AH644" i="1"/>
  <c r="AG644" i="1"/>
  <c r="AF644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AI603" i="1"/>
  <c r="AH603" i="1"/>
  <c r="AG603" i="1"/>
  <c r="AF603" i="1"/>
  <c r="AE603" i="1"/>
  <c r="AD603" i="1"/>
  <c r="AC603" i="1"/>
  <c r="AB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AI576" i="1"/>
  <c r="AH576" i="1"/>
  <c r="AG576" i="1"/>
  <c r="AF576" i="1"/>
  <c r="AE576" i="1"/>
  <c r="AI549" i="1"/>
  <c r="AH549" i="1"/>
  <c r="AG549" i="1"/>
  <c r="AF549" i="1"/>
  <c r="AE549" i="1"/>
  <c r="AD549" i="1"/>
  <c r="AC549" i="1"/>
  <c r="AB549" i="1"/>
  <c r="AA549" i="1"/>
  <c r="AI522" i="1"/>
  <c r="AI495" i="1"/>
  <c r="AH495" i="1"/>
  <c r="AG495" i="1"/>
  <c r="AF495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AI468" i="1"/>
  <c r="AH468" i="1"/>
  <c r="AG468" i="1"/>
  <c r="AF468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AI441" i="1"/>
  <c r="AH441" i="1"/>
  <c r="AG441" i="1"/>
  <c r="AF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AI414" i="1"/>
  <c r="AH414" i="1"/>
  <c r="AG414" i="1"/>
  <c r="AF414" i="1"/>
  <c r="AE414" i="1"/>
  <c r="AD414" i="1"/>
  <c r="AC414" i="1"/>
  <c r="AB414" i="1"/>
  <c r="AI400" i="1"/>
  <c r="AH400" i="1"/>
  <c r="AG400" i="1"/>
  <c r="AF400" i="1"/>
  <c r="AE400" i="1"/>
  <c r="AD400" i="1"/>
  <c r="AC400" i="1"/>
  <c r="AB400" i="1"/>
  <c r="AI373" i="1"/>
  <c r="AH373" i="1"/>
  <c r="AG373" i="1"/>
  <c r="AF373" i="1"/>
  <c r="AE373" i="1"/>
  <c r="AD373" i="1"/>
  <c r="AC373" i="1"/>
  <c r="AB373" i="1"/>
  <c r="AA373" i="1"/>
  <c r="Z373" i="1"/>
  <c r="Y373" i="1"/>
  <c r="X373" i="1"/>
  <c r="W373" i="1"/>
  <c r="AI359" i="1"/>
  <c r="AI332" i="1"/>
  <c r="AH332" i="1"/>
  <c r="AG332" i="1"/>
  <c r="AF332" i="1"/>
  <c r="AE332" i="1"/>
  <c r="AD332" i="1"/>
  <c r="AC332" i="1"/>
  <c r="AB332" i="1"/>
  <c r="AA332" i="1"/>
  <c r="Z332" i="1"/>
  <c r="AI318" i="1"/>
  <c r="AH318" i="1"/>
  <c r="AG318" i="1"/>
  <c r="AF318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AI291" i="1"/>
  <c r="AH291" i="1"/>
  <c r="AG291" i="1"/>
  <c r="AF291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AI277" i="1"/>
  <c r="AH277" i="1"/>
  <c r="AG277" i="1"/>
  <c r="AF277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AI250" i="1"/>
  <c r="AH250" i="1"/>
  <c r="AG250" i="1"/>
  <c r="AF250" i="1"/>
  <c r="AI236" i="1"/>
  <c r="AH236" i="1"/>
  <c r="AG236" i="1"/>
  <c r="AF236" i="1"/>
  <c r="AI209" i="1"/>
  <c r="AH209" i="1"/>
  <c r="AG209" i="1"/>
  <c r="AF209" i="1"/>
  <c r="AI182" i="1"/>
  <c r="AH182" i="1"/>
  <c r="AG182" i="1"/>
  <c r="AF182" i="1"/>
  <c r="AE182" i="1"/>
  <c r="AD182" i="1"/>
  <c r="AC182" i="1"/>
  <c r="AB182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AI128" i="1"/>
  <c r="AH128" i="1"/>
  <c r="AG128" i="1"/>
  <c r="AF128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AI101" i="1"/>
  <c r="AI74" i="1"/>
  <c r="AH74" i="1"/>
  <c r="AG74" i="1"/>
  <c r="AF74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AI47" i="1"/>
  <c r="AI33" i="1"/>
  <c r="AH33" i="1"/>
  <c r="AG33" i="1"/>
  <c r="AF33" i="1"/>
  <c r="AE33" i="1"/>
  <c r="AD33" i="1"/>
  <c r="AC33" i="1"/>
  <c r="AB33" i="1"/>
  <c r="AA33" i="1"/>
  <c r="AO8" i="1"/>
  <c r="AO22" i="1"/>
  <c r="AO266" i="1"/>
  <c r="AO280" i="1"/>
  <c r="AO294" i="1"/>
  <c r="AO307" i="1"/>
  <c r="AO321" i="1"/>
  <c r="AO335" i="1"/>
  <c r="AO348" i="1"/>
  <c r="AO362" i="1"/>
  <c r="AO376" i="1"/>
  <c r="AO389" i="1"/>
  <c r="AO403" i="1"/>
  <c r="AO417" i="1"/>
  <c r="AO430" i="1"/>
  <c r="AO444" i="1"/>
  <c r="AO457" i="1"/>
  <c r="AO471" i="1"/>
  <c r="AO484" i="1"/>
  <c r="AO498" i="1"/>
  <c r="AO511" i="1"/>
  <c r="AO525" i="1"/>
  <c r="AO538" i="1"/>
  <c r="AO552" i="1"/>
  <c r="AO565" i="1"/>
  <c r="AO579" i="1"/>
  <c r="AO592" i="1"/>
  <c r="AO606" i="1"/>
  <c r="AO620" i="1"/>
  <c r="AO633" i="1"/>
  <c r="AO647" i="1"/>
  <c r="AO661" i="1"/>
  <c r="AO674" i="1"/>
  <c r="AO688" i="1"/>
  <c r="AO701" i="1"/>
  <c r="AO714" i="1"/>
  <c r="AO728" i="1"/>
  <c r="AO741" i="1"/>
  <c r="AO755" i="1"/>
  <c r="AO769" i="1"/>
  <c r="AO783" i="1"/>
  <c r="AO796" i="1"/>
  <c r="AO810" i="1"/>
  <c r="AO891" i="1"/>
  <c r="AO905" i="1"/>
  <c r="AO918" i="1"/>
  <c r="AO932" i="1"/>
  <c r="AO945" i="1"/>
  <c r="AO959" i="1"/>
  <c r="AO972" i="1"/>
  <c r="AO986" i="1"/>
  <c r="AO1026" i="1"/>
  <c r="AO1040" i="1"/>
  <c r="AO1054" i="1"/>
  <c r="AO1067" i="1"/>
  <c r="AO1081" i="1"/>
  <c r="AO1095" i="1"/>
  <c r="AO1109" i="1"/>
  <c r="AO1123" i="1"/>
  <c r="AO1137" i="1"/>
  <c r="AO1178" i="1"/>
  <c r="AO1164" i="1"/>
  <c r="AO1150" i="1"/>
  <c r="AO1013" i="1"/>
  <c r="AO851" i="1"/>
  <c r="AO837" i="1"/>
  <c r="AO239" i="1"/>
  <c r="AO212" i="1"/>
  <c r="AO198" i="1"/>
  <c r="AO185" i="1"/>
  <c r="AO171" i="1"/>
  <c r="AO158" i="1"/>
  <c r="AO144" i="1"/>
  <c r="AO131" i="1"/>
  <c r="AO117" i="1"/>
  <c r="AO90" i="1"/>
  <c r="AO104" i="1"/>
  <c r="AO63" i="1"/>
  <c r="AI59" i="10"/>
  <c r="AI73" i="10"/>
  <c r="AH73" i="10"/>
  <c r="AG73" i="10"/>
  <c r="AF73" i="10"/>
  <c r="AI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S87" i="10"/>
  <c r="R87" i="10"/>
  <c r="Q87" i="10"/>
  <c r="P87" i="10"/>
  <c r="O87" i="10"/>
  <c r="N87" i="10"/>
  <c r="M87" i="10"/>
  <c r="L87" i="10"/>
  <c r="K87" i="10"/>
  <c r="J87" i="10"/>
  <c r="I87" i="10"/>
  <c r="H87" i="10"/>
  <c r="G87" i="10"/>
  <c r="AI101" i="10"/>
  <c r="AH101" i="10"/>
  <c r="AG101" i="10"/>
  <c r="AF101" i="10"/>
  <c r="AE101" i="10"/>
  <c r="AD101" i="10"/>
  <c r="AC101" i="10"/>
  <c r="AB101" i="10"/>
  <c r="AA101" i="10"/>
  <c r="AI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S115" i="10"/>
  <c r="R115" i="10"/>
  <c r="Q115" i="10"/>
  <c r="P115" i="10"/>
  <c r="O115" i="10"/>
  <c r="N115" i="10"/>
  <c r="M115" i="10"/>
  <c r="L115" i="10"/>
  <c r="K115" i="10"/>
  <c r="J115" i="10"/>
  <c r="I115" i="10"/>
  <c r="H115" i="10"/>
  <c r="G115" i="10"/>
  <c r="AI129" i="10"/>
  <c r="AI234" i="10"/>
  <c r="AI20" i="2"/>
  <c r="AI34" i="2"/>
  <c r="AI48" i="2"/>
  <c r="AI62" i="2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S62" i="2"/>
  <c r="R62" i="2"/>
  <c r="Q62" i="2"/>
  <c r="P62" i="2"/>
  <c r="O62" i="2"/>
  <c r="N62" i="2"/>
  <c r="M62" i="2"/>
  <c r="L62" i="2"/>
  <c r="K62" i="2"/>
  <c r="J62" i="2"/>
  <c r="I62" i="2"/>
  <c r="H62" i="2"/>
  <c r="G62" i="2"/>
  <c r="C162" i="6"/>
  <c r="C148" i="6"/>
  <c r="C134" i="6"/>
  <c r="C120" i="6"/>
  <c r="C106" i="6"/>
  <c r="C92" i="6"/>
  <c r="C78" i="6"/>
  <c r="C64" i="6"/>
  <c r="C50" i="6"/>
  <c r="C36" i="6"/>
  <c r="C22" i="6"/>
  <c r="AI20" i="6"/>
  <c r="AH20" i="6"/>
  <c r="AG20" i="6"/>
  <c r="AF20" i="6"/>
  <c r="AI34" i="6"/>
  <c r="AH34" i="6"/>
  <c r="AG34" i="6"/>
  <c r="AF34" i="6"/>
  <c r="AI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AI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AI76" i="6"/>
  <c r="AH76" i="6"/>
  <c r="AG76" i="6"/>
  <c r="AF76" i="6"/>
  <c r="AI90" i="6"/>
  <c r="AH90" i="6"/>
  <c r="AG90" i="6"/>
  <c r="AF90" i="6"/>
  <c r="AE90" i="6"/>
  <c r="AI104" i="6"/>
  <c r="AI118" i="6"/>
  <c r="AI132" i="6"/>
  <c r="AH132" i="6"/>
  <c r="AG132" i="6"/>
  <c r="AF132" i="6"/>
  <c r="AI146" i="6"/>
  <c r="AH146" i="6"/>
  <c r="AG146" i="6"/>
  <c r="AF146" i="6"/>
  <c r="AI160" i="6"/>
  <c r="AH160" i="6"/>
  <c r="AG160" i="6"/>
  <c r="AF160" i="6"/>
  <c r="AE160" i="6"/>
  <c r="AD160" i="6"/>
  <c r="AC160" i="6"/>
  <c r="AB160" i="6"/>
  <c r="AA160" i="6"/>
  <c r="Z160" i="6"/>
  <c r="Y160" i="6"/>
  <c r="X160" i="6"/>
  <c r="W160" i="6"/>
  <c r="V160" i="6"/>
  <c r="U160" i="6"/>
  <c r="T160" i="6"/>
  <c r="S160" i="6"/>
  <c r="R160" i="6"/>
  <c r="Q160" i="6"/>
  <c r="P160" i="6"/>
  <c r="O160" i="6"/>
  <c r="N160" i="6"/>
  <c r="M160" i="6"/>
  <c r="L160" i="6"/>
  <c r="K160" i="6"/>
  <c r="J160" i="6"/>
  <c r="I160" i="6"/>
  <c r="C176" i="6"/>
  <c r="AI174" i="6"/>
  <c r="E584" i="3"/>
  <c r="AI65" i="9"/>
  <c r="AI69" i="9"/>
  <c r="AI62" i="9"/>
  <c r="AI59" i="9"/>
  <c r="AJ57" i="9"/>
  <c r="AJ56" i="9"/>
  <c r="AJ55" i="9"/>
  <c r="AK53" i="9" s="1"/>
  <c r="AI54" i="9"/>
  <c r="AK51" i="9"/>
  <c r="H23" i="13" s="1"/>
  <c r="K23" i="13" s="1"/>
  <c r="L23" i="13" s="1"/>
  <c r="AJ51" i="9"/>
  <c r="H40" i="8"/>
  <c r="C50" i="8"/>
  <c r="C22" i="8"/>
  <c r="C22" i="9"/>
  <c r="AI20" i="9"/>
  <c r="AH20" i="9"/>
  <c r="AG20" i="9"/>
  <c r="AI48" i="8"/>
  <c r="AH48" i="8"/>
  <c r="AG48" i="8"/>
  <c r="AF48" i="8"/>
  <c r="AE48" i="8"/>
  <c r="AD48" i="8"/>
  <c r="AC48" i="8"/>
  <c r="AB48" i="8"/>
  <c r="AI20" i="8"/>
  <c r="AH20" i="8"/>
  <c r="AG20" i="8"/>
  <c r="AF20" i="8"/>
  <c r="AI64" i="9" l="1"/>
  <c r="AI61" i="9"/>
  <c r="AO51" i="9"/>
  <c r="AK49" i="9"/>
  <c r="AK54" i="9"/>
  <c r="AL57" i="9"/>
  <c r="AM55" i="9" s="1"/>
  <c r="AK55" i="9"/>
  <c r="AN55" i="9"/>
  <c r="AJ59" i="9"/>
  <c r="AK57" i="9" s="1"/>
  <c r="AJ54" i="9"/>
  <c r="AI52" i="9"/>
  <c r="AO53" i="9"/>
  <c r="AO55" i="9" l="1"/>
  <c r="AK52" i="9"/>
  <c r="AI47" i="5" l="1"/>
  <c r="AI19" i="5"/>
  <c r="AI33" i="5"/>
  <c r="AI20" i="7"/>
  <c r="C22" i="7"/>
  <c r="C21" i="5"/>
  <c r="C35" i="5"/>
  <c r="C49" i="5"/>
  <c r="AI21" i="4" l="1"/>
  <c r="AI37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AI69" i="4"/>
  <c r="AI85" i="4"/>
  <c r="AH85" i="4"/>
  <c r="AG85" i="4"/>
  <c r="AF85" i="4"/>
  <c r="AE85" i="4"/>
  <c r="AD85" i="4"/>
  <c r="AC85" i="4"/>
  <c r="AB85" i="4"/>
  <c r="AA85" i="4"/>
  <c r="AI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S117" i="4"/>
  <c r="R117" i="4"/>
  <c r="Q117" i="4"/>
  <c r="P117" i="4"/>
  <c r="O117" i="4"/>
  <c r="N117" i="4"/>
  <c r="M117" i="4"/>
  <c r="L117" i="4"/>
  <c r="K117" i="4"/>
  <c r="J117" i="4"/>
  <c r="I117" i="4"/>
  <c r="H117" i="4"/>
  <c r="G117" i="4"/>
  <c r="AI133" i="4"/>
  <c r="AH133" i="4"/>
  <c r="AG133" i="4"/>
  <c r="AF133" i="4"/>
  <c r="AI149" i="4"/>
  <c r="AI181" i="4"/>
  <c r="AI197" i="4"/>
  <c r="AH197" i="4"/>
  <c r="AG197" i="4"/>
  <c r="AF197" i="4"/>
  <c r="AE197" i="4"/>
  <c r="AD197" i="4"/>
  <c r="AC197" i="4"/>
  <c r="AB197" i="4"/>
  <c r="AA197" i="4"/>
  <c r="Z197" i="4"/>
  <c r="AI213" i="4"/>
  <c r="AI229" i="4"/>
  <c r="AI245" i="4"/>
  <c r="AI261" i="4"/>
  <c r="AI277" i="4"/>
  <c r="AI293" i="4"/>
  <c r="AH293" i="4"/>
  <c r="AG293" i="4"/>
  <c r="AF293" i="4"/>
  <c r="AE293" i="4"/>
  <c r="AD293" i="4"/>
  <c r="AC293" i="4"/>
  <c r="AB293" i="4"/>
  <c r="AA293" i="4"/>
  <c r="Z293" i="4"/>
  <c r="Y293" i="4"/>
  <c r="X293" i="4"/>
  <c r="W293" i="4"/>
  <c r="V293" i="4"/>
  <c r="U293" i="4"/>
  <c r="T293" i="4"/>
  <c r="S293" i="4"/>
  <c r="R293" i="4"/>
  <c r="Q293" i="4"/>
  <c r="P293" i="4"/>
  <c r="O293" i="4"/>
  <c r="N293" i="4"/>
  <c r="M293" i="4"/>
  <c r="L293" i="4"/>
  <c r="K293" i="4"/>
  <c r="J293" i="4"/>
  <c r="I293" i="4"/>
  <c r="H293" i="4"/>
  <c r="G293" i="4"/>
  <c r="AI309" i="4"/>
  <c r="AH309" i="4"/>
  <c r="AG309" i="4"/>
  <c r="AF309" i="4"/>
  <c r="AA309" i="4"/>
  <c r="AI325" i="4"/>
  <c r="AI357" i="4"/>
  <c r="AH357" i="4"/>
  <c r="AG357" i="4"/>
  <c r="AF357" i="4"/>
  <c r="AE357" i="4"/>
  <c r="AI373" i="4"/>
  <c r="AI389" i="4"/>
  <c r="AH389" i="4"/>
  <c r="AG389" i="4"/>
  <c r="AF389" i="4"/>
  <c r="AE389" i="4"/>
  <c r="AI405" i="4"/>
  <c r="AH405" i="4"/>
  <c r="AG405" i="4"/>
  <c r="AF405" i="4"/>
  <c r="AI421" i="4"/>
  <c r="AH421" i="4"/>
  <c r="AG421" i="4"/>
  <c r="AF421" i="4"/>
  <c r="AI437" i="4"/>
  <c r="AH437" i="4"/>
  <c r="AG437" i="4"/>
  <c r="AF437" i="4"/>
  <c r="AE437" i="4"/>
  <c r="AD437" i="4"/>
  <c r="AC437" i="4"/>
  <c r="AB437" i="4"/>
  <c r="AA437" i="4"/>
  <c r="Z437" i="4"/>
  <c r="Y437" i="4"/>
  <c r="X437" i="4"/>
  <c r="W437" i="4"/>
  <c r="V437" i="4"/>
  <c r="U437" i="4"/>
  <c r="T437" i="4"/>
  <c r="S437" i="4"/>
  <c r="R437" i="4"/>
  <c r="Q437" i="4"/>
  <c r="P437" i="4"/>
  <c r="O437" i="4"/>
  <c r="N437" i="4"/>
  <c r="M437" i="4"/>
  <c r="L437" i="4"/>
  <c r="K437" i="4"/>
  <c r="J437" i="4"/>
  <c r="I437" i="4"/>
  <c r="H437" i="4"/>
  <c r="G437" i="4"/>
  <c r="AI453" i="4"/>
  <c r="AI469" i="4"/>
  <c r="AH469" i="4"/>
  <c r="AG469" i="4"/>
  <c r="AF469" i="4"/>
  <c r="AI485" i="4"/>
  <c r="AH485" i="4"/>
  <c r="AG485" i="4"/>
  <c r="AI501" i="4"/>
  <c r="C487" i="4"/>
  <c r="C471" i="4"/>
  <c r="C455" i="4"/>
  <c r="C439" i="4"/>
  <c r="C423" i="4"/>
  <c r="C407" i="4"/>
  <c r="C391" i="4"/>
  <c r="C375" i="4"/>
  <c r="C359" i="4"/>
  <c r="C343" i="4"/>
  <c r="C327" i="4"/>
  <c r="C311" i="4"/>
  <c r="C295" i="4"/>
  <c r="C279" i="4"/>
  <c r="C263" i="4"/>
  <c r="C247" i="4"/>
  <c r="C231" i="4"/>
  <c r="C215" i="4"/>
  <c r="C199" i="4"/>
  <c r="C183" i="4"/>
  <c r="C167" i="4"/>
  <c r="C151" i="4"/>
  <c r="C135" i="4"/>
  <c r="C119" i="4"/>
  <c r="C103" i="4"/>
  <c r="C87" i="4"/>
  <c r="C71" i="4"/>
  <c r="C39" i="4"/>
  <c r="C23" i="4"/>
  <c r="C503" i="4"/>
  <c r="AI517" i="4"/>
  <c r="AH517" i="4"/>
  <c r="AG517" i="4"/>
  <c r="AF517" i="4"/>
  <c r="AE517" i="4"/>
  <c r="AD517" i="4"/>
  <c r="AC517" i="4"/>
  <c r="AB517" i="4"/>
  <c r="AA517" i="4"/>
  <c r="Z517" i="4"/>
  <c r="Y517" i="4"/>
  <c r="X517" i="4"/>
  <c r="W517" i="4"/>
  <c r="V517" i="4"/>
  <c r="U517" i="4"/>
  <c r="T517" i="4"/>
  <c r="S517" i="4"/>
  <c r="R517" i="4"/>
  <c r="Q517" i="4"/>
  <c r="P517" i="4"/>
  <c r="O517" i="4"/>
  <c r="N517" i="4"/>
  <c r="M517" i="4"/>
  <c r="L517" i="4"/>
  <c r="K517" i="4"/>
  <c r="J517" i="4"/>
  <c r="I517" i="4"/>
  <c r="H517" i="4"/>
  <c r="G517" i="4"/>
  <c r="F517" i="4"/>
  <c r="E517" i="4"/>
  <c r="C519" i="4"/>
  <c r="C55" i="4"/>
  <c r="C162" i="3" l="1"/>
  <c r="C148" i="3"/>
  <c r="C134" i="3"/>
  <c r="C120" i="3"/>
  <c r="C106" i="3"/>
  <c r="C92" i="3"/>
  <c r="C78" i="3"/>
  <c r="C64" i="3"/>
  <c r="C36" i="3"/>
  <c r="C22" i="3"/>
  <c r="AI20" i="3"/>
  <c r="AH20" i="3"/>
  <c r="AG20" i="3"/>
  <c r="AF20" i="3"/>
  <c r="AI34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J62" i="3"/>
  <c r="I62" i="3"/>
  <c r="H62" i="3"/>
  <c r="G62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76" i="3"/>
  <c r="O76" i="3"/>
  <c r="N76" i="3"/>
  <c r="M76" i="3"/>
  <c r="L76" i="3"/>
  <c r="K76" i="3"/>
  <c r="J76" i="3"/>
  <c r="I76" i="3"/>
  <c r="H76" i="3"/>
  <c r="G76" i="3"/>
  <c r="AI90" i="3"/>
  <c r="AH90" i="3"/>
  <c r="AG90" i="3"/>
  <c r="AF90" i="3"/>
  <c r="AI104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V118" i="3"/>
  <c r="U118" i="3"/>
  <c r="T118" i="3"/>
  <c r="S118" i="3"/>
  <c r="R118" i="3"/>
  <c r="Q118" i="3"/>
  <c r="P118" i="3"/>
  <c r="O118" i="3"/>
  <c r="N118" i="3"/>
  <c r="M118" i="3"/>
  <c r="L118" i="3"/>
  <c r="K118" i="3"/>
  <c r="J118" i="3"/>
  <c r="I118" i="3"/>
  <c r="H118" i="3"/>
  <c r="G118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V132" i="3"/>
  <c r="U132" i="3"/>
  <c r="T132" i="3"/>
  <c r="S132" i="3"/>
  <c r="R132" i="3"/>
  <c r="Q132" i="3"/>
  <c r="P132" i="3"/>
  <c r="O132" i="3"/>
  <c r="N132" i="3"/>
  <c r="M132" i="3"/>
  <c r="L132" i="3"/>
  <c r="K132" i="3"/>
  <c r="J132" i="3"/>
  <c r="I132" i="3"/>
  <c r="H132" i="3"/>
  <c r="G132" i="3"/>
  <c r="AI146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V160" i="3"/>
  <c r="U160" i="3"/>
  <c r="T160" i="3"/>
  <c r="S160" i="3"/>
  <c r="R160" i="3"/>
  <c r="Q160" i="3"/>
  <c r="P160" i="3"/>
  <c r="O160" i="3"/>
  <c r="N160" i="3"/>
  <c r="M160" i="3"/>
  <c r="L160" i="3"/>
  <c r="K160" i="3"/>
  <c r="J160" i="3"/>
  <c r="I160" i="3"/>
  <c r="H160" i="3"/>
  <c r="G160" i="3"/>
  <c r="C176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V174" i="3"/>
  <c r="U174" i="3"/>
  <c r="T174" i="3"/>
  <c r="S174" i="3"/>
  <c r="R174" i="3"/>
  <c r="Q174" i="3"/>
  <c r="P174" i="3"/>
  <c r="O174" i="3"/>
  <c r="N174" i="3"/>
  <c r="M174" i="3"/>
  <c r="L174" i="3"/>
  <c r="K174" i="3"/>
  <c r="J174" i="3"/>
  <c r="I174" i="3"/>
  <c r="H174" i="3"/>
  <c r="G174" i="3"/>
  <c r="C190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V188" i="3"/>
  <c r="U188" i="3"/>
  <c r="T188" i="3"/>
  <c r="S188" i="3"/>
  <c r="R188" i="3"/>
  <c r="Q188" i="3"/>
  <c r="P188" i="3"/>
  <c r="O188" i="3"/>
  <c r="N188" i="3"/>
  <c r="M188" i="3"/>
  <c r="L188" i="3"/>
  <c r="K188" i="3"/>
  <c r="J188" i="3"/>
  <c r="I188" i="3"/>
  <c r="H188" i="3"/>
  <c r="G188" i="3"/>
  <c r="C204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V202" i="3"/>
  <c r="U202" i="3"/>
  <c r="T202" i="3"/>
  <c r="S202" i="3"/>
  <c r="R202" i="3"/>
  <c r="Q202" i="3"/>
  <c r="P202" i="3"/>
  <c r="O202" i="3"/>
  <c r="N202" i="3"/>
  <c r="M202" i="3"/>
  <c r="L202" i="3"/>
  <c r="K202" i="3"/>
  <c r="J202" i="3"/>
  <c r="I202" i="3"/>
  <c r="H202" i="3"/>
  <c r="G202" i="3"/>
  <c r="C218" i="3"/>
  <c r="AI216" i="3"/>
  <c r="C274" i="3"/>
  <c r="C232" i="3"/>
  <c r="AI230" i="3"/>
  <c r="C246" i="3"/>
  <c r="AI244" i="3"/>
  <c r="C260" i="3"/>
  <c r="AI258" i="3"/>
  <c r="AH258" i="3"/>
  <c r="AG258" i="3"/>
  <c r="AF258" i="3"/>
  <c r="AE258" i="3"/>
  <c r="AD258" i="3"/>
  <c r="AC258" i="3"/>
  <c r="AB258" i="3"/>
  <c r="AA258" i="3"/>
  <c r="Z258" i="3"/>
  <c r="Y258" i="3"/>
  <c r="X258" i="3"/>
  <c r="W258" i="3"/>
  <c r="V258" i="3"/>
  <c r="U258" i="3"/>
  <c r="T258" i="3"/>
  <c r="S258" i="3"/>
  <c r="R258" i="3"/>
  <c r="Q258" i="3"/>
  <c r="P258" i="3"/>
  <c r="O258" i="3"/>
  <c r="N258" i="3"/>
  <c r="M258" i="3"/>
  <c r="L258" i="3"/>
  <c r="K258" i="3"/>
  <c r="J258" i="3"/>
  <c r="I258" i="3"/>
  <c r="H258" i="3"/>
  <c r="G258" i="3"/>
  <c r="AI272" i="3"/>
  <c r="AH272" i="3"/>
  <c r="AG272" i="3"/>
  <c r="AF272" i="3"/>
  <c r="AE272" i="3"/>
  <c r="AD272" i="3"/>
  <c r="AC272" i="3"/>
  <c r="AB272" i="3"/>
  <c r="AA272" i="3"/>
  <c r="Z272" i="3"/>
  <c r="Y272" i="3"/>
  <c r="X272" i="3"/>
  <c r="W272" i="3"/>
  <c r="V272" i="3"/>
  <c r="U272" i="3"/>
  <c r="T272" i="3"/>
  <c r="S272" i="3"/>
  <c r="R272" i="3"/>
  <c r="Q272" i="3"/>
  <c r="P272" i="3"/>
  <c r="O272" i="3"/>
  <c r="N272" i="3"/>
  <c r="M272" i="3"/>
  <c r="L272" i="3"/>
  <c r="K272" i="3"/>
  <c r="J272" i="3"/>
  <c r="I272" i="3"/>
  <c r="H272" i="3"/>
  <c r="G272" i="3"/>
  <c r="C288" i="3"/>
  <c r="AI286" i="3"/>
  <c r="AH286" i="3"/>
  <c r="AG286" i="3"/>
  <c r="AF286" i="3"/>
  <c r="AE286" i="3"/>
  <c r="AD286" i="3"/>
  <c r="AC286" i="3"/>
  <c r="AB286" i="3"/>
  <c r="AA286" i="3"/>
  <c r="Z286" i="3"/>
  <c r="Y286" i="3"/>
  <c r="X286" i="3"/>
  <c r="W286" i="3"/>
  <c r="V286" i="3"/>
  <c r="U286" i="3"/>
  <c r="T286" i="3"/>
  <c r="S286" i="3"/>
  <c r="R286" i="3"/>
  <c r="Q286" i="3"/>
  <c r="P286" i="3"/>
  <c r="O286" i="3"/>
  <c r="N286" i="3"/>
  <c r="M286" i="3"/>
  <c r="L286" i="3"/>
  <c r="K286" i="3"/>
  <c r="J286" i="3"/>
  <c r="I286" i="3"/>
  <c r="H286" i="3"/>
  <c r="G286" i="3"/>
  <c r="C302" i="3"/>
  <c r="AI300" i="3"/>
  <c r="AH300" i="3"/>
  <c r="AG300" i="3"/>
  <c r="AF300" i="3"/>
  <c r="AE300" i="3"/>
  <c r="AD300" i="3"/>
  <c r="AC300" i="3"/>
  <c r="AB300" i="3"/>
  <c r="AA300" i="3"/>
  <c r="Z300" i="3"/>
  <c r="Y300" i="3"/>
  <c r="X300" i="3"/>
  <c r="W300" i="3"/>
  <c r="V300" i="3"/>
  <c r="U300" i="3"/>
  <c r="T300" i="3"/>
  <c r="S300" i="3"/>
  <c r="R300" i="3"/>
  <c r="Q300" i="3"/>
  <c r="P300" i="3"/>
  <c r="O300" i="3"/>
  <c r="N300" i="3"/>
  <c r="M300" i="3"/>
  <c r="L300" i="3"/>
  <c r="K300" i="3"/>
  <c r="J300" i="3"/>
  <c r="I300" i="3"/>
  <c r="H300" i="3"/>
  <c r="G300" i="3"/>
  <c r="C316" i="3"/>
  <c r="AI314" i="3"/>
  <c r="C330" i="3"/>
  <c r="AI328" i="3"/>
  <c r="AH328" i="3"/>
  <c r="AG328" i="3"/>
  <c r="AF328" i="3"/>
  <c r="AE328" i="3"/>
  <c r="AD328" i="3"/>
  <c r="AC328" i="3"/>
  <c r="AB328" i="3"/>
  <c r="AA328" i="3"/>
  <c r="Z328" i="3"/>
  <c r="Y328" i="3"/>
  <c r="X328" i="3"/>
  <c r="W328" i="3"/>
  <c r="V328" i="3"/>
  <c r="U328" i="3"/>
  <c r="T328" i="3"/>
  <c r="S328" i="3"/>
  <c r="R328" i="3"/>
  <c r="Q328" i="3"/>
  <c r="P328" i="3"/>
  <c r="O328" i="3"/>
  <c r="N328" i="3"/>
  <c r="M328" i="3"/>
  <c r="L328" i="3"/>
  <c r="K328" i="3"/>
  <c r="J328" i="3"/>
  <c r="I328" i="3"/>
  <c r="H328" i="3"/>
  <c r="G328" i="3"/>
  <c r="C344" i="3"/>
  <c r="AI342" i="3"/>
  <c r="AH342" i="3"/>
  <c r="AG342" i="3"/>
  <c r="AF342" i="3"/>
  <c r="C358" i="3"/>
  <c r="C372" i="3"/>
  <c r="AI370" i="3"/>
  <c r="AH370" i="3"/>
  <c r="AG370" i="3"/>
  <c r="AF370" i="3"/>
  <c r="AE370" i="3"/>
  <c r="AD370" i="3"/>
  <c r="AC370" i="3"/>
  <c r="AB370" i="3"/>
  <c r="AA370" i="3"/>
  <c r="Z370" i="3"/>
  <c r="Y370" i="3"/>
  <c r="X370" i="3"/>
  <c r="W370" i="3"/>
  <c r="V370" i="3"/>
  <c r="U370" i="3"/>
  <c r="T370" i="3"/>
  <c r="S370" i="3"/>
  <c r="R370" i="3"/>
  <c r="Q370" i="3"/>
  <c r="P370" i="3"/>
  <c r="O370" i="3"/>
  <c r="N370" i="3"/>
  <c r="M370" i="3"/>
  <c r="L370" i="3"/>
  <c r="K370" i="3"/>
  <c r="J370" i="3"/>
  <c r="I370" i="3"/>
  <c r="H370" i="3"/>
  <c r="G370" i="3"/>
  <c r="C386" i="3"/>
  <c r="AI384" i="3"/>
  <c r="AH384" i="3"/>
  <c r="AG384" i="3"/>
  <c r="AF384" i="3"/>
  <c r="AE384" i="3"/>
  <c r="AD384" i="3"/>
  <c r="AC384" i="3"/>
  <c r="AB384" i="3"/>
  <c r="AA384" i="3"/>
  <c r="Z384" i="3"/>
  <c r="Y384" i="3"/>
  <c r="X384" i="3"/>
  <c r="W384" i="3"/>
  <c r="V384" i="3"/>
  <c r="U384" i="3"/>
  <c r="T384" i="3"/>
  <c r="S384" i="3"/>
  <c r="R384" i="3"/>
  <c r="Q384" i="3"/>
  <c r="P384" i="3"/>
  <c r="O384" i="3"/>
  <c r="N384" i="3"/>
  <c r="M384" i="3"/>
  <c r="L384" i="3"/>
  <c r="K384" i="3"/>
  <c r="J384" i="3"/>
  <c r="I384" i="3"/>
  <c r="H384" i="3"/>
  <c r="G384" i="3"/>
  <c r="C400" i="3"/>
  <c r="AI398" i="3"/>
  <c r="AH398" i="3"/>
  <c r="AG398" i="3"/>
  <c r="AF398" i="3"/>
  <c r="AE398" i="3"/>
  <c r="AD398" i="3"/>
  <c r="AC398" i="3"/>
  <c r="AB398" i="3"/>
  <c r="AA398" i="3"/>
  <c r="Z398" i="3"/>
  <c r="Y398" i="3"/>
  <c r="X398" i="3"/>
  <c r="W398" i="3"/>
  <c r="V398" i="3"/>
  <c r="U398" i="3"/>
  <c r="T398" i="3"/>
  <c r="S398" i="3"/>
  <c r="R398" i="3"/>
  <c r="Q398" i="3"/>
  <c r="P398" i="3"/>
  <c r="O398" i="3"/>
  <c r="N398" i="3"/>
  <c r="M398" i="3"/>
  <c r="L398" i="3"/>
  <c r="K398" i="3"/>
  <c r="J398" i="3"/>
  <c r="I398" i="3"/>
  <c r="H398" i="3"/>
  <c r="G398" i="3"/>
  <c r="C414" i="3"/>
  <c r="AI412" i="3"/>
  <c r="AH412" i="3"/>
  <c r="AG412" i="3"/>
  <c r="AF412" i="3"/>
  <c r="AE412" i="3"/>
  <c r="C428" i="3"/>
  <c r="AI426" i="3"/>
  <c r="AH426" i="3"/>
  <c r="AG426" i="3"/>
  <c r="AF426" i="3"/>
  <c r="AE426" i="3"/>
  <c r="AD426" i="3"/>
  <c r="AC426" i="3"/>
  <c r="AB426" i="3"/>
  <c r="C442" i="3"/>
  <c r="AI440" i="3"/>
  <c r="AH440" i="3"/>
  <c r="AG440" i="3"/>
  <c r="AF440" i="3"/>
  <c r="AE440" i="3"/>
  <c r="AD440" i="3"/>
  <c r="AC440" i="3"/>
  <c r="AB440" i="3"/>
  <c r="AA440" i="3"/>
  <c r="Z440" i="3"/>
  <c r="Y440" i="3"/>
  <c r="X440" i="3"/>
  <c r="W440" i="3"/>
  <c r="V440" i="3"/>
  <c r="U440" i="3"/>
  <c r="T440" i="3"/>
  <c r="S440" i="3"/>
  <c r="R440" i="3"/>
  <c r="Q440" i="3"/>
  <c r="P440" i="3"/>
  <c r="O440" i="3"/>
  <c r="N440" i="3"/>
  <c r="M440" i="3"/>
  <c r="L440" i="3"/>
  <c r="K440" i="3"/>
  <c r="J440" i="3"/>
  <c r="I440" i="3"/>
  <c r="H440" i="3"/>
  <c r="G440" i="3"/>
  <c r="C456" i="3"/>
  <c r="AI454" i="3"/>
  <c r="AH454" i="3"/>
  <c r="AG454" i="3"/>
  <c r="AF454" i="3"/>
  <c r="AE454" i="3"/>
  <c r="AD454" i="3"/>
  <c r="AC454" i="3"/>
  <c r="AB454" i="3"/>
  <c r="AA454" i="3"/>
  <c r="Z454" i="3"/>
  <c r="Y454" i="3"/>
  <c r="X454" i="3"/>
  <c r="W454" i="3"/>
  <c r="V454" i="3"/>
  <c r="U454" i="3"/>
  <c r="T454" i="3"/>
  <c r="S454" i="3"/>
  <c r="R454" i="3"/>
  <c r="Q454" i="3"/>
  <c r="P454" i="3"/>
  <c r="O454" i="3"/>
  <c r="N454" i="3"/>
  <c r="M454" i="3"/>
  <c r="L454" i="3"/>
  <c r="K454" i="3"/>
  <c r="J454" i="3"/>
  <c r="I454" i="3"/>
  <c r="H454" i="3"/>
  <c r="G454" i="3"/>
  <c r="C470" i="3"/>
  <c r="AI482" i="3"/>
  <c r="AH482" i="3"/>
  <c r="AG482" i="3"/>
  <c r="AF482" i="3"/>
  <c r="C484" i="3"/>
  <c r="C554" i="3"/>
  <c r="AI510" i="3"/>
  <c r="AH510" i="3"/>
  <c r="AG510" i="3"/>
  <c r="AF510" i="3"/>
  <c r="AE510" i="3"/>
  <c r="AD510" i="3"/>
  <c r="AC510" i="3"/>
  <c r="AB510" i="3"/>
  <c r="AA510" i="3"/>
  <c r="Z510" i="3"/>
  <c r="Y510" i="3"/>
  <c r="X510" i="3"/>
  <c r="W510" i="3"/>
  <c r="V510" i="3"/>
  <c r="U510" i="3"/>
  <c r="T510" i="3"/>
  <c r="S510" i="3"/>
  <c r="R510" i="3"/>
  <c r="Q510" i="3"/>
  <c r="P510" i="3"/>
  <c r="O510" i="3"/>
  <c r="N510" i="3"/>
  <c r="M510" i="3"/>
  <c r="L510" i="3"/>
  <c r="K510" i="3"/>
  <c r="J510" i="3"/>
  <c r="I510" i="3"/>
  <c r="H510" i="3"/>
  <c r="G510" i="3"/>
  <c r="C512" i="3"/>
  <c r="C526" i="3"/>
  <c r="AI524" i="3"/>
  <c r="AH524" i="3"/>
  <c r="AG524" i="3"/>
  <c r="AF524" i="3"/>
  <c r="AE524" i="3"/>
  <c r="AD524" i="3"/>
  <c r="AC524" i="3"/>
  <c r="AB524" i="3"/>
  <c r="AA524" i="3"/>
  <c r="Z524" i="3"/>
  <c r="Y524" i="3"/>
  <c r="X524" i="3"/>
  <c r="W524" i="3"/>
  <c r="V524" i="3"/>
  <c r="U524" i="3"/>
  <c r="T524" i="3"/>
  <c r="S524" i="3"/>
  <c r="R524" i="3"/>
  <c r="Q524" i="3"/>
  <c r="P524" i="3"/>
  <c r="O524" i="3"/>
  <c r="N524" i="3"/>
  <c r="M524" i="3"/>
  <c r="L524" i="3"/>
  <c r="K524" i="3"/>
  <c r="J524" i="3"/>
  <c r="I524" i="3"/>
  <c r="H524" i="3"/>
  <c r="G524" i="3"/>
  <c r="C540" i="3" l="1"/>
  <c r="AI538" i="3"/>
  <c r="AH538" i="3"/>
  <c r="AG538" i="3"/>
  <c r="AF538" i="3"/>
  <c r="AE538" i="3"/>
  <c r="AD538" i="3"/>
  <c r="AC538" i="3"/>
  <c r="AB538" i="3"/>
  <c r="Y538" i="3"/>
  <c r="X538" i="3"/>
  <c r="W538" i="3"/>
  <c r="V538" i="3"/>
  <c r="U538" i="3"/>
  <c r="T538" i="3"/>
  <c r="S538" i="3"/>
  <c r="R538" i="3"/>
  <c r="Q538" i="3"/>
  <c r="P538" i="3"/>
  <c r="O538" i="3"/>
  <c r="N538" i="3"/>
  <c r="M538" i="3"/>
  <c r="L538" i="3"/>
  <c r="K538" i="3"/>
  <c r="J538" i="3"/>
  <c r="I538" i="3"/>
  <c r="H538" i="3"/>
  <c r="G538" i="3"/>
  <c r="AI566" i="3"/>
  <c r="AH566" i="3"/>
  <c r="AG566" i="3"/>
  <c r="AF566" i="3"/>
  <c r="AE566" i="3"/>
  <c r="C568" i="3"/>
  <c r="C582" i="3"/>
  <c r="AI552" i="3" l="1"/>
  <c r="AI496" i="3"/>
  <c r="AI468" i="3"/>
  <c r="AI356" i="3"/>
  <c r="E353" i="3" l="1"/>
  <c r="E358" i="3" l="1"/>
  <c r="E355" i="3"/>
  <c r="E356" i="3"/>
  <c r="AJ163" i="6"/>
  <c r="G90" i="13" s="1"/>
  <c r="X514" i="1"/>
  <c r="AG222" i="3" l="1"/>
  <c r="AH222" i="3"/>
  <c r="AB219" i="4"/>
  <c r="Z219" i="4"/>
  <c r="Y219" i="4"/>
  <c r="X219" i="4"/>
  <c r="W219" i="4"/>
  <c r="U219" i="4"/>
  <c r="T219" i="4"/>
  <c r="P219" i="4"/>
  <c r="O219" i="4"/>
  <c r="N219" i="4"/>
  <c r="M219" i="4"/>
  <c r="I219" i="4"/>
  <c r="J219" i="4"/>
  <c r="K219" i="4"/>
  <c r="C225" i="4"/>
  <c r="AI224" i="4"/>
  <c r="AH224" i="4"/>
  <c r="AG224" i="4"/>
  <c r="AF224" i="4"/>
  <c r="AE224" i="4"/>
  <c r="AD224" i="4"/>
  <c r="AC224" i="4"/>
  <c r="AB224" i="4"/>
  <c r="AA224" i="4"/>
  <c r="Z224" i="4"/>
  <c r="Y224" i="4"/>
  <c r="X224" i="4"/>
  <c r="W224" i="4"/>
  <c r="V224" i="4"/>
  <c r="S224" i="4"/>
  <c r="R224" i="4"/>
  <c r="O224" i="4"/>
  <c r="N224" i="4"/>
  <c r="M224" i="4"/>
  <c r="L224" i="4"/>
  <c r="K224" i="4"/>
  <c r="F224" i="4"/>
  <c r="E224" i="4"/>
  <c r="AJ222" i="4"/>
  <c r="AK220" i="4" s="1"/>
  <c r="AJ221" i="4"/>
  <c r="AK219" i="4" s="1"/>
  <c r="U224" i="4"/>
  <c r="T224" i="4"/>
  <c r="Q224" i="4"/>
  <c r="P224" i="4"/>
  <c r="J224" i="4"/>
  <c r="I224" i="4"/>
  <c r="H224" i="4"/>
  <c r="C220" i="4"/>
  <c r="AI219" i="4"/>
  <c r="AH219" i="4"/>
  <c r="AG219" i="4"/>
  <c r="AF219" i="4"/>
  <c r="AE219" i="4"/>
  <c r="AD219" i="4"/>
  <c r="AC219" i="4"/>
  <c r="R219" i="4"/>
  <c r="Q219" i="4"/>
  <c r="L219" i="4"/>
  <c r="H219" i="4"/>
  <c r="G219" i="4"/>
  <c r="F219" i="4"/>
  <c r="E217" i="4"/>
  <c r="F217" i="4" s="1"/>
  <c r="G217" i="4" s="1"/>
  <c r="H217" i="4" s="1"/>
  <c r="I217" i="4" s="1"/>
  <c r="J217" i="4" s="1"/>
  <c r="K217" i="4" s="1"/>
  <c r="L217" i="4" s="1"/>
  <c r="M217" i="4" s="1"/>
  <c r="N217" i="4" s="1"/>
  <c r="O217" i="4" s="1"/>
  <c r="P217" i="4" s="1"/>
  <c r="Q217" i="4" s="1"/>
  <c r="R217" i="4" s="1"/>
  <c r="S217" i="4" s="1"/>
  <c r="T217" i="4" s="1"/>
  <c r="U217" i="4" s="1"/>
  <c r="V217" i="4" s="1"/>
  <c r="W217" i="4" s="1"/>
  <c r="X217" i="4" s="1"/>
  <c r="Y217" i="4" s="1"/>
  <c r="Z217" i="4" s="1"/>
  <c r="AA217" i="4" s="1"/>
  <c r="AB217" i="4" s="1"/>
  <c r="AC217" i="4" s="1"/>
  <c r="AD217" i="4" s="1"/>
  <c r="AE217" i="4" s="1"/>
  <c r="AF217" i="4" s="1"/>
  <c r="AG217" i="4" s="1"/>
  <c r="AH217" i="4" s="1"/>
  <c r="AI217" i="4" s="1"/>
  <c r="AJ216" i="4"/>
  <c r="W256" i="1"/>
  <c r="J572" i="3"/>
  <c r="AK214" i="4" l="1"/>
  <c r="G44" i="13"/>
  <c r="K44" i="13" s="1"/>
  <c r="L44" i="13" s="1"/>
  <c r="V228" i="4"/>
  <c r="V231" i="4"/>
  <c r="V226" i="4"/>
  <c r="X226" i="4"/>
  <c r="X228" i="4"/>
  <c r="X231" i="4"/>
  <c r="AE226" i="4"/>
  <c r="AE231" i="4"/>
  <c r="AE228" i="4"/>
  <c r="Q231" i="4"/>
  <c r="Q226" i="4"/>
  <c r="Q228" i="4"/>
  <c r="Y226" i="4"/>
  <c r="Y228" i="4"/>
  <c r="Y231" i="4"/>
  <c r="U228" i="4"/>
  <c r="U226" i="4"/>
  <c r="U231" i="4"/>
  <c r="AA231" i="4"/>
  <c r="AA226" i="4"/>
  <c r="AA228" i="4"/>
  <c r="E226" i="4"/>
  <c r="E228" i="4"/>
  <c r="E231" i="4"/>
  <c r="F228" i="4"/>
  <c r="F226" i="4"/>
  <c r="F231" i="4"/>
  <c r="AG228" i="4"/>
  <c r="AG231" i="4"/>
  <c r="AG226" i="4"/>
  <c r="J226" i="4"/>
  <c r="J228" i="4"/>
  <c r="J231" i="4"/>
  <c r="AC228" i="4"/>
  <c r="AC226" i="4"/>
  <c r="AC231" i="4"/>
  <c r="AD228" i="4"/>
  <c r="AD231" i="4"/>
  <c r="AD226" i="4"/>
  <c r="AF231" i="4"/>
  <c r="AF228" i="4"/>
  <c r="AF226" i="4"/>
  <c r="AH228" i="4"/>
  <c r="AH231" i="4"/>
  <c r="AH226" i="4"/>
  <c r="I226" i="4"/>
  <c r="I228" i="4"/>
  <c r="I231" i="4"/>
  <c r="P228" i="4"/>
  <c r="P226" i="4"/>
  <c r="P231" i="4"/>
  <c r="Z226" i="4"/>
  <c r="Z228" i="4"/>
  <c r="Z231" i="4"/>
  <c r="AB231" i="4"/>
  <c r="AB226" i="4"/>
  <c r="AB228" i="4"/>
  <c r="L226" i="4"/>
  <c r="L231" i="4"/>
  <c r="L228" i="4"/>
  <c r="M231" i="4"/>
  <c r="M228" i="4"/>
  <c r="M226" i="4"/>
  <c r="N228" i="4"/>
  <c r="N231" i="4"/>
  <c r="N226" i="4"/>
  <c r="O228" i="4"/>
  <c r="O231" i="4"/>
  <c r="O226" i="4"/>
  <c r="AI231" i="4"/>
  <c r="AI226" i="4"/>
  <c r="AI228" i="4"/>
  <c r="S231" i="4"/>
  <c r="S228" i="4"/>
  <c r="S226" i="4"/>
  <c r="W226" i="4"/>
  <c r="W228" i="4"/>
  <c r="W231" i="4"/>
  <c r="T231" i="4"/>
  <c r="T226" i="4"/>
  <c r="T228" i="4"/>
  <c r="K231" i="4"/>
  <c r="K226" i="4"/>
  <c r="K228" i="4"/>
  <c r="H226" i="4"/>
  <c r="H228" i="4"/>
  <c r="H231" i="4"/>
  <c r="R231" i="4"/>
  <c r="R228" i="4"/>
  <c r="R226" i="4"/>
  <c r="U229" i="4"/>
  <c r="R229" i="4"/>
  <c r="AB229" i="4"/>
  <c r="Z229" i="4"/>
  <c r="S229" i="4"/>
  <c r="AC229" i="4"/>
  <c r="AH229" i="4"/>
  <c r="AA229" i="4"/>
  <c r="V229" i="4"/>
  <c r="W229" i="4"/>
  <c r="AE229" i="4"/>
  <c r="AD229" i="4"/>
  <c r="X229" i="4"/>
  <c r="AF229" i="4"/>
  <c r="T229" i="4"/>
  <c r="Y229" i="4"/>
  <c r="AG229" i="4"/>
  <c r="E229" i="4"/>
  <c r="F229" i="4" s="1"/>
  <c r="AJ219" i="4"/>
  <c r="AJ220" i="4"/>
  <c r="AK218" i="4" s="1"/>
  <c r="G224" i="4"/>
  <c r="AO216" i="4"/>
  <c r="G226" i="4" l="1"/>
  <c r="G228" i="4"/>
  <c r="G231" i="4"/>
  <c r="AK217" i="4"/>
  <c r="AJ224" i="4"/>
  <c r="G229" i="4"/>
  <c r="H229" i="4" s="1"/>
  <c r="I229" i="4" s="1"/>
  <c r="J229" i="4" s="1"/>
  <c r="K229" i="4" s="1"/>
  <c r="L229" i="4" s="1"/>
  <c r="M229" i="4" s="1"/>
  <c r="N229" i="4" s="1"/>
  <c r="O229" i="4" s="1"/>
  <c r="P229" i="4" s="1"/>
  <c r="Q229" i="4" s="1"/>
  <c r="AN220" i="4"/>
  <c r="AO218" i="4"/>
  <c r="AO220" i="4" s="1"/>
  <c r="AK222" i="4" l="1"/>
  <c r="AO36" i="1" l="1"/>
  <c r="AO50" i="1"/>
  <c r="AO225" i="1"/>
  <c r="AO253" i="1"/>
  <c r="C161" i="4" l="1"/>
  <c r="C156" i="4"/>
  <c r="AH256" i="1"/>
  <c r="AG256" i="1"/>
  <c r="AF256" i="1"/>
  <c r="AE256" i="1"/>
  <c r="AD256" i="1"/>
  <c r="AC256" i="1"/>
  <c r="AA256" i="1"/>
  <c r="Z256" i="1"/>
  <c r="Y256" i="1"/>
  <c r="X256" i="1"/>
  <c r="V256" i="1"/>
  <c r="T256" i="1"/>
  <c r="S256" i="1"/>
  <c r="R256" i="1"/>
  <c r="Q256" i="1"/>
  <c r="N256" i="1"/>
  <c r="M256" i="1"/>
  <c r="L256" i="1"/>
  <c r="K256" i="1"/>
  <c r="J256" i="1"/>
  <c r="I256" i="1"/>
  <c r="H256" i="1"/>
  <c r="G256" i="1"/>
  <c r="F256" i="1"/>
  <c r="E256" i="1"/>
  <c r="AQ13" i="1" l="1"/>
  <c r="AO878" i="1"/>
  <c r="AO864" i="1"/>
  <c r="AO824" i="1"/>
  <c r="AT1199" i="1" l="1"/>
  <c r="AQ1199" i="1"/>
  <c r="AT1200" i="1"/>
  <c r="AR1199" i="1"/>
  <c r="AU1200" i="1"/>
  <c r="AT1202" i="1"/>
  <c r="AU1199" i="1"/>
  <c r="AS1199" i="1"/>
  <c r="AQ1202" i="1"/>
  <c r="AU1202" i="1"/>
  <c r="AS1200" i="1"/>
  <c r="AS1202" i="1"/>
  <c r="AR1202" i="1"/>
  <c r="AR1200" i="1"/>
  <c r="T43" i="4"/>
  <c r="T138" i="6"/>
  <c r="T26" i="6"/>
  <c r="T121" i="10"/>
  <c r="T93" i="10"/>
  <c r="T51" i="10"/>
  <c r="T962" i="1"/>
  <c r="T948" i="1"/>
  <c r="T908" i="1"/>
  <c r="T894" i="1"/>
  <c r="T881" i="1"/>
  <c r="T867" i="1"/>
  <c r="T827" i="1"/>
  <c r="T799" i="1"/>
  <c r="AQ1204" i="1" l="1"/>
  <c r="S288" i="4"/>
  <c r="T288" i="4"/>
  <c r="AJ120" i="10"/>
  <c r="AK118" i="10" s="1"/>
  <c r="K208" i="3"/>
  <c r="T295" i="4" l="1"/>
  <c r="T292" i="4"/>
  <c r="T290" i="4"/>
  <c r="S295" i="4"/>
  <c r="S292" i="4"/>
  <c r="S290" i="4"/>
  <c r="AJ232" i="4"/>
  <c r="AK230" i="4" s="1"/>
  <c r="AJ136" i="4"/>
  <c r="AK134" i="4" s="1"/>
  <c r="AJ24" i="4"/>
  <c r="AK22" i="4" s="1"/>
  <c r="AJ345" i="3"/>
  <c r="G14" i="13" s="1"/>
  <c r="AO136" i="4" l="1"/>
  <c r="AO456" i="4"/>
  <c r="AO275" i="3"/>
  <c r="AO261" i="3"/>
  <c r="AO191" i="3"/>
  <c r="AO177" i="3"/>
  <c r="AO163" i="3"/>
  <c r="AJ205" i="3" l="1"/>
  <c r="AO205" i="3" l="1"/>
  <c r="G9" i="13"/>
  <c r="O17" i="2"/>
  <c r="O26" i="2"/>
  <c r="O31" i="2"/>
  <c r="O45" i="2"/>
  <c r="O54" i="2"/>
  <c r="O59" i="2"/>
  <c r="O80" i="2"/>
  <c r="O81" i="2"/>
  <c r="O82" i="2"/>
  <c r="O83" i="2"/>
  <c r="P306" i="3"/>
  <c r="N840" i="1"/>
  <c r="O84" i="2" l="1"/>
  <c r="L93" i="10"/>
  <c r="AJ122" i="10" l="1"/>
  <c r="AJ123" i="10"/>
  <c r="AK121" i="10" l="1"/>
  <c r="AK120" i="10"/>
  <c r="AJ149" i="3"/>
  <c r="AJ90" i="10"/>
  <c r="AO163" i="6"/>
  <c r="AO149" i="3" l="1"/>
  <c r="G8" i="13"/>
  <c r="AO90" i="10"/>
  <c r="AK88" i="10"/>
  <c r="Y157" i="3"/>
  <c r="W93" i="10"/>
  <c r="Q139" i="4"/>
  <c r="AJ90" i="1"/>
  <c r="AJ225" i="1"/>
  <c r="AL90" i="1" l="1"/>
  <c r="AM88" i="1" s="1"/>
  <c r="N299" i="4"/>
  <c r="K283" i="4" l="1"/>
  <c r="J121" i="10"/>
  <c r="I121" i="10"/>
  <c r="H121" i="10"/>
  <c r="G121" i="10"/>
  <c r="F121" i="10"/>
  <c r="K93" i="10"/>
  <c r="K623" i="1"/>
  <c r="J623" i="1"/>
  <c r="I623" i="1"/>
  <c r="H623" i="1"/>
  <c r="G623" i="1"/>
  <c r="F623" i="1"/>
  <c r="E623" i="1"/>
  <c r="K609" i="1"/>
  <c r="J609" i="1"/>
  <c r="I609" i="1"/>
  <c r="H609" i="1"/>
  <c r="G609" i="1"/>
  <c r="F609" i="1"/>
  <c r="E609" i="1"/>
  <c r="H595" i="1"/>
  <c r="I595" i="1"/>
  <c r="J595" i="1"/>
  <c r="K595" i="1"/>
  <c r="G595" i="1"/>
  <c r="F595" i="1"/>
  <c r="E595" i="1"/>
  <c r="K242" i="1"/>
  <c r="K228" i="1"/>
  <c r="K491" i="4"/>
  <c r="H881" i="1"/>
  <c r="G881" i="1"/>
  <c r="F881" i="1"/>
  <c r="AJ592" i="1"/>
  <c r="G13" i="11"/>
  <c r="H13" i="11"/>
  <c r="AL592" i="1" l="1"/>
  <c r="AM590" i="1" s="1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E241" i="10"/>
  <c r="E240" i="10"/>
  <c r="E239" i="10"/>
  <c r="E238" i="10"/>
  <c r="F80" i="2"/>
  <c r="G80" i="2"/>
  <c r="H80" i="2"/>
  <c r="I80" i="2"/>
  <c r="J80" i="2"/>
  <c r="K80" i="2"/>
  <c r="L80" i="2"/>
  <c r="M80" i="2"/>
  <c r="N80" i="2"/>
  <c r="P80" i="2"/>
  <c r="R80" i="2"/>
  <c r="S80" i="2"/>
  <c r="F81" i="2"/>
  <c r="G81" i="2"/>
  <c r="H81" i="2"/>
  <c r="I81" i="2"/>
  <c r="J81" i="2"/>
  <c r="K81" i="2"/>
  <c r="L81" i="2"/>
  <c r="M81" i="2"/>
  <c r="N81" i="2"/>
  <c r="P81" i="2"/>
  <c r="Q81" i="2"/>
  <c r="R81" i="2"/>
  <c r="S81" i="2"/>
  <c r="F82" i="2"/>
  <c r="G82" i="2"/>
  <c r="H82" i="2"/>
  <c r="I82" i="2"/>
  <c r="J82" i="2"/>
  <c r="K82" i="2"/>
  <c r="L82" i="2"/>
  <c r="M82" i="2"/>
  <c r="N82" i="2"/>
  <c r="P82" i="2"/>
  <c r="Q82" i="2"/>
  <c r="R82" i="2"/>
  <c r="S82" i="2"/>
  <c r="F83" i="2"/>
  <c r="G83" i="2"/>
  <c r="H83" i="2"/>
  <c r="I83" i="2"/>
  <c r="J83" i="2"/>
  <c r="K83" i="2"/>
  <c r="L83" i="2"/>
  <c r="M83" i="2"/>
  <c r="N83" i="2"/>
  <c r="P83" i="2"/>
  <c r="Q83" i="2"/>
  <c r="R83" i="2"/>
  <c r="S83" i="2"/>
  <c r="E83" i="2"/>
  <c r="E82" i="2"/>
  <c r="E81" i="2"/>
  <c r="E80" i="2"/>
  <c r="D241" i="10"/>
  <c r="C232" i="10"/>
  <c r="AI231" i="10"/>
  <c r="AH231" i="10"/>
  <c r="AH234" i="10" s="1"/>
  <c r="AG231" i="10"/>
  <c r="AG234" i="10" s="1"/>
  <c r="AF231" i="10"/>
  <c r="AF234" i="10" s="1"/>
  <c r="AE231" i="10"/>
  <c r="AE234" i="10" s="1"/>
  <c r="AD231" i="10"/>
  <c r="AD234" i="10" s="1"/>
  <c r="AC231" i="10"/>
  <c r="AC234" i="10" s="1"/>
  <c r="AB231" i="10"/>
  <c r="AB234" i="10" s="1"/>
  <c r="AA231" i="10"/>
  <c r="AA234" i="10" s="1"/>
  <c r="Z231" i="10"/>
  <c r="Y231" i="10"/>
  <c r="Y234" i="10" s="1"/>
  <c r="X231" i="10"/>
  <c r="X234" i="10" s="1"/>
  <c r="W231" i="10"/>
  <c r="W234" i="10" s="1"/>
  <c r="V231" i="10"/>
  <c r="V234" i="10" s="1"/>
  <c r="U231" i="10"/>
  <c r="T231" i="10"/>
  <c r="T234" i="10" s="1"/>
  <c r="S231" i="10"/>
  <c r="S234" i="10" s="1"/>
  <c r="R231" i="10"/>
  <c r="R234" i="10" s="1"/>
  <c r="Q231" i="10"/>
  <c r="P231" i="10"/>
  <c r="O231" i="10"/>
  <c r="N231" i="10"/>
  <c r="M231" i="10"/>
  <c r="L231" i="10"/>
  <c r="K231" i="10"/>
  <c r="J231" i="10"/>
  <c r="I231" i="10"/>
  <c r="H231" i="10"/>
  <c r="G231" i="10"/>
  <c r="F231" i="10"/>
  <c r="E231" i="10"/>
  <c r="AJ229" i="10"/>
  <c r="AJ228" i="10"/>
  <c r="AJ227" i="10"/>
  <c r="AI226" i="10"/>
  <c r="AH226" i="10"/>
  <c r="AG226" i="10"/>
  <c r="AF226" i="10"/>
  <c r="AE226" i="10"/>
  <c r="AD226" i="10"/>
  <c r="AC226" i="10"/>
  <c r="AB226" i="10"/>
  <c r="AA226" i="10"/>
  <c r="Z226" i="10"/>
  <c r="Y226" i="10"/>
  <c r="X226" i="10"/>
  <c r="W226" i="10"/>
  <c r="V226" i="10"/>
  <c r="U226" i="10"/>
  <c r="T226" i="10"/>
  <c r="S226" i="10"/>
  <c r="R226" i="10"/>
  <c r="L226" i="10"/>
  <c r="K226" i="10"/>
  <c r="J226" i="10"/>
  <c r="I226" i="10"/>
  <c r="H226" i="10"/>
  <c r="G226" i="10"/>
  <c r="F226" i="10"/>
  <c r="AJ225" i="10"/>
  <c r="E224" i="10"/>
  <c r="F224" i="10" s="1"/>
  <c r="G224" i="10" s="1"/>
  <c r="H224" i="10" s="1"/>
  <c r="I224" i="10" s="1"/>
  <c r="J224" i="10" s="1"/>
  <c r="K224" i="10" s="1"/>
  <c r="L224" i="10" s="1"/>
  <c r="M224" i="10" s="1"/>
  <c r="N224" i="10" s="1"/>
  <c r="O224" i="10" s="1"/>
  <c r="P224" i="10" s="1"/>
  <c r="Q224" i="10" s="1"/>
  <c r="R224" i="10" s="1"/>
  <c r="S224" i="10" s="1"/>
  <c r="T224" i="10" s="1"/>
  <c r="U224" i="10" s="1"/>
  <c r="V224" i="10" s="1"/>
  <c r="W224" i="10" s="1"/>
  <c r="X224" i="10" s="1"/>
  <c r="Y224" i="10" s="1"/>
  <c r="Z224" i="10" s="1"/>
  <c r="AJ223" i="10"/>
  <c r="C219" i="10"/>
  <c r="AI218" i="10"/>
  <c r="AH218" i="10"/>
  <c r="AG218" i="10"/>
  <c r="AF218" i="10"/>
  <c r="AE218" i="10"/>
  <c r="AD218" i="10"/>
  <c r="AC218" i="10"/>
  <c r="AB218" i="10"/>
  <c r="AA218" i="10"/>
  <c r="Z218" i="10"/>
  <c r="Y218" i="10"/>
  <c r="X218" i="10"/>
  <c r="W218" i="10"/>
  <c r="V218" i="10"/>
  <c r="U218" i="10"/>
  <c r="T218" i="10"/>
  <c r="S218" i="10"/>
  <c r="R218" i="10"/>
  <c r="Q218" i="10"/>
  <c r="P218" i="10"/>
  <c r="O218" i="10"/>
  <c r="N218" i="10"/>
  <c r="M218" i="10"/>
  <c r="L218" i="10"/>
  <c r="K218" i="10"/>
  <c r="J218" i="10"/>
  <c r="I218" i="10"/>
  <c r="H218" i="10"/>
  <c r="G218" i="10"/>
  <c r="F218" i="10"/>
  <c r="E218" i="10"/>
  <c r="E222" i="10" s="1"/>
  <c r="AJ216" i="10"/>
  <c r="AK214" i="10" s="1"/>
  <c r="AJ215" i="10"/>
  <c r="AK213" i="10" s="1"/>
  <c r="AJ214" i="10"/>
  <c r="AK212" i="10" s="1"/>
  <c r="AI213" i="10"/>
  <c r="AH213" i="10"/>
  <c r="AG213" i="10"/>
  <c r="AF213" i="10"/>
  <c r="AE213" i="10"/>
  <c r="AD213" i="10"/>
  <c r="AC213" i="10"/>
  <c r="AB213" i="10"/>
  <c r="AA213" i="10"/>
  <c r="Z213" i="10"/>
  <c r="Y213" i="10"/>
  <c r="X213" i="10"/>
  <c r="W213" i="10"/>
  <c r="V213" i="10"/>
  <c r="U213" i="10"/>
  <c r="T213" i="10"/>
  <c r="S213" i="10"/>
  <c r="R213" i="10"/>
  <c r="Q213" i="10"/>
  <c r="P213" i="10"/>
  <c r="O213" i="10"/>
  <c r="N213" i="10"/>
  <c r="M213" i="10"/>
  <c r="L213" i="10"/>
  <c r="K213" i="10"/>
  <c r="J213" i="10"/>
  <c r="I213" i="10"/>
  <c r="H213" i="10"/>
  <c r="G213" i="10"/>
  <c r="F213" i="10"/>
  <c r="E213" i="10"/>
  <c r="AJ212" i="10"/>
  <c r="AK210" i="10" s="1"/>
  <c r="AI211" i="10"/>
  <c r="AH211" i="10"/>
  <c r="AG211" i="10"/>
  <c r="AF211" i="10"/>
  <c r="AE211" i="10"/>
  <c r="AD211" i="10"/>
  <c r="AC211" i="10"/>
  <c r="AB211" i="10"/>
  <c r="AA211" i="10"/>
  <c r="Z211" i="10"/>
  <c r="Y211" i="10"/>
  <c r="X211" i="10"/>
  <c r="W211" i="10"/>
  <c r="V211" i="10"/>
  <c r="U211" i="10"/>
  <c r="T211" i="10"/>
  <c r="S211" i="10"/>
  <c r="R211" i="10"/>
  <c r="Q211" i="10"/>
  <c r="P211" i="10"/>
  <c r="O211" i="10"/>
  <c r="N211" i="10"/>
  <c r="M211" i="10"/>
  <c r="L211" i="10"/>
  <c r="K211" i="10"/>
  <c r="J211" i="10"/>
  <c r="I211" i="10"/>
  <c r="H211" i="10"/>
  <c r="G211" i="10"/>
  <c r="F211" i="10"/>
  <c r="E211" i="10"/>
  <c r="AJ210" i="10"/>
  <c r="C206" i="10"/>
  <c r="AI205" i="10"/>
  <c r="AH205" i="10"/>
  <c r="AG205" i="10"/>
  <c r="AF205" i="10"/>
  <c r="AE205" i="10"/>
  <c r="AD205" i="10"/>
  <c r="AC205" i="10"/>
  <c r="AB205" i="10"/>
  <c r="AA205" i="10"/>
  <c r="Z205" i="10"/>
  <c r="Y205" i="10"/>
  <c r="X205" i="10"/>
  <c r="W205" i="10"/>
  <c r="V205" i="10"/>
  <c r="U205" i="10"/>
  <c r="T205" i="10"/>
  <c r="S205" i="10"/>
  <c r="R205" i="10"/>
  <c r="Q205" i="10"/>
  <c r="P205" i="10"/>
  <c r="O205" i="10"/>
  <c r="N205" i="10"/>
  <c r="M205" i="10"/>
  <c r="L205" i="10"/>
  <c r="K205" i="10"/>
  <c r="J205" i="10"/>
  <c r="I205" i="10"/>
  <c r="H205" i="10"/>
  <c r="G205" i="10"/>
  <c r="F205" i="10"/>
  <c r="E205" i="10"/>
  <c r="AJ203" i="10"/>
  <c r="AK201" i="10" s="1"/>
  <c r="AJ202" i="10"/>
  <c r="AK200" i="10" s="1"/>
  <c r="AJ201" i="10"/>
  <c r="AK199" i="10" s="1"/>
  <c r="AI200" i="10"/>
  <c r="AH200" i="10"/>
  <c r="AG200" i="10"/>
  <c r="AF200" i="10"/>
  <c r="AE200" i="10"/>
  <c r="AD200" i="10"/>
  <c r="AC200" i="10"/>
  <c r="AB200" i="10"/>
  <c r="AA200" i="10"/>
  <c r="Z200" i="10"/>
  <c r="Y200" i="10"/>
  <c r="X200" i="10"/>
  <c r="W200" i="10"/>
  <c r="V200" i="10"/>
  <c r="U200" i="10"/>
  <c r="T200" i="10"/>
  <c r="S200" i="10"/>
  <c r="R200" i="10"/>
  <c r="Q200" i="10"/>
  <c r="P200" i="10"/>
  <c r="O200" i="10"/>
  <c r="N200" i="10"/>
  <c r="M200" i="10"/>
  <c r="L200" i="10"/>
  <c r="K200" i="10"/>
  <c r="J200" i="10"/>
  <c r="I200" i="10"/>
  <c r="H200" i="10"/>
  <c r="G200" i="10"/>
  <c r="F200" i="10"/>
  <c r="E200" i="10"/>
  <c r="AJ199" i="10"/>
  <c r="AK197" i="10" s="1"/>
  <c r="AI198" i="10"/>
  <c r="AH198" i="10"/>
  <c r="AG198" i="10"/>
  <c r="AF198" i="10"/>
  <c r="AE198" i="10"/>
  <c r="AD198" i="10"/>
  <c r="AC198" i="10"/>
  <c r="AB198" i="10"/>
  <c r="AA198" i="10"/>
  <c r="Z198" i="10"/>
  <c r="Y198" i="10"/>
  <c r="X198" i="10"/>
  <c r="W198" i="10"/>
  <c r="V198" i="10"/>
  <c r="U198" i="10"/>
  <c r="T198" i="10"/>
  <c r="S198" i="10"/>
  <c r="R198" i="10"/>
  <c r="Q198" i="10"/>
  <c r="P198" i="10"/>
  <c r="O198" i="10"/>
  <c r="N198" i="10"/>
  <c r="M198" i="10"/>
  <c r="L198" i="10"/>
  <c r="K198" i="10"/>
  <c r="J198" i="10"/>
  <c r="I198" i="10"/>
  <c r="H198" i="10"/>
  <c r="G198" i="10"/>
  <c r="F198" i="10"/>
  <c r="E198" i="10"/>
  <c r="AJ197" i="10"/>
  <c r="C193" i="10"/>
  <c r="AI192" i="10"/>
  <c r="AH192" i="10"/>
  <c r="AG192" i="10"/>
  <c r="AF192" i="10"/>
  <c r="AE192" i="10"/>
  <c r="AD192" i="10"/>
  <c r="AC192" i="10"/>
  <c r="AB192" i="10"/>
  <c r="AA192" i="10"/>
  <c r="Z192" i="10"/>
  <c r="Y192" i="10"/>
  <c r="X192" i="10"/>
  <c r="W192" i="10"/>
  <c r="V192" i="10"/>
  <c r="U192" i="10"/>
  <c r="T192" i="10"/>
  <c r="S192" i="10"/>
  <c r="R192" i="10"/>
  <c r="Q192" i="10"/>
  <c r="P192" i="10"/>
  <c r="O192" i="10"/>
  <c r="N192" i="10"/>
  <c r="M192" i="10"/>
  <c r="L192" i="10"/>
  <c r="K192" i="10"/>
  <c r="J192" i="10"/>
  <c r="I192" i="10"/>
  <c r="H192" i="10"/>
  <c r="G192" i="10"/>
  <c r="F192" i="10"/>
  <c r="E192" i="10"/>
  <c r="E196" i="10" s="1"/>
  <c r="AJ190" i="10"/>
  <c r="AK188" i="10" s="1"/>
  <c r="AJ189" i="10"/>
  <c r="AK187" i="10" s="1"/>
  <c r="AJ188" i="10"/>
  <c r="AK186" i="10" s="1"/>
  <c r="AI187" i="10"/>
  <c r="AH187" i="10"/>
  <c r="AG187" i="10"/>
  <c r="AF187" i="10"/>
  <c r="AE187" i="10"/>
  <c r="AD187" i="10"/>
  <c r="AC187" i="10"/>
  <c r="AB187" i="10"/>
  <c r="AA187" i="10"/>
  <c r="Z187" i="10"/>
  <c r="Y187" i="10"/>
  <c r="X187" i="10"/>
  <c r="W187" i="10"/>
  <c r="V187" i="10"/>
  <c r="U187" i="10"/>
  <c r="T187" i="10"/>
  <c r="S187" i="10"/>
  <c r="R187" i="10"/>
  <c r="Q187" i="10"/>
  <c r="P187" i="10"/>
  <c r="O187" i="10"/>
  <c r="N187" i="10"/>
  <c r="M187" i="10"/>
  <c r="L187" i="10"/>
  <c r="K187" i="10"/>
  <c r="J187" i="10"/>
  <c r="I187" i="10"/>
  <c r="H187" i="10"/>
  <c r="G187" i="10"/>
  <c r="F187" i="10"/>
  <c r="E187" i="10"/>
  <c r="AJ186" i="10"/>
  <c r="AK184" i="10" s="1"/>
  <c r="AI185" i="10"/>
  <c r="AH185" i="10"/>
  <c r="AG185" i="10"/>
  <c r="AF185" i="10"/>
  <c r="AE185" i="10"/>
  <c r="AD185" i="10"/>
  <c r="AC185" i="10"/>
  <c r="AB185" i="10"/>
  <c r="AA185" i="10"/>
  <c r="Z185" i="10"/>
  <c r="Y185" i="10"/>
  <c r="X185" i="10"/>
  <c r="W185" i="10"/>
  <c r="V185" i="10"/>
  <c r="U185" i="10"/>
  <c r="T185" i="10"/>
  <c r="S185" i="10"/>
  <c r="R185" i="10"/>
  <c r="Q185" i="10"/>
  <c r="P185" i="10"/>
  <c r="O185" i="10"/>
  <c r="N185" i="10"/>
  <c r="M185" i="10"/>
  <c r="L185" i="10"/>
  <c r="K185" i="10"/>
  <c r="J185" i="10"/>
  <c r="I185" i="10"/>
  <c r="H185" i="10"/>
  <c r="G185" i="10"/>
  <c r="F185" i="10"/>
  <c r="E185" i="10"/>
  <c r="AJ184" i="10"/>
  <c r="C180" i="10"/>
  <c r="AI179" i="10"/>
  <c r="AH179" i="10"/>
  <c r="AG179" i="10"/>
  <c r="AF179" i="10"/>
  <c r="AE179" i="10"/>
  <c r="AD179" i="10"/>
  <c r="AC179" i="10"/>
  <c r="AB179" i="10"/>
  <c r="AA179" i="10"/>
  <c r="Z179" i="10"/>
  <c r="Y179" i="10"/>
  <c r="X179" i="10"/>
  <c r="W179" i="10"/>
  <c r="V179" i="10"/>
  <c r="U179" i="10"/>
  <c r="T179" i="10"/>
  <c r="S179" i="10"/>
  <c r="R179" i="10"/>
  <c r="Q179" i="10"/>
  <c r="P179" i="10"/>
  <c r="O179" i="10"/>
  <c r="N179" i="10"/>
  <c r="M179" i="10"/>
  <c r="L179" i="10"/>
  <c r="K179" i="10"/>
  <c r="J179" i="10"/>
  <c r="I179" i="10"/>
  <c r="H179" i="10"/>
  <c r="G179" i="10"/>
  <c r="F179" i="10"/>
  <c r="E179" i="10"/>
  <c r="E181" i="10" s="1"/>
  <c r="AJ177" i="10"/>
  <c r="AK175" i="10" s="1"/>
  <c r="AJ176" i="10"/>
  <c r="AK174" i="10" s="1"/>
  <c r="AJ175" i="10"/>
  <c r="AK173" i="10" s="1"/>
  <c r="AI174" i="10"/>
  <c r="AH174" i="10"/>
  <c r="AG174" i="10"/>
  <c r="AF174" i="10"/>
  <c r="AE174" i="10"/>
  <c r="AD174" i="10"/>
  <c r="AC174" i="10"/>
  <c r="AB174" i="10"/>
  <c r="AA174" i="10"/>
  <c r="Z174" i="10"/>
  <c r="Y174" i="10"/>
  <c r="X174" i="10"/>
  <c r="W174" i="10"/>
  <c r="V174" i="10"/>
  <c r="U174" i="10"/>
  <c r="T174" i="10"/>
  <c r="S174" i="10"/>
  <c r="R174" i="10"/>
  <c r="Q174" i="10"/>
  <c r="P174" i="10"/>
  <c r="O174" i="10"/>
  <c r="N174" i="10"/>
  <c r="M174" i="10"/>
  <c r="L174" i="10"/>
  <c r="K174" i="10"/>
  <c r="J174" i="10"/>
  <c r="I174" i="10"/>
  <c r="H174" i="10"/>
  <c r="G174" i="10"/>
  <c r="F174" i="10"/>
  <c r="E174" i="10"/>
  <c r="AJ173" i="10"/>
  <c r="AK171" i="10" s="1"/>
  <c r="AI172" i="10"/>
  <c r="AH172" i="10"/>
  <c r="AG172" i="10"/>
  <c r="AF172" i="10"/>
  <c r="AE172" i="10"/>
  <c r="AD172" i="10"/>
  <c r="AC172" i="10"/>
  <c r="AB172" i="10"/>
  <c r="AA172" i="10"/>
  <c r="Z172" i="10"/>
  <c r="Y172" i="10"/>
  <c r="X172" i="10"/>
  <c r="W172" i="10"/>
  <c r="V172" i="10"/>
  <c r="U172" i="10"/>
  <c r="T172" i="10"/>
  <c r="S172" i="10"/>
  <c r="R172" i="10"/>
  <c r="Q172" i="10"/>
  <c r="P172" i="10"/>
  <c r="O172" i="10"/>
  <c r="N172" i="10"/>
  <c r="M172" i="10"/>
  <c r="L172" i="10"/>
  <c r="K172" i="10"/>
  <c r="J172" i="10"/>
  <c r="I172" i="10"/>
  <c r="H172" i="10"/>
  <c r="G172" i="10"/>
  <c r="F172" i="10"/>
  <c r="E172" i="10"/>
  <c r="AJ171" i="10"/>
  <c r="C167" i="10"/>
  <c r="AI166" i="10"/>
  <c r="AH166" i="10"/>
  <c r="AG166" i="10"/>
  <c r="AF166" i="10"/>
  <c r="AE166" i="10"/>
  <c r="AD166" i="10"/>
  <c r="AC166" i="10"/>
  <c r="AB166" i="10"/>
  <c r="AA166" i="10"/>
  <c r="Z166" i="10"/>
  <c r="Y166" i="10"/>
  <c r="X166" i="10"/>
  <c r="W166" i="10"/>
  <c r="V166" i="10"/>
  <c r="U166" i="10"/>
  <c r="T166" i="10"/>
  <c r="S166" i="10"/>
  <c r="R166" i="10"/>
  <c r="Q166" i="10"/>
  <c r="P166" i="10"/>
  <c r="O166" i="10"/>
  <c r="N166" i="10"/>
  <c r="M166" i="10"/>
  <c r="L166" i="10"/>
  <c r="K166" i="10"/>
  <c r="J166" i="10"/>
  <c r="I166" i="10"/>
  <c r="H166" i="10"/>
  <c r="G166" i="10"/>
  <c r="F166" i="10"/>
  <c r="E166" i="10"/>
  <c r="E170" i="10" s="1"/>
  <c r="AJ164" i="10"/>
  <c r="AK162" i="10" s="1"/>
  <c r="AJ163" i="10"/>
  <c r="AK161" i="10" s="1"/>
  <c r="AJ162" i="10"/>
  <c r="AK160" i="10" s="1"/>
  <c r="AI161" i="10"/>
  <c r="AH161" i="10"/>
  <c r="AG161" i="10"/>
  <c r="AF161" i="10"/>
  <c r="AE161" i="10"/>
  <c r="AD161" i="10"/>
  <c r="AC161" i="10"/>
  <c r="AB161" i="10"/>
  <c r="AA161" i="10"/>
  <c r="Z161" i="10"/>
  <c r="Y161" i="10"/>
  <c r="X161" i="10"/>
  <c r="W161" i="10"/>
  <c r="V161" i="10"/>
  <c r="U161" i="10"/>
  <c r="T161" i="10"/>
  <c r="S161" i="10"/>
  <c r="R161" i="10"/>
  <c r="Q161" i="10"/>
  <c r="P161" i="10"/>
  <c r="O161" i="10"/>
  <c r="N161" i="10"/>
  <c r="M161" i="10"/>
  <c r="L161" i="10"/>
  <c r="K161" i="10"/>
  <c r="J161" i="10"/>
  <c r="I161" i="10"/>
  <c r="H161" i="10"/>
  <c r="G161" i="10"/>
  <c r="F161" i="10"/>
  <c r="E161" i="10"/>
  <c r="AJ160" i="10"/>
  <c r="AK158" i="10" s="1"/>
  <c r="AI159" i="10"/>
  <c r="AH159" i="10"/>
  <c r="AG159" i="10"/>
  <c r="AF159" i="10"/>
  <c r="AE159" i="10"/>
  <c r="AD159" i="10"/>
  <c r="AC159" i="10"/>
  <c r="AB159" i="10"/>
  <c r="AA159" i="10"/>
  <c r="Z159" i="10"/>
  <c r="Y159" i="10"/>
  <c r="X159" i="10"/>
  <c r="W159" i="10"/>
  <c r="V159" i="10"/>
  <c r="U159" i="10"/>
  <c r="T159" i="10"/>
  <c r="S159" i="10"/>
  <c r="R159" i="10"/>
  <c r="Q159" i="10"/>
  <c r="P159" i="10"/>
  <c r="O159" i="10"/>
  <c r="N159" i="10"/>
  <c r="M159" i="10"/>
  <c r="L159" i="10"/>
  <c r="K159" i="10"/>
  <c r="J159" i="10"/>
  <c r="I159" i="10"/>
  <c r="H159" i="10"/>
  <c r="G159" i="10"/>
  <c r="F159" i="10"/>
  <c r="E159" i="10"/>
  <c r="AJ158" i="10"/>
  <c r="C154" i="10"/>
  <c r="AI153" i="10"/>
  <c r="AH153" i="10"/>
  <c r="AG153" i="10"/>
  <c r="AF153" i="10"/>
  <c r="AE153" i="10"/>
  <c r="AD153" i="10"/>
  <c r="AC153" i="10"/>
  <c r="AB153" i="10"/>
  <c r="AA153" i="10"/>
  <c r="Z153" i="10"/>
  <c r="Y153" i="10"/>
  <c r="X153" i="10"/>
  <c r="W153" i="10"/>
  <c r="V153" i="10"/>
  <c r="U153" i="10"/>
  <c r="T153" i="10"/>
  <c r="S153" i="10"/>
  <c r="R153" i="10"/>
  <c r="Q153" i="10"/>
  <c r="P153" i="10"/>
  <c r="O153" i="10"/>
  <c r="N153" i="10"/>
  <c r="M153" i="10"/>
  <c r="L153" i="10"/>
  <c r="K153" i="10"/>
  <c r="J153" i="10"/>
  <c r="I153" i="10"/>
  <c r="H153" i="10"/>
  <c r="G153" i="10"/>
  <c r="F153" i="10"/>
  <c r="E153" i="10"/>
  <c r="E157" i="10" s="1"/>
  <c r="AJ151" i="10"/>
  <c r="AK149" i="10" s="1"/>
  <c r="AJ150" i="10"/>
  <c r="AK148" i="10" s="1"/>
  <c r="AJ149" i="10"/>
  <c r="AK147" i="10" s="1"/>
  <c r="AI148" i="10"/>
  <c r="AH148" i="10"/>
  <c r="AG148" i="10"/>
  <c r="AF148" i="10"/>
  <c r="AE148" i="10"/>
  <c r="AD148" i="10"/>
  <c r="AC148" i="10"/>
  <c r="AB148" i="10"/>
  <c r="AA148" i="10"/>
  <c r="Z148" i="10"/>
  <c r="Y148" i="10"/>
  <c r="X148" i="10"/>
  <c r="W148" i="10"/>
  <c r="V148" i="10"/>
  <c r="U148" i="10"/>
  <c r="T148" i="10"/>
  <c r="S148" i="10"/>
  <c r="R148" i="10"/>
  <c r="Q148" i="10"/>
  <c r="P148" i="10"/>
  <c r="O148" i="10"/>
  <c r="N148" i="10"/>
  <c r="M148" i="10"/>
  <c r="L148" i="10"/>
  <c r="K148" i="10"/>
  <c r="J148" i="10"/>
  <c r="I148" i="10"/>
  <c r="H148" i="10"/>
  <c r="G148" i="10"/>
  <c r="F148" i="10"/>
  <c r="E148" i="10"/>
  <c r="AJ147" i="10"/>
  <c r="AK145" i="10" s="1"/>
  <c r="AI146" i="10"/>
  <c r="AH146" i="10"/>
  <c r="AG146" i="10"/>
  <c r="AF146" i="10"/>
  <c r="AE146" i="10"/>
  <c r="AD146" i="10"/>
  <c r="AC146" i="10"/>
  <c r="AB146" i="10"/>
  <c r="AA146" i="10"/>
  <c r="Z146" i="10"/>
  <c r="Y146" i="10"/>
  <c r="X146" i="10"/>
  <c r="W146" i="10"/>
  <c r="V146" i="10"/>
  <c r="U146" i="10"/>
  <c r="T146" i="10"/>
  <c r="S146" i="10"/>
  <c r="R146" i="10"/>
  <c r="Q146" i="10"/>
  <c r="P146" i="10"/>
  <c r="O146" i="10"/>
  <c r="N146" i="10"/>
  <c r="M146" i="10"/>
  <c r="L146" i="10"/>
  <c r="K146" i="10"/>
  <c r="J146" i="10"/>
  <c r="I146" i="10"/>
  <c r="H146" i="10"/>
  <c r="G146" i="10"/>
  <c r="F146" i="10"/>
  <c r="E146" i="10"/>
  <c r="AJ145" i="10"/>
  <c r="C141" i="10"/>
  <c r="AI140" i="10"/>
  <c r="AH140" i="10"/>
  <c r="AG140" i="10"/>
  <c r="AF140" i="10"/>
  <c r="AE140" i="10"/>
  <c r="AD140" i="10"/>
  <c r="AC140" i="10"/>
  <c r="AB140" i="10"/>
  <c r="AA140" i="10"/>
  <c r="Z140" i="10"/>
  <c r="Y140" i="10"/>
  <c r="X140" i="10"/>
  <c r="W140" i="10"/>
  <c r="V140" i="10"/>
  <c r="U140" i="10"/>
  <c r="T140" i="10"/>
  <c r="S140" i="10"/>
  <c r="R140" i="10"/>
  <c r="Q140" i="10"/>
  <c r="P140" i="10"/>
  <c r="O140" i="10"/>
  <c r="N140" i="10"/>
  <c r="M140" i="10"/>
  <c r="L140" i="10"/>
  <c r="K140" i="10"/>
  <c r="J140" i="10"/>
  <c r="I140" i="10"/>
  <c r="H140" i="10"/>
  <c r="G140" i="10"/>
  <c r="F140" i="10"/>
  <c r="E140" i="10"/>
  <c r="AJ138" i="10"/>
  <c r="AK136" i="10" s="1"/>
  <c r="AJ137" i="10"/>
  <c r="AK135" i="10" s="1"/>
  <c r="AJ136" i="10"/>
  <c r="AK134" i="10" s="1"/>
  <c r="AI135" i="10"/>
  <c r="AH135" i="10"/>
  <c r="AG135" i="10"/>
  <c r="AF135" i="10"/>
  <c r="AE135" i="10"/>
  <c r="AD135" i="10"/>
  <c r="AC135" i="10"/>
  <c r="AB135" i="10"/>
  <c r="AA135" i="10"/>
  <c r="Z135" i="10"/>
  <c r="Y135" i="10"/>
  <c r="X135" i="10"/>
  <c r="W135" i="10"/>
  <c r="V135" i="10"/>
  <c r="U135" i="10"/>
  <c r="T135" i="10"/>
  <c r="S135" i="10"/>
  <c r="R135" i="10"/>
  <c r="Q135" i="10"/>
  <c r="P135" i="10"/>
  <c r="O135" i="10"/>
  <c r="N135" i="10"/>
  <c r="M135" i="10"/>
  <c r="L135" i="10"/>
  <c r="K135" i="10"/>
  <c r="J135" i="10"/>
  <c r="I135" i="10"/>
  <c r="H135" i="10"/>
  <c r="G135" i="10"/>
  <c r="F135" i="10"/>
  <c r="E135" i="10"/>
  <c r="AJ134" i="10"/>
  <c r="AK132" i="10" s="1"/>
  <c r="AI133" i="10"/>
  <c r="AH133" i="10"/>
  <c r="AG133" i="10"/>
  <c r="AF133" i="10"/>
  <c r="AE133" i="10"/>
  <c r="AD133" i="10"/>
  <c r="AC133" i="10"/>
  <c r="AB133" i="10"/>
  <c r="AA133" i="10"/>
  <c r="Z133" i="10"/>
  <c r="Y133" i="10"/>
  <c r="X133" i="10"/>
  <c r="W133" i="10"/>
  <c r="V133" i="10"/>
  <c r="U133" i="10"/>
  <c r="T133" i="10"/>
  <c r="S133" i="10"/>
  <c r="R133" i="10"/>
  <c r="Q133" i="10"/>
  <c r="P133" i="10"/>
  <c r="O133" i="10"/>
  <c r="N133" i="10"/>
  <c r="M133" i="10"/>
  <c r="L133" i="10"/>
  <c r="K133" i="10"/>
  <c r="J133" i="10"/>
  <c r="I133" i="10"/>
  <c r="H133" i="10"/>
  <c r="G133" i="10"/>
  <c r="F133" i="10"/>
  <c r="E133" i="10"/>
  <c r="AJ132" i="10"/>
  <c r="AK130" i="10" s="1"/>
  <c r="C127" i="10"/>
  <c r="AI126" i="10"/>
  <c r="AH126" i="10"/>
  <c r="AH129" i="10" s="1"/>
  <c r="AG126" i="10"/>
  <c r="AG129" i="10" s="1"/>
  <c r="AF126" i="10"/>
  <c r="AF129" i="10" s="1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S126" i="10"/>
  <c r="R126" i="10"/>
  <c r="Q126" i="10"/>
  <c r="P126" i="10"/>
  <c r="O126" i="10"/>
  <c r="N126" i="10"/>
  <c r="M126" i="10"/>
  <c r="L126" i="10"/>
  <c r="K126" i="10"/>
  <c r="J126" i="10"/>
  <c r="I126" i="10"/>
  <c r="H126" i="10"/>
  <c r="G126" i="10"/>
  <c r="F126" i="10"/>
  <c r="E126" i="10"/>
  <c r="E129" i="10" s="1"/>
  <c r="AJ124" i="10"/>
  <c r="AI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S121" i="10"/>
  <c r="R121" i="10"/>
  <c r="Q121" i="10"/>
  <c r="M121" i="10"/>
  <c r="L121" i="10"/>
  <c r="E119" i="10"/>
  <c r="F119" i="10" s="1"/>
  <c r="G119" i="10" s="1"/>
  <c r="H119" i="10" s="1"/>
  <c r="I119" i="10" s="1"/>
  <c r="J119" i="10" s="1"/>
  <c r="K119" i="10" s="1"/>
  <c r="L119" i="10" s="1"/>
  <c r="M119" i="10" s="1"/>
  <c r="N119" i="10" s="1"/>
  <c r="O119" i="10" s="1"/>
  <c r="P119" i="10" s="1"/>
  <c r="Q119" i="10" s="1"/>
  <c r="R119" i="10" s="1"/>
  <c r="S119" i="10" s="1"/>
  <c r="T119" i="10" s="1"/>
  <c r="U119" i="10" s="1"/>
  <c r="V119" i="10" s="1"/>
  <c r="W119" i="10" s="1"/>
  <c r="X119" i="10" s="1"/>
  <c r="Y119" i="10" s="1"/>
  <c r="Z119" i="10" s="1"/>
  <c r="C113" i="10"/>
  <c r="AI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S112" i="10"/>
  <c r="R112" i="10"/>
  <c r="Q112" i="10"/>
  <c r="P112" i="10"/>
  <c r="O112" i="10"/>
  <c r="N112" i="10"/>
  <c r="M112" i="10"/>
  <c r="L112" i="10"/>
  <c r="K112" i="10"/>
  <c r="J112" i="10"/>
  <c r="I112" i="10"/>
  <c r="H112" i="10"/>
  <c r="G112" i="10"/>
  <c r="F112" i="10"/>
  <c r="E112" i="10"/>
  <c r="AJ110" i="10"/>
  <c r="AK108" i="10" s="1"/>
  <c r="AJ109" i="10"/>
  <c r="AK107" i="10" s="1"/>
  <c r="AJ108" i="10"/>
  <c r="AK106" i="10" s="1"/>
  <c r="AI107" i="10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S107" i="10"/>
  <c r="R107" i="10"/>
  <c r="Q107" i="10"/>
  <c r="O107" i="10"/>
  <c r="N107" i="10"/>
  <c r="M107" i="10"/>
  <c r="L107" i="10"/>
  <c r="K107" i="10"/>
  <c r="J107" i="10"/>
  <c r="I107" i="10"/>
  <c r="H107" i="10"/>
  <c r="G107" i="10"/>
  <c r="F107" i="10"/>
  <c r="E107" i="10"/>
  <c r="AJ106" i="10"/>
  <c r="AK104" i="10" s="1"/>
  <c r="AI105" i="10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S105" i="10"/>
  <c r="R105" i="10"/>
  <c r="Q105" i="10"/>
  <c r="P105" i="10"/>
  <c r="O105" i="10"/>
  <c r="N105" i="10"/>
  <c r="M105" i="10"/>
  <c r="L105" i="10"/>
  <c r="K105" i="10"/>
  <c r="J105" i="10"/>
  <c r="I105" i="10"/>
  <c r="H105" i="10"/>
  <c r="G105" i="10"/>
  <c r="F105" i="10"/>
  <c r="E105" i="10"/>
  <c r="AJ104" i="10"/>
  <c r="AK102" i="10" s="1"/>
  <c r="C99" i="10"/>
  <c r="AI98" i="10"/>
  <c r="AH98" i="10"/>
  <c r="AG98" i="10"/>
  <c r="AF98" i="10"/>
  <c r="AE98" i="10"/>
  <c r="AD98" i="10"/>
  <c r="AC98" i="10"/>
  <c r="AB98" i="10"/>
  <c r="AA98" i="10"/>
  <c r="Z98" i="10"/>
  <c r="Y98" i="10"/>
  <c r="Y101" i="10" s="1"/>
  <c r="Z101" i="10" s="1"/>
  <c r="X98" i="10"/>
  <c r="X101" i="10" s="1"/>
  <c r="W98" i="10"/>
  <c r="W101" i="10" s="1"/>
  <c r="V98" i="10"/>
  <c r="V101" i="10" s="1"/>
  <c r="U98" i="10"/>
  <c r="U101" i="10" s="1"/>
  <c r="T98" i="10"/>
  <c r="T101" i="10" s="1"/>
  <c r="S98" i="10"/>
  <c r="S101" i="10" s="1"/>
  <c r="R98" i="10"/>
  <c r="R101" i="10" s="1"/>
  <c r="Q98" i="10"/>
  <c r="Q101" i="10" s="1"/>
  <c r="P98" i="10"/>
  <c r="P101" i="10" s="1"/>
  <c r="O98" i="10"/>
  <c r="O101" i="10" s="1"/>
  <c r="N98" i="10"/>
  <c r="N101" i="10" s="1"/>
  <c r="M98" i="10"/>
  <c r="M101" i="10" s="1"/>
  <c r="L98" i="10"/>
  <c r="L101" i="10" s="1"/>
  <c r="K98" i="10"/>
  <c r="K101" i="10" s="1"/>
  <c r="J98" i="10"/>
  <c r="J101" i="10" s="1"/>
  <c r="I98" i="10"/>
  <c r="I101" i="10" s="1"/>
  <c r="H98" i="10"/>
  <c r="H101" i="10" s="1"/>
  <c r="G98" i="10"/>
  <c r="G101" i="10" s="1"/>
  <c r="F98" i="10"/>
  <c r="E98" i="10"/>
  <c r="E101" i="10" s="1"/>
  <c r="AJ96" i="10"/>
  <c r="AJ95" i="10"/>
  <c r="AJ94" i="10"/>
  <c r="AI93" i="10"/>
  <c r="AH93" i="10"/>
  <c r="AG93" i="10"/>
  <c r="AF93" i="10"/>
  <c r="AE93" i="10"/>
  <c r="AD93" i="10"/>
  <c r="AC93" i="10"/>
  <c r="AB93" i="10"/>
  <c r="AA93" i="10"/>
  <c r="Z93" i="10"/>
  <c r="Y93" i="10"/>
  <c r="X93" i="10"/>
  <c r="V93" i="10"/>
  <c r="U93" i="10"/>
  <c r="S93" i="10"/>
  <c r="R93" i="10"/>
  <c r="Q93" i="10"/>
  <c r="P93" i="10"/>
  <c r="O93" i="10"/>
  <c r="N93" i="10"/>
  <c r="M93" i="10"/>
  <c r="J93" i="10"/>
  <c r="I93" i="10"/>
  <c r="H93" i="10"/>
  <c r="G93" i="10"/>
  <c r="F93" i="10"/>
  <c r="E93" i="10"/>
  <c r="AJ92" i="10"/>
  <c r="AK90" i="10" s="1"/>
  <c r="E91" i="10"/>
  <c r="F91" i="10" s="1"/>
  <c r="G91" i="10" s="1"/>
  <c r="H91" i="10" s="1"/>
  <c r="I91" i="10" s="1"/>
  <c r="J91" i="10" s="1"/>
  <c r="K91" i="10" s="1"/>
  <c r="L91" i="10" s="1"/>
  <c r="M91" i="10" s="1"/>
  <c r="N91" i="10" s="1"/>
  <c r="O91" i="10" s="1"/>
  <c r="P91" i="10" s="1"/>
  <c r="Q91" i="10" s="1"/>
  <c r="R91" i="10" s="1"/>
  <c r="S91" i="10" s="1"/>
  <c r="T91" i="10" s="1"/>
  <c r="U91" i="10" s="1"/>
  <c r="V91" i="10" s="1"/>
  <c r="W91" i="10" s="1"/>
  <c r="X91" i="10" s="1"/>
  <c r="Y91" i="10" s="1"/>
  <c r="Z91" i="10" s="1"/>
  <c r="C85" i="10"/>
  <c r="AI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S84" i="10"/>
  <c r="R84" i="10"/>
  <c r="Q84" i="10"/>
  <c r="P84" i="10"/>
  <c r="O84" i="10"/>
  <c r="N84" i="10"/>
  <c r="M84" i="10"/>
  <c r="L84" i="10"/>
  <c r="K84" i="10"/>
  <c r="J84" i="10"/>
  <c r="I84" i="10"/>
  <c r="H84" i="10"/>
  <c r="G84" i="10"/>
  <c r="F84" i="10"/>
  <c r="E84" i="10"/>
  <c r="AJ82" i="10"/>
  <c r="AK80" i="10" s="1"/>
  <c r="AJ81" i="10"/>
  <c r="AK79" i="10" s="1"/>
  <c r="AJ80" i="10"/>
  <c r="AK78" i="10" s="1"/>
  <c r="AI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V79" i="10"/>
  <c r="U79" i="10"/>
  <c r="T79" i="10"/>
  <c r="S79" i="10"/>
  <c r="R79" i="10"/>
  <c r="Q79" i="10"/>
  <c r="P79" i="10"/>
  <c r="O79" i="10"/>
  <c r="N79" i="10"/>
  <c r="M79" i="10"/>
  <c r="L79" i="10"/>
  <c r="K79" i="10"/>
  <c r="J79" i="10"/>
  <c r="I79" i="10"/>
  <c r="H79" i="10"/>
  <c r="G79" i="10"/>
  <c r="F79" i="10"/>
  <c r="E79" i="10"/>
  <c r="AJ78" i="10"/>
  <c r="AK76" i="10" s="1"/>
  <c r="AI77" i="10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S77" i="10"/>
  <c r="R77" i="10"/>
  <c r="Q77" i="10"/>
  <c r="P77" i="10"/>
  <c r="O77" i="10"/>
  <c r="N77" i="10"/>
  <c r="M77" i="10"/>
  <c r="L77" i="10"/>
  <c r="K77" i="10"/>
  <c r="J77" i="10"/>
  <c r="I77" i="10"/>
  <c r="H77" i="10"/>
  <c r="G77" i="10"/>
  <c r="F77" i="10"/>
  <c r="E77" i="10"/>
  <c r="AJ76" i="10"/>
  <c r="F75" i="10"/>
  <c r="G75" i="10" s="1"/>
  <c r="H75" i="10" s="1"/>
  <c r="I75" i="10" s="1"/>
  <c r="J75" i="10" s="1"/>
  <c r="K75" i="10" s="1"/>
  <c r="L75" i="10" s="1"/>
  <c r="M75" i="10" s="1"/>
  <c r="N75" i="10" s="1"/>
  <c r="O75" i="10" s="1"/>
  <c r="P75" i="10" s="1"/>
  <c r="Q75" i="10" s="1"/>
  <c r="R75" i="10" s="1"/>
  <c r="S75" i="10" s="1"/>
  <c r="T75" i="10" s="1"/>
  <c r="U75" i="10" s="1"/>
  <c r="V75" i="10" s="1"/>
  <c r="W75" i="10" s="1"/>
  <c r="X75" i="10" s="1"/>
  <c r="Y75" i="10" s="1"/>
  <c r="C71" i="10"/>
  <c r="AI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S70" i="10"/>
  <c r="F70" i="10"/>
  <c r="F73" i="10" s="1"/>
  <c r="E70" i="10"/>
  <c r="E72" i="10" s="1"/>
  <c r="AJ68" i="10"/>
  <c r="AK66" i="10" s="1"/>
  <c r="AJ67" i="10"/>
  <c r="AK65" i="10" s="1"/>
  <c r="AJ66" i="10"/>
  <c r="AK64" i="10" s="1"/>
  <c r="AI65" i="10"/>
  <c r="AH65" i="10"/>
  <c r="AG65" i="10"/>
  <c r="AF65" i="10"/>
  <c r="AE65" i="10"/>
  <c r="AD65" i="10"/>
  <c r="AC65" i="10"/>
  <c r="AA65" i="10"/>
  <c r="Y65" i="10"/>
  <c r="X65" i="10"/>
  <c r="W65" i="10"/>
  <c r="V65" i="10"/>
  <c r="T65" i="10"/>
  <c r="S65" i="10"/>
  <c r="R65" i="10"/>
  <c r="Q65" i="10"/>
  <c r="M65" i="10"/>
  <c r="L65" i="10"/>
  <c r="J65" i="10"/>
  <c r="I65" i="10"/>
  <c r="H65" i="10"/>
  <c r="G65" i="10"/>
  <c r="F65" i="10"/>
  <c r="E65" i="10"/>
  <c r="AJ64" i="10"/>
  <c r="AK62" i="10" s="1"/>
  <c r="E63" i="10"/>
  <c r="F63" i="10" s="1"/>
  <c r="G63" i="10" s="1"/>
  <c r="H63" i="10" s="1"/>
  <c r="I63" i="10" s="1"/>
  <c r="J63" i="10" s="1"/>
  <c r="K63" i="10" s="1"/>
  <c r="L63" i="10" s="1"/>
  <c r="M63" i="10" s="1"/>
  <c r="N63" i="10" s="1"/>
  <c r="O63" i="10" s="1"/>
  <c r="P63" i="10" s="1"/>
  <c r="Q63" i="10" s="1"/>
  <c r="R63" i="10" s="1"/>
  <c r="S63" i="10" s="1"/>
  <c r="T63" i="10" s="1"/>
  <c r="U63" i="10" s="1"/>
  <c r="V63" i="10" s="1"/>
  <c r="W63" i="10" s="1"/>
  <c r="X63" i="10" s="1"/>
  <c r="Y63" i="10" s="1"/>
  <c r="Z63" i="10" s="1"/>
  <c r="C57" i="10"/>
  <c r="AI56" i="10"/>
  <c r="AH56" i="10"/>
  <c r="AH59" i="10" s="1"/>
  <c r="AG56" i="10"/>
  <c r="AG59" i="10" s="1"/>
  <c r="AF56" i="10"/>
  <c r="AF59" i="10" s="1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AJ54" i="10"/>
  <c r="AK52" i="10" s="1"/>
  <c r="AJ53" i="10"/>
  <c r="AK51" i="10" s="1"/>
  <c r="AJ52" i="10"/>
  <c r="AK50" i="10" s="1"/>
  <c r="AI51" i="10"/>
  <c r="AH51" i="10"/>
  <c r="AG51" i="10"/>
  <c r="AF51" i="10"/>
  <c r="AE51" i="10"/>
  <c r="AD51" i="10"/>
  <c r="AC51" i="10"/>
  <c r="AA51" i="10"/>
  <c r="Y51" i="10"/>
  <c r="X51" i="10"/>
  <c r="W51" i="10"/>
  <c r="V51" i="10"/>
  <c r="R51" i="10"/>
  <c r="Q51" i="10"/>
  <c r="M51" i="10"/>
  <c r="J51" i="10"/>
  <c r="I51" i="10"/>
  <c r="H51" i="10"/>
  <c r="G51" i="10"/>
  <c r="F51" i="10"/>
  <c r="AJ50" i="10"/>
  <c r="AK48" i="10" s="1"/>
  <c r="H67" i="13" s="1"/>
  <c r="E49" i="10"/>
  <c r="G49" i="10" s="1"/>
  <c r="H49" i="10" s="1"/>
  <c r="I49" i="10" s="1"/>
  <c r="J49" i="10" s="1"/>
  <c r="K49" i="10" s="1"/>
  <c r="L49" i="10" s="1"/>
  <c r="M49" i="10" s="1"/>
  <c r="N49" i="10" s="1"/>
  <c r="O49" i="10" s="1"/>
  <c r="P49" i="10" s="1"/>
  <c r="Q49" i="10" s="1"/>
  <c r="R49" i="10" s="1"/>
  <c r="S49" i="10" s="1"/>
  <c r="T49" i="10" s="1"/>
  <c r="U49" i="10" s="1"/>
  <c r="V49" i="10" s="1"/>
  <c r="W49" i="10" s="1"/>
  <c r="X49" i="10" s="1"/>
  <c r="Y49" i="10" s="1"/>
  <c r="Z49" i="10" s="1"/>
  <c r="AJ48" i="10"/>
  <c r="G67" i="13" s="1"/>
  <c r="C44" i="10"/>
  <c r="AI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E47" i="10" s="1"/>
  <c r="AJ41" i="10"/>
  <c r="AK39" i="10" s="1"/>
  <c r="AJ40" i="10"/>
  <c r="AK38" i="10" s="1"/>
  <c r="AJ39" i="10"/>
  <c r="AK37" i="10" s="1"/>
  <c r="AI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U38" i="10"/>
  <c r="T38" i="10"/>
  <c r="S38" i="10"/>
  <c r="R38" i="10"/>
  <c r="Q38" i="10"/>
  <c r="P38" i="10"/>
  <c r="O38" i="10"/>
  <c r="N38" i="10"/>
  <c r="M38" i="10"/>
  <c r="L38" i="10"/>
  <c r="K38" i="10"/>
  <c r="J38" i="10"/>
  <c r="I38" i="10"/>
  <c r="H38" i="10"/>
  <c r="G38" i="10"/>
  <c r="F38" i="10"/>
  <c r="E38" i="10"/>
  <c r="AJ37" i="10"/>
  <c r="AK35" i="10" s="1"/>
  <c r="H66" i="13" s="1"/>
  <c r="AI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S36" i="10"/>
  <c r="R36" i="10"/>
  <c r="Q36" i="10"/>
  <c r="P36" i="10"/>
  <c r="O36" i="10"/>
  <c r="N36" i="10"/>
  <c r="M36" i="10"/>
  <c r="L36" i="10"/>
  <c r="K36" i="10"/>
  <c r="J36" i="10"/>
  <c r="I36" i="10"/>
  <c r="H36" i="10"/>
  <c r="G36" i="10"/>
  <c r="F36" i="10"/>
  <c r="E36" i="10"/>
  <c r="AJ35" i="10"/>
  <c r="C31" i="10"/>
  <c r="AI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S30" i="10"/>
  <c r="R30" i="10"/>
  <c r="Q30" i="10"/>
  <c r="P30" i="10"/>
  <c r="O30" i="10"/>
  <c r="N30" i="10"/>
  <c r="M30" i="10"/>
  <c r="L30" i="10"/>
  <c r="K30" i="10"/>
  <c r="J30" i="10"/>
  <c r="I30" i="10"/>
  <c r="H30" i="10"/>
  <c r="G30" i="10"/>
  <c r="F30" i="10"/>
  <c r="E30" i="10"/>
  <c r="AJ28" i="10"/>
  <c r="AK26" i="10" s="1"/>
  <c r="AJ27" i="10"/>
  <c r="AK25" i="10" s="1"/>
  <c r="AJ26" i="10"/>
  <c r="AK24" i="10" s="1"/>
  <c r="AI25" i="10"/>
  <c r="AH25" i="10"/>
  <c r="AG25" i="10"/>
  <c r="AF25" i="10"/>
  <c r="AE25" i="10"/>
  <c r="AD25" i="10"/>
  <c r="AC25" i="10"/>
  <c r="AB25" i="10"/>
  <c r="Z25" i="10"/>
  <c r="Y25" i="10"/>
  <c r="W25" i="10"/>
  <c r="V25" i="10"/>
  <c r="U25" i="10"/>
  <c r="T25" i="10"/>
  <c r="S25" i="10"/>
  <c r="R25" i="10"/>
  <c r="P25" i="10"/>
  <c r="O25" i="10"/>
  <c r="N25" i="10"/>
  <c r="M25" i="10"/>
  <c r="L25" i="10"/>
  <c r="K25" i="10"/>
  <c r="J25" i="10"/>
  <c r="I25" i="10"/>
  <c r="H25" i="10"/>
  <c r="G25" i="10"/>
  <c r="F25" i="10"/>
  <c r="AJ24" i="10"/>
  <c r="AK22" i="10" s="1"/>
  <c r="H65" i="13" s="1"/>
  <c r="E23" i="10"/>
  <c r="F23" i="10" s="1"/>
  <c r="G23" i="10" s="1"/>
  <c r="H23" i="10" s="1"/>
  <c r="I23" i="10" s="1"/>
  <c r="J23" i="10" s="1"/>
  <c r="K23" i="10" s="1"/>
  <c r="L23" i="10" s="1"/>
  <c r="M23" i="10" s="1"/>
  <c r="N23" i="10" s="1"/>
  <c r="O23" i="10" s="1"/>
  <c r="P23" i="10" s="1"/>
  <c r="Q23" i="10" s="1"/>
  <c r="R23" i="10" s="1"/>
  <c r="S23" i="10" s="1"/>
  <c r="T23" i="10" s="1"/>
  <c r="U23" i="10" s="1"/>
  <c r="V23" i="10" s="1"/>
  <c r="W23" i="10" s="1"/>
  <c r="X23" i="10" s="1"/>
  <c r="Y23" i="10" s="1"/>
  <c r="Z23" i="10" s="1"/>
  <c r="AJ22" i="10"/>
  <c r="C18" i="10"/>
  <c r="AI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S17" i="10"/>
  <c r="R17" i="10"/>
  <c r="Q17" i="10"/>
  <c r="P17" i="10"/>
  <c r="O17" i="10"/>
  <c r="N17" i="10"/>
  <c r="M17" i="10"/>
  <c r="L17" i="10"/>
  <c r="K17" i="10"/>
  <c r="J17" i="10"/>
  <c r="I17" i="10"/>
  <c r="H17" i="10"/>
  <c r="G17" i="10"/>
  <c r="F17" i="10"/>
  <c r="E17" i="10"/>
  <c r="E21" i="10" s="1"/>
  <c r="AJ15" i="10"/>
  <c r="AK13" i="10" s="1"/>
  <c r="AJ14" i="10"/>
  <c r="AK12" i="10" s="1"/>
  <c r="AJ13" i="10"/>
  <c r="AK11" i="10" s="1"/>
  <c r="AI12" i="10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S12" i="10"/>
  <c r="R12" i="10"/>
  <c r="Q12" i="10"/>
  <c r="P12" i="10"/>
  <c r="O12" i="10"/>
  <c r="N12" i="10"/>
  <c r="M12" i="10"/>
  <c r="L12" i="10"/>
  <c r="K12" i="10"/>
  <c r="J12" i="10"/>
  <c r="I12" i="10"/>
  <c r="H12" i="10"/>
  <c r="G12" i="10"/>
  <c r="F12" i="10"/>
  <c r="E12" i="10"/>
  <c r="AJ11" i="10"/>
  <c r="AK9" i="10" s="1"/>
  <c r="H64" i="13" s="1"/>
  <c r="AI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S10" i="10"/>
  <c r="R10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AJ9" i="10"/>
  <c r="G64" i="13" s="1"/>
  <c r="K64" i="13" s="1"/>
  <c r="F8" i="10"/>
  <c r="G8" i="10" s="1"/>
  <c r="H8" i="10" s="1"/>
  <c r="I8" i="10" s="1"/>
  <c r="J8" i="10" s="1"/>
  <c r="K8" i="10" s="1"/>
  <c r="L8" i="10" s="1"/>
  <c r="M8" i="10" s="1"/>
  <c r="N8" i="10" s="1"/>
  <c r="O8" i="10" s="1"/>
  <c r="P8" i="10" s="1"/>
  <c r="Q8" i="10" s="1"/>
  <c r="R8" i="10" s="1"/>
  <c r="S8" i="10" s="1"/>
  <c r="T8" i="10" s="1"/>
  <c r="K67" i="13" l="1"/>
  <c r="AK33" i="10"/>
  <c r="G66" i="13"/>
  <c r="K66" i="13" s="1"/>
  <c r="AK20" i="10"/>
  <c r="G65" i="13"/>
  <c r="K65" i="13" s="1"/>
  <c r="E61" i="10"/>
  <c r="F61" i="10" s="1"/>
  <c r="G61" i="10" s="1"/>
  <c r="H61" i="10" s="1"/>
  <c r="I61" i="10" s="1"/>
  <c r="J61" i="10" s="1"/>
  <c r="K61" i="10" s="1"/>
  <c r="L61" i="10" s="1"/>
  <c r="M61" i="10" s="1"/>
  <c r="N61" i="10" s="1"/>
  <c r="O61" i="10" s="1"/>
  <c r="P61" i="10" s="1"/>
  <c r="Q61" i="10" s="1"/>
  <c r="R61" i="10" s="1"/>
  <c r="S61" i="10" s="1"/>
  <c r="T61" i="10" s="1"/>
  <c r="U61" i="10" s="1"/>
  <c r="V61" i="10" s="1"/>
  <c r="W61" i="10" s="1"/>
  <c r="X61" i="10" s="1"/>
  <c r="Y61" i="10" s="1"/>
  <c r="Z61" i="10" s="1"/>
  <c r="AA61" i="10" s="1"/>
  <c r="AB61" i="10" s="1"/>
  <c r="AC61" i="10" s="1"/>
  <c r="AD61" i="10" s="1"/>
  <c r="AE61" i="10" s="1"/>
  <c r="AF61" i="10" s="1"/>
  <c r="AG61" i="10" s="1"/>
  <c r="AH61" i="10" s="1"/>
  <c r="AI61" i="10" s="1"/>
  <c r="E58" i="10"/>
  <c r="F58" i="10" s="1"/>
  <c r="G58" i="10" s="1"/>
  <c r="H58" i="10" s="1"/>
  <c r="I58" i="10" s="1"/>
  <c r="J58" i="10" s="1"/>
  <c r="K58" i="10" s="1"/>
  <c r="L58" i="10" s="1"/>
  <c r="M58" i="10" s="1"/>
  <c r="N58" i="10" s="1"/>
  <c r="O58" i="10" s="1"/>
  <c r="P58" i="10" s="1"/>
  <c r="Q58" i="10" s="1"/>
  <c r="R58" i="10" s="1"/>
  <c r="S58" i="10" s="1"/>
  <c r="T58" i="10" s="1"/>
  <c r="U58" i="10" s="1"/>
  <c r="V58" i="10" s="1"/>
  <c r="W58" i="10" s="1"/>
  <c r="X58" i="10" s="1"/>
  <c r="Y58" i="10" s="1"/>
  <c r="Z58" i="10" s="1"/>
  <c r="AA58" i="10" s="1"/>
  <c r="AB58" i="10" s="1"/>
  <c r="AC58" i="10" s="1"/>
  <c r="AD58" i="10" s="1"/>
  <c r="AE58" i="10" s="1"/>
  <c r="AF58" i="10" s="1"/>
  <c r="AG58" i="10" s="1"/>
  <c r="AH58" i="10" s="1"/>
  <c r="AI58" i="10" s="1"/>
  <c r="E131" i="10"/>
  <c r="E128" i="10"/>
  <c r="U234" i="10"/>
  <c r="E115" i="10"/>
  <c r="E114" i="10"/>
  <c r="E59" i="10"/>
  <c r="Z75" i="10"/>
  <c r="AA75" i="10" s="1"/>
  <c r="AB75" i="10" s="1"/>
  <c r="AC75" i="10" s="1"/>
  <c r="AD75" i="10" s="1"/>
  <c r="AE75" i="10" s="1"/>
  <c r="AF75" i="10" s="1"/>
  <c r="AG75" i="10" s="1"/>
  <c r="AH75" i="10" s="1"/>
  <c r="AI75" i="10" s="1"/>
  <c r="F101" i="10"/>
  <c r="G73" i="10"/>
  <c r="H73" i="10" s="1"/>
  <c r="I73" i="10" s="1"/>
  <c r="J73" i="10" s="1"/>
  <c r="K73" i="10" s="1"/>
  <c r="L73" i="10" s="1"/>
  <c r="M73" i="10" s="1"/>
  <c r="N73" i="10" s="1"/>
  <c r="O73" i="10" s="1"/>
  <c r="P73" i="10" s="1"/>
  <c r="Q73" i="10" s="1"/>
  <c r="R73" i="10" s="1"/>
  <c r="S73" i="10" s="1"/>
  <c r="T73" i="10" s="1"/>
  <c r="U73" i="10" s="1"/>
  <c r="V73" i="10" s="1"/>
  <c r="W73" i="10" s="1"/>
  <c r="X73" i="10" s="1"/>
  <c r="Y73" i="10" s="1"/>
  <c r="Z73" i="10" s="1"/>
  <c r="AA73" i="10" s="1"/>
  <c r="AB73" i="10" s="1"/>
  <c r="AC73" i="10" s="1"/>
  <c r="AD73" i="10" s="1"/>
  <c r="AE73" i="10" s="1"/>
  <c r="AE129" i="10"/>
  <c r="F59" i="10"/>
  <c r="G59" i="10" s="1"/>
  <c r="H59" i="10" s="1"/>
  <c r="I59" i="10" s="1"/>
  <c r="J59" i="10" s="1"/>
  <c r="K59" i="10" s="1"/>
  <c r="L59" i="10" s="1"/>
  <c r="M59" i="10" s="1"/>
  <c r="N59" i="10" s="1"/>
  <c r="O59" i="10" s="1"/>
  <c r="P59" i="10" s="1"/>
  <c r="Q59" i="10" s="1"/>
  <c r="R59" i="10" s="1"/>
  <c r="S59" i="10" s="1"/>
  <c r="T59" i="10" s="1"/>
  <c r="U59" i="10" s="1"/>
  <c r="V59" i="10" s="1"/>
  <c r="W59" i="10" s="1"/>
  <c r="X59" i="10" s="1"/>
  <c r="Y59" i="10" s="1"/>
  <c r="Z59" i="10" s="1"/>
  <c r="AA59" i="10" s="1"/>
  <c r="AB59" i="10" s="1"/>
  <c r="AC59" i="10" s="1"/>
  <c r="AD59" i="10" s="1"/>
  <c r="AE59" i="10" s="1"/>
  <c r="F115" i="10"/>
  <c r="AK223" i="10"/>
  <c r="AJ238" i="10"/>
  <c r="AK227" i="10"/>
  <c r="AJ241" i="10"/>
  <c r="AK239" i="10" s="1"/>
  <c r="AK226" i="10"/>
  <c r="AJ240" i="10"/>
  <c r="AK238" i="10" s="1"/>
  <c r="AJ237" i="10"/>
  <c r="AK225" i="10"/>
  <c r="AJ239" i="10"/>
  <c r="AO76" i="10"/>
  <c r="AK74" i="10"/>
  <c r="AO145" i="10"/>
  <c r="AK143" i="10"/>
  <c r="AO210" i="10"/>
  <c r="AK208" i="10"/>
  <c r="AO223" i="10"/>
  <c r="AK221" i="10"/>
  <c r="AO158" i="10"/>
  <c r="AK156" i="10"/>
  <c r="AO171" i="10"/>
  <c r="AK169" i="10"/>
  <c r="AO184" i="10"/>
  <c r="AK182" i="10"/>
  <c r="AO197" i="10"/>
  <c r="AK195" i="10"/>
  <c r="AK122" i="10"/>
  <c r="F131" i="10"/>
  <c r="G131" i="10" s="1"/>
  <c r="H131" i="10" s="1"/>
  <c r="I131" i="10" s="1"/>
  <c r="J131" i="10" s="1"/>
  <c r="K131" i="10" s="1"/>
  <c r="L131" i="10" s="1"/>
  <c r="M131" i="10" s="1"/>
  <c r="N131" i="10" s="1"/>
  <c r="O131" i="10" s="1"/>
  <c r="P131" i="10" s="1"/>
  <c r="Q131" i="10" s="1"/>
  <c r="R131" i="10" s="1"/>
  <c r="S131" i="10" s="1"/>
  <c r="T131" i="10" s="1"/>
  <c r="U131" i="10" s="1"/>
  <c r="V131" i="10" s="1"/>
  <c r="W131" i="10" s="1"/>
  <c r="X131" i="10" s="1"/>
  <c r="Y131" i="10" s="1"/>
  <c r="Z131" i="10" s="1"/>
  <c r="AA131" i="10" s="1"/>
  <c r="AB131" i="10" s="1"/>
  <c r="AC131" i="10" s="1"/>
  <c r="AD131" i="10" s="1"/>
  <c r="AE131" i="10" s="1"/>
  <c r="AF131" i="10" s="1"/>
  <c r="AG131" i="10" s="1"/>
  <c r="AH131" i="10" s="1"/>
  <c r="AI131" i="10" s="1"/>
  <c r="AK92" i="10"/>
  <c r="AK94" i="10"/>
  <c r="AK93" i="10"/>
  <c r="E86" i="10"/>
  <c r="F86" i="10" s="1"/>
  <c r="G86" i="10" s="1"/>
  <c r="H86" i="10" s="1"/>
  <c r="I86" i="10" s="1"/>
  <c r="J86" i="10" s="1"/>
  <c r="K86" i="10" s="1"/>
  <c r="L86" i="10" s="1"/>
  <c r="M86" i="10" s="1"/>
  <c r="N86" i="10" s="1"/>
  <c r="O86" i="10" s="1"/>
  <c r="P86" i="10" s="1"/>
  <c r="Q86" i="10" s="1"/>
  <c r="R86" i="10" s="1"/>
  <c r="S86" i="10" s="1"/>
  <c r="T86" i="10" s="1"/>
  <c r="U86" i="10" s="1"/>
  <c r="V86" i="10" s="1"/>
  <c r="W86" i="10" s="1"/>
  <c r="X86" i="10" s="1"/>
  <c r="Y86" i="10" s="1"/>
  <c r="Z86" i="10" s="1"/>
  <c r="AA86" i="10" s="1"/>
  <c r="AB86" i="10" s="1"/>
  <c r="AC86" i="10" s="1"/>
  <c r="AD86" i="10" s="1"/>
  <c r="AE86" i="10" s="1"/>
  <c r="AF86" i="10" s="1"/>
  <c r="AG86" i="10" s="1"/>
  <c r="AH86" i="10" s="1"/>
  <c r="AI86" i="10" s="1"/>
  <c r="E87" i="10"/>
  <c r="F87" i="10" s="1"/>
  <c r="AO118" i="10"/>
  <c r="AK116" i="10"/>
  <c r="AO48" i="10"/>
  <c r="AK46" i="10"/>
  <c r="AD63" i="10"/>
  <c r="AH63" i="10" s="1"/>
  <c r="AI63" i="10" s="1"/>
  <c r="AA63" i="10"/>
  <c r="AO78" i="10"/>
  <c r="U8" i="10"/>
  <c r="V8" i="10" s="1"/>
  <c r="W8" i="10" s="1"/>
  <c r="X8" i="10" s="1"/>
  <c r="Y8" i="10" s="1"/>
  <c r="Z8" i="10" s="1"/>
  <c r="AA8" i="10" s="1"/>
  <c r="AB8" i="10" s="1"/>
  <c r="AC8" i="10" s="1"/>
  <c r="AD8" i="10" s="1"/>
  <c r="AE8" i="10" s="1"/>
  <c r="AF8" i="10" s="1"/>
  <c r="AG8" i="10" s="1"/>
  <c r="AH8" i="10" s="1"/>
  <c r="AI8" i="10" s="1"/>
  <c r="Z234" i="10"/>
  <c r="E117" i="10"/>
  <c r="F117" i="10" s="1"/>
  <c r="G117" i="10" s="1"/>
  <c r="H117" i="10" s="1"/>
  <c r="I117" i="10" s="1"/>
  <c r="J117" i="10" s="1"/>
  <c r="K117" i="10" s="1"/>
  <c r="L117" i="10" s="1"/>
  <c r="M117" i="10" s="1"/>
  <c r="N117" i="10" s="1"/>
  <c r="O117" i="10" s="1"/>
  <c r="P117" i="10" s="1"/>
  <c r="Q117" i="10" s="1"/>
  <c r="R117" i="10" s="1"/>
  <c r="S117" i="10" s="1"/>
  <c r="T117" i="10" s="1"/>
  <c r="U117" i="10" s="1"/>
  <c r="V117" i="10" s="1"/>
  <c r="W117" i="10" s="1"/>
  <c r="X117" i="10" s="1"/>
  <c r="Y117" i="10" s="1"/>
  <c r="Z117" i="10" s="1"/>
  <c r="AA117" i="10" s="1"/>
  <c r="AB117" i="10" s="1"/>
  <c r="AC117" i="10" s="1"/>
  <c r="AD117" i="10" s="1"/>
  <c r="AE117" i="10" s="1"/>
  <c r="AF117" i="10" s="1"/>
  <c r="AG117" i="10" s="1"/>
  <c r="AH117" i="10" s="1"/>
  <c r="AI117" i="10" s="1"/>
  <c r="E233" i="10"/>
  <c r="F233" i="10" s="1"/>
  <c r="G233" i="10" s="1"/>
  <c r="H233" i="10" s="1"/>
  <c r="I233" i="10" s="1"/>
  <c r="J233" i="10" s="1"/>
  <c r="K233" i="10" s="1"/>
  <c r="L233" i="10" s="1"/>
  <c r="M233" i="10" s="1"/>
  <c r="N233" i="10" s="1"/>
  <c r="O233" i="10" s="1"/>
  <c r="P233" i="10" s="1"/>
  <c r="Q233" i="10" s="1"/>
  <c r="R233" i="10" s="1"/>
  <c r="S233" i="10" s="1"/>
  <c r="T233" i="10" s="1"/>
  <c r="U233" i="10" s="1"/>
  <c r="V233" i="10" s="1"/>
  <c r="W233" i="10" s="1"/>
  <c r="X233" i="10" s="1"/>
  <c r="Y233" i="10" s="1"/>
  <c r="Z233" i="10" s="1"/>
  <c r="AA233" i="10" s="1"/>
  <c r="AB233" i="10" s="1"/>
  <c r="AC233" i="10" s="1"/>
  <c r="AD233" i="10" s="1"/>
  <c r="AE233" i="10" s="1"/>
  <c r="AF233" i="10" s="1"/>
  <c r="AG233" i="10" s="1"/>
  <c r="AH233" i="10" s="1"/>
  <c r="AI233" i="10" s="1"/>
  <c r="F234" i="10"/>
  <c r="G234" i="10" s="1"/>
  <c r="H234" i="10" s="1"/>
  <c r="I234" i="10" s="1"/>
  <c r="J234" i="10" s="1"/>
  <c r="K234" i="10" s="1"/>
  <c r="L234" i="10" s="1"/>
  <c r="M234" i="10" s="1"/>
  <c r="N234" i="10" s="1"/>
  <c r="O234" i="10" s="1"/>
  <c r="P234" i="10" s="1"/>
  <c r="Q234" i="10" s="1"/>
  <c r="F128" i="10"/>
  <c r="G128" i="10" s="1"/>
  <c r="H128" i="10" s="1"/>
  <c r="I128" i="10" s="1"/>
  <c r="J128" i="10" s="1"/>
  <c r="K128" i="10" s="1"/>
  <c r="L128" i="10" s="1"/>
  <c r="M128" i="10" s="1"/>
  <c r="N128" i="10" s="1"/>
  <c r="O128" i="10" s="1"/>
  <c r="P128" i="10" s="1"/>
  <c r="Q128" i="10" s="1"/>
  <c r="R128" i="10" s="1"/>
  <c r="S128" i="10" s="1"/>
  <c r="T128" i="10" s="1"/>
  <c r="U128" i="10" s="1"/>
  <c r="V128" i="10" s="1"/>
  <c r="W128" i="10" s="1"/>
  <c r="X128" i="10" s="1"/>
  <c r="Y128" i="10" s="1"/>
  <c r="Z128" i="10" s="1"/>
  <c r="AA128" i="10" s="1"/>
  <c r="AB128" i="10" s="1"/>
  <c r="AC128" i="10" s="1"/>
  <c r="AD128" i="10" s="1"/>
  <c r="AE128" i="10" s="1"/>
  <c r="AF128" i="10" s="1"/>
  <c r="AG128" i="10" s="1"/>
  <c r="AH128" i="10" s="1"/>
  <c r="AI128" i="10" s="1"/>
  <c r="F129" i="10"/>
  <c r="G129" i="10" s="1"/>
  <c r="H129" i="10" s="1"/>
  <c r="I129" i="10" s="1"/>
  <c r="J129" i="10" s="1"/>
  <c r="K129" i="10" s="1"/>
  <c r="L129" i="10" s="1"/>
  <c r="M129" i="10" s="1"/>
  <c r="N129" i="10" s="1"/>
  <c r="O129" i="10" s="1"/>
  <c r="P129" i="10" s="1"/>
  <c r="Q129" i="10" s="1"/>
  <c r="R129" i="10" s="1"/>
  <c r="S129" i="10" s="1"/>
  <c r="T129" i="10" s="1"/>
  <c r="U129" i="10" s="1"/>
  <c r="V129" i="10" s="1"/>
  <c r="W129" i="10" s="1"/>
  <c r="X129" i="10" s="1"/>
  <c r="Y129" i="10" s="1"/>
  <c r="Z129" i="10" s="1"/>
  <c r="AA129" i="10" s="1"/>
  <c r="AB129" i="10" s="1"/>
  <c r="AC129" i="10" s="1"/>
  <c r="AD129" i="10" s="1"/>
  <c r="AO147" i="10"/>
  <c r="AQ244" i="10"/>
  <c r="E32" i="10"/>
  <c r="F32" i="10" s="1"/>
  <c r="G32" i="10" s="1"/>
  <c r="H32" i="10" s="1"/>
  <c r="I32" i="10" s="1"/>
  <c r="J32" i="10" s="1"/>
  <c r="K32" i="10" s="1"/>
  <c r="L32" i="10" s="1"/>
  <c r="M32" i="10" s="1"/>
  <c r="N32" i="10" s="1"/>
  <c r="O32" i="10" s="1"/>
  <c r="P32" i="10" s="1"/>
  <c r="Q32" i="10" s="1"/>
  <c r="R32" i="10" s="1"/>
  <c r="S32" i="10" s="1"/>
  <c r="T32" i="10" s="1"/>
  <c r="U32" i="10" s="1"/>
  <c r="V32" i="10" s="1"/>
  <c r="W32" i="10" s="1"/>
  <c r="X32" i="10" s="1"/>
  <c r="Y32" i="10" s="1"/>
  <c r="Z32" i="10" s="1"/>
  <c r="AA32" i="10" s="1"/>
  <c r="AB32" i="10" s="1"/>
  <c r="AC32" i="10" s="1"/>
  <c r="AD32" i="10" s="1"/>
  <c r="AE32" i="10" s="1"/>
  <c r="AF32" i="10" s="1"/>
  <c r="AG32" i="10" s="1"/>
  <c r="AH32" i="10" s="1"/>
  <c r="AI32" i="10" s="1"/>
  <c r="E34" i="10"/>
  <c r="F34" i="10" s="1"/>
  <c r="G34" i="10" s="1"/>
  <c r="H34" i="10" s="1"/>
  <c r="I34" i="10" s="1"/>
  <c r="J34" i="10" s="1"/>
  <c r="K34" i="10" s="1"/>
  <c r="L34" i="10" s="1"/>
  <c r="M34" i="10" s="1"/>
  <c r="N34" i="10" s="1"/>
  <c r="O34" i="10" s="1"/>
  <c r="P34" i="10" s="1"/>
  <c r="Q34" i="10" s="1"/>
  <c r="R34" i="10" s="1"/>
  <c r="S34" i="10" s="1"/>
  <c r="T34" i="10" s="1"/>
  <c r="U34" i="10" s="1"/>
  <c r="V34" i="10" s="1"/>
  <c r="W34" i="10" s="1"/>
  <c r="X34" i="10" s="1"/>
  <c r="Y34" i="10" s="1"/>
  <c r="Z34" i="10" s="1"/>
  <c r="AA34" i="10" s="1"/>
  <c r="AB34" i="10" s="1"/>
  <c r="AC34" i="10" s="1"/>
  <c r="AD34" i="10" s="1"/>
  <c r="AE34" i="10" s="1"/>
  <c r="AF34" i="10" s="1"/>
  <c r="AG34" i="10" s="1"/>
  <c r="AH34" i="10" s="1"/>
  <c r="AI34" i="10" s="1"/>
  <c r="AD23" i="10"/>
  <c r="AH23" i="10" s="1"/>
  <c r="AI23" i="10" s="1"/>
  <c r="AA23" i="10"/>
  <c r="AO173" i="10"/>
  <c r="AO64" i="10"/>
  <c r="AO66" i="10" s="1"/>
  <c r="E103" i="10"/>
  <c r="F103" i="10" s="1"/>
  <c r="G103" i="10" s="1"/>
  <c r="H103" i="10" s="1"/>
  <c r="I103" i="10" s="1"/>
  <c r="J103" i="10" s="1"/>
  <c r="K103" i="10" s="1"/>
  <c r="L103" i="10" s="1"/>
  <c r="M103" i="10" s="1"/>
  <c r="N103" i="10" s="1"/>
  <c r="O103" i="10" s="1"/>
  <c r="P103" i="10" s="1"/>
  <c r="Q103" i="10" s="1"/>
  <c r="R103" i="10" s="1"/>
  <c r="S103" i="10" s="1"/>
  <c r="T103" i="10" s="1"/>
  <c r="U103" i="10" s="1"/>
  <c r="V103" i="10" s="1"/>
  <c r="W103" i="10" s="1"/>
  <c r="X103" i="10" s="1"/>
  <c r="Y103" i="10" s="1"/>
  <c r="Z103" i="10" s="1"/>
  <c r="AA103" i="10" s="1"/>
  <c r="AB103" i="10" s="1"/>
  <c r="AC103" i="10" s="1"/>
  <c r="AD103" i="10" s="1"/>
  <c r="AE103" i="10" s="1"/>
  <c r="AF103" i="10" s="1"/>
  <c r="AG103" i="10" s="1"/>
  <c r="AH103" i="10" s="1"/>
  <c r="AI103" i="10" s="1"/>
  <c r="E100" i="10"/>
  <c r="F100" i="10" s="1"/>
  <c r="G100" i="10" s="1"/>
  <c r="H100" i="10" s="1"/>
  <c r="I100" i="10" s="1"/>
  <c r="J100" i="10" s="1"/>
  <c r="K100" i="10" s="1"/>
  <c r="L100" i="10" s="1"/>
  <c r="M100" i="10" s="1"/>
  <c r="N100" i="10" s="1"/>
  <c r="O100" i="10" s="1"/>
  <c r="P100" i="10" s="1"/>
  <c r="Q100" i="10" s="1"/>
  <c r="R100" i="10" s="1"/>
  <c r="S100" i="10" s="1"/>
  <c r="T100" i="10" s="1"/>
  <c r="U100" i="10" s="1"/>
  <c r="V100" i="10" s="1"/>
  <c r="W100" i="10" s="1"/>
  <c r="X100" i="10" s="1"/>
  <c r="Y100" i="10" s="1"/>
  <c r="Z100" i="10" s="1"/>
  <c r="AA100" i="10" s="1"/>
  <c r="AB100" i="10" s="1"/>
  <c r="AC100" i="10" s="1"/>
  <c r="AD100" i="10" s="1"/>
  <c r="AE100" i="10" s="1"/>
  <c r="AF100" i="10" s="1"/>
  <c r="AG100" i="10" s="1"/>
  <c r="AH100" i="10" s="1"/>
  <c r="AI100" i="10" s="1"/>
  <c r="AO199" i="10"/>
  <c r="AO134" i="10"/>
  <c r="AO186" i="10"/>
  <c r="AO160" i="10"/>
  <c r="AO212" i="10"/>
  <c r="AO106" i="10"/>
  <c r="AO37" i="10"/>
  <c r="AO24" i="10"/>
  <c r="AO225" i="10"/>
  <c r="AO120" i="10"/>
  <c r="AO92" i="10"/>
  <c r="AO94" i="10" s="1"/>
  <c r="AO50" i="10"/>
  <c r="AL132" i="10"/>
  <c r="AM130" i="10" s="1"/>
  <c r="AO132" i="10"/>
  <c r="AO104" i="10"/>
  <c r="AA224" i="10"/>
  <c r="AD224" i="10"/>
  <c r="AH224" i="10" s="1"/>
  <c r="AI224" i="10" s="1"/>
  <c r="AL210" i="10"/>
  <c r="AM208" i="10" s="1"/>
  <c r="AL145" i="10"/>
  <c r="AM143" i="10" s="1"/>
  <c r="AL149" i="10"/>
  <c r="AM147" i="10" s="1"/>
  <c r="AL163" i="10"/>
  <c r="AM161" i="10" s="1"/>
  <c r="AL177" i="10"/>
  <c r="AM175" i="10" s="1"/>
  <c r="AL197" i="10"/>
  <c r="AM195" i="10" s="1"/>
  <c r="AL201" i="10"/>
  <c r="AM199" i="10" s="1"/>
  <c r="AL215" i="10"/>
  <c r="AM213" i="10" s="1"/>
  <c r="AL158" i="10"/>
  <c r="AM156" i="10" s="1"/>
  <c r="AL228" i="10"/>
  <c r="AL136" i="10"/>
  <c r="AM134" i="10" s="1"/>
  <c r="AL150" i="10"/>
  <c r="AM148" i="10" s="1"/>
  <c r="AL164" i="10"/>
  <c r="AM162" i="10" s="1"/>
  <c r="AL184" i="10"/>
  <c r="AM182" i="10" s="1"/>
  <c r="AL186" i="10"/>
  <c r="AM184" i="10" s="1"/>
  <c r="AL188" i="10"/>
  <c r="AM186" i="10" s="1"/>
  <c r="AL202" i="10"/>
  <c r="AM200" i="10" s="1"/>
  <c r="AL216" i="10"/>
  <c r="AM214" i="10" s="1"/>
  <c r="AL138" i="10"/>
  <c r="AM136" i="10" s="1"/>
  <c r="AL162" i="10"/>
  <c r="AM160" i="10" s="1"/>
  <c r="AL176" i="10"/>
  <c r="AM174" i="10" s="1"/>
  <c r="AL190" i="10"/>
  <c r="AM188" i="10" s="1"/>
  <c r="AL214" i="10"/>
  <c r="AM212" i="10" s="1"/>
  <c r="AL137" i="10"/>
  <c r="AM135" i="10" s="1"/>
  <c r="AL151" i="10"/>
  <c r="AM149" i="10" s="1"/>
  <c r="AL171" i="10"/>
  <c r="AM169" i="10" s="1"/>
  <c r="AL173" i="10"/>
  <c r="AM171" i="10" s="1"/>
  <c r="AL189" i="10"/>
  <c r="AM187" i="10" s="1"/>
  <c r="AL203" i="10"/>
  <c r="AM201" i="10" s="1"/>
  <c r="F222" i="10"/>
  <c r="G222" i="10" s="1"/>
  <c r="H222" i="10" s="1"/>
  <c r="I222" i="10" s="1"/>
  <c r="J222" i="10" s="1"/>
  <c r="K222" i="10" s="1"/>
  <c r="L222" i="10" s="1"/>
  <c r="M222" i="10" s="1"/>
  <c r="N222" i="10" s="1"/>
  <c r="O222" i="10" s="1"/>
  <c r="P222" i="10" s="1"/>
  <c r="Q222" i="10" s="1"/>
  <c r="R222" i="10" s="1"/>
  <c r="S222" i="10" s="1"/>
  <c r="T222" i="10" s="1"/>
  <c r="U222" i="10" s="1"/>
  <c r="V222" i="10" s="1"/>
  <c r="W222" i="10" s="1"/>
  <c r="X222" i="10" s="1"/>
  <c r="Y222" i="10" s="1"/>
  <c r="Z222" i="10" s="1"/>
  <c r="AA222" i="10" s="1"/>
  <c r="AB222" i="10" s="1"/>
  <c r="AC222" i="10" s="1"/>
  <c r="AD222" i="10" s="1"/>
  <c r="AE222" i="10" s="1"/>
  <c r="AF222" i="10" s="1"/>
  <c r="AG222" i="10" s="1"/>
  <c r="AH222" i="10" s="1"/>
  <c r="AI222" i="10" s="1"/>
  <c r="AA49" i="10"/>
  <c r="AD49" i="10"/>
  <c r="AH49" i="10" s="1"/>
  <c r="AI49" i="10" s="1"/>
  <c r="AL40" i="10"/>
  <c r="AM38" i="10" s="1"/>
  <c r="AL67" i="10"/>
  <c r="AM65" i="10" s="1"/>
  <c r="AL53" i="10"/>
  <c r="AM51" i="10" s="1"/>
  <c r="X84" i="2"/>
  <c r="AU246" i="10"/>
  <c r="AN122" i="10"/>
  <c r="AA119" i="10"/>
  <c r="AD119" i="10"/>
  <c r="AH119" i="10" s="1"/>
  <c r="AI119" i="10" s="1"/>
  <c r="AD242" i="10"/>
  <c r="F157" i="10"/>
  <c r="G157" i="10" s="1"/>
  <c r="H157" i="10" s="1"/>
  <c r="I157" i="10" s="1"/>
  <c r="J157" i="10" s="1"/>
  <c r="K157" i="10" s="1"/>
  <c r="L157" i="10" s="1"/>
  <c r="M157" i="10" s="1"/>
  <c r="N157" i="10" s="1"/>
  <c r="O157" i="10" s="1"/>
  <c r="P157" i="10" s="1"/>
  <c r="Q157" i="10" s="1"/>
  <c r="R157" i="10" s="1"/>
  <c r="S157" i="10" s="1"/>
  <c r="T157" i="10" s="1"/>
  <c r="U157" i="10" s="1"/>
  <c r="V157" i="10" s="1"/>
  <c r="W157" i="10" s="1"/>
  <c r="X157" i="10" s="1"/>
  <c r="Y157" i="10" s="1"/>
  <c r="Z157" i="10" s="1"/>
  <c r="AA157" i="10" s="1"/>
  <c r="AB157" i="10" s="1"/>
  <c r="AC157" i="10" s="1"/>
  <c r="AD157" i="10" s="1"/>
  <c r="AE157" i="10" s="1"/>
  <c r="AF157" i="10" s="1"/>
  <c r="AG157" i="10" s="1"/>
  <c r="AH157" i="10" s="1"/>
  <c r="AI157" i="10" s="1"/>
  <c r="AT247" i="10"/>
  <c r="AS246" i="10"/>
  <c r="AB84" i="2"/>
  <c r="AH84" i="2"/>
  <c r="Z84" i="2"/>
  <c r="J84" i="2"/>
  <c r="L84" i="2"/>
  <c r="AC84" i="2"/>
  <c r="M84" i="2"/>
  <c r="V242" i="10"/>
  <c r="U84" i="2"/>
  <c r="T84" i="2"/>
  <c r="R84" i="2"/>
  <c r="N242" i="10"/>
  <c r="F242" i="10"/>
  <c r="AD91" i="10"/>
  <c r="AH91" i="10" s="1"/>
  <c r="AI91" i="10" s="1"/>
  <c r="AA91" i="10"/>
  <c r="AS244" i="10"/>
  <c r="AT245" i="10"/>
  <c r="AT244" i="10"/>
  <c r="F181" i="10"/>
  <c r="G181" i="10" s="1"/>
  <c r="H181" i="10" s="1"/>
  <c r="I181" i="10" s="1"/>
  <c r="J181" i="10" s="1"/>
  <c r="K181" i="10" s="1"/>
  <c r="L181" i="10" s="1"/>
  <c r="M181" i="10" s="1"/>
  <c r="N181" i="10" s="1"/>
  <c r="O181" i="10" s="1"/>
  <c r="P181" i="10" s="1"/>
  <c r="Q181" i="10" s="1"/>
  <c r="R181" i="10" s="1"/>
  <c r="S181" i="10" s="1"/>
  <c r="T181" i="10" s="1"/>
  <c r="U181" i="10" s="1"/>
  <c r="V181" i="10" s="1"/>
  <c r="W181" i="10" s="1"/>
  <c r="X181" i="10" s="1"/>
  <c r="Y181" i="10" s="1"/>
  <c r="Z181" i="10" s="1"/>
  <c r="AA181" i="10" s="1"/>
  <c r="AB181" i="10" s="1"/>
  <c r="AC181" i="10" s="1"/>
  <c r="AD181" i="10" s="1"/>
  <c r="AE181" i="10" s="1"/>
  <c r="AF181" i="10" s="1"/>
  <c r="AG181" i="10" s="1"/>
  <c r="AH181" i="10" s="1"/>
  <c r="AI181" i="10" s="1"/>
  <c r="AU244" i="10"/>
  <c r="AS245" i="10"/>
  <c r="AR244" i="10"/>
  <c r="AR245" i="10"/>
  <c r="F47" i="10"/>
  <c r="G47" i="10" s="1"/>
  <c r="H47" i="10" s="1"/>
  <c r="I47" i="10" s="1"/>
  <c r="J47" i="10" s="1"/>
  <c r="K47" i="10" s="1"/>
  <c r="L47" i="10" s="1"/>
  <c r="M47" i="10" s="1"/>
  <c r="N47" i="10" s="1"/>
  <c r="O47" i="10" s="1"/>
  <c r="P47" i="10" s="1"/>
  <c r="Q47" i="10" s="1"/>
  <c r="R47" i="10" s="1"/>
  <c r="S47" i="10" s="1"/>
  <c r="T47" i="10" s="1"/>
  <c r="U47" i="10" s="1"/>
  <c r="V47" i="10" s="1"/>
  <c r="W47" i="10" s="1"/>
  <c r="X47" i="10" s="1"/>
  <c r="Y47" i="10" s="1"/>
  <c r="Z47" i="10" s="1"/>
  <c r="AA47" i="10" s="1"/>
  <c r="AB47" i="10" s="1"/>
  <c r="AC47" i="10" s="1"/>
  <c r="AD47" i="10" s="1"/>
  <c r="AE47" i="10" s="1"/>
  <c r="AF47" i="10" s="1"/>
  <c r="AG47" i="10" s="1"/>
  <c r="AH47" i="10" s="1"/>
  <c r="AI47" i="10" s="1"/>
  <c r="AU247" i="10"/>
  <c r="AD84" i="2"/>
  <c r="V84" i="2"/>
  <c r="N84" i="2"/>
  <c r="F84" i="2"/>
  <c r="AE84" i="2"/>
  <c r="W84" i="2"/>
  <c r="G84" i="2"/>
  <c r="AQ247" i="10"/>
  <c r="AS247" i="10"/>
  <c r="AR247" i="10"/>
  <c r="AU245" i="10"/>
  <c r="AN66" i="10"/>
  <c r="AJ25" i="10"/>
  <c r="AK23" i="10" s="1"/>
  <c r="AJ43" i="10"/>
  <c r="AK41" i="10" s="1"/>
  <c r="J242" i="10"/>
  <c r="R242" i="10"/>
  <c r="Z242" i="10"/>
  <c r="AH242" i="10"/>
  <c r="F170" i="10"/>
  <c r="G170" i="10" s="1"/>
  <c r="H170" i="10" s="1"/>
  <c r="I170" i="10" s="1"/>
  <c r="J170" i="10" s="1"/>
  <c r="K170" i="10" s="1"/>
  <c r="L170" i="10" s="1"/>
  <c r="M170" i="10" s="1"/>
  <c r="N170" i="10" s="1"/>
  <c r="O170" i="10" s="1"/>
  <c r="P170" i="10" s="1"/>
  <c r="Q170" i="10" s="1"/>
  <c r="R170" i="10" s="1"/>
  <c r="S170" i="10" s="1"/>
  <c r="T170" i="10" s="1"/>
  <c r="U170" i="10" s="1"/>
  <c r="V170" i="10" s="1"/>
  <c r="W170" i="10" s="1"/>
  <c r="X170" i="10" s="1"/>
  <c r="Y170" i="10" s="1"/>
  <c r="Z170" i="10" s="1"/>
  <c r="AA170" i="10" s="1"/>
  <c r="AB170" i="10" s="1"/>
  <c r="AC170" i="10" s="1"/>
  <c r="AD170" i="10" s="1"/>
  <c r="AE170" i="10" s="1"/>
  <c r="AF170" i="10" s="1"/>
  <c r="AG170" i="10" s="1"/>
  <c r="AH170" i="10" s="1"/>
  <c r="AI170" i="10" s="1"/>
  <c r="AJ135" i="10"/>
  <c r="AK133" i="10" s="1"/>
  <c r="AN80" i="10"/>
  <c r="AN108" i="10"/>
  <c r="I242" i="10"/>
  <c r="Q242" i="10"/>
  <c r="Y242" i="10"/>
  <c r="AG242" i="10"/>
  <c r="AJ30" i="10"/>
  <c r="AK28" i="10" s="1"/>
  <c r="AL134" i="10"/>
  <c r="AM132" i="10" s="1"/>
  <c r="L242" i="10"/>
  <c r="T242" i="10"/>
  <c r="AB242" i="10"/>
  <c r="AJ38" i="10"/>
  <c r="AK36" i="10" s="1"/>
  <c r="AJ56" i="10"/>
  <c r="AK54" i="10" s="1"/>
  <c r="E242" i="10"/>
  <c r="M242" i="10"/>
  <c r="U242" i="10"/>
  <c r="AC242" i="10"/>
  <c r="E194" i="10"/>
  <c r="F194" i="10" s="1"/>
  <c r="G194" i="10" s="1"/>
  <c r="H194" i="10" s="1"/>
  <c r="I194" i="10" s="1"/>
  <c r="J194" i="10" s="1"/>
  <c r="K194" i="10" s="1"/>
  <c r="L194" i="10" s="1"/>
  <c r="M194" i="10" s="1"/>
  <c r="N194" i="10" s="1"/>
  <c r="O194" i="10" s="1"/>
  <c r="P194" i="10" s="1"/>
  <c r="Q194" i="10" s="1"/>
  <c r="R194" i="10" s="1"/>
  <c r="S194" i="10" s="1"/>
  <c r="T194" i="10" s="1"/>
  <c r="U194" i="10" s="1"/>
  <c r="V194" i="10" s="1"/>
  <c r="W194" i="10" s="1"/>
  <c r="X194" i="10" s="1"/>
  <c r="Y194" i="10" s="1"/>
  <c r="Z194" i="10" s="1"/>
  <c r="AA194" i="10" s="1"/>
  <c r="AB194" i="10" s="1"/>
  <c r="AC194" i="10" s="1"/>
  <c r="AD194" i="10" s="1"/>
  <c r="AE194" i="10" s="1"/>
  <c r="AF194" i="10" s="1"/>
  <c r="AG194" i="10" s="1"/>
  <c r="AH194" i="10" s="1"/>
  <c r="AI194" i="10" s="1"/>
  <c r="E45" i="10"/>
  <c r="F45" i="10" s="1"/>
  <c r="G45" i="10" s="1"/>
  <c r="H45" i="10" s="1"/>
  <c r="I45" i="10" s="1"/>
  <c r="J45" i="10" s="1"/>
  <c r="K45" i="10" s="1"/>
  <c r="L45" i="10" s="1"/>
  <c r="M45" i="10" s="1"/>
  <c r="N45" i="10" s="1"/>
  <c r="O45" i="10" s="1"/>
  <c r="P45" i="10" s="1"/>
  <c r="Q45" i="10" s="1"/>
  <c r="R45" i="10" s="1"/>
  <c r="S45" i="10" s="1"/>
  <c r="T45" i="10" s="1"/>
  <c r="U45" i="10" s="1"/>
  <c r="V45" i="10" s="1"/>
  <c r="W45" i="10" s="1"/>
  <c r="X45" i="10" s="1"/>
  <c r="Y45" i="10" s="1"/>
  <c r="Z45" i="10" s="1"/>
  <c r="AA45" i="10" s="1"/>
  <c r="AB45" i="10" s="1"/>
  <c r="AC45" i="10" s="1"/>
  <c r="AD45" i="10" s="1"/>
  <c r="AE45" i="10" s="1"/>
  <c r="AF45" i="10" s="1"/>
  <c r="AG45" i="10" s="1"/>
  <c r="AH45" i="10" s="1"/>
  <c r="AI45" i="10" s="1"/>
  <c r="AJ107" i="10"/>
  <c r="AK105" i="10" s="1"/>
  <c r="AN136" i="10"/>
  <c r="AJ179" i="10"/>
  <c r="AK177" i="10" s="1"/>
  <c r="AJ187" i="10"/>
  <c r="AK185" i="10" s="1"/>
  <c r="F196" i="10"/>
  <c r="G196" i="10" s="1"/>
  <c r="H196" i="10" s="1"/>
  <c r="I196" i="10" s="1"/>
  <c r="J196" i="10" s="1"/>
  <c r="K196" i="10" s="1"/>
  <c r="L196" i="10" s="1"/>
  <c r="M196" i="10" s="1"/>
  <c r="N196" i="10" s="1"/>
  <c r="O196" i="10" s="1"/>
  <c r="P196" i="10" s="1"/>
  <c r="Q196" i="10" s="1"/>
  <c r="R196" i="10" s="1"/>
  <c r="S196" i="10" s="1"/>
  <c r="T196" i="10" s="1"/>
  <c r="U196" i="10" s="1"/>
  <c r="V196" i="10" s="1"/>
  <c r="W196" i="10" s="1"/>
  <c r="X196" i="10" s="1"/>
  <c r="Y196" i="10" s="1"/>
  <c r="Z196" i="10" s="1"/>
  <c r="AA196" i="10" s="1"/>
  <c r="AB196" i="10" s="1"/>
  <c r="AC196" i="10" s="1"/>
  <c r="AD196" i="10" s="1"/>
  <c r="AE196" i="10" s="1"/>
  <c r="AF196" i="10" s="1"/>
  <c r="AG196" i="10" s="1"/>
  <c r="AH196" i="10" s="1"/>
  <c r="AI196" i="10" s="1"/>
  <c r="AN26" i="10"/>
  <c r="AJ121" i="10"/>
  <c r="AN188" i="10"/>
  <c r="G242" i="10"/>
  <c r="O242" i="10"/>
  <c r="W242" i="10"/>
  <c r="AE242" i="10"/>
  <c r="F21" i="10"/>
  <c r="G21" i="10" s="1"/>
  <c r="H21" i="10" s="1"/>
  <c r="I21" i="10" s="1"/>
  <c r="J21" i="10" s="1"/>
  <c r="K21" i="10" s="1"/>
  <c r="L21" i="10" s="1"/>
  <c r="M21" i="10" s="1"/>
  <c r="N21" i="10" s="1"/>
  <c r="O21" i="10" s="1"/>
  <c r="P21" i="10" s="1"/>
  <c r="Q21" i="10" s="1"/>
  <c r="R21" i="10" s="1"/>
  <c r="S21" i="10" s="1"/>
  <c r="T21" i="10" s="1"/>
  <c r="U21" i="10" s="1"/>
  <c r="V21" i="10" s="1"/>
  <c r="W21" i="10" s="1"/>
  <c r="X21" i="10" s="1"/>
  <c r="Y21" i="10" s="1"/>
  <c r="Z21" i="10" s="1"/>
  <c r="AA21" i="10" s="1"/>
  <c r="AB21" i="10" s="1"/>
  <c r="AC21" i="10" s="1"/>
  <c r="AD21" i="10" s="1"/>
  <c r="AE21" i="10" s="1"/>
  <c r="AF21" i="10" s="1"/>
  <c r="AG21" i="10" s="1"/>
  <c r="AH21" i="10" s="1"/>
  <c r="AI21" i="10" s="1"/>
  <c r="AJ174" i="10"/>
  <c r="AK172" i="10" s="1"/>
  <c r="H242" i="10"/>
  <c r="P242" i="10"/>
  <c r="X242" i="10"/>
  <c r="AF242" i="10"/>
  <c r="AI84" i="2"/>
  <c r="AA84" i="2"/>
  <c r="S84" i="2"/>
  <c r="K84" i="2"/>
  <c r="AG84" i="2"/>
  <c r="Y84" i="2"/>
  <c r="Q84" i="2"/>
  <c r="I84" i="2"/>
  <c r="AF84" i="2"/>
  <c r="P84" i="2"/>
  <c r="H84" i="2"/>
  <c r="E209" i="10"/>
  <c r="F209" i="10" s="1"/>
  <c r="G209" i="10" s="1"/>
  <c r="H209" i="10" s="1"/>
  <c r="I209" i="10" s="1"/>
  <c r="J209" i="10" s="1"/>
  <c r="K209" i="10" s="1"/>
  <c r="L209" i="10" s="1"/>
  <c r="M209" i="10" s="1"/>
  <c r="N209" i="10" s="1"/>
  <c r="O209" i="10" s="1"/>
  <c r="P209" i="10" s="1"/>
  <c r="Q209" i="10" s="1"/>
  <c r="R209" i="10" s="1"/>
  <c r="S209" i="10" s="1"/>
  <c r="T209" i="10" s="1"/>
  <c r="U209" i="10" s="1"/>
  <c r="V209" i="10" s="1"/>
  <c r="W209" i="10" s="1"/>
  <c r="X209" i="10" s="1"/>
  <c r="Y209" i="10" s="1"/>
  <c r="Z209" i="10" s="1"/>
  <c r="AA209" i="10" s="1"/>
  <c r="AB209" i="10" s="1"/>
  <c r="AC209" i="10" s="1"/>
  <c r="AD209" i="10" s="1"/>
  <c r="AE209" i="10" s="1"/>
  <c r="AF209" i="10" s="1"/>
  <c r="AG209" i="10" s="1"/>
  <c r="AH209" i="10" s="1"/>
  <c r="AI209" i="10" s="1"/>
  <c r="AJ205" i="10"/>
  <c r="AK203" i="10" s="1"/>
  <c r="E207" i="10"/>
  <c r="F207" i="10" s="1"/>
  <c r="G207" i="10" s="1"/>
  <c r="H207" i="10" s="1"/>
  <c r="I207" i="10" s="1"/>
  <c r="J207" i="10" s="1"/>
  <c r="K207" i="10" s="1"/>
  <c r="L207" i="10" s="1"/>
  <c r="M207" i="10" s="1"/>
  <c r="N207" i="10" s="1"/>
  <c r="O207" i="10" s="1"/>
  <c r="P207" i="10" s="1"/>
  <c r="Q207" i="10" s="1"/>
  <c r="R207" i="10" s="1"/>
  <c r="S207" i="10" s="1"/>
  <c r="T207" i="10" s="1"/>
  <c r="U207" i="10" s="1"/>
  <c r="V207" i="10" s="1"/>
  <c r="W207" i="10" s="1"/>
  <c r="X207" i="10" s="1"/>
  <c r="Y207" i="10" s="1"/>
  <c r="Z207" i="10" s="1"/>
  <c r="AA207" i="10" s="1"/>
  <c r="AB207" i="10" s="1"/>
  <c r="AC207" i="10" s="1"/>
  <c r="AD207" i="10" s="1"/>
  <c r="AE207" i="10" s="1"/>
  <c r="AF207" i="10" s="1"/>
  <c r="AG207" i="10" s="1"/>
  <c r="AH207" i="10" s="1"/>
  <c r="AI207" i="10" s="1"/>
  <c r="AJ51" i="10"/>
  <c r="AK49" i="10" s="1"/>
  <c r="AJ126" i="10"/>
  <c r="AK124" i="10" s="1"/>
  <c r="AJ17" i="10"/>
  <c r="AK15" i="10" s="1"/>
  <c r="E19" i="10"/>
  <c r="F19" i="10" s="1"/>
  <c r="G19" i="10" s="1"/>
  <c r="H19" i="10" s="1"/>
  <c r="I19" i="10" s="1"/>
  <c r="J19" i="10" s="1"/>
  <c r="K19" i="10" s="1"/>
  <c r="L19" i="10" s="1"/>
  <c r="M19" i="10" s="1"/>
  <c r="N19" i="10" s="1"/>
  <c r="O19" i="10" s="1"/>
  <c r="P19" i="10" s="1"/>
  <c r="Q19" i="10" s="1"/>
  <c r="R19" i="10" s="1"/>
  <c r="S19" i="10" s="1"/>
  <c r="T19" i="10" s="1"/>
  <c r="U19" i="10" s="1"/>
  <c r="V19" i="10" s="1"/>
  <c r="W19" i="10" s="1"/>
  <c r="X19" i="10" s="1"/>
  <c r="Y19" i="10" s="1"/>
  <c r="Z19" i="10" s="1"/>
  <c r="AA19" i="10" s="1"/>
  <c r="AB19" i="10" s="1"/>
  <c r="AC19" i="10" s="1"/>
  <c r="AD19" i="10" s="1"/>
  <c r="AE19" i="10" s="1"/>
  <c r="AF19" i="10" s="1"/>
  <c r="AG19" i="10" s="1"/>
  <c r="AH19" i="10" s="1"/>
  <c r="AI19" i="10" s="1"/>
  <c r="AJ65" i="10"/>
  <c r="AK63" i="10" s="1"/>
  <c r="AN52" i="10"/>
  <c r="AN175" i="10"/>
  <c r="AL175" i="10"/>
  <c r="AM173" i="10" s="1"/>
  <c r="AJ12" i="10"/>
  <c r="AK10" i="10" s="1"/>
  <c r="AN13" i="10"/>
  <c r="AN39" i="10"/>
  <c r="AN94" i="10"/>
  <c r="AJ93" i="10"/>
  <c r="AJ98" i="10"/>
  <c r="AK96" i="10" s="1"/>
  <c r="AJ70" i="10"/>
  <c r="AK68" i="10" s="1"/>
  <c r="F72" i="10"/>
  <c r="G72" i="10" s="1"/>
  <c r="H72" i="10" s="1"/>
  <c r="I72" i="10" s="1"/>
  <c r="J72" i="10" s="1"/>
  <c r="K72" i="10" s="1"/>
  <c r="L72" i="10" s="1"/>
  <c r="M72" i="10" s="1"/>
  <c r="N72" i="10" s="1"/>
  <c r="O72" i="10" s="1"/>
  <c r="P72" i="10" s="1"/>
  <c r="Q72" i="10" s="1"/>
  <c r="R72" i="10" s="1"/>
  <c r="S72" i="10" s="1"/>
  <c r="T72" i="10" s="1"/>
  <c r="U72" i="10" s="1"/>
  <c r="V72" i="10" s="1"/>
  <c r="W72" i="10" s="1"/>
  <c r="X72" i="10" s="1"/>
  <c r="Y72" i="10" s="1"/>
  <c r="Z72" i="10" s="1"/>
  <c r="AA72" i="10" s="1"/>
  <c r="AB72" i="10" s="1"/>
  <c r="AC72" i="10" s="1"/>
  <c r="AD72" i="10" s="1"/>
  <c r="AE72" i="10" s="1"/>
  <c r="AF72" i="10" s="1"/>
  <c r="AG72" i="10" s="1"/>
  <c r="AH72" i="10" s="1"/>
  <c r="AI72" i="10" s="1"/>
  <c r="AJ112" i="10"/>
  <c r="AK110" i="10" s="1"/>
  <c r="F114" i="10"/>
  <c r="G114" i="10" s="1"/>
  <c r="H114" i="10" s="1"/>
  <c r="I114" i="10" s="1"/>
  <c r="J114" i="10" s="1"/>
  <c r="K114" i="10" s="1"/>
  <c r="L114" i="10" s="1"/>
  <c r="M114" i="10" s="1"/>
  <c r="N114" i="10" s="1"/>
  <c r="O114" i="10" s="1"/>
  <c r="P114" i="10" s="1"/>
  <c r="Q114" i="10" s="1"/>
  <c r="R114" i="10" s="1"/>
  <c r="S114" i="10" s="1"/>
  <c r="T114" i="10" s="1"/>
  <c r="U114" i="10" s="1"/>
  <c r="V114" i="10" s="1"/>
  <c r="W114" i="10" s="1"/>
  <c r="X114" i="10" s="1"/>
  <c r="Y114" i="10" s="1"/>
  <c r="Z114" i="10" s="1"/>
  <c r="AA114" i="10" s="1"/>
  <c r="AB114" i="10" s="1"/>
  <c r="AC114" i="10" s="1"/>
  <c r="AD114" i="10" s="1"/>
  <c r="AE114" i="10" s="1"/>
  <c r="AF114" i="10" s="1"/>
  <c r="AG114" i="10" s="1"/>
  <c r="AH114" i="10" s="1"/>
  <c r="AI114" i="10" s="1"/>
  <c r="AJ153" i="10"/>
  <c r="AK151" i="10" s="1"/>
  <c r="E155" i="10"/>
  <c r="F155" i="10" s="1"/>
  <c r="G155" i="10" s="1"/>
  <c r="H155" i="10" s="1"/>
  <c r="I155" i="10" s="1"/>
  <c r="J155" i="10" s="1"/>
  <c r="K155" i="10" s="1"/>
  <c r="L155" i="10" s="1"/>
  <c r="M155" i="10" s="1"/>
  <c r="N155" i="10" s="1"/>
  <c r="O155" i="10" s="1"/>
  <c r="P155" i="10" s="1"/>
  <c r="Q155" i="10" s="1"/>
  <c r="R155" i="10" s="1"/>
  <c r="S155" i="10" s="1"/>
  <c r="T155" i="10" s="1"/>
  <c r="U155" i="10" s="1"/>
  <c r="V155" i="10" s="1"/>
  <c r="W155" i="10" s="1"/>
  <c r="X155" i="10" s="1"/>
  <c r="Y155" i="10" s="1"/>
  <c r="Z155" i="10" s="1"/>
  <c r="AA155" i="10" s="1"/>
  <c r="AB155" i="10" s="1"/>
  <c r="AC155" i="10" s="1"/>
  <c r="AD155" i="10" s="1"/>
  <c r="AE155" i="10" s="1"/>
  <c r="AF155" i="10" s="1"/>
  <c r="AG155" i="10" s="1"/>
  <c r="AH155" i="10" s="1"/>
  <c r="AI155" i="10" s="1"/>
  <c r="AJ79" i="10"/>
  <c r="AK77" i="10" s="1"/>
  <c r="AJ84" i="10"/>
  <c r="AK82" i="10" s="1"/>
  <c r="E168" i="10"/>
  <c r="F168" i="10" s="1"/>
  <c r="G168" i="10" s="1"/>
  <c r="H168" i="10" s="1"/>
  <c r="I168" i="10" s="1"/>
  <c r="J168" i="10" s="1"/>
  <c r="K168" i="10" s="1"/>
  <c r="L168" i="10" s="1"/>
  <c r="M168" i="10" s="1"/>
  <c r="N168" i="10" s="1"/>
  <c r="O168" i="10" s="1"/>
  <c r="P168" i="10" s="1"/>
  <c r="Q168" i="10" s="1"/>
  <c r="R168" i="10" s="1"/>
  <c r="S168" i="10" s="1"/>
  <c r="T168" i="10" s="1"/>
  <c r="U168" i="10" s="1"/>
  <c r="V168" i="10" s="1"/>
  <c r="W168" i="10" s="1"/>
  <c r="X168" i="10" s="1"/>
  <c r="Y168" i="10" s="1"/>
  <c r="Z168" i="10" s="1"/>
  <c r="AA168" i="10" s="1"/>
  <c r="AB168" i="10" s="1"/>
  <c r="AC168" i="10" s="1"/>
  <c r="AD168" i="10" s="1"/>
  <c r="AE168" i="10" s="1"/>
  <c r="AF168" i="10" s="1"/>
  <c r="AG168" i="10" s="1"/>
  <c r="AH168" i="10" s="1"/>
  <c r="AI168" i="10" s="1"/>
  <c r="AJ166" i="10"/>
  <c r="AK164" i="10" s="1"/>
  <c r="E89" i="10"/>
  <c r="F89" i="10" s="1"/>
  <c r="G89" i="10" s="1"/>
  <c r="H89" i="10" s="1"/>
  <c r="I89" i="10" s="1"/>
  <c r="J89" i="10" s="1"/>
  <c r="K89" i="10" s="1"/>
  <c r="L89" i="10" s="1"/>
  <c r="M89" i="10" s="1"/>
  <c r="N89" i="10" s="1"/>
  <c r="O89" i="10" s="1"/>
  <c r="P89" i="10" s="1"/>
  <c r="Q89" i="10" s="1"/>
  <c r="R89" i="10" s="1"/>
  <c r="S89" i="10" s="1"/>
  <c r="T89" i="10" s="1"/>
  <c r="U89" i="10" s="1"/>
  <c r="V89" i="10" s="1"/>
  <c r="W89" i="10" s="1"/>
  <c r="X89" i="10" s="1"/>
  <c r="Y89" i="10" s="1"/>
  <c r="Z89" i="10" s="1"/>
  <c r="AA89" i="10" s="1"/>
  <c r="AB89" i="10" s="1"/>
  <c r="AC89" i="10" s="1"/>
  <c r="AD89" i="10" s="1"/>
  <c r="AE89" i="10" s="1"/>
  <c r="AF89" i="10" s="1"/>
  <c r="AG89" i="10" s="1"/>
  <c r="AH89" i="10" s="1"/>
  <c r="AI89" i="10" s="1"/>
  <c r="AJ148" i="10"/>
  <c r="AK146" i="10" s="1"/>
  <c r="AL147" i="10"/>
  <c r="AM145" i="10" s="1"/>
  <c r="AN149" i="10"/>
  <c r="AJ200" i="10"/>
  <c r="AK198" i="10" s="1"/>
  <c r="AL199" i="10"/>
  <c r="AM197" i="10" s="1"/>
  <c r="AN201" i="10"/>
  <c r="E144" i="10"/>
  <c r="F144" i="10" s="1"/>
  <c r="G144" i="10" s="1"/>
  <c r="H144" i="10" s="1"/>
  <c r="I144" i="10" s="1"/>
  <c r="J144" i="10" s="1"/>
  <c r="K144" i="10" s="1"/>
  <c r="L144" i="10" s="1"/>
  <c r="M144" i="10" s="1"/>
  <c r="N144" i="10" s="1"/>
  <c r="O144" i="10" s="1"/>
  <c r="P144" i="10" s="1"/>
  <c r="Q144" i="10" s="1"/>
  <c r="R144" i="10" s="1"/>
  <c r="S144" i="10" s="1"/>
  <c r="T144" i="10" s="1"/>
  <c r="U144" i="10" s="1"/>
  <c r="V144" i="10" s="1"/>
  <c r="W144" i="10" s="1"/>
  <c r="X144" i="10" s="1"/>
  <c r="Y144" i="10" s="1"/>
  <c r="Z144" i="10" s="1"/>
  <c r="AA144" i="10" s="1"/>
  <c r="AB144" i="10" s="1"/>
  <c r="AC144" i="10" s="1"/>
  <c r="AD144" i="10" s="1"/>
  <c r="AE144" i="10" s="1"/>
  <c r="AF144" i="10" s="1"/>
  <c r="AG144" i="10" s="1"/>
  <c r="AH144" i="10" s="1"/>
  <c r="AI144" i="10" s="1"/>
  <c r="AJ140" i="10"/>
  <c r="AK138" i="10" s="1"/>
  <c r="E142" i="10"/>
  <c r="F142" i="10" s="1"/>
  <c r="G142" i="10" s="1"/>
  <c r="H142" i="10" s="1"/>
  <c r="I142" i="10" s="1"/>
  <c r="J142" i="10" s="1"/>
  <c r="K142" i="10" s="1"/>
  <c r="L142" i="10" s="1"/>
  <c r="M142" i="10" s="1"/>
  <c r="N142" i="10" s="1"/>
  <c r="O142" i="10" s="1"/>
  <c r="P142" i="10" s="1"/>
  <c r="Q142" i="10" s="1"/>
  <c r="R142" i="10" s="1"/>
  <c r="S142" i="10" s="1"/>
  <c r="T142" i="10" s="1"/>
  <c r="U142" i="10" s="1"/>
  <c r="V142" i="10" s="1"/>
  <c r="W142" i="10" s="1"/>
  <c r="X142" i="10" s="1"/>
  <c r="Y142" i="10" s="1"/>
  <c r="Z142" i="10" s="1"/>
  <c r="AA142" i="10" s="1"/>
  <c r="AB142" i="10" s="1"/>
  <c r="AC142" i="10" s="1"/>
  <c r="AD142" i="10" s="1"/>
  <c r="AE142" i="10" s="1"/>
  <c r="AF142" i="10" s="1"/>
  <c r="AG142" i="10" s="1"/>
  <c r="AH142" i="10" s="1"/>
  <c r="AI142" i="10" s="1"/>
  <c r="AL160" i="10"/>
  <c r="AM158" i="10" s="1"/>
  <c r="AJ161" i="10"/>
  <c r="AK159" i="10" s="1"/>
  <c r="AN162" i="10"/>
  <c r="AJ192" i="10"/>
  <c r="AK190" i="10" s="1"/>
  <c r="E183" i="10"/>
  <c r="F183" i="10" s="1"/>
  <c r="G183" i="10" s="1"/>
  <c r="H183" i="10" s="1"/>
  <c r="I183" i="10" s="1"/>
  <c r="J183" i="10" s="1"/>
  <c r="K183" i="10" s="1"/>
  <c r="L183" i="10" s="1"/>
  <c r="M183" i="10" s="1"/>
  <c r="N183" i="10" s="1"/>
  <c r="O183" i="10" s="1"/>
  <c r="P183" i="10" s="1"/>
  <c r="Q183" i="10" s="1"/>
  <c r="R183" i="10" s="1"/>
  <c r="S183" i="10" s="1"/>
  <c r="T183" i="10" s="1"/>
  <c r="U183" i="10" s="1"/>
  <c r="V183" i="10" s="1"/>
  <c r="W183" i="10" s="1"/>
  <c r="X183" i="10" s="1"/>
  <c r="Y183" i="10" s="1"/>
  <c r="Z183" i="10" s="1"/>
  <c r="AA183" i="10" s="1"/>
  <c r="AB183" i="10" s="1"/>
  <c r="AC183" i="10" s="1"/>
  <c r="AD183" i="10" s="1"/>
  <c r="AE183" i="10" s="1"/>
  <c r="AF183" i="10" s="1"/>
  <c r="AG183" i="10" s="1"/>
  <c r="AH183" i="10" s="1"/>
  <c r="AI183" i="10" s="1"/>
  <c r="AJ213" i="10"/>
  <c r="AK211" i="10" s="1"/>
  <c r="AL212" i="10"/>
  <c r="AM210" i="10" s="1"/>
  <c r="AN214" i="10"/>
  <c r="AN227" i="10"/>
  <c r="AJ226" i="10"/>
  <c r="AK224" i="10" s="1"/>
  <c r="AJ218" i="10"/>
  <c r="AK216" i="10" s="1"/>
  <c r="E220" i="10"/>
  <c r="F220" i="10" s="1"/>
  <c r="G220" i="10" s="1"/>
  <c r="H220" i="10" s="1"/>
  <c r="I220" i="10" s="1"/>
  <c r="J220" i="10" s="1"/>
  <c r="K220" i="10" s="1"/>
  <c r="L220" i="10" s="1"/>
  <c r="M220" i="10" s="1"/>
  <c r="N220" i="10" s="1"/>
  <c r="O220" i="10" s="1"/>
  <c r="P220" i="10" s="1"/>
  <c r="Q220" i="10" s="1"/>
  <c r="R220" i="10" s="1"/>
  <c r="S220" i="10" s="1"/>
  <c r="T220" i="10" s="1"/>
  <c r="U220" i="10" s="1"/>
  <c r="V220" i="10" s="1"/>
  <c r="W220" i="10" s="1"/>
  <c r="X220" i="10" s="1"/>
  <c r="Y220" i="10" s="1"/>
  <c r="Z220" i="10" s="1"/>
  <c r="AA220" i="10" s="1"/>
  <c r="AB220" i="10" s="1"/>
  <c r="AC220" i="10" s="1"/>
  <c r="AD220" i="10" s="1"/>
  <c r="AE220" i="10" s="1"/>
  <c r="AF220" i="10" s="1"/>
  <c r="AG220" i="10" s="1"/>
  <c r="AH220" i="10" s="1"/>
  <c r="AI220" i="10" s="1"/>
  <c r="K242" i="10"/>
  <c r="S242" i="10"/>
  <c r="AA242" i="10"/>
  <c r="AI242" i="10"/>
  <c r="AJ231" i="10"/>
  <c r="AK229" i="10" s="1"/>
  <c r="E236" i="10"/>
  <c r="F236" i="10" s="1"/>
  <c r="G236" i="10" s="1"/>
  <c r="H236" i="10" s="1"/>
  <c r="I236" i="10" s="1"/>
  <c r="J236" i="10" s="1"/>
  <c r="K236" i="10" s="1"/>
  <c r="L236" i="10" s="1"/>
  <c r="M236" i="10" s="1"/>
  <c r="N236" i="10" s="1"/>
  <c r="O236" i="10" s="1"/>
  <c r="P236" i="10" s="1"/>
  <c r="Q236" i="10" s="1"/>
  <c r="R236" i="10" s="1"/>
  <c r="S236" i="10" s="1"/>
  <c r="T236" i="10" s="1"/>
  <c r="U236" i="10" s="1"/>
  <c r="V236" i="10" s="1"/>
  <c r="W236" i="10" s="1"/>
  <c r="X236" i="10" s="1"/>
  <c r="Y236" i="10" s="1"/>
  <c r="Z236" i="10" s="1"/>
  <c r="AA236" i="10" s="1"/>
  <c r="AB236" i="10" s="1"/>
  <c r="AC236" i="10" s="1"/>
  <c r="AD236" i="10" s="1"/>
  <c r="AE236" i="10" s="1"/>
  <c r="AF236" i="10" s="1"/>
  <c r="AG236" i="10" s="1"/>
  <c r="AH236" i="10" s="1"/>
  <c r="AI236" i="10" s="1"/>
  <c r="AO80" i="10" l="1"/>
  <c r="AK236" i="10"/>
  <c r="AK237" i="10"/>
  <c r="AO201" i="10"/>
  <c r="AO149" i="10"/>
  <c r="AO214" i="10"/>
  <c r="AO162" i="10"/>
  <c r="AO188" i="10"/>
  <c r="AK235" i="10"/>
  <c r="AM226" i="10"/>
  <c r="AO175" i="10"/>
  <c r="AO227" i="10"/>
  <c r="AK91" i="10"/>
  <c r="AO122" i="10"/>
  <c r="AK119" i="10"/>
  <c r="AO52" i="10"/>
  <c r="AE63" i="10"/>
  <c r="AB63" i="10"/>
  <c r="AO108" i="10"/>
  <c r="AO136" i="10"/>
  <c r="AE23" i="10"/>
  <c r="AB23" i="10"/>
  <c r="AB224" i="10"/>
  <c r="AE224" i="10"/>
  <c r="AL135" i="10"/>
  <c r="AM133" i="10" s="1"/>
  <c r="AL161" i="10"/>
  <c r="AM159" i="10" s="1"/>
  <c r="AL200" i="10"/>
  <c r="AM198" i="10" s="1"/>
  <c r="AL148" i="10"/>
  <c r="AM146" i="10" s="1"/>
  <c r="AL213" i="10"/>
  <c r="AM211" i="10" s="1"/>
  <c r="AL174" i="10"/>
  <c r="AM172" i="10" s="1"/>
  <c r="AL187" i="10"/>
  <c r="AM185" i="10" s="1"/>
  <c r="AB49" i="10"/>
  <c r="AE49" i="10"/>
  <c r="AQ246" i="10"/>
  <c r="AB119" i="10"/>
  <c r="AE119" i="10"/>
  <c r="AU88" i="2"/>
  <c r="AR246" i="10"/>
  <c r="AT246" i="10"/>
  <c r="AR88" i="2"/>
  <c r="AS88" i="2"/>
  <c r="AE91" i="10"/>
  <c r="AB91" i="10"/>
  <c r="AQ90" i="2"/>
  <c r="AU248" i="10"/>
  <c r="AS248" i="10"/>
  <c r="AV244" i="10"/>
  <c r="AJ242" i="10"/>
  <c r="AK240" i="10" s="1"/>
  <c r="AT248" i="10"/>
  <c r="AF63" i="10" l="1"/>
  <c r="AC63" i="10"/>
  <c r="AG63" i="10" s="1"/>
  <c r="AF23" i="10"/>
  <c r="AC23" i="10"/>
  <c r="AG23" i="10" s="1"/>
  <c r="AF224" i="10"/>
  <c r="AC224" i="10"/>
  <c r="AG224" i="10" s="1"/>
  <c r="AF49" i="10"/>
  <c r="AC49" i="10"/>
  <c r="AG49" i="10" s="1"/>
  <c r="AC119" i="10"/>
  <c r="AG119" i="10" s="1"/>
  <c r="AF119" i="10"/>
  <c r="AV246" i="10"/>
  <c r="AF91" i="10"/>
  <c r="AC91" i="10"/>
  <c r="AG91" i="10" s="1"/>
  <c r="AR248" i="10"/>
  <c r="AV245" i="10"/>
  <c r="AQ248" i="10"/>
  <c r="AV247" i="10"/>
  <c r="AV248" i="10" l="1"/>
  <c r="O70" i="9"/>
  <c r="H70" i="9"/>
  <c r="AI17" i="9"/>
  <c r="AH17" i="9"/>
  <c r="AG17" i="9"/>
  <c r="AF17" i="9"/>
  <c r="AF20" i="9" s="1"/>
  <c r="AE17" i="9"/>
  <c r="AE20" i="9" s="1"/>
  <c r="AD17" i="9"/>
  <c r="AC17" i="9"/>
  <c r="AB17" i="9"/>
  <c r="AA17" i="9"/>
  <c r="Z17" i="9"/>
  <c r="Y17" i="9"/>
  <c r="Y20" i="9" s="1"/>
  <c r="X17" i="9"/>
  <c r="W17" i="9"/>
  <c r="V17" i="9"/>
  <c r="U17" i="9"/>
  <c r="T17" i="9"/>
  <c r="S17" i="9"/>
  <c r="S20" i="9" s="1"/>
  <c r="R17" i="9"/>
  <c r="R20" i="9" s="1"/>
  <c r="Q17" i="9"/>
  <c r="P17" i="9"/>
  <c r="O17" i="9"/>
  <c r="N17" i="9"/>
  <c r="M17" i="9"/>
  <c r="L17" i="9"/>
  <c r="K17" i="9"/>
  <c r="J17" i="9"/>
  <c r="I17" i="9"/>
  <c r="H17" i="9"/>
  <c r="G17" i="9"/>
  <c r="F17" i="9"/>
  <c r="AJ15" i="9"/>
  <c r="AJ69" i="9" s="1"/>
  <c r="AJ14" i="9"/>
  <c r="AJ68" i="9" s="1"/>
  <c r="AJ13" i="9"/>
  <c r="AJ67" i="9" s="1"/>
  <c r="AI12" i="9"/>
  <c r="AH12" i="9"/>
  <c r="AG12" i="9"/>
  <c r="AF12" i="9"/>
  <c r="AE12" i="9"/>
  <c r="AD12" i="9"/>
  <c r="AC12" i="9"/>
  <c r="AA12" i="9"/>
  <c r="Z12" i="9"/>
  <c r="Y12" i="9"/>
  <c r="X12" i="9"/>
  <c r="W12" i="9"/>
  <c r="Q12" i="9"/>
  <c r="N12" i="9"/>
  <c r="L12" i="9"/>
  <c r="K12" i="9"/>
  <c r="J12" i="9"/>
  <c r="H12" i="9"/>
  <c r="G12" i="9"/>
  <c r="F12" i="9"/>
  <c r="E10" i="9"/>
  <c r="F10" i="9" s="1"/>
  <c r="G10" i="9" s="1"/>
  <c r="H10" i="9" s="1"/>
  <c r="I10" i="9" s="1"/>
  <c r="J10" i="9" s="1"/>
  <c r="K10" i="9" s="1"/>
  <c r="L10" i="9" s="1"/>
  <c r="M10" i="9" s="1"/>
  <c r="N10" i="9" s="1"/>
  <c r="O10" i="9" s="1"/>
  <c r="P10" i="9" s="1"/>
  <c r="Q10" i="9" s="1"/>
  <c r="R10" i="9" s="1"/>
  <c r="S10" i="9" s="1"/>
  <c r="T10" i="9" s="1"/>
  <c r="U10" i="9" s="1"/>
  <c r="V10" i="9" s="1"/>
  <c r="W10" i="9" s="1"/>
  <c r="X10" i="9" s="1"/>
  <c r="Y10" i="9" s="1"/>
  <c r="Z10" i="9" s="1"/>
  <c r="AJ9" i="9"/>
  <c r="F8" i="9"/>
  <c r="G8" i="9" s="1"/>
  <c r="H8" i="9" s="1"/>
  <c r="I8" i="9" s="1"/>
  <c r="J8" i="9" s="1"/>
  <c r="K8" i="9" s="1"/>
  <c r="L8" i="9" s="1"/>
  <c r="M8" i="9" s="1"/>
  <c r="N8" i="9" s="1"/>
  <c r="O8" i="9" s="1"/>
  <c r="P8" i="9" s="1"/>
  <c r="Q8" i="9" s="1"/>
  <c r="R8" i="9" s="1"/>
  <c r="S8" i="9" s="1"/>
  <c r="T8" i="9" s="1"/>
  <c r="U8" i="9" s="1"/>
  <c r="V8" i="9" s="1"/>
  <c r="W8" i="9" s="1"/>
  <c r="X8" i="9" s="1"/>
  <c r="Y8" i="9" s="1"/>
  <c r="Z8" i="9" s="1"/>
  <c r="AA8" i="9" s="1"/>
  <c r="AB8" i="9" s="1"/>
  <c r="AC8" i="9" s="1"/>
  <c r="AD8" i="9" s="1"/>
  <c r="AE8" i="9" s="1"/>
  <c r="AF8" i="9" s="1"/>
  <c r="AG8" i="9" s="1"/>
  <c r="AH8" i="9" s="1"/>
  <c r="AI8" i="9" s="1"/>
  <c r="F583" i="3"/>
  <c r="G583" i="3"/>
  <c r="H583" i="3"/>
  <c r="I583" i="3"/>
  <c r="J583" i="3"/>
  <c r="K583" i="3"/>
  <c r="L583" i="3"/>
  <c r="M583" i="3"/>
  <c r="N583" i="3"/>
  <c r="O583" i="3"/>
  <c r="P583" i="3"/>
  <c r="Q583" i="3"/>
  <c r="R583" i="3"/>
  <c r="S583" i="3"/>
  <c r="T583" i="3"/>
  <c r="V583" i="3"/>
  <c r="W583" i="3"/>
  <c r="X583" i="3"/>
  <c r="Y583" i="3"/>
  <c r="Z583" i="3"/>
  <c r="AA583" i="3"/>
  <c r="AB583" i="3"/>
  <c r="AC583" i="3"/>
  <c r="AD583" i="3"/>
  <c r="AF583" i="3"/>
  <c r="AG583" i="3"/>
  <c r="AH583" i="3"/>
  <c r="AI583" i="3"/>
  <c r="F584" i="3"/>
  <c r="G584" i="3"/>
  <c r="H584" i="3"/>
  <c r="I584" i="3"/>
  <c r="J584" i="3"/>
  <c r="K584" i="3"/>
  <c r="L584" i="3"/>
  <c r="M584" i="3"/>
  <c r="N584" i="3"/>
  <c r="O584" i="3"/>
  <c r="P584" i="3"/>
  <c r="R584" i="3"/>
  <c r="S584" i="3"/>
  <c r="T584" i="3"/>
  <c r="U584" i="3"/>
  <c r="V584" i="3"/>
  <c r="W584" i="3"/>
  <c r="X584" i="3"/>
  <c r="Y584" i="3"/>
  <c r="Z584" i="3"/>
  <c r="AA584" i="3"/>
  <c r="AB584" i="3"/>
  <c r="AC584" i="3"/>
  <c r="AD584" i="3"/>
  <c r="AE584" i="3"/>
  <c r="AF584" i="3"/>
  <c r="AG584" i="3"/>
  <c r="AI584" i="3"/>
  <c r="F585" i="3"/>
  <c r="G585" i="3"/>
  <c r="H585" i="3"/>
  <c r="I585" i="3"/>
  <c r="J585" i="3"/>
  <c r="K585" i="3"/>
  <c r="L585" i="3"/>
  <c r="M585" i="3"/>
  <c r="N585" i="3"/>
  <c r="O585" i="3"/>
  <c r="P585" i="3"/>
  <c r="R585" i="3"/>
  <c r="S585" i="3"/>
  <c r="T585" i="3"/>
  <c r="U585" i="3"/>
  <c r="V585" i="3"/>
  <c r="W585" i="3"/>
  <c r="X585" i="3"/>
  <c r="Y585" i="3"/>
  <c r="Z585" i="3"/>
  <c r="AA585" i="3"/>
  <c r="AB585" i="3"/>
  <c r="AC585" i="3"/>
  <c r="AD585" i="3"/>
  <c r="AE585" i="3"/>
  <c r="AF585" i="3"/>
  <c r="AG585" i="3"/>
  <c r="AH585" i="3"/>
  <c r="AI585" i="3"/>
  <c r="F586" i="3"/>
  <c r="G586" i="3"/>
  <c r="H586" i="3"/>
  <c r="I586" i="3"/>
  <c r="J586" i="3"/>
  <c r="K586" i="3"/>
  <c r="L586" i="3"/>
  <c r="M586" i="3"/>
  <c r="N586" i="3"/>
  <c r="O586" i="3"/>
  <c r="P586" i="3"/>
  <c r="Q586" i="3"/>
  <c r="R586" i="3"/>
  <c r="S586" i="3"/>
  <c r="T586" i="3"/>
  <c r="U586" i="3"/>
  <c r="V586" i="3"/>
  <c r="W586" i="3"/>
  <c r="X586" i="3"/>
  <c r="Y586" i="3"/>
  <c r="Z586" i="3"/>
  <c r="AA586" i="3"/>
  <c r="AB586" i="3"/>
  <c r="AC586" i="3"/>
  <c r="AD586" i="3"/>
  <c r="AE586" i="3"/>
  <c r="AF586" i="3"/>
  <c r="AG586" i="3"/>
  <c r="AH586" i="3"/>
  <c r="AI586" i="3"/>
  <c r="F587" i="3"/>
  <c r="G587" i="3"/>
  <c r="H587" i="3"/>
  <c r="I587" i="3"/>
  <c r="J587" i="3"/>
  <c r="K587" i="3"/>
  <c r="L587" i="3"/>
  <c r="M587" i="3"/>
  <c r="N587" i="3"/>
  <c r="O587" i="3"/>
  <c r="P587" i="3"/>
  <c r="R587" i="3"/>
  <c r="S587" i="3"/>
  <c r="T587" i="3"/>
  <c r="U587" i="3"/>
  <c r="V587" i="3"/>
  <c r="W587" i="3"/>
  <c r="X587" i="3"/>
  <c r="Y587" i="3"/>
  <c r="Z587" i="3"/>
  <c r="AA587" i="3"/>
  <c r="AB587" i="3"/>
  <c r="AC587" i="3"/>
  <c r="AD587" i="3"/>
  <c r="AE587" i="3"/>
  <c r="AF587" i="3"/>
  <c r="AG587" i="3"/>
  <c r="AH587" i="3"/>
  <c r="AI587" i="3"/>
  <c r="E587" i="3"/>
  <c r="E586" i="3"/>
  <c r="E585" i="3"/>
  <c r="AS31" i="7"/>
  <c r="AT31" i="7"/>
  <c r="AR31" i="7"/>
  <c r="AQ31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E27" i="7"/>
  <c r="E26" i="7"/>
  <c r="E25" i="7"/>
  <c r="E24" i="7"/>
  <c r="E23" i="7"/>
  <c r="AT34" i="7"/>
  <c r="AU32" i="7"/>
  <c r="AU31" i="7"/>
  <c r="F8" i="8"/>
  <c r="G8" i="8" s="1"/>
  <c r="H8" i="8" s="1"/>
  <c r="I8" i="8" s="1"/>
  <c r="J8" i="8" s="1"/>
  <c r="K8" i="8" s="1"/>
  <c r="L8" i="8" s="1"/>
  <c r="M8" i="8" s="1"/>
  <c r="N8" i="8" s="1"/>
  <c r="O8" i="8" s="1"/>
  <c r="P8" i="8" s="1"/>
  <c r="Q8" i="8" s="1"/>
  <c r="R8" i="8" s="1"/>
  <c r="S8" i="8" s="1"/>
  <c r="T8" i="8" s="1"/>
  <c r="U8" i="8" s="1"/>
  <c r="V8" i="8" s="1"/>
  <c r="W8" i="8" s="1"/>
  <c r="X8" i="8" s="1"/>
  <c r="Y8" i="8" s="1"/>
  <c r="Z8" i="8" s="1"/>
  <c r="AA8" i="8" s="1"/>
  <c r="AB8" i="8" s="1"/>
  <c r="AC8" i="8" s="1"/>
  <c r="AD8" i="8" s="1"/>
  <c r="AE8" i="8" s="1"/>
  <c r="AF8" i="8" s="1"/>
  <c r="AG8" i="8" s="1"/>
  <c r="AH8" i="8" s="1"/>
  <c r="AI8" i="8" s="1"/>
  <c r="AI45" i="8"/>
  <c r="AH45" i="8"/>
  <c r="AG45" i="8"/>
  <c r="AF45" i="8"/>
  <c r="AE45" i="8"/>
  <c r="AD45" i="8"/>
  <c r="AC45" i="8"/>
  <c r="AB45" i="8"/>
  <c r="AA45" i="8"/>
  <c r="AA48" i="8" s="1"/>
  <c r="Z45" i="8"/>
  <c r="Z48" i="8" s="1"/>
  <c r="Y45" i="8"/>
  <c r="Y48" i="8" s="1"/>
  <c r="X45" i="8"/>
  <c r="X48" i="8" s="1"/>
  <c r="W45" i="8"/>
  <c r="W48" i="8" s="1"/>
  <c r="V45" i="8"/>
  <c r="V48" i="8" s="1"/>
  <c r="U45" i="8"/>
  <c r="U48" i="8" s="1"/>
  <c r="T45" i="8"/>
  <c r="T48" i="8" s="1"/>
  <c r="S45" i="8"/>
  <c r="S48" i="8" s="1"/>
  <c r="R45" i="8"/>
  <c r="R48" i="8" s="1"/>
  <c r="Q45" i="8"/>
  <c r="Q48" i="8" s="1"/>
  <c r="P45" i="8"/>
  <c r="P48" i="8" s="1"/>
  <c r="O45" i="8"/>
  <c r="O48" i="8" s="1"/>
  <c r="N45" i="8"/>
  <c r="N48" i="8" s="1"/>
  <c r="M45" i="8"/>
  <c r="M48" i="8" s="1"/>
  <c r="L45" i="8"/>
  <c r="L48" i="8" s="1"/>
  <c r="K45" i="8"/>
  <c r="K48" i="8" s="1"/>
  <c r="J45" i="8"/>
  <c r="J48" i="8" s="1"/>
  <c r="I45" i="8"/>
  <c r="I48" i="8" s="1"/>
  <c r="H45" i="8"/>
  <c r="H48" i="8" s="1"/>
  <c r="G45" i="8"/>
  <c r="G48" i="8" s="1"/>
  <c r="F45" i="8"/>
  <c r="E45" i="8"/>
  <c r="AJ43" i="8"/>
  <c r="AJ42" i="8"/>
  <c r="AJ41" i="8"/>
  <c r="AI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S40" i="8"/>
  <c r="R40" i="8"/>
  <c r="Q40" i="8"/>
  <c r="P40" i="8"/>
  <c r="O40" i="8"/>
  <c r="N40" i="8"/>
  <c r="M40" i="8"/>
  <c r="L40" i="8"/>
  <c r="K40" i="8"/>
  <c r="J40" i="8"/>
  <c r="I40" i="8"/>
  <c r="G40" i="8"/>
  <c r="F40" i="8"/>
  <c r="AJ39" i="8"/>
  <c r="AI38" i="8"/>
  <c r="E38" i="8"/>
  <c r="F38" i="8" s="1"/>
  <c r="G38" i="8" s="1"/>
  <c r="AI17" i="8"/>
  <c r="AH17" i="8"/>
  <c r="AG17" i="8"/>
  <c r="AF17" i="8"/>
  <c r="AE17" i="8"/>
  <c r="AE20" i="8" s="1"/>
  <c r="AD17" i="8"/>
  <c r="AD20" i="8" s="1"/>
  <c r="AC17" i="8"/>
  <c r="AC20" i="8" s="1"/>
  <c r="AB17" i="8"/>
  <c r="AA17" i="8"/>
  <c r="AA20" i="8" s="1"/>
  <c r="Z17" i="8"/>
  <c r="Z20" i="8" s="1"/>
  <c r="Y17" i="8"/>
  <c r="Y20" i="8" s="1"/>
  <c r="X17" i="8"/>
  <c r="W17" i="8"/>
  <c r="V17" i="8"/>
  <c r="V20" i="8" s="1"/>
  <c r="W20" i="8" s="1"/>
  <c r="X20" i="8" s="1"/>
  <c r="U17" i="8"/>
  <c r="U20" i="8" s="1"/>
  <c r="T17" i="8"/>
  <c r="T20" i="8" s="1"/>
  <c r="S17" i="8"/>
  <c r="S20" i="8" s="1"/>
  <c r="R17" i="8"/>
  <c r="R20" i="8" s="1"/>
  <c r="Q17" i="8"/>
  <c r="Q20" i="8" s="1"/>
  <c r="P17" i="8"/>
  <c r="P20" i="8" s="1"/>
  <c r="O17" i="8"/>
  <c r="O20" i="8" s="1"/>
  <c r="N17" i="8"/>
  <c r="M17" i="8"/>
  <c r="L17" i="8"/>
  <c r="K17" i="8"/>
  <c r="J17" i="8"/>
  <c r="I17" i="8"/>
  <c r="H17" i="8"/>
  <c r="G17" i="8"/>
  <c r="F17" i="8"/>
  <c r="E17" i="8"/>
  <c r="E20" i="8" s="1"/>
  <c r="AJ15" i="8"/>
  <c r="AK13" i="8" s="1"/>
  <c r="AJ14" i="8"/>
  <c r="AJ13" i="8"/>
  <c r="AK11" i="8" s="1"/>
  <c r="AI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R12" i="8"/>
  <c r="Q12" i="8"/>
  <c r="P12" i="8"/>
  <c r="O12" i="8"/>
  <c r="N12" i="8"/>
  <c r="M12" i="8"/>
  <c r="K12" i="8"/>
  <c r="J12" i="8"/>
  <c r="G12" i="8"/>
  <c r="F12" i="8"/>
  <c r="AJ11" i="8"/>
  <c r="AK9" i="8" s="1"/>
  <c r="H27" i="13" s="1"/>
  <c r="AI10" i="8"/>
  <c r="E10" i="8"/>
  <c r="F10" i="8" s="1"/>
  <c r="G10" i="8" s="1"/>
  <c r="H10" i="8" s="1"/>
  <c r="I10" i="8" s="1"/>
  <c r="J10" i="8" s="1"/>
  <c r="K10" i="8" s="1"/>
  <c r="L10" i="8" s="1"/>
  <c r="M10" i="8" s="1"/>
  <c r="N10" i="8" s="1"/>
  <c r="O10" i="8" s="1"/>
  <c r="P10" i="8" s="1"/>
  <c r="Q10" i="8" s="1"/>
  <c r="R10" i="8" s="1"/>
  <c r="S10" i="8" s="1"/>
  <c r="T10" i="8" s="1"/>
  <c r="U10" i="8" s="1"/>
  <c r="V10" i="8" s="1"/>
  <c r="W10" i="8" s="1"/>
  <c r="X10" i="8" s="1"/>
  <c r="Y10" i="8" s="1"/>
  <c r="Z10" i="8" s="1"/>
  <c r="AJ9" i="8"/>
  <c r="AI17" i="7"/>
  <c r="AH17" i="7"/>
  <c r="AH20" i="7" s="1"/>
  <c r="AG17" i="7"/>
  <c r="AG20" i="7" s="1"/>
  <c r="AF17" i="7"/>
  <c r="AF20" i="7" s="1"/>
  <c r="AE17" i="7"/>
  <c r="AE20" i="7" s="1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AJ15" i="7"/>
  <c r="AJ14" i="7"/>
  <c r="AJ13" i="7"/>
  <c r="AI12" i="7"/>
  <c r="AH12" i="7"/>
  <c r="AG12" i="7"/>
  <c r="AF12" i="7"/>
  <c r="AE12" i="7"/>
  <c r="AD12" i="7"/>
  <c r="AC12" i="7"/>
  <c r="Z12" i="7"/>
  <c r="Y12" i="7"/>
  <c r="X12" i="7"/>
  <c r="W12" i="7"/>
  <c r="V12" i="7"/>
  <c r="T12" i="7"/>
  <c r="S12" i="7"/>
  <c r="R12" i="7"/>
  <c r="Q12" i="7"/>
  <c r="N12" i="7"/>
  <c r="M12" i="7"/>
  <c r="L12" i="7"/>
  <c r="J12" i="7"/>
  <c r="I12" i="7"/>
  <c r="H12" i="7"/>
  <c r="G12" i="7"/>
  <c r="F12" i="7"/>
  <c r="E12" i="7"/>
  <c r="AJ11" i="7"/>
  <c r="E10" i="7"/>
  <c r="F10" i="7" s="1"/>
  <c r="G10" i="7" s="1"/>
  <c r="H10" i="7" s="1"/>
  <c r="I10" i="7" s="1"/>
  <c r="J10" i="7" s="1"/>
  <c r="K10" i="7" s="1"/>
  <c r="L10" i="7" s="1"/>
  <c r="M10" i="7" s="1"/>
  <c r="N10" i="7" s="1"/>
  <c r="O10" i="7" s="1"/>
  <c r="P10" i="7" s="1"/>
  <c r="Q10" i="7" s="1"/>
  <c r="R10" i="7" s="1"/>
  <c r="S10" i="7" s="1"/>
  <c r="T10" i="7" s="1"/>
  <c r="U10" i="7" s="1"/>
  <c r="V10" i="7" s="1"/>
  <c r="W10" i="7" s="1"/>
  <c r="X10" i="7" s="1"/>
  <c r="Y10" i="7" s="1"/>
  <c r="Z10" i="7" s="1"/>
  <c r="F8" i="7"/>
  <c r="G8" i="7" s="1"/>
  <c r="H8" i="7" s="1"/>
  <c r="I8" i="7" s="1"/>
  <c r="J8" i="7" s="1"/>
  <c r="K8" i="7" s="1"/>
  <c r="L8" i="7" s="1"/>
  <c r="M8" i="7" s="1"/>
  <c r="N8" i="7" s="1"/>
  <c r="O8" i="7" s="1"/>
  <c r="P8" i="7" s="1"/>
  <c r="Q8" i="7" s="1"/>
  <c r="R8" i="7" s="1"/>
  <c r="S8" i="7" s="1"/>
  <c r="T8" i="7" s="1"/>
  <c r="U8" i="7" s="1"/>
  <c r="V8" i="7" s="1"/>
  <c r="W8" i="7" s="1"/>
  <c r="X8" i="7" s="1"/>
  <c r="Y8" i="7" s="1"/>
  <c r="Z8" i="7" s="1"/>
  <c r="AA8" i="7" s="1"/>
  <c r="AB8" i="7" s="1"/>
  <c r="AC8" i="7" s="1"/>
  <c r="AD8" i="7" s="1"/>
  <c r="AE8" i="7" s="1"/>
  <c r="AF8" i="7" s="1"/>
  <c r="AG8" i="7" s="1"/>
  <c r="AH8" i="7" s="1"/>
  <c r="AI8" i="7" s="1"/>
  <c r="AJ65" i="9" l="1"/>
  <c r="AK63" i="9" s="1"/>
  <c r="G25" i="13"/>
  <c r="AO9" i="8"/>
  <c r="G27" i="13"/>
  <c r="K27" i="13" s="1"/>
  <c r="L27" i="13" s="1"/>
  <c r="E20" i="7"/>
  <c r="E22" i="7"/>
  <c r="E50" i="8"/>
  <c r="E47" i="8"/>
  <c r="E19" i="7"/>
  <c r="AK37" i="8"/>
  <c r="H29" i="13" s="1"/>
  <c r="K29" i="13" s="1"/>
  <c r="L29" i="13" s="1"/>
  <c r="AJ52" i="8"/>
  <c r="AK41" i="8"/>
  <c r="AJ55" i="8"/>
  <c r="AK53" i="8" s="1"/>
  <c r="AK39" i="8"/>
  <c r="AK40" i="8"/>
  <c r="AJ54" i="8"/>
  <c r="AK52" i="8" s="1"/>
  <c r="AK66" i="9"/>
  <c r="AK12" i="9"/>
  <c r="AK67" i="9"/>
  <c r="AK13" i="9"/>
  <c r="AK11" i="9"/>
  <c r="AJ27" i="7"/>
  <c r="AK25" i="7" s="1"/>
  <c r="AK13" i="7"/>
  <c r="AJ26" i="7"/>
  <c r="AK24" i="7" s="1"/>
  <c r="AK12" i="7"/>
  <c r="AJ25" i="7"/>
  <c r="AK11" i="7"/>
  <c r="AK9" i="7"/>
  <c r="AK12" i="8"/>
  <c r="F20" i="8"/>
  <c r="AI28" i="7"/>
  <c r="F22" i="7"/>
  <c r="G22" i="7" s="1"/>
  <c r="H22" i="7" s="1"/>
  <c r="I22" i="7" s="1"/>
  <c r="J22" i="7" s="1"/>
  <c r="K22" i="7" s="1"/>
  <c r="L22" i="7" s="1"/>
  <c r="M22" i="7" s="1"/>
  <c r="N22" i="7" s="1"/>
  <c r="O22" i="7" s="1"/>
  <c r="P22" i="7" s="1"/>
  <c r="Q22" i="7" s="1"/>
  <c r="R22" i="7" s="1"/>
  <c r="S22" i="7" s="1"/>
  <c r="T22" i="7" s="1"/>
  <c r="U22" i="7" s="1"/>
  <c r="V22" i="7" s="1"/>
  <c r="W22" i="7" s="1"/>
  <c r="X22" i="7" s="1"/>
  <c r="Y22" i="7" s="1"/>
  <c r="Z22" i="7" s="1"/>
  <c r="AA22" i="7" s="1"/>
  <c r="AB22" i="7" s="1"/>
  <c r="AC22" i="7" s="1"/>
  <c r="AD22" i="7" s="1"/>
  <c r="AE22" i="7" s="1"/>
  <c r="AF22" i="7" s="1"/>
  <c r="AG22" i="7" s="1"/>
  <c r="AH22" i="7" s="1"/>
  <c r="AI22" i="7" s="1"/>
  <c r="F19" i="7"/>
  <c r="G19" i="7" s="1"/>
  <c r="H19" i="7" s="1"/>
  <c r="I19" i="7" s="1"/>
  <c r="J19" i="7" s="1"/>
  <c r="K19" i="7" s="1"/>
  <c r="L19" i="7" s="1"/>
  <c r="M19" i="7" s="1"/>
  <c r="N19" i="7" s="1"/>
  <c r="O19" i="7" s="1"/>
  <c r="P19" i="7" s="1"/>
  <c r="Q19" i="7" s="1"/>
  <c r="R19" i="7" s="1"/>
  <c r="S19" i="7" s="1"/>
  <c r="T19" i="7" s="1"/>
  <c r="U19" i="7" s="1"/>
  <c r="V19" i="7" s="1"/>
  <c r="W19" i="7" s="1"/>
  <c r="X19" i="7" s="1"/>
  <c r="Y19" i="7" s="1"/>
  <c r="Z19" i="7" s="1"/>
  <c r="AA19" i="7" s="1"/>
  <c r="AB19" i="7" s="1"/>
  <c r="AC19" i="7" s="1"/>
  <c r="AD19" i="7" s="1"/>
  <c r="AE19" i="7" s="1"/>
  <c r="AF19" i="7" s="1"/>
  <c r="AG19" i="7" s="1"/>
  <c r="AH19" i="7" s="1"/>
  <c r="AI19" i="7" s="1"/>
  <c r="AA10" i="8"/>
  <c r="AB10" i="8" s="1"/>
  <c r="AF10" i="8" s="1"/>
  <c r="AD10" i="8"/>
  <c r="AH10" i="8" s="1"/>
  <c r="AB20" i="8"/>
  <c r="AA28" i="7"/>
  <c r="Z20" i="9"/>
  <c r="AA20" i="9" s="1"/>
  <c r="G20" i="8"/>
  <c r="H20" i="8" s="1"/>
  <c r="I20" i="8" s="1"/>
  <c r="J20" i="8" s="1"/>
  <c r="K20" i="8" s="1"/>
  <c r="L20" i="8" s="1"/>
  <c r="M20" i="8" s="1"/>
  <c r="N20" i="8" s="1"/>
  <c r="F47" i="8"/>
  <c r="G47" i="8" s="1"/>
  <c r="H47" i="8" s="1"/>
  <c r="I47" i="8" s="1"/>
  <c r="J47" i="8" s="1"/>
  <c r="K47" i="8" s="1"/>
  <c r="L47" i="8" s="1"/>
  <c r="M47" i="8" s="1"/>
  <c r="N47" i="8" s="1"/>
  <c r="O47" i="8" s="1"/>
  <c r="P47" i="8" s="1"/>
  <c r="Q47" i="8" s="1"/>
  <c r="R47" i="8" s="1"/>
  <c r="S47" i="8" s="1"/>
  <c r="T47" i="8" s="1"/>
  <c r="U47" i="8" s="1"/>
  <c r="V47" i="8" s="1"/>
  <c r="W47" i="8" s="1"/>
  <c r="X47" i="8" s="1"/>
  <c r="Y47" i="8" s="1"/>
  <c r="Z47" i="8" s="1"/>
  <c r="AA47" i="8" s="1"/>
  <c r="AB47" i="8" s="1"/>
  <c r="AC47" i="8" s="1"/>
  <c r="AD47" i="8" s="1"/>
  <c r="AE47" i="8" s="1"/>
  <c r="AF47" i="8" s="1"/>
  <c r="AG47" i="8" s="1"/>
  <c r="AH47" i="8" s="1"/>
  <c r="AI47" i="8" s="1"/>
  <c r="E48" i="8"/>
  <c r="F48" i="8" s="1"/>
  <c r="AF28" i="7"/>
  <c r="AB20" i="9"/>
  <c r="AC20" i="9" s="1"/>
  <c r="T20" i="9"/>
  <c r="U20" i="9" s="1"/>
  <c r="V20" i="9" s="1"/>
  <c r="W20" i="9" s="1"/>
  <c r="X20" i="9" s="1"/>
  <c r="F20" i="7"/>
  <c r="G20" i="7" s="1"/>
  <c r="H20" i="7" s="1"/>
  <c r="I20" i="7" s="1"/>
  <c r="J20" i="7" s="1"/>
  <c r="K20" i="7" s="1"/>
  <c r="L20" i="7" s="1"/>
  <c r="M20" i="7" s="1"/>
  <c r="N20" i="7" s="1"/>
  <c r="O20" i="7" s="1"/>
  <c r="P20" i="7" s="1"/>
  <c r="Q20" i="7" s="1"/>
  <c r="R20" i="7" s="1"/>
  <c r="S20" i="7" s="1"/>
  <c r="T20" i="7" s="1"/>
  <c r="U20" i="7" s="1"/>
  <c r="V20" i="7" s="1"/>
  <c r="W20" i="7" s="1"/>
  <c r="X20" i="7" s="1"/>
  <c r="Y20" i="7" s="1"/>
  <c r="Z20" i="7" s="1"/>
  <c r="AA20" i="7" s="1"/>
  <c r="AB20" i="7" s="1"/>
  <c r="AC20" i="7" s="1"/>
  <c r="AD20" i="7" s="1"/>
  <c r="W70" i="9"/>
  <c r="I70" i="9"/>
  <c r="Q70" i="9"/>
  <c r="J38" i="8"/>
  <c r="K38" i="8" s="1"/>
  <c r="L38" i="8" s="1"/>
  <c r="M38" i="8" s="1"/>
  <c r="N38" i="8" s="1"/>
  <c r="O38" i="8" s="1"/>
  <c r="P38" i="8" s="1"/>
  <c r="Q38" i="8" s="1"/>
  <c r="R38" i="8" s="1"/>
  <c r="S38" i="8" s="1"/>
  <c r="T38" i="8" s="1"/>
  <c r="U38" i="8" s="1"/>
  <c r="V38" i="8" s="1"/>
  <c r="W38" i="8" s="1"/>
  <c r="X38" i="8" s="1"/>
  <c r="Y38" i="8" s="1"/>
  <c r="Z38" i="8" s="1"/>
  <c r="AJ37" i="8"/>
  <c r="P70" i="9"/>
  <c r="X70" i="9"/>
  <c r="AF70" i="9"/>
  <c r="Y70" i="9"/>
  <c r="AC28" i="7"/>
  <c r="AO9" i="9"/>
  <c r="F50" i="8"/>
  <c r="G50" i="8" s="1"/>
  <c r="H50" i="8" s="1"/>
  <c r="I50" i="8" s="1"/>
  <c r="J50" i="8" s="1"/>
  <c r="K50" i="8" s="1"/>
  <c r="L50" i="8" s="1"/>
  <c r="M50" i="8" s="1"/>
  <c r="N50" i="8" s="1"/>
  <c r="O50" i="8" s="1"/>
  <c r="P50" i="8" s="1"/>
  <c r="Q50" i="8" s="1"/>
  <c r="R50" i="8" s="1"/>
  <c r="S50" i="8" s="1"/>
  <c r="T50" i="8" s="1"/>
  <c r="U50" i="8" s="1"/>
  <c r="V50" i="8" s="1"/>
  <c r="W50" i="8" s="1"/>
  <c r="X50" i="8" s="1"/>
  <c r="Y50" i="8" s="1"/>
  <c r="Z50" i="8" s="1"/>
  <c r="AA50" i="8" s="1"/>
  <c r="AB50" i="8" s="1"/>
  <c r="AC50" i="8" s="1"/>
  <c r="AD50" i="8" s="1"/>
  <c r="AE50" i="8" s="1"/>
  <c r="AF50" i="8" s="1"/>
  <c r="AG50" i="8" s="1"/>
  <c r="AH50" i="8" s="1"/>
  <c r="AI50" i="8" s="1"/>
  <c r="AH28" i="7"/>
  <c r="AE28" i="7"/>
  <c r="AB28" i="7"/>
  <c r="X56" i="8"/>
  <c r="T56" i="8"/>
  <c r="AG56" i="8"/>
  <c r="AC56" i="8"/>
  <c r="Y56" i="8"/>
  <c r="AF56" i="8"/>
  <c r="AB56" i="8"/>
  <c r="AD28" i="7"/>
  <c r="AO39" i="8"/>
  <c r="AO11" i="8"/>
  <c r="AO13" i="8" s="1"/>
  <c r="K28" i="7"/>
  <c r="AO11" i="7"/>
  <c r="AJ23" i="7"/>
  <c r="AE70" i="9"/>
  <c r="AG70" i="9"/>
  <c r="J70" i="9"/>
  <c r="R70" i="9"/>
  <c r="Z70" i="9"/>
  <c r="AH70" i="9"/>
  <c r="K70" i="9"/>
  <c r="S70" i="9"/>
  <c r="AA70" i="9"/>
  <c r="AI70" i="9"/>
  <c r="L70" i="9"/>
  <c r="T70" i="9"/>
  <c r="AB70" i="9"/>
  <c r="M70" i="9"/>
  <c r="U70" i="9"/>
  <c r="AC70" i="9"/>
  <c r="N70" i="9"/>
  <c r="V70" i="9"/>
  <c r="AD70" i="9"/>
  <c r="Z28" i="7"/>
  <c r="AG28" i="7"/>
  <c r="U28" i="7"/>
  <c r="I28" i="7"/>
  <c r="E56" i="8"/>
  <c r="AI56" i="8"/>
  <c r="AA56" i="8"/>
  <c r="W56" i="8"/>
  <c r="S56" i="8"/>
  <c r="K56" i="8"/>
  <c r="U56" i="8"/>
  <c r="Q56" i="8"/>
  <c r="AH56" i="8"/>
  <c r="AD56" i="8"/>
  <c r="Z56" i="8"/>
  <c r="V56" i="8"/>
  <c r="R56" i="8"/>
  <c r="N56" i="8"/>
  <c r="J56" i="8"/>
  <c r="P56" i="8"/>
  <c r="L56" i="8"/>
  <c r="Y28" i="7"/>
  <c r="T28" i="7"/>
  <c r="V28" i="7"/>
  <c r="R28" i="7"/>
  <c r="Q28" i="7"/>
  <c r="O56" i="8"/>
  <c r="N28" i="7"/>
  <c r="M28" i="7"/>
  <c r="M56" i="8"/>
  <c r="AR75" i="9"/>
  <c r="H56" i="8"/>
  <c r="G56" i="8"/>
  <c r="I56" i="8"/>
  <c r="F28" i="7"/>
  <c r="F56" i="8"/>
  <c r="AN13" i="8"/>
  <c r="AL43" i="8"/>
  <c r="AD38" i="8"/>
  <c r="AH38" i="8" s="1"/>
  <c r="AA38" i="8"/>
  <c r="AB38" i="8" s="1"/>
  <c r="AC38" i="8" s="1"/>
  <c r="AG38" i="8" s="1"/>
  <c r="AH588" i="3"/>
  <c r="AD588" i="3"/>
  <c r="Z588" i="3"/>
  <c r="F588" i="3"/>
  <c r="AB588" i="3"/>
  <c r="AC588" i="3"/>
  <c r="Y588" i="3"/>
  <c r="I588" i="3"/>
  <c r="AI588" i="3"/>
  <c r="G588" i="3"/>
  <c r="AE588" i="3"/>
  <c r="AA588" i="3"/>
  <c r="X588" i="3"/>
  <c r="W588" i="3"/>
  <c r="S28" i="7"/>
  <c r="P28" i="7"/>
  <c r="L28" i="7"/>
  <c r="H28" i="7"/>
  <c r="G28" i="7"/>
  <c r="AS34" i="7"/>
  <c r="X28" i="7"/>
  <c r="W28" i="7"/>
  <c r="V588" i="3"/>
  <c r="AS32" i="7"/>
  <c r="U588" i="3"/>
  <c r="T588" i="3"/>
  <c r="S588" i="3"/>
  <c r="AR32" i="7"/>
  <c r="R588" i="3"/>
  <c r="Q588" i="3"/>
  <c r="P588" i="3"/>
  <c r="O28" i="7"/>
  <c r="O588" i="3"/>
  <c r="AR34" i="7"/>
  <c r="N588" i="3"/>
  <c r="AG588" i="3"/>
  <c r="AF588" i="3"/>
  <c r="M588" i="3"/>
  <c r="L588" i="3"/>
  <c r="AQ32" i="7"/>
  <c r="K588" i="3"/>
  <c r="J28" i="7"/>
  <c r="J588" i="3"/>
  <c r="AJ24" i="7"/>
  <c r="AK23" i="7" s="1"/>
  <c r="H588" i="3"/>
  <c r="AV73" i="9"/>
  <c r="AS75" i="9"/>
  <c r="F70" i="9"/>
  <c r="G70" i="9"/>
  <c r="AT75" i="9"/>
  <c r="AU75" i="9"/>
  <c r="AD10" i="9"/>
  <c r="AH10" i="9" s="1"/>
  <c r="AI10" i="9" s="1"/>
  <c r="AA10" i="9"/>
  <c r="AL15" i="9"/>
  <c r="AL69" i="9" s="1"/>
  <c r="AR77" i="9"/>
  <c r="AS77" i="9"/>
  <c r="AT77" i="9"/>
  <c r="AU77" i="9"/>
  <c r="AU34" i="7"/>
  <c r="AT32" i="7"/>
  <c r="AQ34" i="7"/>
  <c r="AJ45" i="8"/>
  <c r="AK43" i="8" s="1"/>
  <c r="AJ17" i="8"/>
  <c r="AK15" i="8" s="1"/>
  <c r="AJ12" i="8"/>
  <c r="E22" i="8"/>
  <c r="F22" i="8" s="1"/>
  <c r="G22" i="8" s="1"/>
  <c r="H22" i="8" s="1"/>
  <c r="I22" i="8" s="1"/>
  <c r="J22" i="8" s="1"/>
  <c r="K22" i="8" s="1"/>
  <c r="L22" i="8" s="1"/>
  <c r="M22" i="8" s="1"/>
  <c r="N22" i="8" s="1"/>
  <c r="O22" i="8" s="1"/>
  <c r="P22" i="8" s="1"/>
  <c r="Q22" i="8" s="1"/>
  <c r="R22" i="8" s="1"/>
  <c r="S22" i="8" s="1"/>
  <c r="T22" i="8" s="1"/>
  <c r="U22" i="8" s="1"/>
  <c r="V22" i="8" s="1"/>
  <c r="W22" i="8" s="1"/>
  <c r="X22" i="8" s="1"/>
  <c r="Y22" i="8" s="1"/>
  <c r="Z22" i="8" s="1"/>
  <c r="AA22" i="8" s="1"/>
  <c r="AB22" i="8" s="1"/>
  <c r="AC22" i="8" s="1"/>
  <c r="AD22" i="8" s="1"/>
  <c r="AE22" i="8" s="1"/>
  <c r="AF22" i="8" s="1"/>
  <c r="AG22" i="8" s="1"/>
  <c r="AH22" i="8" s="1"/>
  <c r="AI22" i="8" s="1"/>
  <c r="AN41" i="8"/>
  <c r="E19" i="8"/>
  <c r="F19" i="8" s="1"/>
  <c r="G19" i="8" s="1"/>
  <c r="H19" i="8" s="1"/>
  <c r="I19" i="8" s="1"/>
  <c r="J19" i="8" s="1"/>
  <c r="K19" i="8" s="1"/>
  <c r="L19" i="8" s="1"/>
  <c r="M19" i="8" s="1"/>
  <c r="N19" i="8" s="1"/>
  <c r="O19" i="8" s="1"/>
  <c r="P19" i="8" s="1"/>
  <c r="Q19" i="8" s="1"/>
  <c r="R19" i="8" s="1"/>
  <c r="S19" i="8" s="1"/>
  <c r="T19" i="8" s="1"/>
  <c r="U19" i="8" s="1"/>
  <c r="V19" i="8" s="1"/>
  <c r="W19" i="8" s="1"/>
  <c r="X19" i="8" s="1"/>
  <c r="Y19" i="8" s="1"/>
  <c r="Z19" i="8" s="1"/>
  <c r="AA19" i="8" s="1"/>
  <c r="AB19" i="8" s="1"/>
  <c r="AC19" i="8" s="1"/>
  <c r="AD19" i="8" s="1"/>
  <c r="AE19" i="8" s="1"/>
  <c r="AF19" i="8" s="1"/>
  <c r="AG19" i="8" s="1"/>
  <c r="AH19" i="8" s="1"/>
  <c r="AI19" i="8" s="1"/>
  <c r="AN13" i="7"/>
  <c r="AJ17" i="7"/>
  <c r="AK15" i="7" s="1"/>
  <c r="E28" i="7"/>
  <c r="AD10" i="7"/>
  <c r="AH10" i="7" s="1"/>
  <c r="AI10" i="7" s="1"/>
  <c r="AA10" i="7"/>
  <c r="AJ12" i="7"/>
  <c r="AK10" i="7" s="1"/>
  <c r="AL15" i="7"/>
  <c r="F549" i="3"/>
  <c r="AK50" i="8" l="1"/>
  <c r="AK51" i="8"/>
  <c r="AK21" i="7"/>
  <c r="F4" i="11"/>
  <c r="AK22" i="7"/>
  <c r="F5" i="11"/>
  <c r="F7" i="11" s="1"/>
  <c r="AJ51" i="8"/>
  <c r="AK35" i="8"/>
  <c r="AM41" i="8"/>
  <c r="AM67" i="9"/>
  <c r="AM13" i="9"/>
  <c r="AL27" i="7"/>
  <c r="AM25" i="7" s="1"/>
  <c r="AM13" i="7"/>
  <c r="AK10" i="8"/>
  <c r="AE10" i="8"/>
  <c r="AC10" i="8"/>
  <c r="AG10" i="8" s="1"/>
  <c r="AO37" i="8"/>
  <c r="AO41" i="8" s="1"/>
  <c r="AJ40" i="8"/>
  <c r="AV59" i="8"/>
  <c r="AO13" i="7"/>
  <c r="AF38" i="8"/>
  <c r="AE38" i="8"/>
  <c r="AV76" i="9"/>
  <c r="AE10" i="9"/>
  <c r="AB10" i="9"/>
  <c r="AV60" i="8"/>
  <c r="AS61" i="8"/>
  <c r="AU61" i="8"/>
  <c r="AQ63" i="8"/>
  <c r="AS63" i="8"/>
  <c r="AT61" i="8"/>
  <c r="AR61" i="8"/>
  <c r="AR63" i="8"/>
  <c r="AT63" i="8"/>
  <c r="AU35" i="7"/>
  <c r="AJ28" i="7"/>
  <c r="AK26" i="7" s="1"/>
  <c r="AS35" i="7"/>
  <c r="AR33" i="7"/>
  <c r="AU33" i="7"/>
  <c r="AR35" i="7"/>
  <c r="AT33" i="7"/>
  <c r="AV31" i="7"/>
  <c r="F17" i="11" s="1"/>
  <c r="AE10" i="7"/>
  <c r="AB10" i="7"/>
  <c r="AT35" i="7"/>
  <c r="AQ35" i="7"/>
  <c r="AV34" i="7"/>
  <c r="AV32" i="7"/>
  <c r="AQ33" i="7"/>
  <c r="AS33" i="7"/>
  <c r="AJ56" i="4"/>
  <c r="G33" i="13" s="1"/>
  <c r="F15" i="11" l="1"/>
  <c r="AO56" i="4"/>
  <c r="AK54" i="4"/>
  <c r="AK38" i="8"/>
  <c r="AK49" i="8"/>
  <c r="AQ61" i="8"/>
  <c r="AV61" i="8" s="1"/>
  <c r="F18" i="11"/>
  <c r="F6" i="11"/>
  <c r="F16" i="11" s="1"/>
  <c r="AF10" i="9"/>
  <c r="AC10" i="9"/>
  <c r="AG10" i="9" s="1"/>
  <c r="AV35" i="7"/>
  <c r="AV33" i="7"/>
  <c r="AF10" i="7"/>
  <c r="AC10" i="7"/>
  <c r="AG10" i="7" s="1"/>
  <c r="AJ633" i="1"/>
  <c r="I128" i="4" l="1"/>
  <c r="AE138" i="6"/>
  <c r="AD110" i="6"/>
  <c r="AA96" i="6" l="1"/>
  <c r="R68" i="6" l="1"/>
  <c r="S363" i="4"/>
  <c r="R363" i="4"/>
  <c r="R315" i="4"/>
  <c r="S989" i="1"/>
  <c r="R989" i="1"/>
  <c r="S975" i="1"/>
  <c r="R975" i="1"/>
  <c r="S962" i="1"/>
  <c r="R962" i="1"/>
  <c r="S948" i="1"/>
  <c r="R948" i="1"/>
  <c r="S908" i="1"/>
  <c r="R908" i="1"/>
  <c r="S894" i="1"/>
  <c r="R894" i="1"/>
  <c r="S664" i="1"/>
  <c r="R664" i="1"/>
  <c r="S636" i="1"/>
  <c r="R636" i="1"/>
  <c r="N989" i="1"/>
  <c r="M222" i="3" l="1"/>
  <c r="F379" i="4" l="1"/>
  <c r="C353" i="4" l="1"/>
  <c r="AI352" i="4"/>
  <c r="AH352" i="4"/>
  <c r="AG352" i="4"/>
  <c r="AF352" i="4"/>
  <c r="AE352" i="4"/>
  <c r="AD352" i="4"/>
  <c r="AC352" i="4"/>
  <c r="AB352" i="4"/>
  <c r="AA352" i="4"/>
  <c r="AA357" i="4" s="1"/>
  <c r="Z352" i="4"/>
  <c r="Y352" i="4"/>
  <c r="Y357" i="4" s="1"/>
  <c r="X352" i="4"/>
  <c r="X357" i="4" s="1"/>
  <c r="W352" i="4"/>
  <c r="W357" i="4" s="1"/>
  <c r="V352" i="4"/>
  <c r="U352" i="4"/>
  <c r="T352" i="4"/>
  <c r="S352" i="4"/>
  <c r="R352" i="4"/>
  <c r="Q352" i="4"/>
  <c r="P352" i="4"/>
  <c r="O352" i="4"/>
  <c r="N352" i="4"/>
  <c r="M352" i="4"/>
  <c r="L352" i="4"/>
  <c r="K352" i="4"/>
  <c r="J352" i="4"/>
  <c r="I352" i="4"/>
  <c r="H352" i="4"/>
  <c r="G352" i="4"/>
  <c r="F352" i="4"/>
  <c r="E352" i="4"/>
  <c r="AJ350" i="4"/>
  <c r="AJ349" i="4"/>
  <c r="AK347" i="4" s="1"/>
  <c r="AJ348" i="4"/>
  <c r="AK346" i="4" s="1"/>
  <c r="C348" i="4"/>
  <c r="AI347" i="4"/>
  <c r="AH347" i="4"/>
  <c r="AG347" i="4"/>
  <c r="AF347" i="4"/>
  <c r="AE347" i="4"/>
  <c r="AD347" i="4"/>
  <c r="AC347" i="4"/>
  <c r="AB347" i="4"/>
  <c r="AA347" i="4"/>
  <c r="Z347" i="4"/>
  <c r="Y347" i="4"/>
  <c r="X347" i="4"/>
  <c r="W347" i="4"/>
  <c r="V347" i="4"/>
  <c r="U347" i="4"/>
  <c r="T347" i="4"/>
  <c r="S347" i="4"/>
  <c r="R347" i="4"/>
  <c r="Q347" i="4"/>
  <c r="P347" i="4"/>
  <c r="O347" i="4"/>
  <c r="N347" i="4"/>
  <c r="M347" i="4"/>
  <c r="L347" i="4"/>
  <c r="K347" i="4"/>
  <c r="J347" i="4"/>
  <c r="H347" i="4"/>
  <c r="G347" i="4"/>
  <c r="F347" i="4"/>
  <c r="AK344" i="4"/>
  <c r="E345" i="4"/>
  <c r="F345" i="4" s="1"/>
  <c r="G345" i="4" s="1"/>
  <c r="H345" i="4" s="1"/>
  <c r="I345" i="4" s="1"/>
  <c r="J345" i="4" s="1"/>
  <c r="K345" i="4" s="1"/>
  <c r="L345" i="4" s="1"/>
  <c r="M345" i="4" s="1"/>
  <c r="N345" i="4" s="1"/>
  <c r="O345" i="4" s="1"/>
  <c r="P345" i="4" s="1"/>
  <c r="Q345" i="4" s="1"/>
  <c r="R345" i="4" s="1"/>
  <c r="S345" i="4" s="1"/>
  <c r="T345" i="4" s="1"/>
  <c r="U345" i="4" s="1"/>
  <c r="V345" i="4" s="1"/>
  <c r="W345" i="4" s="1"/>
  <c r="X345" i="4" s="1"/>
  <c r="Y345" i="4" s="1"/>
  <c r="AJ344" i="4"/>
  <c r="AK342" i="4" s="1"/>
  <c r="AJ360" i="4"/>
  <c r="AJ312" i="4"/>
  <c r="G50" i="13" s="1"/>
  <c r="E356" i="4" l="1"/>
  <c r="F356" i="4" s="1"/>
  <c r="G356" i="4" s="1"/>
  <c r="H356" i="4" s="1"/>
  <c r="I356" i="4" s="1"/>
  <c r="J356" i="4" s="1"/>
  <c r="K356" i="4" s="1"/>
  <c r="L356" i="4" s="1"/>
  <c r="M356" i="4" s="1"/>
  <c r="N356" i="4" s="1"/>
  <c r="O356" i="4" s="1"/>
  <c r="P356" i="4" s="1"/>
  <c r="Q356" i="4" s="1"/>
  <c r="R356" i="4" s="1"/>
  <c r="S356" i="4" s="1"/>
  <c r="T356" i="4" s="1"/>
  <c r="U356" i="4" s="1"/>
  <c r="V356" i="4" s="1"/>
  <c r="W356" i="4" s="1"/>
  <c r="X356" i="4" s="1"/>
  <c r="Y356" i="4" s="1"/>
  <c r="Z356" i="4" s="1"/>
  <c r="AA356" i="4" s="1"/>
  <c r="AB356" i="4" s="1"/>
  <c r="AC356" i="4" s="1"/>
  <c r="AD356" i="4" s="1"/>
  <c r="AE356" i="4" s="1"/>
  <c r="AF356" i="4" s="1"/>
  <c r="AG356" i="4" s="1"/>
  <c r="AH356" i="4" s="1"/>
  <c r="AI356" i="4" s="1"/>
  <c r="E359" i="4"/>
  <c r="E354" i="4"/>
  <c r="Z357" i="4"/>
  <c r="AB357" i="4"/>
  <c r="AC357" i="4" s="1"/>
  <c r="AD357" i="4" s="1"/>
  <c r="V357" i="4"/>
  <c r="N357" i="4"/>
  <c r="O357" i="4"/>
  <c r="P357" i="4"/>
  <c r="R357" i="4"/>
  <c r="F354" i="4"/>
  <c r="G354" i="4" s="1"/>
  <c r="H354" i="4" s="1"/>
  <c r="I354" i="4" s="1"/>
  <c r="J354" i="4" s="1"/>
  <c r="K354" i="4" s="1"/>
  <c r="L354" i="4" s="1"/>
  <c r="M354" i="4" s="1"/>
  <c r="N354" i="4" s="1"/>
  <c r="O354" i="4" s="1"/>
  <c r="P354" i="4" s="1"/>
  <c r="Q354" i="4" s="1"/>
  <c r="R354" i="4" s="1"/>
  <c r="S354" i="4" s="1"/>
  <c r="T354" i="4" s="1"/>
  <c r="U354" i="4" s="1"/>
  <c r="V354" i="4" s="1"/>
  <c r="W354" i="4" s="1"/>
  <c r="X354" i="4" s="1"/>
  <c r="Y354" i="4" s="1"/>
  <c r="Z354" i="4" s="1"/>
  <c r="AA354" i="4" s="1"/>
  <c r="AB354" i="4" s="1"/>
  <c r="AC354" i="4" s="1"/>
  <c r="AD354" i="4" s="1"/>
  <c r="AE354" i="4" s="1"/>
  <c r="AF354" i="4" s="1"/>
  <c r="AG354" i="4" s="1"/>
  <c r="AH354" i="4" s="1"/>
  <c r="AI354" i="4" s="1"/>
  <c r="F359" i="4"/>
  <c r="G359" i="4" s="1"/>
  <c r="H359" i="4" s="1"/>
  <c r="I359" i="4" s="1"/>
  <c r="J359" i="4" s="1"/>
  <c r="K359" i="4" s="1"/>
  <c r="L359" i="4" s="1"/>
  <c r="M359" i="4" s="1"/>
  <c r="N359" i="4" s="1"/>
  <c r="O359" i="4" s="1"/>
  <c r="P359" i="4" s="1"/>
  <c r="Q359" i="4" s="1"/>
  <c r="R359" i="4" s="1"/>
  <c r="S359" i="4" s="1"/>
  <c r="T359" i="4" s="1"/>
  <c r="U359" i="4" s="1"/>
  <c r="V359" i="4" s="1"/>
  <c r="W359" i="4" s="1"/>
  <c r="X359" i="4" s="1"/>
  <c r="Y359" i="4" s="1"/>
  <c r="Z359" i="4" s="1"/>
  <c r="AA359" i="4" s="1"/>
  <c r="AB359" i="4" s="1"/>
  <c r="AC359" i="4" s="1"/>
  <c r="AD359" i="4" s="1"/>
  <c r="AE359" i="4" s="1"/>
  <c r="AF359" i="4" s="1"/>
  <c r="AG359" i="4" s="1"/>
  <c r="AH359" i="4" s="1"/>
  <c r="AI359" i="4" s="1"/>
  <c r="S357" i="4"/>
  <c r="U357" i="4"/>
  <c r="Q357" i="4"/>
  <c r="T357" i="4"/>
  <c r="F357" i="4"/>
  <c r="G357" i="4" s="1"/>
  <c r="H357" i="4" s="1"/>
  <c r="I357" i="4" s="1"/>
  <c r="J357" i="4" s="1"/>
  <c r="K357" i="4" s="1"/>
  <c r="L357" i="4" s="1"/>
  <c r="M357" i="4" s="1"/>
  <c r="AK348" i="4"/>
  <c r="AO312" i="4"/>
  <c r="AK310" i="4"/>
  <c r="AO360" i="4"/>
  <c r="AK358" i="4"/>
  <c r="AO346" i="4"/>
  <c r="AO344" i="4"/>
  <c r="AJ347" i="4"/>
  <c r="AN348" i="4"/>
  <c r="AJ352" i="4"/>
  <c r="AK350" i="4" s="1"/>
  <c r="AC345" i="4"/>
  <c r="Z345" i="4"/>
  <c r="AK345" i="4" l="1"/>
  <c r="AO348" i="4"/>
  <c r="AD345" i="4"/>
  <c r="AA345" i="4"/>
  <c r="AE345" i="4" l="1"/>
  <c r="AB345" i="4"/>
  <c r="AF345" i="4" s="1"/>
  <c r="AG345" i="4" s="1"/>
  <c r="AH345" i="4" s="1"/>
  <c r="AI345" i="4" s="1"/>
  <c r="F222" i="3" l="1"/>
  <c r="G222" i="3"/>
  <c r="H222" i="3"/>
  <c r="I222" i="3"/>
  <c r="J222" i="3"/>
  <c r="K222" i="3"/>
  <c r="L222" i="3"/>
  <c r="N222" i="3"/>
  <c r="O222" i="3"/>
  <c r="P222" i="3"/>
  <c r="Q222" i="3"/>
  <c r="R222" i="3"/>
  <c r="S222" i="3"/>
  <c r="T222" i="3"/>
  <c r="U222" i="3"/>
  <c r="W222" i="3"/>
  <c r="X222" i="3"/>
  <c r="Y222" i="3"/>
  <c r="Z222" i="3"/>
  <c r="AA222" i="3"/>
  <c r="AB222" i="3"/>
  <c r="AC222" i="3"/>
  <c r="AD222" i="3"/>
  <c r="AE222" i="3"/>
  <c r="AF222" i="3"/>
  <c r="H166" i="6"/>
  <c r="I166" i="6"/>
  <c r="J166" i="6"/>
  <c r="K166" i="6"/>
  <c r="L166" i="6"/>
  <c r="M166" i="6"/>
  <c r="N166" i="6"/>
  <c r="Q166" i="6"/>
  <c r="R166" i="6"/>
  <c r="S166" i="6"/>
  <c r="T166" i="6"/>
  <c r="U166" i="6"/>
  <c r="V166" i="6"/>
  <c r="Y166" i="6"/>
  <c r="Z166" i="6"/>
  <c r="AA166" i="6"/>
  <c r="AB166" i="6"/>
  <c r="AC166" i="6"/>
  <c r="AD166" i="6"/>
  <c r="AE166" i="6"/>
  <c r="AF166" i="6"/>
  <c r="F166" i="6"/>
  <c r="G166" i="6"/>
  <c r="E166" i="6"/>
  <c r="C18" i="2"/>
  <c r="AA501" i="1" l="1"/>
  <c r="AA506" i="1"/>
  <c r="AA487" i="1"/>
  <c r="AA492" i="1"/>
  <c r="AA474" i="1"/>
  <c r="AA479" i="1"/>
  <c r="AA460" i="1"/>
  <c r="AA465" i="1"/>
  <c r="AA447" i="1"/>
  <c r="AA452" i="1"/>
  <c r="AA433" i="1"/>
  <c r="AA438" i="1"/>
  <c r="AA420" i="1"/>
  <c r="AA425" i="1"/>
  <c r="AA406" i="1"/>
  <c r="AA411" i="1"/>
  <c r="AA414" i="1" s="1"/>
  <c r="AA392" i="1"/>
  <c r="AA397" i="1"/>
  <c r="AA400" i="1" s="1"/>
  <c r="AA384" i="1"/>
  <c r="AA370" i="1"/>
  <c r="AA365" i="1"/>
  <c r="AA356" i="1"/>
  <c r="AA351" i="1"/>
  <c r="AA343" i="1"/>
  <c r="AA338" i="1"/>
  <c r="AA329" i="1"/>
  <c r="AA324" i="1"/>
  <c r="AA315" i="1"/>
  <c r="AA310" i="1"/>
  <c r="AD786" i="1"/>
  <c r="AA25" i="5"/>
  <c r="AB306" i="3"/>
  <c r="AB717" i="1"/>
  <c r="AB704" i="1"/>
  <c r="AB691" i="1"/>
  <c r="AB677" i="1"/>
  <c r="AA75" i="4"/>
  <c r="AB75" i="4"/>
  <c r="X208" i="3"/>
  <c r="Q52" i="5" l="1"/>
  <c r="Q26" i="3"/>
  <c r="L272" i="4" l="1"/>
  <c r="K25" i="5"/>
  <c r="E139" i="4" l="1"/>
  <c r="H89" i="4" l="1"/>
  <c r="AJ71" i="6" l="1"/>
  <c r="AJ69" i="6"/>
  <c r="Q528" i="1" l="1"/>
  <c r="AA560" i="1"/>
  <c r="AA555" i="1"/>
  <c r="AA553" i="1"/>
  <c r="AA546" i="1"/>
  <c r="AA541" i="1"/>
  <c r="AA533" i="1"/>
  <c r="AA528" i="1"/>
  <c r="AD514" i="1"/>
  <c r="AA514" i="1"/>
  <c r="AA519" i="1"/>
  <c r="AA522" i="1" s="1"/>
  <c r="J465" i="3"/>
  <c r="J25" i="5"/>
  <c r="J96" i="6"/>
  <c r="J40" i="6"/>
  <c r="J334" i="3"/>
  <c r="J26" i="3"/>
  <c r="J26" i="2"/>
  <c r="J704" i="1"/>
  <c r="J677" i="1"/>
  <c r="J582" i="1"/>
  <c r="J568" i="1"/>
  <c r="J528" i="1"/>
  <c r="J514" i="1"/>
  <c r="I171" i="6"/>
  <c r="F171" i="6"/>
  <c r="G171" i="6"/>
  <c r="H171" i="6"/>
  <c r="H25" i="5"/>
  <c r="G704" i="1"/>
  <c r="H704" i="1"/>
  <c r="F704" i="1"/>
  <c r="E704" i="1"/>
  <c r="H528" i="1"/>
  <c r="H514" i="1"/>
  <c r="AF297" i="1" l="1"/>
  <c r="AF269" i="1"/>
  <c r="AF134" i="1"/>
  <c r="AF120" i="1"/>
  <c r="AF107" i="1"/>
  <c r="AF93" i="1"/>
  <c r="AF362" i="3"/>
  <c r="AF26" i="6"/>
  <c r="AE26" i="6"/>
  <c r="AF25" i="5"/>
  <c r="AF491" i="4"/>
  <c r="AF139" i="4"/>
  <c r="AF75" i="4"/>
  <c r="AD577" i="3"/>
  <c r="AD240" i="4"/>
  <c r="AJ104" i="1" l="1"/>
  <c r="W144" i="4" l="1"/>
  <c r="X144" i="4"/>
  <c r="Y144" i="4"/>
  <c r="Z144" i="4"/>
  <c r="AC144" i="4"/>
  <c r="AD144" i="4"/>
  <c r="AE144" i="4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E114" i="1" s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AI112" i="1"/>
  <c r="AH112" i="1"/>
  <c r="AG112" i="1"/>
  <c r="AF112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AJ110" i="1"/>
  <c r="AJ109" i="1"/>
  <c r="AJ108" i="1"/>
  <c r="AI107" i="1"/>
  <c r="AH107" i="1"/>
  <c r="AG107" i="1"/>
  <c r="AE107" i="1"/>
  <c r="AD107" i="1"/>
  <c r="AC107" i="1"/>
  <c r="AB107" i="1"/>
  <c r="AA107" i="1"/>
  <c r="Z107" i="1"/>
  <c r="Y107" i="1"/>
  <c r="X107" i="1"/>
  <c r="W107" i="1"/>
  <c r="V107" i="1"/>
  <c r="T107" i="1"/>
  <c r="S107" i="1"/>
  <c r="AJ106" i="1"/>
  <c r="AK104" i="1" s="1"/>
  <c r="E105" i="1"/>
  <c r="F105" i="1" s="1"/>
  <c r="G105" i="1" s="1"/>
  <c r="H105" i="1" s="1"/>
  <c r="I105" i="1" s="1"/>
  <c r="J105" i="1" s="1"/>
  <c r="K105" i="1" s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AB105" i="1" s="1"/>
  <c r="AC105" i="1" s="1"/>
  <c r="AD105" i="1" s="1"/>
  <c r="AE105" i="1" s="1"/>
  <c r="AF105" i="1" s="1"/>
  <c r="AG105" i="1" s="1"/>
  <c r="AH105" i="1" s="1"/>
  <c r="AI105" i="1" s="1"/>
  <c r="AL104" i="1"/>
  <c r="AM102" i="1" s="1"/>
  <c r="AI98" i="1"/>
  <c r="AH98" i="1"/>
  <c r="AG98" i="1"/>
  <c r="AF98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K98" i="1"/>
  <c r="J98" i="1"/>
  <c r="I98" i="1"/>
  <c r="H98" i="1"/>
  <c r="G98" i="1"/>
  <c r="F98" i="1"/>
  <c r="E98" i="1"/>
  <c r="E101" i="1" s="1"/>
  <c r="AJ96" i="1"/>
  <c r="AJ95" i="1"/>
  <c r="AJ94" i="1"/>
  <c r="AI93" i="1"/>
  <c r="AH93" i="1"/>
  <c r="AG93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AJ92" i="1"/>
  <c r="C113" i="1"/>
  <c r="C99" i="1"/>
  <c r="AL94" i="1" l="1"/>
  <c r="AM92" i="1" s="1"/>
  <c r="AL95" i="1"/>
  <c r="AM93" i="1" s="1"/>
  <c r="AL92" i="1"/>
  <c r="AM90" i="1" s="1"/>
  <c r="AK90" i="1"/>
  <c r="AL96" i="1"/>
  <c r="AM94" i="1" s="1"/>
  <c r="F101" i="1"/>
  <c r="G101" i="1" s="1"/>
  <c r="H101" i="1" s="1"/>
  <c r="I101" i="1" s="1"/>
  <c r="J101" i="1" s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V101" i="1" s="1"/>
  <c r="W101" i="1" s="1"/>
  <c r="X101" i="1" s="1"/>
  <c r="Y101" i="1" s="1"/>
  <c r="Z101" i="1" s="1"/>
  <c r="AA101" i="1" s="1"/>
  <c r="AB101" i="1" s="1"/>
  <c r="AC101" i="1" s="1"/>
  <c r="AD101" i="1" s="1"/>
  <c r="AE101" i="1" s="1"/>
  <c r="AF101" i="1" s="1"/>
  <c r="AG101" i="1" s="1"/>
  <c r="AH101" i="1" s="1"/>
  <c r="E100" i="1"/>
  <c r="F100" i="1" s="1"/>
  <c r="G100" i="1" s="1"/>
  <c r="H100" i="1" s="1"/>
  <c r="I100" i="1" s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AB100" i="1" s="1"/>
  <c r="AC100" i="1" s="1"/>
  <c r="AD100" i="1" s="1"/>
  <c r="AE100" i="1" s="1"/>
  <c r="AF100" i="1" s="1"/>
  <c r="AG100" i="1" s="1"/>
  <c r="AH100" i="1" s="1"/>
  <c r="AI100" i="1" s="1"/>
  <c r="AO106" i="1"/>
  <c r="AO108" i="1" s="1"/>
  <c r="AL106" i="1"/>
  <c r="AM104" i="1" s="1"/>
  <c r="AO92" i="1"/>
  <c r="AO94" i="1" s="1"/>
  <c r="AL110" i="1"/>
  <c r="AM108" i="1" s="1"/>
  <c r="AL109" i="1"/>
  <c r="AM107" i="1" s="1"/>
  <c r="F114" i="1"/>
  <c r="G114" i="1" s="1"/>
  <c r="H114" i="1" s="1"/>
  <c r="I114" i="1" s="1"/>
  <c r="J114" i="1" s="1"/>
  <c r="K114" i="1" s="1"/>
  <c r="L114" i="1" s="1"/>
  <c r="M114" i="1" s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AB114" i="1" s="1"/>
  <c r="AC114" i="1" s="1"/>
  <c r="AD114" i="1" s="1"/>
  <c r="AE114" i="1" s="1"/>
  <c r="AF114" i="1" s="1"/>
  <c r="AG114" i="1" s="1"/>
  <c r="AH114" i="1" s="1"/>
  <c r="AI114" i="1" s="1"/>
  <c r="AJ107" i="1"/>
  <c r="AN108" i="1"/>
  <c r="AN94" i="1"/>
  <c r="AJ93" i="1"/>
  <c r="F116" i="1"/>
  <c r="G116" i="1" s="1"/>
  <c r="H116" i="1" s="1"/>
  <c r="I116" i="1" s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 s="1"/>
  <c r="V116" i="1" s="1"/>
  <c r="W116" i="1" s="1"/>
  <c r="X116" i="1" s="1"/>
  <c r="Y116" i="1" s="1"/>
  <c r="Z116" i="1" s="1"/>
  <c r="AA116" i="1" s="1"/>
  <c r="AB116" i="1" s="1"/>
  <c r="AC116" i="1" s="1"/>
  <c r="AD116" i="1" s="1"/>
  <c r="AE116" i="1" s="1"/>
  <c r="AF116" i="1" s="1"/>
  <c r="AG116" i="1" s="1"/>
  <c r="AH116" i="1" s="1"/>
  <c r="AI116" i="1" s="1"/>
  <c r="AL108" i="1"/>
  <c r="AM106" i="1" s="1"/>
  <c r="AJ112" i="1"/>
  <c r="AJ98" i="1"/>
  <c r="F103" i="1"/>
  <c r="G103" i="1" s="1"/>
  <c r="H103" i="1" s="1"/>
  <c r="I103" i="1" s="1"/>
  <c r="J103" i="1" s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AE103" i="1" s="1"/>
  <c r="AF103" i="1" s="1"/>
  <c r="AG103" i="1" s="1"/>
  <c r="AH103" i="1" s="1"/>
  <c r="AI103" i="1" s="1"/>
  <c r="AL93" i="1" l="1"/>
  <c r="AM91" i="1" s="1"/>
  <c r="AL107" i="1"/>
  <c r="AM105" i="1" s="1"/>
  <c r="Q31" i="3"/>
  <c r="K362" i="3" l="1"/>
  <c r="J541" i="1"/>
  <c r="G272" i="4" l="1"/>
  <c r="E555" i="1"/>
  <c r="AJ219" i="3" l="1"/>
  <c r="AO219" i="3" s="1"/>
  <c r="T1195" i="1" l="1"/>
  <c r="AI1195" i="1"/>
  <c r="F528" i="1"/>
  <c r="G528" i="1"/>
  <c r="I528" i="1"/>
  <c r="K528" i="1"/>
  <c r="L528" i="1"/>
  <c r="M528" i="1"/>
  <c r="N528" i="1"/>
  <c r="O528" i="1"/>
  <c r="P528" i="1"/>
  <c r="R528" i="1"/>
  <c r="S528" i="1"/>
  <c r="T528" i="1"/>
  <c r="U528" i="1"/>
  <c r="V528" i="1"/>
  <c r="W528" i="1"/>
  <c r="X528" i="1"/>
  <c r="Y528" i="1"/>
  <c r="Z528" i="1"/>
  <c r="AB528" i="1"/>
  <c r="AC528" i="1"/>
  <c r="AD528" i="1"/>
  <c r="AE528" i="1"/>
  <c r="AF528" i="1"/>
  <c r="AG528" i="1"/>
  <c r="AH528" i="1"/>
  <c r="AI528" i="1"/>
  <c r="AJ90" i="4"/>
  <c r="AK88" i="4" s="1"/>
  <c r="H35" i="13" s="1"/>
  <c r="K35" i="13" s="1"/>
  <c r="L35" i="13" s="1"/>
  <c r="AI577" i="3" l="1"/>
  <c r="AI580" i="3" s="1"/>
  <c r="AI549" i="3"/>
  <c r="AI30" i="5"/>
  <c r="AI367" i="3"/>
  <c r="AI31" i="3"/>
  <c r="AI339" i="3"/>
  <c r="AI353" i="3"/>
  <c r="AH27" i="4"/>
  <c r="Y546" i="1" l="1"/>
  <c r="Y549" i="1" s="1"/>
  <c r="AD448" i="4" l="1"/>
  <c r="AC416" i="4"/>
  <c r="AA25" i="1"/>
  <c r="W26" i="3"/>
  <c r="E233" i="4"/>
  <c r="F233" i="4" s="1"/>
  <c r="G233" i="4" s="1"/>
  <c r="H233" i="4" s="1"/>
  <c r="I233" i="4" s="1"/>
  <c r="J233" i="4" s="1"/>
  <c r="K233" i="4" s="1"/>
  <c r="AO24" i="4"/>
  <c r="T655" i="1"/>
  <c r="T658" i="1" s="1"/>
  <c r="AC420" i="4" l="1"/>
  <c r="AC423" i="4"/>
  <c r="AC418" i="4"/>
  <c r="AD455" i="4"/>
  <c r="AD450" i="4"/>
  <c r="AD452" i="4"/>
  <c r="L233" i="4"/>
  <c r="M233" i="4" s="1"/>
  <c r="N233" i="4" s="1"/>
  <c r="O233" i="4" s="1"/>
  <c r="P233" i="4" s="1"/>
  <c r="Q233" i="4" s="1"/>
  <c r="R233" i="4" s="1"/>
  <c r="H367" i="3"/>
  <c r="S233" i="4" l="1"/>
  <c r="M664" i="1"/>
  <c r="I664" i="1"/>
  <c r="H555" i="1"/>
  <c r="G664" i="1"/>
  <c r="H664" i="1"/>
  <c r="F664" i="1"/>
  <c r="M32" i="4"/>
  <c r="T233" i="4" l="1"/>
  <c r="U233" i="4" s="1"/>
  <c r="V233" i="4" s="1"/>
  <c r="W233" i="4" s="1"/>
  <c r="X233" i="4" s="1"/>
  <c r="Y233" i="4" s="1"/>
  <c r="AU13" i="1"/>
  <c r="AU1204" i="1" s="1"/>
  <c r="AT13" i="1"/>
  <c r="AT1204" i="1" s="1"/>
  <c r="AS13" i="1"/>
  <c r="AS1204" i="1" s="1"/>
  <c r="AR1204" i="1"/>
  <c r="AU14" i="1"/>
  <c r="AU1205" i="1" s="1"/>
  <c r="AR14" i="1"/>
  <c r="AR1205" i="1" s="1"/>
  <c r="AQ14" i="1"/>
  <c r="AQ1205" i="1" s="1"/>
  <c r="Z233" i="4" l="1"/>
  <c r="AA233" i="4" s="1"/>
  <c r="AB233" i="4" s="1"/>
  <c r="AS11" i="1"/>
  <c r="AS1201" i="1" s="1"/>
  <c r="AT11" i="1"/>
  <c r="AT1201" i="1" s="1"/>
  <c r="AT14" i="1"/>
  <c r="AT1205" i="1" s="1"/>
  <c r="AR1201" i="1"/>
  <c r="AQ11" i="1"/>
  <c r="AQ1201" i="1" s="1"/>
  <c r="AU11" i="1"/>
  <c r="AU1201" i="1" s="1"/>
  <c r="AS14" i="1"/>
  <c r="AS1205" i="1" s="1"/>
  <c r="AC233" i="4" l="1"/>
  <c r="AD233" i="4" s="1"/>
  <c r="AE233" i="4" s="1"/>
  <c r="AF233" i="4" s="1"/>
  <c r="AG233" i="4" s="1"/>
  <c r="AH233" i="4" s="1"/>
  <c r="AI233" i="4" s="1"/>
  <c r="AI181" i="6"/>
  <c r="AH181" i="6"/>
  <c r="AG181" i="6"/>
  <c r="AF181" i="6"/>
  <c r="AE181" i="6"/>
  <c r="AD181" i="6"/>
  <c r="AC181" i="6"/>
  <c r="AB181" i="6"/>
  <c r="AA181" i="6"/>
  <c r="Z181" i="6"/>
  <c r="Y181" i="6"/>
  <c r="X181" i="6"/>
  <c r="W181" i="6"/>
  <c r="V181" i="6"/>
  <c r="U181" i="6"/>
  <c r="T181" i="6"/>
  <c r="S181" i="6"/>
  <c r="R181" i="6"/>
  <c r="Q181" i="6"/>
  <c r="P181" i="6"/>
  <c r="O181" i="6"/>
  <c r="N181" i="6"/>
  <c r="M181" i="6"/>
  <c r="L181" i="6"/>
  <c r="K181" i="6"/>
  <c r="J181" i="6"/>
  <c r="I181" i="6"/>
  <c r="H181" i="6"/>
  <c r="G181" i="6"/>
  <c r="F181" i="6"/>
  <c r="E181" i="6"/>
  <c r="AI180" i="6"/>
  <c r="AH180" i="6"/>
  <c r="AG180" i="6"/>
  <c r="AF180" i="6"/>
  <c r="AE180" i="6"/>
  <c r="AD180" i="6"/>
  <c r="AC180" i="6"/>
  <c r="AB180" i="6"/>
  <c r="AA180" i="6"/>
  <c r="Z180" i="6"/>
  <c r="Y180" i="6"/>
  <c r="X180" i="6"/>
  <c r="W180" i="6"/>
  <c r="V180" i="6"/>
  <c r="U180" i="6"/>
  <c r="T180" i="6"/>
  <c r="S180" i="6"/>
  <c r="R180" i="6"/>
  <c r="Q180" i="6"/>
  <c r="P180" i="6"/>
  <c r="O180" i="6"/>
  <c r="N180" i="6"/>
  <c r="M180" i="6"/>
  <c r="L180" i="6"/>
  <c r="K180" i="6"/>
  <c r="J180" i="6"/>
  <c r="I180" i="6"/>
  <c r="H180" i="6"/>
  <c r="G180" i="6"/>
  <c r="F180" i="6"/>
  <c r="E180" i="6"/>
  <c r="AI179" i="6"/>
  <c r="AH179" i="6"/>
  <c r="AG179" i="6"/>
  <c r="AF179" i="6"/>
  <c r="AE179" i="6"/>
  <c r="AD179" i="6"/>
  <c r="AC179" i="6"/>
  <c r="AB179" i="6"/>
  <c r="AA179" i="6"/>
  <c r="Z179" i="6"/>
  <c r="Y179" i="6"/>
  <c r="X179" i="6"/>
  <c r="W179" i="6"/>
  <c r="V179" i="6"/>
  <c r="U179" i="6"/>
  <c r="T179" i="6"/>
  <c r="S179" i="6"/>
  <c r="R179" i="6"/>
  <c r="Q179" i="6"/>
  <c r="P179" i="6"/>
  <c r="O179" i="6"/>
  <c r="N179" i="6"/>
  <c r="M179" i="6"/>
  <c r="L179" i="6"/>
  <c r="K179" i="6"/>
  <c r="J179" i="6"/>
  <c r="I179" i="6"/>
  <c r="H179" i="6"/>
  <c r="G179" i="6"/>
  <c r="F179" i="6"/>
  <c r="E179" i="6"/>
  <c r="AI178" i="6"/>
  <c r="AH178" i="6"/>
  <c r="AG178" i="6"/>
  <c r="AF178" i="6"/>
  <c r="AE178" i="6"/>
  <c r="AD178" i="6"/>
  <c r="AC178" i="6"/>
  <c r="AB178" i="6"/>
  <c r="AA178" i="6"/>
  <c r="Z178" i="6"/>
  <c r="Y178" i="6"/>
  <c r="X178" i="6"/>
  <c r="W178" i="6"/>
  <c r="V178" i="6"/>
  <c r="U178" i="6"/>
  <c r="T178" i="6"/>
  <c r="S178" i="6"/>
  <c r="R178" i="6"/>
  <c r="Q178" i="6"/>
  <c r="P178" i="6"/>
  <c r="O178" i="6"/>
  <c r="N178" i="6"/>
  <c r="M178" i="6"/>
  <c r="L178" i="6"/>
  <c r="K178" i="6"/>
  <c r="J178" i="6"/>
  <c r="I178" i="6"/>
  <c r="H178" i="6"/>
  <c r="G178" i="6"/>
  <c r="F178" i="6"/>
  <c r="AI177" i="6"/>
  <c r="AH177" i="6"/>
  <c r="AG177" i="6"/>
  <c r="AF177" i="6"/>
  <c r="AE177" i="6"/>
  <c r="AD177" i="6"/>
  <c r="AC177" i="6"/>
  <c r="AB177" i="6"/>
  <c r="AA177" i="6"/>
  <c r="Z177" i="6"/>
  <c r="Y177" i="6"/>
  <c r="X177" i="6"/>
  <c r="W177" i="6"/>
  <c r="U177" i="6"/>
  <c r="T177" i="6"/>
  <c r="S177" i="6"/>
  <c r="R177" i="6"/>
  <c r="Q177" i="6"/>
  <c r="P177" i="6"/>
  <c r="O177" i="6"/>
  <c r="N177" i="6"/>
  <c r="M177" i="6"/>
  <c r="L177" i="6"/>
  <c r="K177" i="6"/>
  <c r="J177" i="6"/>
  <c r="I177" i="6"/>
  <c r="H177" i="6"/>
  <c r="G177" i="6"/>
  <c r="F177" i="6"/>
  <c r="AI171" i="6"/>
  <c r="AH171" i="6"/>
  <c r="AG171" i="6"/>
  <c r="AG174" i="6" s="1"/>
  <c r="AF171" i="6"/>
  <c r="AF174" i="6" s="1"/>
  <c r="AE171" i="6"/>
  <c r="AD171" i="6"/>
  <c r="AC171" i="6"/>
  <c r="AB171" i="6"/>
  <c r="AA171" i="6"/>
  <c r="Z171" i="6"/>
  <c r="Y171" i="6"/>
  <c r="X171" i="6"/>
  <c r="W171" i="6"/>
  <c r="V171" i="6"/>
  <c r="U171" i="6"/>
  <c r="T171" i="6"/>
  <c r="S171" i="6"/>
  <c r="R171" i="6"/>
  <c r="Q171" i="6"/>
  <c r="P171" i="6"/>
  <c r="O171" i="6"/>
  <c r="N171" i="6"/>
  <c r="M171" i="6"/>
  <c r="L171" i="6"/>
  <c r="K171" i="6"/>
  <c r="J171" i="6"/>
  <c r="E171" i="6"/>
  <c r="E174" i="6" s="1"/>
  <c r="C170" i="6"/>
  <c r="AJ169" i="6"/>
  <c r="AJ168" i="6"/>
  <c r="AJ167" i="6"/>
  <c r="AI166" i="6"/>
  <c r="AH166" i="6"/>
  <c r="AG166" i="6"/>
  <c r="AJ165" i="6"/>
  <c r="E164" i="6"/>
  <c r="AI157" i="6"/>
  <c r="AH157" i="6"/>
  <c r="AG157" i="6"/>
  <c r="AF157" i="6"/>
  <c r="AE157" i="6"/>
  <c r="AD157" i="6"/>
  <c r="AC157" i="6"/>
  <c r="AB157" i="6"/>
  <c r="AA157" i="6"/>
  <c r="Z157" i="6"/>
  <c r="Y157" i="6"/>
  <c r="X157" i="6"/>
  <c r="W157" i="6"/>
  <c r="V157" i="6"/>
  <c r="U157" i="6"/>
  <c r="T157" i="6"/>
  <c r="S157" i="6"/>
  <c r="R157" i="6"/>
  <c r="Q157" i="6"/>
  <c r="P157" i="6"/>
  <c r="O157" i="6"/>
  <c r="N157" i="6"/>
  <c r="M157" i="6"/>
  <c r="L157" i="6"/>
  <c r="K157" i="6"/>
  <c r="J157" i="6"/>
  <c r="I157" i="6"/>
  <c r="H157" i="6"/>
  <c r="G157" i="6"/>
  <c r="F157" i="6"/>
  <c r="E157" i="6"/>
  <c r="E160" i="6" s="1"/>
  <c r="C156" i="6"/>
  <c r="AJ155" i="6"/>
  <c r="AJ154" i="6"/>
  <c r="AJ153" i="6"/>
  <c r="AI152" i="6"/>
  <c r="AH152" i="6"/>
  <c r="AG152" i="6"/>
  <c r="AF152" i="6"/>
  <c r="AE152" i="6"/>
  <c r="AD152" i="6"/>
  <c r="AC152" i="6"/>
  <c r="AB152" i="6"/>
  <c r="AA152" i="6"/>
  <c r="Z152" i="6"/>
  <c r="Y152" i="6"/>
  <c r="X152" i="6"/>
  <c r="W152" i="6"/>
  <c r="V152" i="6"/>
  <c r="U152" i="6"/>
  <c r="T152" i="6"/>
  <c r="S152" i="6"/>
  <c r="R152" i="6"/>
  <c r="Q152" i="6"/>
  <c r="P152" i="6"/>
  <c r="O152" i="6"/>
  <c r="N152" i="6"/>
  <c r="M152" i="6"/>
  <c r="L152" i="6"/>
  <c r="K152" i="6"/>
  <c r="J152" i="6"/>
  <c r="I152" i="6"/>
  <c r="H152" i="6"/>
  <c r="G152" i="6"/>
  <c r="F152" i="6"/>
  <c r="E152" i="6"/>
  <c r="AJ151" i="6"/>
  <c r="AK149" i="6" s="1"/>
  <c r="H81" i="13" s="1"/>
  <c r="AI150" i="6"/>
  <c r="AH150" i="6"/>
  <c r="AG150" i="6"/>
  <c r="AF150" i="6"/>
  <c r="AE150" i="6"/>
  <c r="AD150" i="6"/>
  <c r="AC150" i="6"/>
  <c r="AB150" i="6"/>
  <c r="AA150" i="6"/>
  <c r="Z150" i="6"/>
  <c r="Y150" i="6"/>
  <c r="X150" i="6"/>
  <c r="W150" i="6"/>
  <c r="V150" i="6"/>
  <c r="U150" i="6"/>
  <c r="T150" i="6"/>
  <c r="S150" i="6"/>
  <c r="R150" i="6"/>
  <c r="Q150" i="6"/>
  <c r="P150" i="6"/>
  <c r="O150" i="6"/>
  <c r="N150" i="6"/>
  <c r="M150" i="6"/>
  <c r="L150" i="6"/>
  <c r="K150" i="6"/>
  <c r="J150" i="6"/>
  <c r="I150" i="6"/>
  <c r="H150" i="6"/>
  <c r="G150" i="6"/>
  <c r="F150" i="6"/>
  <c r="E150" i="6"/>
  <c r="AJ149" i="6"/>
  <c r="AI143" i="6"/>
  <c r="AH143" i="6"/>
  <c r="AG143" i="6"/>
  <c r="AF143" i="6"/>
  <c r="AE143" i="6"/>
  <c r="AD143" i="6"/>
  <c r="AC143" i="6"/>
  <c r="AB143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AJ141" i="6"/>
  <c r="C141" i="6"/>
  <c r="AJ140" i="6"/>
  <c r="AJ139" i="6"/>
  <c r="AI138" i="6"/>
  <c r="AH138" i="6"/>
  <c r="AG138" i="6"/>
  <c r="AF138" i="6"/>
  <c r="AD138" i="6"/>
  <c r="AC138" i="6"/>
  <c r="AA138" i="6"/>
  <c r="Z138" i="6"/>
  <c r="Y138" i="6"/>
  <c r="X138" i="6"/>
  <c r="W138" i="6"/>
  <c r="S138" i="6"/>
  <c r="R138" i="6"/>
  <c r="Q138" i="6"/>
  <c r="N138" i="6"/>
  <c r="M138" i="6"/>
  <c r="L138" i="6"/>
  <c r="J138" i="6"/>
  <c r="I138" i="6"/>
  <c r="H138" i="6"/>
  <c r="G138" i="6"/>
  <c r="F138" i="6"/>
  <c r="E138" i="6"/>
  <c r="AJ137" i="6"/>
  <c r="AK135" i="6" s="1"/>
  <c r="H84" i="13" s="1"/>
  <c r="E136" i="6"/>
  <c r="F136" i="6" s="1"/>
  <c r="G136" i="6" s="1"/>
  <c r="H136" i="6" s="1"/>
  <c r="I136" i="6" s="1"/>
  <c r="J136" i="6" s="1"/>
  <c r="K136" i="6" s="1"/>
  <c r="L136" i="6" s="1"/>
  <c r="M136" i="6" s="1"/>
  <c r="N136" i="6" s="1"/>
  <c r="O136" i="6" s="1"/>
  <c r="P136" i="6" s="1"/>
  <c r="Q136" i="6" s="1"/>
  <c r="R136" i="6" s="1"/>
  <c r="S136" i="6" s="1"/>
  <c r="T136" i="6" s="1"/>
  <c r="U136" i="6" s="1"/>
  <c r="AJ135" i="6"/>
  <c r="G84" i="13" s="1"/>
  <c r="AI129" i="6"/>
  <c r="AH129" i="6"/>
  <c r="AG129" i="6"/>
  <c r="AF129" i="6"/>
  <c r="AE129" i="6"/>
  <c r="AD129" i="6"/>
  <c r="AC129" i="6"/>
  <c r="AB129" i="6"/>
  <c r="AA129" i="6"/>
  <c r="Z129" i="6"/>
  <c r="Y129" i="6"/>
  <c r="X129" i="6"/>
  <c r="W129" i="6"/>
  <c r="V129" i="6"/>
  <c r="U129" i="6"/>
  <c r="T129" i="6"/>
  <c r="S129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E132" i="6" s="1"/>
  <c r="AJ127" i="6"/>
  <c r="C127" i="6"/>
  <c r="AJ126" i="6"/>
  <c r="AJ125" i="6"/>
  <c r="AI124" i="6"/>
  <c r="AH124" i="6"/>
  <c r="AG124" i="6"/>
  <c r="AF124" i="6"/>
  <c r="AE124" i="6"/>
  <c r="AD124" i="6"/>
  <c r="AC124" i="6"/>
  <c r="AA124" i="6"/>
  <c r="Z124" i="6"/>
  <c r="Y124" i="6"/>
  <c r="X124" i="6"/>
  <c r="W124" i="6"/>
  <c r="V124" i="6"/>
  <c r="U124" i="6"/>
  <c r="T124" i="6"/>
  <c r="S124" i="6"/>
  <c r="R124" i="6"/>
  <c r="Q124" i="6"/>
  <c r="N124" i="6"/>
  <c r="M124" i="6"/>
  <c r="L124" i="6"/>
  <c r="K124" i="6"/>
  <c r="J124" i="6"/>
  <c r="I124" i="6"/>
  <c r="H124" i="6"/>
  <c r="G124" i="6"/>
  <c r="F124" i="6"/>
  <c r="E124" i="6"/>
  <c r="AJ123" i="6"/>
  <c r="AK121" i="6" s="1"/>
  <c r="E122" i="6"/>
  <c r="F122" i="6" s="1"/>
  <c r="G122" i="6" s="1"/>
  <c r="H122" i="6" s="1"/>
  <c r="I122" i="6" s="1"/>
  <c r="J122" i="6" s="1"/>
  <c r="K122" i="6" s="1"/>
  <c r="L122" i="6" s="1"/>
  <c r="M122" i="6" s="1"/>
  <c r="N122" i="6" s="1"/>
  <c r="O122" i="6" s="1"/>
  <c r="P122" i="6" s="1"/>
  <c r="Q122" i="6" s="1"/>
  <c r="R122" i="6" s="1"/>
  <c r="S122" i="6" s="1"/>
  <c r="T122" i="6" s="1"/>
  <c r="AJ121" i="6"/>
  <c r="AO121" i="6" s="1"/>
  <c r="AI115" i="6"/>
  <c r="AH115" i="6"/>
  <c r="AH118" i="6" s="1"/>
  <c r="AG115" i="6"/>
  <c r="AG118" i="6" s="1"/>
  <c r="AF115" i="6"/>
  <c r="AF118" i="6" s="1"/>
  <c r="AE115" i="6"/>
  <c r="AD115" i="6"/>
  <c r="AC115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E118" i="6" s="1"/>
  <c r="AJ113" i="6"/>
  <c r="C113" i="6"/>
  <c r="AJ112" i="6"/>
  <c r="AJ111" i="6"/>
  <c r="AI110" i="6"/>
  <c r="AH110" i="6"/>
  <c r="AG110" i="6"/>
  <c r="AF110" i="6"/>
  <c r="AE110" i="6"/>
  <c r="AC110" i="6"/>
  <c r="AB110" i="6"/>
  <c r="AA110" i="6"/>
  <c r="Z110" i="6"/>
  <c r="Y110" i="6"/>
  <c r="U110" i="6"/>
  <c r="T110" i="6"/>
  <c r="S110" i="6"/>
  <c r="R110" i="6"/>
  <c r="Q110" i="6"/>
  <c r="N110" i="6"/>
  <c r="F110" i="6"/>
  <c r="AJ109" i="6"/>
  <c r="AK107" i="6" s="1"/>
  <c r="H88" i="13" s="1"/>
  <c r="K88" i="13" s="1"/>
  <c r="L88" i="13" s="1"/>
  <c r="E108" i="6"/>
  <c r="F108" i="6" s="1"/>
  <c r="G108" i="6" s="1"/>
  <c r="H108" i="6" s="1"/>
  <c r="AO107" i="6"/>
  <c r="AI101" i="6"/>
  <c r="AH101" i="6"/>
  <c r="AH104" i="6" s="1"/>
  <c r="AG101" i="6"/>
  <c r="AG104" i="6" s="1"/>
  <c r="AF101" i="6"/>
  <c r="AF104" i="6" s="1"/>
  <c r="AE101" i="6"/>
  <c r="AD101" i="6"/>
  <c r="AC101" i="6"/>
  <c r="AB101" i="6"/>
  <c r="AA101" i="6"/>
  <c r="Z101" i="6"/>
  <c r="Y101" i="6"/>
  <c r="X101" i="6"/>
  <c r="W101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C100" i="6"/>
  <c r="AJ99" i="6"/>
  <c r="AJ98" i="6"/>
  <c r="AJ97" i="6"/>
  <c r="AI96" i="6"/>
  <c r="AH96" i="6"/>
  <c r="AG96" i="6"/>
  <c r="AF96" i="6"/>
  <c r="AE96" i="6"/>
  <c r="AD96" i="6"/>
  <c r="AC96" i="6"/>
  <c r="Z96" i="6"/>
  <c r="Y96" i="6"/>
  <c r="W96" i="6"/>
  <c r="V96" i="6"/>
  <c r="T96" i="6"/>
  <c r="S96" i="6"/>
  <c r="R96" i="6"/>
  <c r="N96" i="6"/>
  <c r="M96" i="6"/>
  <c r="I96" i="6"/>
  <c r="H96" i="6"/>
  <c r="G96" i="6"/>
  <c r="F96" i="6"/>
  <c r="AJ95" i="6"/>
  <c r="E94" i="6"/>
  <c r="F94" i="6" s="1"/>
  <c r="G94" i="6" s="1"/>
  <c r="H94" i="6" s="1"/>
  <c r="I94" i="6" s="1"/>
  <c r="J94" i="6" s="1"/>
  <c r="K94" i="6" s="1"/>
  <c r="L94" i="6" s="1"/>
  <c r="M94" i="6" s="1"/>
  <c r="N94" i="6" s="1"/>
  <c r="O94" i="6" s="1"/>
  <c r="P94" i="6" s="1"/>
  <c r="Q94" i="6" s="1"/>
  <c r="R94" i="6" s="1"/>
  <c r="S94" i="6" s="1"/>
  <c r="T94" i="6" s="1"/>
  <c r="U94" i="6" s="1"/>
  <c r="V94" i="6" s="1"/>
  <c r="W94" i="6" s="1"/>
  <c r="X94" i="6" s="1"/>
  <c r="Y94" i="6" s="1"/>
  <c r="Z94" i="6" s="1"/>
  <c r="AA94" i="6" s="1"/>
  <c r="AB94" i="6" s="1"/>
  <c r="AC94" i="6" s="1"/>
  <c r="AD94" i="6" s="1"/>
  <c r="AE94" i="6" s="1"/>
  <c r="AF94" i="6" s="1"/>
  <c r="AG94" i="6" s="1"/>
  <c r="AH94" i="6" s="1"/>
  <c r="AI94" i="6" s="1"/>
  <c r="AI87" i="6"/>
  <c r="AH87" i="6"/>
  <c r="AG87" i="6"/>
  <c r="AF87" i="6"/>
  <c r="AE87" i="6"/>
  <c r="AD87" i="6"/>
  <c r="AD90" i="6" s="1"/>
  <c r="AC87" i="6"/>
  <c r="AC90" i="6" s="1"/>
  <c r="AB87" i="6"/>
  <c r="AB90" i="6" s="1"/>
  <c r="AA87" i="6"/>
  <c r="AA90" i="6" s="1"/>
  <c r="Z87" i="6"/>
  <c r="Z90" i="6" s="1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E92" i="6" s="1"/>
  <c r="C86" i="6"/>
  <c r="AJ85" i="6"/>
  <c r="AJ84" i="6"/>
  <c r="AJ83" i="6"/>
  <c r="AI82" i="6"/>
  <c r="AH82" i="6"/>
  <c r="AG82" i="6"/>
  <c r="AF82" i="6"/>
  <c r="AE82" i="6"/>
  <c r="AD82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J82" i="6"/>
  <c r="I82" i="6"/>
  <c r="H82" i="6"/>
  <c r="G82" i="6"/>
  <c r="F82" i="6"/>
  <c r="E82" i="6"/>
  <c r="AJ81" i="6"/>
  <c r="AK79" i="6" s="1"/>
  <c r="H86" i="13" s="1"/>
  <c r="K86" i="13" s="1"/>
  <c r="L86" i="13" s="1"/>
  <c r="AG80" i="6"/>
  <c r="AD80" i="6"/>
  <c r="AE80" i="6" s="1"/>
  <c r="AF80" i="6" s="1"/>
  <c r="E80" i="6"/>
  <c r="F80" i="6" s="1"/>
  <c r="G80" i="6" s="1"/>
  <c r="H80" i="6" s="1"/>
  <c r="I80" i="6" s="1"/>
  <c r="J80" i="6" s="1"/>
  <c r="K80" i="6" s="1"/>
  <c r="L80" i="6" s="1"/>
  <c r="M80" i="6" s="1"/>
  <c r="N80" i="6" s="1"/>
  <c r="O80" i="6" s="1"/>
  <c r="P80" i="6" s="1"/>
  <c r="Q80" i="6" s="1"/>
  <c r="R80" i="6" s="1"/>
  <c r="S80" i="6" s="1"/>
  <c r="T80" i="6" s="1"/>
  <c r="U80" i="6" s="1"/>
  <c r="V80" i="6" s="1"/>
  <c r="W80" i="6" s="1"/>
  <c r="X80" i="6" s="1"/>
  <c r="Y80" i="6" s="1"/>
  <c r="Z80" i="6" s="1"/>
  <c r="AA80" i="6" s="1"/>
  <c r="AB80" i="6" s="1"/>
  <c r="AO79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E75" i="6" s="1"/>
  <c r="C72" i="6"/>
  <c r="AL71" i="6"/>
  <c r="AJ70" i="6"/>
  <c r="AI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S68" i="6"/>
  <c r="Q68" i="6"/>
  <c r="N68" i="6"/>
  <c r="M68" i="6"/>
  <c r="L68" i="6"/>
  <c r="J68" i="6"/>
  <c r="I68" i="6"/>
  <c r="H68" i="6"/>
  <c r="G68" i="6"/>
  <c r="F68" i="6"/>
  <c r="E68" i="6"/>
  <c r="AJ67" i="6"/>
  <c r="AK65" i="6" s="1"/>
  <c r="H85" i="13" s="1"/>
  <c r="E66" i="6"/>
  <c r="F66" i="6" s="1"/>
  <c r="G66" i="6" s="1"/>
  <c r="H66" i="6" s="1"/>
  <c r="I66" i="6" s="1"/>
  <c r="J66" i="6" s="1"/>
  <c r="K66" i="6" s="1"/>
  <c r="L66" i="6" s="1"/>
  <c r="M66" i="6" s="1"/>
  <c r="N66" i="6" s="1"/>
  <c r="O66" i="6" s="1"/>
  <c r="P66" i="6" s="1"/>
  <c r="Q66" i="6" s="1"/>
  <c r="R66" i="6" s="1"/>
  <c r="S66" i="6" s="1"/>
  <c r="T66" i="6" s="1"/>
  <c r="U66" i="6" s="1"/>
  <c r="V66" i="6" s="1"/>
  <c r="W66" i="6" s="1"/>
  <c r="X66" i="6" s="1"/>
  <c r="Y66" i="6" s="1"/>
  <c r="Z66" i="6" s="1"/>
  <c r="AA66" i="6" s="1"/>
  <c r="AB66" i="6" s="1"/>
  <c r="AC66" i="6" s="1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E62" i="6" s="1"/>
  <c r="C58" i="6"/>
  <c r="AJ57" i="6"/>
  <c r="AJ56" i="6"/>
  <c r="AJ55" i="6"/>
  <c r="AI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AJ53" i="6"/>
  <c r="AK51" i="6" s="1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AJ51" i="6"/>
  <c r="AO51" i="6" s="1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E48" i="6" s="1"/>
  <c r="AJ43" i="6"/>
  <c r="C43" i="6"/>
  <c r="AJ42" i="6"/>
  <c r="AJ41" i="6"/>
  <c r="AI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I40" i="6"/>
  <c r="H40" i="6"/>
  <c r="G40" i="6"/>
  <c r="F40" i="6"/>
  <c r="E40" i="6"/>
  <c r="AJ39" i="6"/>
  <c r="AK37" i="6" s="1"/>
  <c r="E38" i="6"/>
  <c r="F38" i="6" s="1"/>
  <c r="G38" i="6" s="1"/>
  <c r="H38" i="6" s="1"/>
  <c r="I38" i="6" s="1"/>
  <c r="J38" i="6" s="1"/>
  <c r="K38" i="6" s="1"/>
  <c r="L38" i="6" s="1"/>
  <c r="M38" i="6" s="1"/>
  <c r="N38" i="6" s="1"/>
  <c r="O38" i="6" s="1"/>
  <c r="P38" i="6" s="1"/>
  <c r="Q38" i="6" s="1"/>
  <c r="R38" i="6" s="1"/>
  <c r="S38" i="6" s="1"/>
  <c r="T38" i="6" s="1"/>
  <c r="U38" i="6" s="1"/>
  <c r="V38" i="6" s="1"/>
  <c r="W38" i="6" s="1"/>
  <c r="X38" i="6" s="1"/>
  <c r="Y38" i="6" s="1"/>
  <c r="Z38" i="6" s="1"/>
  <c r="AA38" i="6" s="1"/>
  <c r="AB38" i="6" s="1"/>
  <c r="AC38" i="6" s="1"/>
  <c r="AJ37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AJ29" i="6"/>
  <c r="C29" i="6"/>
  <c r="AJ28" i="6"/>
  <c r="AJ27" i="6"/>
  <c r="AI26" i="6"/>
  <c r="AH26" i="6"/>
  <c r="AG26" i="6"/>
  <c r="AD26" i="6"/>
  <c r="AC26" i="6"/>
  <c r="AB26" i="6"/>
  <c r="AA26" i="6"/>
  <c r="Z26" i="6"/>
  <c r="Y26" i="6"/>
  <c r="X26" i="6"/>
  <c r="W26" i="6"/>
  <c r="V26" i="6"/>
  <c r="U26" i="6"/>
  <c r="S26" i="6"/>
  <c r="R26" i="6"/>
  <c r="Q26" i="6"/>
  <c r="O26" i="6"/>
  <c r="N26" i="6"/>
  <c r="M26" i="6"/>
  <c r="L26" i="6"/>
  <c r="I26" i="6"/>
  <c r="H26" i="6"/>
  <c r="G26" i="6"/>
  <c r="F26" i="6"/>
  <c r="E26" i="6"/>
  <c r="AJ25" i="6"/>
  <c r="E24" i="6"/>
  <c r="F24" i="6" s="1"/>
  <c r="G24" i="6" s="1"/>
  <c r="H24" i="6" s="1"/>
  <c r="I24" i="6" s="1"/>
  <c r="J24" i="6" s="1"/>
  <c r="K24" i="6" s="1"/>
  <c r="L24" i="6" s="1"/>
  <c r="M24" i="6" s="1"/>
  <c r="N24" i="6" s="1"/>
  <c r="O24" i="6" s="1"/>
  <c r="P24" i="6" s="1"/>
  <c r="Q24" i="6" s="1"/>
  <c r="R24" i="6" s="1"/>
  <c r="S24" i="6" s="1"/>
  <c r="T24" i="6" s="1"/>
  <c r="U24" i="6" s="1"/>
  <c r="V24" i="6" s="1"/>
  <c r="W24" i="6" s="1"/>
  <c r="X24" i="6" s="1"/>
  <c r="Y24" i="6" s="1"/>
  <c r="Z24" i="6" s="1"/>
  <c r="AJ23" i="6"/>
  <c r="G82" i="13" s="1"/>
  <c r="AI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AJ15" i="6"/>
  <c r="C15" i="6"/>
  <c r="AJ14" i="6"/>
  <c r="AJ13" i="6"/>
  <c r="AI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U12" i="6"/>
  <c r="H12" i="6"/>
  <c r="G12" i="6"/>
  <c r="F12" i="6"/>
  <c r="AJ11" i="6"/>
  <c r="E10" i="6"/>
  <c r="F10" i="6" s="1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J9" i="6"/>
  <c r="F8" i="6"/>
  <c r="AI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AI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AI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U52" i="5"/>
  <c r="T52" i="5"/>
  <c r="S52" i="5"/>
  <c r="R52" i="5"/>
  <c r="P52" i="5"/>
  <c r="O52" i="5"/>
  <c r="N52" i="5"/>
  <c r="M52" i="5"/>
  <c r="L52" i="5"/>
  <c r="K52" i="5"/>
  <c r="J52" i="5"/>
  <c r="H52" i="5"/>
  <c r="G52" i="5"/>
  <c r="F52" i="5"/>
  <c r="E52" i="5"/>
  <c r="AI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S51" i="5"/>
  <c r="R51" i="5"/>
  <c r="Q51" i="5"/>
  <c r="Q55" i="5" s="1"/>
  <c r="P51" i="5"/>
  <c r="O51" i="5"/>
  <c r="N51" i="5"/>
  <c r="M51" i="5"/>
  <c r="L51" i="5"/>
  <c r="K51" i="5"/>
  <c r="J51" i="5"/>
  <c r="I51" i="5"/>
  <c r="I55" i="5" s="1"/>
  <c r="H51" i="5"/>
  <c r="G51" i="5"/>
  <c r="F51" i="5"/>
  <c r="E51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AJ42" i="5"/>
  <c r="AK40" i="5" s="1"/>
  <c r="C42" i="5"/>
  <c r="AJ41" i="5"/>
  <c r="AK39" i="5" s="1"/>
  <c r="AJ40" i="5"/>
  <c r="AK38" i="5" s="1"/>
  <c r="AI39" i="5"/>
  <c r="AH39" i="5"/>
  <c r="AG39" i="5"/>
  <c r="AF39" i="5"/>
  <c r="AE39" i="5"/>
  <c r="AD39" i="5"/>
  <c r="AC39" i="5"/>
  <c r="AA39" i="5"/>
  <c r="Z39" i="5"/>
  <c r="Y39" i="5"/>
  <c r="X39" i="5"/>
  <c r="W39" i="5"/>
  <c r="V39" i="5"/>
  <c r="T39" i="5"/>
  <c r="S39" i="5"/>
  <c r="R39" i="5"/>
  <c r="Q39" i="5"/>
  <c r="N39" i="5"/>
  <c r="M39" i="5"/>
  <c r="L39" i="5"/>
  <c r="K39" i="5"/>
  <c r="J39" i="5"/>
  <c r="I39" i="5"/>
  <c r="H39" i="5"/>
  <c r="G39" i="5"/>
  <c r="F39" i="5"/>
  <c r="AJ38" i="5"/>
  <c r="AK36" i="5" s="1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AJ36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E33" i="5" s="1"/>
  <c r="AJ28" i="5"/>
  <c r="C28" i="5"/>
  <c r="AJ27" i="5"/>
  <c r="AJ26" i="5"/>
  <c r="AI25" i="5"/>
  <c r="AH25" i="5"/>
  <c r="AG25" i="5"/>
  <c r="AE25" i="5"/>
  <c r="AD25" i="5"/>
  <c r="AC25" i="5"/>
  <c r="Z25" i="5"/>
  <c r="Y25" i="5"/>
  <c r="X25" i="5"/>
  <c r="W25" i="5"/>
  <c r="V25" i="5"/>
  <c r="T25" i="5"/>
  <c r="S25" i="5"/>
  <c r="R25" i="5"/>
  <c r="Q25" i="5"/>
  <c r="N25" i="5"/>
  <c r="M25" i="5"/>
  <c r="L25" i="5"/>
  <c r="G25" i="5"/>
  <c r="F25" i="5"/>
  <c r="E23" i="5"/>
  <c r="F23" i="5" s="1"/>
  <c r="G23" i="5" s="1"/>
  <c r="H23" i="5" s="1"/>
  <c r="I23" i="5" s="1"/>
  <c r="J23" i="5" s="1"/>
  <c r="K23" i="5" s="1"/>
  <c r="L23" i="5" s="1"/>
  <c r="M23" i="5" s="1"/>
  <c r="N23" i="5" s="1"/>
  <c r="O23" i="5" s="1"/>
  <c r="P23" i="5" s="1"/>
  <c r="Q23" i="5" s="1"/>
  <c r="AJ22" i="5"/>
  <c r="G21" i="13" s="1"/>
  <c r="K21" i="13" s="1"/>
  <c r="L21" i="13" s="1"/>
  <c r="AI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AJ14" i="5"/>
  <c r="AK12" i="5" s="1"/>
  <c r="C14" i="5"/>
  <c r="AJ13" i="5"/>
  <c r="AK11" i="5" s="1"/>
  <c r="AJ12" i="5"/>
  <c r="AK10" i="5" s="1"/>
  <c r="AI11" i="5"/>
  <c r="AH11" i="5"/>
  <c r="AG11" i="5"/>
  <c r="AF11" i="5"/>
  <c r="AE11" i="5"/>
  <c r="AD11" i="5"/>
  <c r="AC11" i="5"/>
  <c r="AA11" i="5"/>
  <c r="Z11" i="5"/>
  <c r="Y11" i="5"/>
  <c r="X11" i="5"/>
  <c r="W11" i="5"/>
  <c r="V11" i="5"/>
  <c r="T11" i="5"/>
  <c r="S11" i="5"/>
  <c r="R11" i="5"/>
  <c r="Q11" i="5"/>
  <c r="N11" i="5"/>
  <c r="M11" i="5"/>
  <c r="L11" i="5"/>
  <c r="K11" i="5"/>
  <c r="J11" i="5"/>
  <c r="I11" i="5"/>
  <c r="H11" i="5"/>
  <c r="AJ10" i="5"/>
  <c r="AI9" i="5"/>
  <c r="AG9" i="5"/>
  <c r="AH9" i="5" s="1"/>
  <c r="AF9" i="5"/>
  <c r="AE9" i="5"/>
  <c r="AD9" i="5"/>
  <c r="AC9" i="5"/>
  <c r="H9" i="5"/>
  <c r="I9" i="5" s="1"/>
  <c r="J9" i="5" s="1"/>
  <c r="K9" i="5" s="1"/>
  <c r="L9" i="5" s="1"/>
  <c r="M9" i="5" s="1"/>
  <c r="N9" i="5" s="1"/>
  <c r="O9" i="5" s="1"/>
  <c r="P9" i="5" s="1"/>
  <c r="Q9" i="5" s="1"/>
  <c r="R9" i="5" s="1"/>
  <c r="S9" i="5" s="1"/>
  <c r="T9" i="5" s="1"/>
  <c r="U9" i="5" s="1"/>
  <c r="V9" i="5" s="1"/>
  <c r="W9" i="5" s="1"/>
  <c r="X9" i="5" s="1"/>
  <c r="Y9" i="5" s="1"/>
  <c r="Z9" i="5" s="1"/>
  <c r="AA9" i="5" s="1"/>
  <c r="AB9" i="5" s="1"/>
  <c r="AJ8" i="5"/>
  <c r="H7" i="5"/>
  <c r="I7" i="5" s="1"/>
  <c r="J7" i="5" s="1"/>
  <c r="K7" i="5" s="1"/>
  <c r="L7" i="5" s="1"/>
  <c r="M7" i="5" s="1"/>
  <c r="N7" i="5" s="1"/>
  <c r="O7" i="5" s="1"/>
  <c r="P7" i="5" s="1"/>
  <c r="Q7" i="5" s="1"/>
  <c r="R7" i="5" s="1"/>
  <c r="S7" i="5" s="1"/>
  <c r="T7" i="5" s="1"/>
  <c r="U7" i="5" s="1"/>
  <c r="V7" i="5" s="1"/>
  <c r="W7" i="5" s="1"/>
  <c r="X7" i="5" s="1"/>
  <c r="Y7" i="5" s="1"/>
  <c r="Z7" i="5" s="1"/>
  <c r="AA7" i="5" s="1"/>
  <c r="AB7" i="5" s="1"/>
  <c r="AC7" i="5" s="1"/>
  <c r="AD7" i="5" s="1"/>
  <c r="AE7" i="5" s="1"/>
  <c r="AF7" i="5" s="1"/>
  <c r="AG7" i="5" s="1"/>
  <c r="AH7" i="5" s="1"/>
  <c r="AI7" i="5" s="1"/>
  <c r="C513" i="4"/>
  <c r="AI512" i="4"/>
  <c r="AH512" i="4"/>
  <c r="AG512" i="4"/>
  <c r="AF512" i="4"/>
  <c r="AE512" i="4"/>
  <c r="AD512" i="4"/>
  <c r="AC512" i="4"/>
  <c r="AB512" i="4"/>
  <c r="AA512" i="4"/>
  <c r="Z512" i="4"/>
  <c r="Y512" i="4"/>
  <c r="X512" i="4"/>
  <c r="W512" i="4"/>
  <c r="V512" i="4"/>
  <c r="U512" i="4"/>
  <c r="T512" i="4"/>
  <c r="S512" i="4"/>
  <c r="R512" i="4"/>
  <c r="Q512" i="4"/>
  <c r="P512" i="4"/>
  <c r="O512" i="4"/>
  <c r="N512" i="4"/>
  <c r="M512" i="4"/>
  <c r="L512" i="4"/>
  <c r="K512" i="4"/>
  <c r="J512" i="4"/>
  <c r="I512" i="4"/>
  <c r="H512" i="4"/>
  <c r="G512" i="4"/>
  <c r="F512" i="4"/>
  <c r="E512" i="4"/>
  <c r="AJ510" i="4"/>
  <c r="AK508" i="4" s="1"/>
  <c r="AJ509" i="4"/>
  <c r="AK507" i="4" s="1"/>
  <c r="AJ508" i="4"/>
  <c r="AK506" i="4" s="1"/>
  <c r="C508" i="4"/>
  <c r="AI507" i="4"/>
  <c r="AH507" i="4"/>
  <c r="AG507" i="4"/>
  <c r="AF507" i="4"/>
  <c r="AE507" i="4"/>
  <c r="AD507" i="4"/>
  <c r="AC507" i="4"/>
  <c r="AB507" i="4"/>
  <c r="AA507" i="4"/>
  <c r="Z507" i="4"/>
  <c r="Y507" i="4"/>
  <c r="X507" i="4"/>
  <c r="W507" i="4"/>
  <c r="V507" i="4"/>
  <c r="U507" i="4"/>
  <c r="T507" i="4"/>
  <c r="S507" i="4"/>
  <c r="R507" i="4"/>
  <c r="Q507" i="4"/>
  <c r="P507" i="4"/>
  <c r="O507" i="4"/>
  <c r="N507" i="4"/>
  <c r="M507" i="4"/>
  <c r="L507" i="4"/>
  <c r="K507" i="4"/>
  <c r="J507" i="4"/>
  <c r="I507" i="4"/>
  <c r="H507" i="4"/>
  <c r="G507" i="4"/>
  <c r="F507" i="4"/>
  <c r="E507" i="4"/>
  <c r="AJ506" i="4"/>
  <c r="AK504" i="4" s="1"/>
  <c r="AI505" i="4"/>
  <c r="AH505" i="4"/>
  <c r="AG505" i="4"/>
  <c r="AF505" i="4"/>
  <c r="AE505" i="4"/>
  <c r="AD505" i="4"/>
  <c r="AC505" i="4"/>
  <c r="AB505" i="4"/>
  <c r="AA505" i="4"/>
  <c r="Z505" i="4"/>
  <c r="Y505" i="4"/>
  <c r="X505" i="4"/>
  <c r="W505" i="4"/>
  <c r="V505" i="4"/>
  <c r="U505" i="4"/>
  <c r="T505" i="4"/>
  <c r="S505" i="4"/>
  <c r="R505" i="4"/>
  <c r="Q505" i="4"/>
  <c r="P505" i="4"/>
  <c r="O505" i="4"/>
  <c r="N505" i="4"/>
  <c r="M505" i="4"/>
  <c r="L505" i="4"/>
  <c r="K505" i="4"/>
  <c r="J505" i="4"/>
  <c r="I505" i="4"/>
  <c r="H505" i="4"/>
  <c r="G505" i="4"/>
  <c r="F505" i="4"/>
  <c r="E505" i="4"/>
  <c r="AJ504" i="4"/>
  <c r="AK502" i="4" s="1"/>
  <c r="C497" i="4"/>
  <c r="AI496" i="4"/>
  <c r="AH496" i="4"/>
  <c r="AG496" i="4"/>
  <c r="AF496" i="4"/>
  <c r="AE496" i="4"/>
  <c r="AD496" i="4"/>
  <c r="AC496" i="4"/>
  <c r="AB496" i="4"/>
  <c r="AA496" i="4"/>
  <c r="Z496" i="4"/>
  <c r="Y496" i="4"/>
  <c r="X496" i="4"/>
  <c r="W496" i="4"/>
  <c r="V496" i="4"/>
  <c r="U496" i="4"/>
  <c r="T496" i="4"/>
  <c r="S496" i="4"/>
  <c r="R496" i="4"/>
  <c r="Q496" i="4"/>
  <c r="P496" i="4"/>
  <c r="O496" i="4"/>
  <c r="N496" i="4"/>
  <c r="M496" i="4"/>
  <c r="L496" i="4"/>
  <c r="K496" i="4"/>
  <c r="J496" i="4"/>
  <c r="I496" i="4"/>
  <c r="H496" i="4"/>
  <c r="G496" i="4"/>
  <c r="F496" i="4"/>
  <c r="E496" i="4"/>
  <c r="AJ494" i="4"/>
  <c r="AJ493" i="4"/>
  <c r="AJ492" i="4"/>
  <c r="C492" i="4"/>
  <c r="AI491" i="4"/>
  <c r="AH491" i="4"/>
  <c r="AG491" i="4"/>
  <c r="AE491" i="4"/>
  <c r="AD491" i="4"/>
  <c r="AC491" i="4"/>
  <c r="AB491" i="4"/>
  <c r="AA491" i="4"/>
  <c r="Z491" i="4"/>
  <c r="Y491" i="4"/>
  <c r="X491" i="4"/>
  <c r="W491" i="4"/>
  <c r="V491" i="4"/>
  <c r="U491" i="4"/>
  <c r="T491" i="4"/>
  <c r="S491" i="4"/>
  <c r="R491" i="4"/>
  <c r="Q491" i="4"/>
  <c r="P491" i="4"/>
  <c r="O491" i="4"/>
  <c r="N491" i="4"/>
  <c r="M491" i="4"/>
  <c r="L491" i="4"/>
  <c r="J491" i="4"/>
  <c r="I491" i="4"/>
  <c r="H491" i="4"/>
  <c r="G491" i="4"/>
  <c r="F491" i="4"/>
  <c r="AJ490" i="4"/>
  <c r="E489" i="4"/>
  <c r="F489" i="4" s="1"/>
  <c r="G489" i="4" s="1"/>
  <c r="H489" i="4" s="1"/>
  <c r="I489" i="4" s="1"/>
  <c r="J489" i="4" s="1"/>
  <c r="K489" i="4" s="1"/>
  <c r="L489" i="4" s="1"/>
  <c r="M489" i="4" s="1"/>
  <c r="N489" i="4" s="1"/>
  <c r="O489" i="4" s="1"/>
  <c r="P489" i="4" s="1"/>
  <c r="Q489" i="4" s="1"/>
  <c r="R489" i="4" s="1"/>
  <c r="S489" i="4" s="1"/>
  <c r="T489" i="4" s="1"/>
  <c r="U489" i="4" s="1"/>
  <c r="V489" i="4" s="1"/>
  <c r="W489" i="4" s="1"/>
  <c r="X489" i="4" s="1"/>
  <c r="Y489" i="4" s="1"/>
  <c r="Z489" i="4" s="1"/>
  <c r="AA489" i="4" s="1"/>
  <c r="AB489" i="4" s="1"/>
  <c r="AC489" i="4" s="1"/>
  <c r="AD489" i="4" s="1"/>
  <c r="AE489" i="4" s="1"/>
  <c r="AF489" i="4" s="1"/>
  <c r="AG489" i="4" s="1"/>
  <c r="AH489" i="4" s="1"/>
  <c r="AI489" i="4" s="1"/>
  <c r="AJ488" i="4"/>
  <c r="C481" i="4"/>
  <c r="AI480" i="4"/>
  <c r="AH480" i="4"/>
  <c r="AG480" i="4"/>
  <c r="AF480" i="4"/>
  <c r="AE480" i="4"/>
  <c r="AD480" i="4"/>
  <c r="AC480" i="4"/>
  <c r="AB480" i="4"/>
  <c r="AA480" i="4"/>
  <c r="Z480" i="4"/>
  <c r="Y480" i="4"/>
  <c r="X480" i="4"/>
  <c r="W480" i="4"/>
  <c r="V480" i="4"/>
  <c r="U480" i="4"/>
  <c r="T480" i="4"/>
  <c r="S480" i="4"/>
  <c r="R480" i="4"/>
  <c r="Q480" i="4"/>
  <c r="P480" i="4"/>
  <c r="O480" i="4"/>
  <c r="N480" i="4"/>
  <c r="M480" i="4"/>
  <c r="L480" i="4"/>
  <c r="K480" i="4"/>
  <c r="J480" i="4"/>
  <c r="I480" i="4"/>
  <c r="H480" i="4"/>
  <c r="G480" i="4"/>
  <c r="F480" i="4"/>
  <c r="E480" i="4"/>
  <c r="AJ478" i="4"/>
  <c r="AK476" i="4" s="1"/>
  <c r="AJ477" i="4"/>
  <c r="AK475" i="4" s="1"/>
  <c r="AJ476" i="4"/>
  <c r="AK474" i="4" s="1"/>
  <c r="C476" i="4"/>
  <c r="AI475" i="4"/>
  <c r="AH475" i="4"/>
  <c r="AG475" i="4"/>
  <c r="AF475" i="4"/>
  <c r="AE475" i="4"/>
  <c r="AB475" i="4"/>
  <c r="AA475" i="4"/>
  <c r="Z475" i="4"/>
  <c r="Y475" i="4"/>
  <c r="X475" i="4"/>
  <c r="W475" i="4"/>
  <c r="V475" i="4"/>
  <c r="U475" i="4"/>
  <c r="T475" i="4"/>
  <c r="S475" i="4"/>
  <c r="R475" i="4"/>
  <c r="Q475" i="4"/>
  <c r="P475" i="4"/>
  <c r="O475" i="4"/>
  <c r="N475" i="4"/>
  <c r="M475" i="4"/>
  <c r="L475" i="4"/>
  <c r="K475" i="4"/>
  <c r="J475" i="4"/>
  <c r="I475" i="4"/>
  <c r="H475" i="4"/>
  <c r="G475" i="4"/>
  <c r="F475" i="4"/>
  <c r="E475" i="4"/>
  <c r="AK472" i="4"/>
  <c r="H59" i="13" s="1"/>
  <c r="E473" i="4"/>
  <c r="F473" i="4" s="1"/>
  <c r="G473" i="4" s="1"/>
  <c r="H473" i="4" s="1"/>
  <c r="I473" i="4" s="1"/>
  <c r="J473" i="4" s="1"/>
  <c r="K473" i="4" s="1"/>
  <c r="L473" i="4" s="1"/>
  <c r="M473" i="4" s="1"/>
  <c r="N473" i="4" s="1"/>
  <c r="O473" i="4" s="1"/>
  <c r="P473" i="4" s="1"/>
  <c r="Q473" i="4" s="1"/>
  <c r="R473" i="4" s="1"/>
  <c r="S473" i="4" s="1"/>
  <c r="T473" i="4" s="1"/>
  <c r="U473" i="4" s="1"/>
  <c r="V473" i="4" s="1"/>
  <c r="W473" i="4" s="1"/>
  <c r="X473" i="4" s="1"/>
  <c r="Y473" i="4" s="1"/>
  <c r="Z473" i="4" s="1"/>
  <c r="AA473" i="4" s="1"/>
  <c r="AB473" i="4" s="1"/>
  <c r="AC473" i="4" s="1"/>
  <c r="AD473" i="4" s="1"/>
  <c r="AE473" i="4" s="1"/>
  <c r="AF473" i="4" s="1"/>
  <c r="AG473" i="4" s="1"/>
  <c r="AH473" i="4" s="1"/>
  <c r="AI473" i="4" s="1"/>
  <c r="AJ472" i="4"/>
  <c r="G59" i="13" s="1"/>
  <c r="C465" i="4"/>
  <c r="AI464" i="4"/>
  <c r="AH464" i="4"/>
  <c r="AG464" i="4"/>
  <c r="AF464" i="4"/>
  <c r="AE464" i="4"/>
  <c r="AD464" i="4"/>
  <c r="AC464" i="4"/>
  <c r="AB464" i="4"/>
  <c r="AA464" i="4"/>
  <c r="AA471" i="4" s="1"/>
  <c r="Z464" i="4"/>
  <c r="Z471" i="4" s="1"/>
  <c r="Y464" i="4"/>
  <c r="Y471" i="4" s="1"/>
  <c r="X464" i="4"/>
  <c r="X471" i="4" s="1"/>
  <c r="W464" i="4"/>
  <c r="W471" i="4" s="1"/>
  <c r="V464" i="4"/>
  <c r="V471" i="4" s="1"/>
  <c r="U464" i="4"/>
  <c r="U471" i="4" s="1"/>
  <c r="T464" i="4"/>
  <c r="T471" i="4" s="1"/>
  <c r="S464" i="4"/>
  <c r="S471" i="4" s="1"/>
  <c r="R464" i="4"/>
  <c r="R471" i="4" s="1"/>
  <c r="Q464" i="4"/>
  <c r="Q471" i="4" s="1"/>
  <c r="P464" i="4"/>
  <c r="P471" i="4" s="1"/>
  <c r="O464" i="4"/>
  <c r="O471" i="4" s="1"/>
  <c r="N464" i="4"/>
  <c r="M464" i="4"/>
  <c r="L464" i="4"/>
  <c r="K464" i="4"/>
  <c r="J464" i="4"/>
  <c r="I464" i="4"/>
  <c r="H464" i="4"/>
  <c r="G464" i="4"/>
  <c r="F464" i="4"/>
  <c r="E464" i="4"/>
  <c r="AJ462" i="4"/>
  <c r="AK460" i="4" s="1"/>
  <c r="AJ461" i="4"/>
  <c r="AK459" i="4" s="1"/>
  <c r="AJ460" i="4"/>
  <c r="AK458" i="4" s="1"/>
  <c r="C460" i="4"/>
  <c r="AI459" i="4"/>
  <c r="AH459" i="4"/>
  <c r="AG459" i="4"/>
  <c r="AF459" i="4"/>
  <c r="AE459" i="4"/>
  <c r="AD459" i="4"/>
  <c r="AC459" i="4"/>
  <c r="AB459" i="4"/>
  <c r="AA459" i="4"/>
  <c r="Z459" i="4"/>
  <c r="Y459" i="4"/>
  <c r="X459" i="4"/>
  <c r="W459" i="4"/>
  <c r="V459" i="4"/>
  <c r="U459" i="4"/>
  <c r="T459" i="4"/>
  <c r="S459" i="4"/>
  <c r="R459" i="4"/>
  <c r="Q459" i="4"/>
  <c r="P459" i="4"/>
  <c r="O459" i="4"/>
  <c r="M459" i="4"/>
  <c r="L459" i="4"/>
  <c r="K459" i="4"/>
  <c r="J459" i="4"/>
  <c r="H459" i="4"/>
  <c r="G459" i="4"/>
  <c r="F459" i="4"/>
  <c r="AJ458" i="4"/>
  <c r="AK456" i="4" s="1"/>
  <c r="H58" i="13" s="1"/>
  <c r="K58" i="13" s="1"/>
  <c r="L58" i="13" s="1"/>
  <c r="E457" i="4"/>
  <c r="F457" i="4" s="1"/>
  <c r="G457" i="4" s="1"/>
  <c r="H457" i="4" s="1"/>
  <c r="I457" i="4" s="1"/>
  <c r="J457" i="4" s="1"/>
  <c r="K457" i="4" s="1"/>
  <c r="L457" i="4" s="1"/>
  <c r="M457" i="4" s="1"/>
  <c r="N457" i="4" s="1"/>
  <c r="O457" i="4" s="1"/>
  <c r="P457" i="4" s="1"/>
  <c r="Q457" i="4" s="1"/>
  <c r="R457" i="4" s="1"/>
  <c r="S457" i="4" s="1"/>
  <c r="T457" i="4" s="1"/>
  <c r="U457" i="4" s="1"/>
  <c r="V457" i="4" s="1"/>
  <c r="W457" i="4" s="1"/>
  <c r="X457" i="4" s="1"/>
  <c r="Y457" i="4" s="1"/>
  <c r="Z457" i="4" s="1"/>
  <c r="AA457" i="4" s="1"/>
  <c r="AB457" i="4" s="1"/>
  <c r="AC457" i="4" s="1"/>
  <c r="AD457" i="4" s="1"/>
  <c r="AE457" i="4" s="1"/>
  <c r="AF457" i="4" s="1"/>
  <c r="AG457" i="4" s="1"/>
  <c r="AH457" i="4" s="1"/>
  <c r="AI457" i="4" s="1"/>
  <c r="C449" i="4"/>
  <c r="AI448" i="4"/>
  <c r="AH448" i="4"/>
  <c r="AG448" i="4"/>
  <c r="AF448" i="4"/>
  <c r="AE448" i="4"/>
  <c r="AC448" i="4"/>
  <c r="AB448" i="4"/>
  <c r="AA448" i="4"/>
  <c r="Z448" i="4"/>
  <c r="Y448" i="4"/>
  <c r="X448" i="4"/>
  <c r="W448" i="4"/>
  <c r="V448" i="4"/>
  <c r="U448" i="4"/>
  <c r="T448" i="4"/>
  <c r="S448" i="4"/>
  <c r="R448" i="4"/>
  <c r="Q448" i="4"/>
  <c r="P448" i="4"/>
  <c r="O448" i="4"/>
  <c r="N448" i="4"/>
  <c r="M448" i="4"/>
  <c r="L448" i="4"/>
  <c r="K448" i="4"/>
  <c r="J448" i="4"/>
  <c r="I448" i="4"/>
  <c r="H448" i="4"/>
  <c r="G448" i="4"/>
  <c r="F448" i="4"/>
  <c r="E448" i="4"/>
  <c r="AJ446" i="4"/>
  <c r="AJ445" i="4"/>
  <c r="AK443" i="4" s="1"/>
  <c r="AJ444" i="4"/>
  <c r="AK442" i="4" s="1"/>
  <c r="C444" i="4"/>
  <c r="AI443" i="4"/>
  <c r="AH443" i="4"/>
  <c r="AG443" i="4"/>
  <c r="AF443" i="4"/>
  <c r="AE443" i="4"/>
  <c r="AD443" i="4"/>
  <c r="AC443" i="4"/>
  <c r="AB443" i="4"/>
  <c r="AA443" i="4"/>
  <c r="Z443" i="4"/>
  <c r="Y443" i="4"/>
  <c r="X443" i="4"/>
  <c r="W443" i="4"/>
  <c r="V443" i="4"/>
  <c r="U443" i="4"/>
  <c r="T443" i="4"/>
  <c r="S443" i="4"/>
  <c r="R443" i="4"/>
  <c r="Q443" i="4"/>
  <c r="P443" i="4"/>
  <c r="O443" i="4"/>
  <c r="N443" i="4"/>
  <c r="M443" i="4"/>
  <c r="L443" i="4"/>
  <c r="K443" i="4"/>
  <c r="J443" i="4"/>
  <c r="I443" i="4"/>
  <c r="H443" i="4"/>
  <c r="G443" i="4"/>
  <c r="F443" i="4"/>
  <c r="AJ442" i="4"/>
  <c r="AK440" i="4" s="1"/>
  <c r="H57" i="13" s="1"/>
  <c r="E441" i="4"/>
  <c r="F441" i="4" s="1"/>
  <c r="G441" i="4" s="1"/>
  <c r="H441" i="4" s="1"/>
  <c r="I441" i="4" s="1"/>
  <c r="J441" i="4" s="1"/>
  <c r="K441" i="4" s="1"/>
  <c r="L441" i="4" s="1"/>
  <c r="M441" i="4" s="1"/>
  <c r="N441" i="4" s="1"/>
  <c r="O441" i="4" s="1"/>
  <c r="P441" i="4" s="1"/>
  <c r="Q441" i="4" s="1"/>
  <c r="R441" i="4" s="1"/>
  <c r="S441" i="4" s="1"/>
  <c r="T441" i="4" s="1"/>
  <c r="U441" i="4" s="1"/>
  <c r="V441" i="4" s="1"/>
  <c r="W441" i="4" s="1"/>
  <c r="X441" i="4" s="1"/>
  <c r="Y441" i="4" s="1"/>
  <c r="Z441" i="4" s="1"/>
  <c r="AA441" i="4" s="1"/>
  <c r="AB441" i="4" s="1"/>
  <c r="AC441" i="4" s="1"/>
  <c r="AD441" i="4" s="1"/>
  <c r="AE441" i="4" s="1"/>
  <c r="AF441" i="4" s="1"/>
  <c r="AG441" i="4" s="1"/>
  <c r="AH441" i="4" s="1"/>
  <c r="AI441" i="4" s="1"/>
  <c r="AJ440" i="4"/>
  <c r="G57" i="13" s="1"/>
  <c r="C433" i="4"/>
  <c r="AI432" i="4"/>
  <c r="AH432" i="4"/>
  <c r="AG432" i="4"/>
  <c r="AF432" i="4"/>
  <c r="AE432" i="4"/>
  <c r="AD432" i="4"/>
  <c r="AC432" i="4"/>
  <c r="AB432" i="4"/>
  <c r="AA432" i="4"/>
  <c r="Z432" i="4"/>
  <c r="Y432" i="4"/>
  <c r="X432" i="4"/>
  <c r="W432" i="4"/>
  <c r="V432" i="4"/>
  <c r="U432" i="4"/>
  <c r="T432" i="4"/>
  <c r="S432" i="4"/>
  <c r="R432" i="4"/>
  <c r="Q432" i="4"/>
  <c r="P432" i="4"/>
  <c r="O432" i="4"/>
  <c r="N432" i="4"/>
  <c r="M432" i="4"/>
  <c r="L432" i="4"/>
  <c r="K432" i="4"/>
  <c r="J432" i="4"/>
  <c r="I432" i="4"/>
  <c r="H432" i="4"/>
  <c r="G432" i="4"/>
  <c r="F432" i="4"/>
  <c r="E432" i="4"/>
  <c r="AJ430" i="4"/>
  <c r="AK428" i="4" s="1"/>
  <c r="AJ429" i="4"/>
  <c r="AK427" i="4" s="1"/>
  <c r="AJ428" i="4"/>
  <c r="AK426" i="4" s="1"/>
  <c r="C428" i="4"/>
  <c r="AI427" i="4"/>
  <c r="AH427" i="4"/>
  <c r="AG427" i="4"/>
  <c r="AF427" i="4"/>
  <c r="AE427" i="4"/>
  <c r="AD427" i="4"/>
  <c r="AC427" i="4"/>
  <c r="AB427" i="4"/>
  <c r="AA427" i="4"/>
  <c r="Z427" i="4"/>
  <c r="Y427" i="4"/>
  <c r="X427" i="4"/>
  <c r="W427" i="4"/>
  <c r="V427" i="4"/>
  <c r="U427" i="4"/>
  <c r="T427" i="4"/>
  <c r="S427" i="4"/>
  <c r="R427" i="4"/>
  <c r="Q427" i="4"/>
  <c r="P427" i="4"/>
  <c r="O427" i="4"/>
  <c r="N427" i="4"/>
  <c r="M427" i="4"/>
  <c r="L427" i="4"/>
  <c r="K427" i="4"/>
  <c r="J427" i="4"/>
  <c r="I427" i="4"/>
  <c r="H427" i="4"/>
  <c r="G427" i="4"/>
  <c r="F427" i="4"/>
  <c r="E427" i="4"/>
  <c r="AJ426" i="4"/>
  <c r="AK424" i="4" s="1"/>
  <c r="H56" i="13" s="1"/>
  <c r="AI425" i="4"/>
  <c r="AH425" i="4"/>
  <c r="AG425" i="4"/>
  <c r="AF425" i="4"/>
  <c r="AE425" i="4"/>
  <c r="AD425" i="4"/>
  <c r="AC425" i="4"/>
  <c r="AB425" i="4"/>
  <c r="AA425" i="4"/>
  <c r="Z425" i="4"/>
  <c r="Y425" i="4"/>
  <c r="X425" i="4"/>
  <c r="W425" i="4"/>
  <c r="V425" i="4"/>
  <c r="U425" i="4"/>
  <c r="T425" i="4"/>
  <c r="S425" i="4"/>
  <c r="R425" i="4"/>
  <c r="Q425" i="4"/>
  <c r="P425" i="4"/>
  <c r="O425" i="4"/>
  <c r="N425" i="4"/>
  <c r="M425" i="4"/>
  <c r="L425" i="4"/>
  <c r="K425" i="4"/>
  <c r="J425" i="4"/>
  <c r="I425" i="4"/>
  <c r="H425" i="4"/>
  <c r="G425" i="4"/>
  <c r="F425" i="4"/>
  <c r="E425" i="4"/>
  <c r="AJ424" i="4"/>
  <c r="G56" i="13" s="1"/>
  <c r="C417" i="4"/>
  <c r="AI416" i="4"/>
  <c r="AH416" i="4"/>
  <c r="AG416" i="4"/>
  <c r="AF416" i="4"/>
  <c r="AE416" i="4"/>
  <c r="AD416" i="4"/>
  <c r="AB416" i="4"/>
  <c r="AA416" i="4"/>
  <c r="Z416" i="4"/>
  <c r="Y416" i="4"/>
  <c r="X416" i="4"/>
  <c r="W416" i="4"/>
  <c r="V416" i="4"/>
  <c r="U416" i="4"/>
  <c r="T416" i="4"/>
  <c r="S416" i="4"/>
  <c r="R416" i="4"/>
  <c r="Q416" i="4"/>
  <c r="P416" i="4"/>
  <c r="O416" i="4"/>
  <c r="N416" i="4"/>
  <c r="M416" i="4"/>
  <c r="L416" i="4"/>
  <c r="K416" i="4"/>
  <c r="J416" i="4"/>
  <c r="I416" i="4"/>
  <c r="H416" i="4"/>
  <c r="G416" i="4"/>
  <c r="F416" i="4"/>
  <c r="E416" i="4"/>
  <c r="AJ414" i="4"/>
  <c r="AJ413" i="4"/>
  <c r="AK411" i="4" s="1"/>
  <c r="AJ412" i="4"/>
  <c r="AK410" i="4" s="1"/>
  <c r="C412" i="4"/>
  <c r="AI411" i="4"/>
  <c r="AH411" i="4"/>
  <c r="AG411" i="4"/>
  <c r="AF411" i="4"/>
  <c r="AE411" i="4"/>
  <c r="AD411" i="4"/>
  <c r="AC411" i="4"/>
  <c r="AA411" i="4"/>
  <c r="Z411" i="4"/>
  <c r="Y411" i="4"/>
  <c r="X411" i="4"/>
  <c r="W411" i="4"/>
  <c r="V411" i="4"/>
  <c r="U411" i="4"/>
  <c r="T411" i="4"/>
  <c r="S411" i="4"/>
  <c r="R411" i="4"/>
  <c r="Q411" i="4"/>
  <c r="N411" i="4"/>
  <c r="M411" i="4"/>
  <c r="L411" i="4"/>
  <c r="K411" i="4"/>
  <c r="J411" i="4"/>
  <c r="I411" i="4"/>
  <c r="H411" i="4"/>
  <c r="G411" i="4"/>
  <c r="F411" i="4"/>
  <c r="E411" i="4"/>
  <c r="AJ410" i="4"/>
  <c r="AK408" i="4" s="1"/>
  <c r="H55" i="13" s="1"/>
  <c r="E409" i="4"/>
  <c r="F409" i="4" s="1"/>
  <c r="G409" i="4" s="1"/>
  <c r="AJ408" i="4"/>
  <c r="G55" i="13" s="1"/>
  <c r="C401" i="4"/>
  <c r="AI400" i="4"/>
  <c r="AH400" i="4"/>
  <c r="AG400" i="4"/>
  <c r="AF400" i="4"/>
  <c r="AE400" i="4"/>
  <c r="AD400" i="4"/>
  <c r="AC400" i="4"/>
  <c r="AB400" i="4"/>
  <c r="AA400" i="4"/>
  <c r="Z400" i="4"/>
  <c r="Y400" i="4"/>
  <c r="X400" i="4"/>
  <c r="W400" i="4"/>
  <c r="V400" i="4"/>
  <c r="U400" i="4"/>
  <c r="T400" i="4"/>
  <c r="S400" i="4"/>
  <c r="R400" i="4"/>
  <c r="Q400" i="4"/>
  <c r="P400" i="4"/>
  <c r="O400" i="4"/>
  <c r="N400" i="4"/>
  <c r="M400" i="4"/>
  <c r="L400" i="4"/>
  <c r="K400" i="4"/>
  <c r="J400" i="4"/>
  <c r="I400" i="4"/>
  <c r="G400" i="4"/>
  <c r="F400" i="4"/>
  <c r="E400" i="4"/>
  <c r="AJ398" i="4"/>
  <c r="AK396" i="4" s="1"/>
  <c r="AJ397" i="4"/>
  <c r="AK395" i="4" s="1"/>
  <c r="AJ396" i="4"/>
  <c r="AK394" i="4" s="1"/>
  <c r="C396" i="4"/>
  <c r="AI395" i="4"/>
  <c r="AH395" i="4"/>
  <c r="AG395" i="4"/>
  <c r="AF395" i="4"/>
  <c r="AE395" i="4"/>
  <c r="AD395" i="4"/>
  <c r="AC395" i="4"/>
  <c r="AB395" i="4"/>
  <c r="AA395" i="4"/>
  <c r="Z395" i="4"/>
  <c r="Y395" i="4"/>
  <c r="X395" i="4"/>
  <c r="W395" i="4"/>
  <c r="V395" i="4"/>
  <c r="U395" i="4"/>
  <c r="T395" i="4"/>
  <c r="S395" i="4"/>
  <c r="R395" i="4"/>
  <c r="Q395" i="4"/>
  <c r="N395" i="4"/>
  <c r="M395" i="4"/>
  <c r="L395" i="4"/>
  <c r="J395" i="4"/>
  <c r="I395" i="4"/>
  <c r="H395" i="4"/>
  <c r="G395" i="4"/>
  <c r="F395" i="4"/>
  <c r="E395" i="4"/>
  <c r="AK392" i="4"/>
  <c r="H54" i="13" s="1"/>
  <c r="K54" i="13" s="1"/>
  <c r="L54" i="13" s="1"/>
  <c r="E393" i="4"/>
  <c r="F393" i="4" s="1"/>
  <c r="G393" i="4" s="1"/>
  <c r="H393" i="4" s="1"/>
  <c r="I393" i="4" s="1"/>
  <c r="J393" i="4" s="1"/>
  <c r="K393" i="4" s="1"/>
  <c r="L393" i="4" s="1"/>
  <c r="M393" i="4" s="1"/>
  <c r="N393" i="4" s="1"/>
  <c r="O393" i="4" s="1"/>
  <c r="P393" i="4" s="1"/>
  <c r="Q393" i="4" s="1"/>
  <c r="R393" i="4" s="1"/>
  <c r="S393" i="4" s="1"/>
  <c r="T393" i="4" s="1"/>
  <c r="U393" i="4" s="1"/>
  <c r="V393" i="4" s="1"/>
  <c r="W393" i="4" s="1"/>
  <c r="X393" i="4" s="1"/>
  <c r="Y393" i="4" s="1"/>
  <c r="Z393" i="4" s="1"/>
  <c r="AA393" i="4" s="1"/>
  <c r="AB393" i="4" s="1"/>
  <c r="AC393" i="4" s="1"/>
  <c r="AD393" i="4" s="1"/>
  <c r="AE393" i="4" s="1"/>
  <c r="AF393" i="4" s="1"/>
  <c r="AG393" i="4" s="1"/>
  <c r="AH393" i="4" s="1"/>
  <c r="AI393" i="4" s="1"/>
  <c r="AK390" i="4"/>
  <c r="C385" i="4"/>
  <c r="AI384" i="4"/>
  <c r="AH384" i="4"/>
  <c r="AG384" i="4"/>
  <c r="AF384" i="4"/>
  <c r="AE384" i="4"/>
  <c r="AD384" i="4"/>
  <c r="AD389" i="4" s="1"/>
  <c r="AC384" i="4"/>
  <c r="AC389" i="4" s="1"/>
  <c r="AB384" i="4"/>
  <c r="AB389" i="4" s="1"/>
  <c r="AA384" i="4"/>
  <c r="AA389" i="4" s="1"/>
  <c r="Z384" i="4"/>
  <c r="Y384" i="4"/>
  <c r="X384" i="4"/>
  <c r="W384" i="4"/>
  <c r="V384" i="4"/>
  <c r="U384" i="4"/>
  <c r="T384" i="4"/>
  <c r="S384" i="4"/>
  <c r="R384" i="4"/>
  <c r="Q384" i="4"/>
  <c r="P384" i="4"/>
  <c r="O384" i="4"/>
  <c r="N384" i="4"/>
  <c r="M384" i="4"/>
  <c r="L384" i="4"/>
  <c r="K384" i="4"/>
  <c r="J384" i="4"/>
  <c r="I384" i="4"/>
  <c r="H384" i="4"/>
  <c r="G384" i="4"/>
  <c r="F384" i="4"/>
  <c r="E384" i="4"/>
  <c r="AJ382" i="4"/>
  <c r="AK380" i="4" s="1"/>
  <c r="AJ381" i="4"/>
  <c r="AK379" i="4" s="1"/>
  <c r="AJ380" i="4"/>
  <c r="AK378" i="4" s="1"/>
  <c r="C380" i="4"/>
  <c r="AI379" i="4"/>
  <c r="AH379" i="4"/>
  <c r="AG379" i="4"/>
  <c r="AF379" i="4"/>
  <c r="AE379" i="4"/>
  <c r="AD379" i="4"/>
  <c r="AC379" i="4"/>
  <c r="AB379" i="4"/>
  <c r="AA379" i="4"/>
  <c r="Z379" i="4"/>
  <c r="Y379" i="4"/>
  <c r="X379" i="4"/>
  <c r="W379" i="4"/>
  <c r="S379" i="4"/>
  <c r="R379" i="4"/>
  <c r="Q379" i="4"/>
  <c r="L379" i="4"/>
  <c r="J379" i="4"/>
  <c r="H379" i="4"/>
  <c r="G379" i="4"/>
  <c r="E379" i="4"/>
  <c r="AJ378" i="4"/>
  <c r="AK376" i="4" s="1"/>
  <c r="H53" i="13" s="1"/>
  <c r="K53" i="13" s="1"/>
  <c r="L53" i="13" s="1"/>
  <c r="E377" i="4"/>
  <c r="F377" i="4" s="1"/>
  <c r="G377" i="4" s="1"/>
  <c r="H377" i="4" s="1"/>
  <c r="I377" i="4" s="1"/>
  <c r="J377" i="4" s="1"/>
  <c r="K377" i="4" s="1"/>
  <c r="L377" i="4" s="1"/>
  <c r="M377" i="4" s="1"/>
  <c r="N377" i="4" s="1"/>
  <c r="O377" i="4" s="1"/>
  <c r="P377" i="4" s="1"/>
  <c r="Q377" i="4" s="1"/>
  <c r="R377" i="4" s="1"/>
  <c r="S377" i="4" s="1"/>
  <c r="T377" i="4" s="1"/>
  <c r="U377" i="4" s="1"/>
  <c r="V377" i="4" s="1"/>
  <c r="W377" i="4" s="1"/>
  <c r="X377" i="4" s="1"/>
  <c r="Y377" i="4" s="1"/>
  <c r="AJ376" i="4"/>
  <c r="C369" i="4"/>
  <c r="AI368" i="4"/>
  <c r="AH368" i="4"/>
  <c r="AG368" i="4"/>
  <c r="AF368" i="4"/>
  <c r="AE368" i="4"/>
  <c r="AD368" i="4"/>
  <c r="AC368" i="4"/>
  <c r="AB368" i="4"/>
  <c r="AA368" i="4"/>
  <c r="Z368" i="4"/>
  <c r="Y368" i="4"/>
  <c r="X368" i="4"/>
  <c r="W368" i="4"/>
  <c r="V368" i="4"/>
  <c r="U368" i="4"/>
  <c r="T368" i="4"/>
  <c r="S368" i="4"/>
  <c r="R368" i="4"/>
  <c r="Q368" i="4"/>
  <c r="P368" i="4"/>
  <c r="O368" i="4"/>
  <c r="N368" i="4"/>
  <c r="M368" i="4"/>
  <c r="L368" i="4"/>
  <c r="K368" i="4"/>
  <c r="J368" i="4"/>
  <c r="I368" i="4"/>
  <c r="H368" i="4"/>
  <c r="G368" i="4"/>
  <c r="F368" i="4"/>
  <c r="E368" i="4"/>
  <c r="AJ366" i="4"/>
  <c r="AJ365" i="4"/>
  <c r="AK363" i="4" s="1"/>
  <c r="AJ364" i="4"/>
  <c r="AK362" i="4" s="1"/>
  <c r="C364" i="4"/>
  <c r="AI363" i="4"/>
  <c r="AH363" i="4"/>
  <c r="AG363" i="4"/>
  <c r="AF363" i="4"/>
  <c r="AE363" i="4"/>
  <c r="AD363" i="4"/>
  <c r="AC363" i="4"/>
  <c r="AB363" i="4"/>
  <c r="AA363" i="4"/>
  <c r="Z363" i="4"/>
  <c r="Y363" i="4"/>
  <c r="X363" i="4"/>
  <c r="W363" i="4"/>
  <c r="V363" i="4"/>
  <c r="U363" i="4"/>
  <c r="T363" i="4"/>
  <c r="Q363" i="4"/>
  <c r="P363" i="4"/>
  <c r="O363" i="4"/>
  <c r="N363" i="4"/>
  <c r="M363" i="4"/>
  <c r="L363" i="4"/>
  <c r="J363" i="4"/>
  <c r="I363" i="4"/>
  <c r="H363" i="4"/>
  <c r="G363" i="4"/>
  <c r="F363" i="4"/>
  <c r="E363" i="4"/>
  <c r="AJ362" i="4"/>
  <c r="AK360" i="4" s="1"/>
  <c r="H52" i="13" s="1"/>
  <c r="K52" i="13" s="1"/>
  <c r="L52" i="13" s="1"/>
  <c r="E361" i="4"/>
  <c r="F361" i="4" s="1"/>
  <c r="G361" i="4" s="1"/>
  <c r="H361" i="4" s="1"/>
  <c r="I361" i="4" s="1"/>
  <c r="J361" i="4" s="1"/>
  <c r="K361" i="4" s="1"/>
  <c r="L361" i="4" s="1"/>
  <c r="M361" i="4" s="1"/>
  <c r="N361" i="4" s="1"/>
  <c r="O361" i="4" s="1"/>
  <c r="P361" i="4" s="1"/>
  <c r="Q361" i="4" s="1"/>
  <c r="R361" i="4" s="1"/>
  <c r="S361" i="4" s="1"/>
  <c r="T361" i="4" s="1"/>
  <c r="U361" i="4" s="1"/>
  <c r="V361" i="4" s="1"/>
  <c r="W361" i="4" s="1"/>
  <c r="X361" i="4" s="1"/>
  <c r="Y361" i="4" s="1"/>
  <c r="AI336" i="4"/>
  <c r="AH336" i="4"/>
  <c r="AG336" i="4"/>
  <c r="AF336" i="4"/>
  <c r="AE336" i="4"/>
  <c r="AD336" i="4"/>
  <c r="AC336" i="4"/>
  <c r="AB336" i="4"/>
  <c r="AA336" i="4"/>
  <c r="Z336" i="4"/>
  <c r="Y336" i="4"/>
  <c r="X336" i="4"/>
  <c r="W336" i="4"/>
  <c r="V336" i="4"/>
  <c r="U336" i="4"/>
  <c r="T336" i="4"/>
  <c r="S336" i="4"/>
  <c r="R336" i="4"/>
  <c r="Q336" i="4"/>
  <c r="P336" i="4"/>
  <c r="O336" i="4"/>
  <c r="N336" i="4"/>
  <c r="M336" i="4"/>
  <c r="L336" i="4"/>
  <c r="K336" i="4"/>
  <c r="J336" i="4"/>
  <c r="I336" i="4"/>
  <c r="H336" i="4"/>
  <c r="G336" i="4"/>
  <c r="F336" i="4"/>
  <c r="E336" i="4"/>
  <c r="AJ334" i="4"/>
  <c r="AK332" i="4" s="1"/>
  <c r="AJ333" i="4"/>
  <c r="AK331" i="4" s="1"/>
  <c r="AJ332" i="4"/>
  <c r="AK330" i="4" s="1"/>
  <c r="AI331" i="4"/>
  <c r="AH331" i="4"/>
  <c r="AG331" i="4"/>
  <c r="AF331" i="4"/>
  <c r="AE331" i="4"/>
  <c r="AD331" i="4"/>
  <c r="AC331" i="4"/>
  <c r="AB331" i="4"/>
  <c r="AA331" i="4"/>
  <c r="Z331" i="4"/>
  <c r="Y331" i="4"/>
  <c r="W331" i="4"/>
  <c r="V331" i="4"/>
  <c r="U331" i="4"/>
  <c r="T331" i="4"/>
  <c r="S331" i="4"/>
  <c r="R331" i="4"/>
  <c r="Q331" i="4"/>
  <c r="P331" i="4"/>
  <c r="O331" i="4"/>
  <c r="M331" i="4"/>
  <c r="L331" i="4"/>
  <c r="K331" i="4"/>
  <c r="J331" i="4"/>
  <c r="I331" i="4"/>
  <c r="H331" i="4"/>
  <c r="G331" i="4"/>
  <c r="F331" i="4"/>
  <c r="E331" i="4"/>
  <c r="AK328" i="4"/>
  <c r="H36" i="13" s="1"/>
  <c r="K36" i="13" s="1"/>
  <c r="L36" i="13" s="1"/>
  <c r="E329" i="4"/>
  <c r="F329" i="4" s="1"/>
  <c r="G329" i="4" s="1"/>
  <c r="H329" i="4" s="1"/>
  <c r="I329" i="4" s="1"/>
  <c r="J329" i="4" s="1"/>
  <c r="K329" i="4" s="1"/>
  <c r="L329" i="4" s="1"/>
  <c r="M329" i="4" s="1"/>
  <c r="N329" i="4" s="1"/>
  <c r="O329" i="4" s="1"/>
  <c r="P329" i="4" s="1"/>
  <c r="Q329" i="4" s="1"/>
  <c r="R329" i="4" s="1"/>
  <c r="S329" i="4" s="1"/>
  <c r="T329" i="4" s="1"/>
  <c r="U329" i="4" s="1"/>
  <c r="V329" i="4" s="1"/>
  <c r="W329" i="4" s="1"/>
  <c r="X329" i="4" s="1"/>
  <c r="Y329" i="4" s="1"/>
  <c r="Z329" i="4" s="1"/>
  <c r="AA329" i="4" s="1"/>
  <c r="AB329" i="4" s="1"/>
  <c r="AC329" i="4" s="1"/>
  <c r="AD329" i="4" s="1"/>
  <c r="AE329" i="4" s="1"/>
  <c r="AF329" i="4" s="1"/>
  <c r="AG329" i="4" s="1"/>
  <c r="AH329" i="4" s="1"/>
  <c r="AI329" i="4" s="1"/>
  <c r="AJ328" i="4"/>
  <c r="C321" i="4"/>
  <c r="AI320" i="4"/>
  <c r="AI327" i="4" s="1"/>
  <c r="AH320" i="4"/>
  <c r="AH327" i="4" s="1"/>
  <c r="AG320" i="4"/>
  <c r="AG327" i="4" s="1"/>
  <c r="AF320" i="4"/>
  <c r="AF327" i="4" s="1"/>
  <c r="AE320" i="4"/>
  <c r="AE327" i="4" s="1"/>
  <c r="AD320" i="4"/>
  <c r="AD327" i="4" s="1"/>
  <c r="AC320" i="4"/>
  <c r="AC327" i="4" s="1"/>
  <c r="AB320" i="4"/>
  <c r="AB327" i="4" s="1"/>
  <c r="AA320" i="4"/>
  <c r="AA327" i="4" s="1"/>
  <c r="Z320" i="4"/>
  <c r="Z327" i="4" s="1"/>
  <c r="Y320" i="4"/>
  <c r="Y327" i="4" s="1"/>
  <c r="X320" i="4"/>
  <c r="X327" i="4" s="1"/>
  <c r="W320" i="4"/>
  <c r="W327" i="4" s="1"/>
  <c r="V320" i="4"/>
  <c r="V327" i="4" s="1"/>
  <c r="U320" i="4"/>
  <c r="U327" i="4" s="1"/>
  <c r="T320" i="4"/>
  <c r="T327" i="4" s="1"/>
  <c r="S320" i="4"/>
  <c r="S327" i="4" s="1"/>
  <c r="R320" i="4"/>
  <c r="R327" i="4" s="1"/>
  <c r="Q320" i="4"/>
  <c r="Q327" i="4" s="1"/>
  <c r="P320" i="4"/>
  <c r="P327" i="4" s="1"/>
  <c r="O320" i="4"/>
  <c r="O327" i="4" s="1"/>
  <c r="N320" i="4"/>
  <c r="N327" i="4" s="1"/>
  <c r="M320" i="4"/>
  <c r="M327" i="4" s="1"/>
  <c r="L320" i="4"/>
  <c r="L327" i="4" s="1"/>
  <c r="K320" i="4"/>
  <c r="K327" i="4" s="1"/>
  <c r="J320" i="4"/>
  <c r="J327" i="4" s="1"/>
  <c r="I320" i="4"/>
  <c r="I327" i="4" s="1"/>
  <c r="H320" i="4"/>
  <c r="H327" i="4" s="1"/>
  <c r="G320" i="4"/>
  <c r="G327" i="4" s="1"/>
  <c r="F320" i="4"/>
  <c r="F327" i="4" s="1"/>
  <c r="E320" i="4"/>
  <c r="E327" i="4" s="1"/>
  <c r="AJ318" i="4"/>
  <c r="AJ317" i="4"/>
  <c r="AK315" i="4" s="1"/>
  <c r="AJ316" i="4"/>
  <c r="AK314" i="4" s="1"/>
  <c r="C316" i="4"/>
  <c r="AI315" i="4"/>
  <c r="AH315" i="4"/>
  <c r="AG315" i="4"/>
  <c r="AF315" i="4"/>
  <c r="AE315" i="4"/>
  <c r="AD315" i="4"/>
  <c r="AC315" i="4"/>
  <c r="AB315" i="4"/>
  <c r="AA315" i="4"/>
  <c r="Z315" i="4"/>
  <c r="Y315" i="4"/>
  <c r="X315" i="4"/>
  <c r="W315" i="4"/>
  <c r="U315" i="4"/>
  <c r="T315" i="4"/>
  <c r="S315" i="4"/>
  <c r="Q315" i="4"/>
  <c r="P315" i="4"/>
  <c r="O315" i="4"/>
  <c r="M315" i="4"/>
  <c r="L315" i="4"/>
  <c r="K315" i="4"/>
  <c r="J315" i="4"/>
  <c r="I315" i="4"/>
  <c r="H315" i="4"/>
  <c r="G315" i="4"/>
  <c r="F315" i="4"/>
  <c r="AJ314" i="4"/>
  <c r="AK312" i="4" s="1"/>
  <c r="H50" i="13" s="1"/>
  <c r="K50" i="13" s="1"/>
  <c r="L50" i="13" s="1"/>
  <c r="E313" i="4"/>
  <c r="C305" i="4"/>
  <c r="AI304" i="4"/>
  <c r="AH304" i="4"/>
  <c r="AG304" i="4"/>
  <c r="AF304" i="4"/>
  <c r="AE304" i="4"/>
  <c r="AD304" i="4"/>
  <c r="AC304" i="4"/>
  <c r="AB304" i="4"/>
  <c r="AA304" i="4"/>
  <c r="Z304" i="4"/>
  <c r="Y304" i="4"/>
  <c r="X304" i="4"/>
  <c r="W304" i="4"/>
  <c r="V304" i="4"/>
  <c r="U304" i="4"/>
  <c r="T304" i="4"/>
  <c r="S304" i="4"/>
  <c r="R304" i="4"/>
  <c r="Q304" i="4"/>
  <c r="P304" i="4"/>
  <c r="O304" i="4"/>
  <c r="N304" i="4"/>
  <c r="M304" i="4"/>
  <c r="L304" i="4"/>
  <c r="K304" i="4"/>
  <c r="J304" i="4"/>
  <c r="I304" i="4"/>
  <c r="H304" i="4"/>
  <c r="G304" i="4"/>
  <c r="F304" i="4"/>
  <c r="E304" i="4"/>
  <c r="AJ302" i="4"/>
  <c r="AJ301" i="4"/>
  <c r="AK299" i="4" s="1"/>
  <c r="AJ300" i="4"/>
  <c r="AK298" i="4" s="1"/>
  <c r="C300" i="4"/>
  <c r="AI299" i="4"/>
  <c r="AH299" i="4"/>
  <c r="AG299" i="4"/>
  <c r="AF299" i="4"/>
  <c r="AE299" i="4"/>
  <c r="AD299" i="4"/>
  <c r="AC299" i="4"/>
  <c r="AB299" i="4"/>
  <c r="AA299" i="4"/>
  <c r="Z299" i="4"/>
  <c r="Y299" i="4"/>
  <c r="X299" i="4"/>
  <c r="W299" i="4"/>
  <c r="V299" i="4"/>
  <c r="U299" i="4"/>
  <c r="T299" i="4"/>
  <c r="S299" i="4"/>
  <c r="R299" i="4"/>
  <c r="Q299" i="4"/>
  <c r="P299" i="4"/>
  <c r="O299" i="4"/>
  <c r="M299" i="4"/>
  <c r="L299" i="4"/>
  <c r="K299" i="4"/>
  <c r="J299" i="4"/>
  <c r="I299" i="4"/>
  <c r="H299" i="4"/>
  <c r="G299" i="4"/>
  <c r="F299" i="4"/>
  <c r="E299" i="4"/>
  <c r="AK296" i="4"/>
  <c r="H49" i="13" s="1"/>
  <c r="U297" i="4"/>
  <c r="V297" i="4" s="1"/>
  <c r="W297" i="4" s="1"/>
  <c r="X297" i="4" s="1"/>
  <c r="Y297" i="4" s="1"/>
  <c r="Z297" i="4" s="1"/>
  <c r="AA297" i="4" s="1"/>
  <c r="AB297" i="4" s="1"/>
  <c r="AC297" i="4" s="1"/>
  <c r="AD297" i="4" s="1"/>
  <c r="AE297" i="4" s="1"/>
  <c r="AF297" i="4" s="1"/>
  <c r="AG297" i="4" s="1"/>
  <c r="AH297" i="4" s="1"/>
  <c r="AI297" i="4" s="1"/>
  <c r="E297" i="4"/>
  <c r="F297" i="4" s="1"/>
  <c r="G297" i="4" s="1"/>
  <c r="H297" i="4" s="1"/>
  <c r="I297" i="4" s="1"/>
  <c r="J297" i="4" s="1"/>
  <c r="K297" i="4" s="1"/>
  <c r="L297" i="4" s="1"/>
  <c r="M297" i="4" s="1"/>
  <c r="N297" i="4" s="1"/>
  <c r="O297" i="4" s="1"/>
  <c r="P297" i="4" s="1"/>
  <c r="Q297" i="4" s="1"/>
  <c r="AJ296" i="4"/>
  <c r="G49" i="13" s="1"/>
  <c r="C289" i="4"/>
  <c r="AI288" i="4"/>
  <c r="AH288" i="4"/>
  <c r="AG288" i="4"/>
  <c r="AF288" i="4"/>
  <c r="AE288" i="4"/>
  <c r="AD288" i="4"/>
  <c r="AC288" i="4"/>
  <c r="AB288" i="4"/>
  <c r="AA288" i="4"/>
  <c r="Z288" i="4"/>
  <c r="Y288" i="4"/>
  <c r="X288" i="4"/>
  <c r="W288" i="4"/>
  <c r="V288" i="4"/>
  <c r="U288" i="4"/>
  <c r="R288" i="4"/>
  <c r="Q288" i="4"/>
  <c r="P288" i="4"/>
  <c r="O288" i="4"/>
  <c r="N288" i="4"/>
  <c r="M288" i="4"/>
  <c r="L288" i="4"/>
  <c r="K288" i="4"/>
  <c r="J288" i="4"/>
  <c r="I288" i="4"/>
  <c r="H288" i="4"/>
  <c r="G288" i="4"/>
  <c r="F288" i="4"/>
  <c r="E288" i="4"/>
  <c r="AJ286" i="4"/>
  <c r="AK284" i="4" s="1"/>
  <c r="AJ285" i="4"/>
  <c r="AK283" i="4" s="1"/>
  <c r="AJ284" i="4"/>
  <c r="AK282" i="4" s="1"/>
  <c r="AI283" i="4"/>
  <c r="AH283" i="4"/>
  <c r="AG283" i="4"/>
  <c r="AF283" i="4"/>
  <c r="AE283" i="4"/>
  <c r="AD283" i="4"/>
  <c r="AC283" i="4"/>
  <c r="AB283" i="4"/>
  <c r="AA283" i="4"/>
  <c r="Z283" i="4"/>
  <c r="Y283" i="4"/>
  <c r="X283" i="4"/>
  <c r="W283" i="4"/>
  <c r="V283" i="4"/>
  <c r="U283" i="4"/>
  <c r="T283" i="4"/>
  <c r="S283" i="4"/>
  <c r="R283" i="4"/>
  <c r="Q283" i="4"/>
  <c r="P283" i="4"/>
  <c r="O283" i="4"/>
  <c r="N283" i="4"/>
  <c r="M283" i="4"/>
  <c r="L283" i="4"/>
  <c r="J283" i="4"/>
  <c r="I283" i="4"/>
  <c r="H283" i="4"/>
  <c r="G283" i="4"/>
  <c r="F283" i="4"/>
  <c r="E283" i="4"/>
  <c r="AJ282" i="4"/>
  <c r="AK280" i="4" s="1"/>
  <c r="H48" i="13" s="1"/>
  <c r="U281" i="4"/>
  <c r="V281" i="4" s="1"/>
  <c r="W281" i="4" s="1"/>
  <c r="X281" i="4" s="1"/>
  <c r="Y281" i="4" s="1"/>
  <c r="Z281" i="4" s="1"/>
  <c r="AA281" i="4" s="1"/>
  <c r="AB281" i="4" s="1"/>
  <c r="AC281" i="4" s="1"/>
  <c r="AD281" i="4" s="1"/>
  <c r="AE281" i="4" s="1"/>
  <c r="AF281" i="4" s="1"/>
  <c r="AG281" i="4" s="1"/>
  <c r="AH281" i="4" s="1"/>
  <c r="AI281" i="4" s="1"/>
  <c r="E281" i="4"/>
  <c r="F281" i="4" s="1"/>
  <c r="G281" i="4" s="1"/>
  <c r="H281" i="4" s="1"/>
  <c r="I281" i="4" s="1"/>
  <c r="J281" i="4" s="1"/>
  <c r="K281" i="4" s="1"/>
  <c r="L281" i="4" s="1"/>
  <c r="AJ280" i="4"/>
  <c r="G48" i="13" s="1"/>
  <c r="C273" i="4"/>
  <c r="AI272" i="4"/>
  <c r="AH272" i="4"/>
  <c r="AG272" i="4"/>
  <c r="AF272" i="4"/>
  <c r="AE272" i="4"/>
  <c r="AD272" i="4"/>
  <c r="AC272" i="4"/>
  <c r="AB272" i="4"/>
  <c r="AA272" i="4"/>
  <c r="Z272" i="4"/>
  <c r="Y272" i="4"/>
  <c r="X272" i="4"/>
  <c r="W272" i="4"/>
  <c r="V272" i="4"/>
  <c r="U272" i="4"/>
  <c r="T272" i="4"/>
  <c r="S272" i="4"/>
  <c r="Q272" i="4"/>
  <c r="P272" i="4"/>
  <c r="O272" i="4"/>
  <c r="N272" i="4"/>
  <c r="M272" i="4"/>
  <c r="K272" i="4"/>
  <c r="J272" i="4"/>
  <c r="I272" i="4"/>
  <c r="H272" i="4"/>
  <c r="F272" i="4"/>
  <c r="E272" i="4"/>
  <c r="AJ270" i="4"/>
  <c r="AJ269" i="4"/>
  <c r="AK267" i="4" s="1"/>
  <c r="AJ268" i="4"/>
  <c r="AK266" i="4" s="1"/>
  <c r="C268" i="4"/>
  <c r="AI267" i="4"/>
  <c r="AH267" i="4"/>
  <c r="AG267" i="4"/>
  <c r="AF267" i="4"/>
  <c r="AE267" i="4"/>
  <c r="AD267" i="4"/>
  <c r="AC267" i="4"/>
  <c r="AB267" i="4"/>
  <c r="AA267" i="4"/>
  <c r="Z267" i="4"/>
  <c r="Y267" i="4"/>
  <c r="X267" i="4"/>
  <c r="W267" i="4"/>
  <c r="V267" i="4"/>
  <c r="U267" i="4"/>
  <c r="T267" i="4"/>
  <c r="S267" i="4"/>
  <c r="R267" i="4"/>
  <c r="Q267" i="4"/>
  <c r="P267" i="4"/>
  <c r="N267" i="4"/>
  <c r="M267" i="4"/>
  <c r="L267" i="4"/>
  <c r="K267" i="4"/>
  <c r="J267" i="4"/>
  <c r="H267" i="4"/>
  <c r="G267" i="4"/>
  <c r="F267" i="4"/>
  <c r="E267" i="4"/>
  <c r="AJ266" i="4"/>
  <c r="AK264" i="4" s="1"/>
  <c r="H47" i="13" s="1"/>
  <c r="K47" i="13" s="1"/>
  <c r="L47" i="13" s="1"/>
  <c r="U265" i="4"/>
  <c r="V265" i="4" s="1"/>
  <c r="W265" i="4" s="1"/>
  <c r="X265" i="4" s="1"/>
  <c r="Y265" i="4" s="1"/>
  <c r="Z265" i="4" s="1"/>
  <c r="AA265" i="4" s="1"/>
  <c r="AB265" i="4" s="1"/>
  <c r="AC265" i="4" s="1"/>
  <c r="AD265" i="4" s="1"/>
  <c r="AE265" i="4" s="1"/>
  <c r="AF265" i="4" s="1"/>
  <c r="AG265" i="4" s="1"/>
  <c r="AH265" i="4" s="1"/>
  <c r="AI265" i="4" s="1"/>
  <c r="E265" i="4"/>
  <c r="F265" i="4" s="1"/>
  <c r="G265" i="4" s="1"/>
  <c r="H265" i="4" s="1"/>
  <c r="I265" i="4" s="1"/>
  <c r="J265" i="4" s="1"/>
  <c r="K265" i="4" s="1"/>
  <c r="L265" i="4" s="1"/>
  <c r="M265" i="4" s="1"/>
  <c r="N265" i="4" s="1"/>
  <c r="O265" i="4" s="1"/>
  <c r="P265" i="4" s="1"/>
  <c r="Q265" i="4" s="1"/>
  <c r="AJ264" i="4"/>
  <c r="AI256" i="4"/>
  <c r="AH256" i="4"/>
  <c r="AG256" i="4"/>
  <c r="AF256" i="4"/>
  <c r="AE256" i="4"/>
  <c r="AD256" i="4"/>
  <c r="AC256" i="4"/>
  <c r="AB256" i="4"/>
  <c r="AA256" i="4"/>
  <c r="Z256" i="4"/>
  <c r="Y256" i="4"/>
  <c r="W256" i="4"/>
  <c r="V256" i="4"/>
  <c r="U256" i="4"/>
  <c r="T256" i="4"/>
  <c r="S256" i="4"/>
  <c r="R256" i="4"/>
  <c r="Q256" i="4"/>
  <c r="P256" i="4"/>
  <c r="O256" i="4"/>
  <c r="N256" i="4"/>
  <c r="M256" i="4"/>
  <c r="L256" i="4"/>
  <c r="K256" i="4"/>
  <c r="J256" i="4"/>
  <c r="I256" i="4"/>
  <c r="H256" i="4"/>
  <c r="G256" i="4"/>
  <c r="F256" i="4"/>
  <c r="E256" i="4"/>
  <c r="AJ254" i="4"/>
  <c r="AK252" i="4" s="1"/>
  <c r="AJ253" i="4"/>
  <c r="AK251" i="4" s="1"/>
  <c r="AJ252" i="4"/>
  <c r="AK250" i="4" s="1"/>
  <c r="AI251" i="4"/>
  <c r="AH251" i="4"/>
  <c r="AG251" i="4"/>
  <c r="AF251" i="4"/>
  <c r="AE251" i="4"/>
  <c r="AD251" i="4"/>
  <c r="AC251" i="4"/>
  <c r="AB251" i="4"/>
  <c r="Z251" i="4"/>
  <c r="Y251" i="4"/>
  <c r="W251" i="4"/>
  <c r="V251" i="4"/>
  <c r="T251" i="4"/>
  <c r="S251" i="4"/>
  <c r="R251" i="4"/>
  <c r="P251" i="4"/>
  <c r="O251" i="4"/>
  <c r="N251" i="4"/>
  <c r="M251" i="4"/>
  <c r="L251" i="4"/>
  <c r="K251" i="4"/>
  <c r="H251" i="4"/>
  <c r="G251" i="4"/>
  <c r="F251" i="4"/>
  <c r="E251" i="4"/>
  <c r="AK248" i="4"/>
  <c r="H46" i="13" s="1"/>
  <c r="K46" i="13" s="1"/>
  <c r="L46" i="13" s="1"/>
  <c r="E249" i="4"/>
  <c r="C241" i="4"/>
  <c r="AI240" i="4"/>
  <c r="AH240" i="4"/>
  <c r="AG240" i="4"/>
  <c r="AF240" i="4"/>
  <c r="AE240" i="4"/>
  <c r="AC240" i="4"/>
  <c r="AB240" i="4"/>
  <c r="AA240" i="4"/>
  <c r="Z240" i="4"/>
  <c r="Y240" i="4"/>
  <c r="X240" i="4"/>
  <c r="W240" i="4"/>
  <c r="V240" i="4"/>
  <c r="U240" i="4"/>
  <c r="T240" i="4"/>
  <c r="S240" i="4"/>
  <c r="Q240" i="4"/>
  <c r="P240" i="4"/>
  <c r="O240" i="4"/>
  <c r="N240" i="4"/>
  <c r="M240" i="4"/>
  <c r="L240" i="4"/>
  <c r="K240" i="4"/>
  <c r="J240" i="4"/>
  <c r="I240" i="4"/>
  <c r="H240" i="4"/>
  <c r="G240" i="4"/>
  <c r="F240" i="4"/>
  <c r="E240" i="4"/>
  <c r="AJ238" i="4"/>
  <c r="AJ237" i="4"/>
  <c r="AK235" i="4" s="1"/>
  <c r="AJ236" i="4"/>
  <c r="AK234" i="4" s="1"/>
  <c r="AK232" i="4"/>
  <c r="H45" i="13" s="1"/>
  <c r="K45" i="13" s="1"/>
  <c r="L45" i="13" s="1"/>
  <c r="AO232" i="4"/>
  <c r="C209" i="4"/>
  <c r="AI208" i="4"/>
  <c r="AH208" i="4"/>
  <c r="AG208" i="4"/>
  <c r="AF208" i="4"/>
  <c r="AE208" i="4"/>
  <c r="AD208" i="4"/>
  <c r="AC208" i="4"/>
  <c r="AB208" i="4"/>
  <c r="AA208" i="4"/>
  <c r="Z208" i="4"/>
  <c r="Y208" i="4"/>
  <c r="X208" i="4"/>
  <c r="W208" i="4"/>
  <c r="V208" i="4"/>
  <c r="U208" i="4"/>
  <c r="T208" i="4"/>
  <c r="S208" i="4"/>
  <c r="R208" i="4"/>
  <c r="Q208" i="4"/>
  <c r="P208" i="4"/>
  <c r="O208" i="4"/>
  <c r="N208" i="4"/>
  <c r="M208" i="4"/>
  <c r="L208" i="4"/>
  <c r="K208" i="4"/>
  <c r="J208" i="4"/>
  <c r="I208" i="4"/>
  <c r="H208" i="4"/>
  <c r="G208" i="4"/>
  <c r="E208" i="4"/>
  <c r="AJ206" i="4"/>
  <c r="AK204" i="4" s="1"/>
  <c r="AJ205" i="4"/>
  <c r="AK203" i="4" s="1"/>
  <c r="AJ204" i="4"/>
  <c r="AK202" i="4" s="1"/>
  <c r="C204" i="4"/>
  <c r="AI203" i="4"/>
  <c r="AH203" i="4"/>
  <c r="AG203" i="4"/>
  <c r="AF203" i="4"/>
  <c r="AE203" i="4"/>
  <c r="AD203" i="4"/>
  <c r="AC203" i="4"/>
  <c r="AA203" i="4"/>
  <c r="Z203" i="4"/>
  <c r="Y203" i="4"/>
  <c r="X203" i="4"/>
  <c r="W203" i="4"/>
  <c r="V203" i="4"/>
  <c r="U203" i="4"/>
  <c r="T203" i="4"/>
  <c r="S203" i="4"/>
  <c r="R203" i="4"/>
  <c r="Q203" i="4"/>
  <c r="P203" i="4"/>
  <c r="O203" i="4"/>
  <c r="N203" i="4"/>
  <c r="M203" i="4"/>
  <c r="L203" i="4"/>
  <c r="K203" i="4"/>
  <c r="H203" i="4"/>
  <c r="G203" i="4"/>
  <c r="F203" i="4"/>
  <c r="AK200" i="4"/>
  <c r="H43" i="13" s="1"/>
  <c r="K43" i="13" s="1"/>
  <c r="L43" i="13" s="1"/>
  <c r="E201" i="4"/>
  <c r="F201" i="4" s="1"/>
  <c r="G201" i="4" s="1"/>
  <c r="H201" i="4" s="1"/>
  <c r="I201" i="4" s="1"/>
  <c r="J201" i="4" s="1"/>
  <c r="K201" i="4" s="1"/>
  <c r="L201" i="4" s="1"/>
  <c r="M201" i="4" s="1"/>
  <c r="N201" i="4" s="1"/>
  <c r="O201" i="4" s="1"/>
  <c r="P201" i="4" s="1"/>
  <c r="Q201" i="4" s="1"/>
  <c r="R201" i="4" s="1"/>
  <c r="S201" i="4" s="1"/>
  <c r="T201" i="4" s="1"/>
  <c r="U201" i="4" s="1"/>
  <c r="V201" i="4" s="1"/>
  <c r="W201" i="4" s="1"/>
  <c r="X201" i="4" s="1"/>
  <c r="Y201" i="4" s="1"/>
  <c r="Z201" i="4" s="1"/>
  <c r="AA201" i="4" s="1"/>
  <c r="AB201" i="4" s="1"/>
  <c r="AC201" i="4" s="1"/>
  <c r="AD201" i="4" s="1"/>
  <c r="AE201" i="4" s="1"/>
  <c r="AF201" i="4" s="1"/>
  <c r="AG201" i="4" s="1"/>
  <c r="AH201" i="4" s="1"/>
  <c r="AI201" i="4" s="1"/>
  <c r="AK198" i="4"/>
  <c r="C193" i="4"/>
  <c r="AI192" i="4"/>
  <c r="AH192" i="4"/>
  <c r="AG192" i="4"/>
  <c r="AF192" i="4"/>
  <c r="AE192" i="4"/>
  <c r="AD192" i="4"/>
  <c r="AC192" i="4"/>
  <c r="AB192" i="4"/>
  <c r="AA192" i="4"/>
  <c r="Z192" i="4"/>
  <c r="Y192" i="4"/>
  <c r="X192" i="4"/>
  <c r="W192" i="4"/>
  <c r="V192" i="4"/>
  <c r="U192" i="4"/>
  <c r="T192" i="4"/>
  <c r="S192" i="4"/>
  <c r="R192" i="4"/>
  <c r="Q192" i="4"/>
  <c r="P192" i="4"/>
  <c r="O192" i="4"/>
  <c r="N192" i="4"/>
  <c r="M192" i="4"/>
  <c r="L192" i="4"/>
  <c r="K192" i="4"/>
  <c r="J192" i="4"/>
  <c r="I192" i="4"/>
  <c r="H192" i="4"/>
  <c r="G192" i="4"/>
  <c r="F192" i="4"/>
  <c r="E192" i="4"/>
  <c r="AJ190" i="4"/>
  <c r="AK188" i="4" s="1"/>
  <c r="AJ189" i="4"/>
  <c r="AK187" i="4" s="1"/>
  <c r="AJ188" i="4"/>
  <c r="AK186" i="4" s="1"/>
  <c r="C188" i="4"/>
  <c r="AI187" i="4"/>
  <c r="AH187" i="4"/>
  <c r="AG187" i="4"/>
  <c r="AF187" i="4"/>
  <c r="AE187" i="4"/>
  <c r="AD187" i="4"/>
  <c r="AC187" i="4"/>
  <c r="AB187" i="4"/>
  <c r="AA187" i="4"/>
  <c r="Z187" i="4"/>
  <c r="Y187" i="4"/>
  <c r="X187" i="4"/>
  <c r="W187" i="4"/>
  <c r="V187" i="4"/>
  <c r="U187" i="4"/>
  <c r="T187" i="4"/>
  <c r="S187" i="4"/>
  <c r="R187" i="4"/>
  <c r="Q187" i="4"/>
  <c r="P187" i="4"/>
  <c r="O187" i="4"/>
  <c r="N187" i="4"/>
  <c r="M187" i="4"/>
  <c r="L187" i="4"/>
  <c r="K187" i="4"/>
  <c r="J187" i="4"/>
  <c r="I187" i="4"/>
  <c r="H187" i="4"/>
  <c r="G187" i="4"/>
  <c r="F187" i="4"/>
  <c r="E187" i="4"/>
  <c r="AJ186" i="4"/>
  <c r="AK184" i="4" s="1"/>
  <c r="H42" i="13" s="1"/>
  <c r="E185" i="4"/>
  <c r="F185" i="4" s="1"/>
  <c r="G185" i="4" s="1"/>
  <c r="H185" i="4" s="1"/>
  <c r="I185" i="4" s="1"/>
  <c r="J185" i="4" s="1"/>
  <c r="K185" i="4" s="1"/>
  <c r="L185" i="4" s="1"/>
  <c r="M185" i="4" s="1"/>
  <c r="N185" i="4" s="1"/>
  <c r="O185" i="4" s="1"/>
  <c r="P185" i="4" s="1"/>
  <c r="Q185" i="4" s="1"/>
  <c r="R185" i="4" s="1"/>
  <c r="S185" i="4" s="1"/>
  <c r="T185" i="4" s="1"/>
  <c r="U185" i="4" s="1"/>
  <c r="V185" i="4" s="1"/>
  <c r="W185" i="4" s="1"/>
  <c r="X185" i="4" s="1"/>
  <c r="Y185" i="4" s="1"/>
  <c r="Z185" i="4" s="1"/>
  <c r="AA185" i="4" s="1"/>
  <c r="AB185" i="4" s="1"/>
  <c r="AC185" i="4" s="1"/>
  <c r="AD185" i="4" s="1"/>
  <c r="AE185" i="4" s="1"/>
  <c r="AF185" i="4" s="1"/>
  <c r="AG185" i="4" s="1"/>
  <c r="AH185" i="4" s="1"/>
  <c r="AI185" i="4" s="1"/>
  <c r="AJ184" i="4"/>
  <c r="G42" i="13" s="1"/>
  <c r="C177" i="4"/>
  <c r="AI176" i="4"/>
  <c r="AH176" i="4"/>
  <c r="AG176" i="4"/>
  <c r="AF176" i="4"/>
  <c r="AE176" i="4"/>
  <c r="AD176" i="4"/>
  <c r="AC176" i="4"/>
  <c r="AB176" i="4"/>
  <c r="AA176" i="4"/>
  <c r="Z176" i="4"/>
  <c r="Y176" i="4"/>
  <c r="X176" i="4"/>
  <c r="W176" i="4"/>
  <c r="V176" i="4"/>
  <c r="U176" i="4"/>
  <c r="T176" i="4"/>
  <c r="S176" i="4"/>
  <c r="R176" i="4"/>
  <c r="Q176" i="4"/>
  <c r="P176" i="4"/>
  <c r="O176" i="4"/>
  <c r="N176" i="4"/>
  <c r="M176" i="4"/>
  <c r="L176" i="4"/>
  <c r="K176" i="4"/>
  <c r="J176" i="4"/>
  <c r="I176" i="4"/>
  <c r="H176" i="4"/>
  <c r="G176" i="4"/>
  <c r="F176" i="4"/>
  <c r="E176" i="4"/>
  <c r="AJ174" i="4"/>
  <c r="AK172" i="4" s="1"/>
  <c r="AJ173" i="4"/>
  <c r="AK171" i="4" s="1"/>
  <c r="AJ172" i="4"/>
  <c r="AK170" i="4" s="1"/>
  <c r="C172" i="4"/>
  <c r="AI171" i="4"/>
  <c r="AH171" i="4"/>
  <c r="AG171" i="4"/>
  <c r="AF171" i="4"/>
  <c r="AE171" i="4"/>
  <c r="AD171" i="4"/>
  <c r="AC171" i="4"/>
  <c r="AB171" i="4"/>
  <c r="AA171" i="4"/>
  <c r="Z171" i="4"/>
  <c r="Y171" i="4"/>
  <c r="X171" i="4"/>
  <c r="W171" i="4"/>
  <c r="V171" i="4"/>
  <c r="T171" i="4"/>
  <c r="S171" i="4"/>
  <c r="R171" i="4"/>
  <c r="Q171" i="4"/>
  <c r="P171" i="4"/>
  <c r="O171" i="4"/>
  <c r="N171" i="4"/>
  <c r="M171" i="4"/>
  <c r="L171" i="4"/>
  <c r="K171" i="4"/>
  <c r="J171" i="4"/>
  <c r="I171" i="4"/>
  <c r="H171" i="4"/>
  <c r="G171" i="4"/>
  <c r="F171" i="4"/>
  <c r="E171" i="4"/>
  <c r="AJ170" i="4"/>
  <c r="AK168" i="4" s="1"/>
  <c r="H41" i="13" s="1"/>
  <c r="E169" i="4"/>
  <c r="F169" i="4" s="1"/>
  <c r="G169" i="4" s="1"/>
  <c r="H169" i="4" s="1"/>
  <c r="I169" i="4" s="1"/>
  <c r="J169" i="4" s="1"/>
  <c r="K169" i="4" s="1"/>
  <c r="L169" i="4" s="1"/>
  <c r="M169" i="4" s="1"/>
  <c r="N169" i="4" s="1"/>
  <c r="O169" i="4" s="1"/>
  <c r="P169" i="4" s="1"/>
  <c r="Q169" i="4" s="1"/>
  <c r="R169" i="4" s="1"/>
  <c r="S169" i="4" s="1"/>
  <c r="T169" i="4" s="1"/>
  <c r="U169" i="4" s="1"/>
  <c r="V169" i="4" s="1"/>
  <c r="W169" i="4" s="1"/>
  <c r="X169" i="4" s="1"/>
  <c r="Y169" i="4" s="1"/>
  <c r="Z169" i="4" s="1"/>
  <c r="AA169" i="4" s="1"/>
  <c r="AB169" i="4" s="1"/>
  <c r="AC169" i="4" s="1"/>
  <c r="AD169" i="4" s="1"/>
  <c r="AE169" i="4" s="1"/>
  <c r="AF169" i="4" s="1"/>
  <c r="AG169" i="4" s="1"/>
  <c r="AH169" i="4" s="1"/>
  <c r="AI169" i="4" s="1"/>
  <c r="AJ168" i="4"/>
  <c r="G41" i="13" s="1"/>
  <c r="AI160" i="4"/>
  <c r="AH160" i="4"/>
  <c r="AG160" i="4"/>
  <c r="AF160" i="4"/>
  <c r="AE160" i="4"/>
  <c r="AD160" i="4"/>
  <c r="AC160" i="4"/>
  <c r="AB160" i="4"/>
  <c r="AA160" i="4"/>
  <c r="Z160" i="4"/>
  <c r="Y160" i="4"/>
  <c r="X160" i="4"/>
  <c r="W160" i="4"/>
  <c r="V160" i="4"/>
  <c r="U160" i="4"/>
  <c r="T160" i="4"/>
  <c r="S160" i="4"/>
  <c r="R160" i="4"/>
  <c r="P160" i="4"/>
  <c r="O160" i="4"/>
  <c r="N160" i="4"/>
  <c r="M160" i="4"/>
  <c r="L160" i="4"/>
  <c r="K160" i="4"/>
  <c r="J160" i="4"/>
  <c r="I160" i="4"/>
  <c r="H160" i="4"/>
  <c r="G160" i="4"/>
  <c r="F160" i="4"/>
  <c r="E160" i="4"/>
  <c r="AK156" i="4"/>
  <c r="AK155" i="4"/>
  <c r="AK154" i="4"/>
  <c r="AI155" i="4"/>
  <c r="AH155" i="4"/>
  <c r="AG155" i="4"/>
  <c r="AF155" i="4"/>
  <c r="AE155" i="4"/>
  <c r="AD155" i="4"/>
  <c r="AC155" i="4"/>
  <c r="AB155" i="4"/>
  <c r="AA155" i="4"/>
  <c r="Z155" i="4"/>
  <c r="Y155" i="4"/>
  <c r="X155" i="4"/>
  <c r="W155" i="4"/>
  <c r="V155" i="4"/>
  <c r="U155" i="4"/>
  <c r="T155" i="4"/>
  <c r="S155" i="4"/>
  <c r="R155" i="4"/>
  <c r="P155" i="4"/>
  <c r="O155" i="4"/>
  <c r="N155" i="4"/>
  <c r="M155" i="4"/>
  <c r="L155" i="4"/>
  <c r="K155" i="4"/>
  <c r="J155" i="4"/>
  <c r="H155" i="4"/>
  <c r="G155" i="4"/>
  <c r="F155" i="4"/>
  <c r="E155" i="4"/>
  <c r="AK152" i="4"/>
  <c r="H40" i="13" s="1"/>
  <c r="K40" i="13" s="1"/>
  <c r="L40" i="13" s="1"/>
  <c r="E153" i="4"/>
  <c r="F153" i="4" s="1"/>
  <c r="G153" i="4" s="1"/>
  <c r="H153" i="4" s="1"/>
  <c r="I153" i="4" s="1"/>
  <c r="J153" i="4" s="1"/>
  <c r="K153" i="4" s="1"/>
  <c r="L153" i="4" s="1"/>
  <c r="M153" i="4" s="1"/>
  <c r="N153" i="4" s="1"/>
  <c r="O153" i="4" s="1"/>
  <c r="P153" i="4" s="1"/>
  <c r="Q153" i="4" s="1"/>
  <c r="R153" i="4" s="1"/>
  <c r="S153" i="4" s="1"/>
  <c r="T153" i="4" s="1"/>
  <c r="U153" i="4" s="1"/>
  <c r="V153" i="4" s="1"/>
  <c r="W153" i="4" s="1"/>
  <c r="X153" i="4" s="1"/>
  <c r="Y153" i="4" s="1"/>
  <c r="Z153" i="4" s="1"/>
  <c r="AA153" i="4" s="1"/>
  <c r="AB153" i="4" s="1"/>
  <c r="AC153" i="4" s="1"/>
  <c r="AO152" i="4"/>
  <c r="AI144" i="4"/>
  <c r="AH144" i="4"/>
  <c r="AG144" i="4"/>
  <c r="AF144" i="4"/>
  <c r="AB144" i="4"/>
  <c r="AA144" i="4"/>
  <c r="V144" i="4"/>
  <c r="U144" i="4"/>
  <c r="T144" i="4"/>
  <c r="S144" i="4"/>
  <c r="R144" i="4"/>
  <c r="Q144" i="4"/>
  <c r="P144" i="4"/>
  <c r="O144" i="4"/>
  <c r="N144" i="4"/>
  <c r="M144" i="4"/>
  <c r="L144" i="4"/>
  <c r="K144" i="4"/>
  <c r="J144" i="4"/>
  <c r="I144" i="4"/>
  <c r="H144" i="4"/>
  <c r="G144" i="4"/>
  <c r="F144" i="4"/>
  <c r="E144" i="4"/>
  <c r="AJ142" i="4"/>
  <c r="AJ141" i="4"/>
  <c r="AK139" i="4" s="1"/>
  <c r="AJ140" i="4"/>
  <c r="AK138" i="4" s="1"/>
  <c r="AI139" i="4"/>
  <c r="AH139" i="4"/>
  <c r="AG139" i="4"/>
  <c r="AE139" i="4"/>
  <c r="AD139" i="4"/>
  <c r="AC139" i="4"/>
  <c r="AB139" i="4"/>
  <c r="AA139" i="4"/>
  <c r="Z139" i="4"/>
  <c r="Y139" i="4"/>
  <c r="X139" i="4"/>
  <c r="W139" i="4"/>
  <c r="U139" i="4"/>
  <c r="T139" i="4"/>
  <c r="S139" i="4"/>
  <c r="R139" i="4"/>
  <c r="N139" i="4"/>
  <c r="M139" i="4"/>
  <c r="L139" i="4"/>
  <c r="K139" i="4"/>
  <c r="J139" i="4"/>
  <c r="I139" i="4"/>
  <c r="H139" i="4"/>
  <c r="G139" i="4"/>
  <c r="F139" i="4"/>
  <c r="AJ138" i="4"/>
  <c r="AK136" i="4" s="1"/>
  <c r="H39" i="13" s="1"/>
  <c r="K39" i="13" s="1"/>
  <c r="L39" i="13" s="1"/>
  <c r="E137" i="4"/>
  <c r="F137" i="4" s="1"/>
  <c r="G137" i="4" s="1"/>
  <c r="H137" i="4" s="1"/>
  <c r="I137" i="4" s="1"/>
  <c r="J137" i="4" s="1"/>
  <c r="K137" i="4" s="1"/>
  <c r="L137" i="4" s="1"/>
  <c r="M137" i="4" s="1"/>
  <c r="N137" i="4" s="1"/>
  <c r="O137" i="4" s="1"/>
  <c r="P137" i="4" s="1"/>
  <c r="Q137" i="4" s="1"/>
  <c r="R137" i="4" s="1"/>
  <c r="S137" i="4" s="1"/>
  <c r="T137" i="4" s="1"/>
  <c r="U137" i="4" s="1"/>
  <c r="V137" i="4" s="1"/>
  <c r="W137" i="4" s="1"/>
  <c r="X137" i="4" s="1"/>
  <c r="Y137" i="4" s="1"/>
  <c r="Z137" i="4" s="1"/>
  <c r="AA137" i="4" s="1"/>
  <c r="AB137" i="4" s="1"/>
  <c r="AC137" i="4" s="1"/>
  <c r="AD137" i="4" s="1"/>
  <c r="AE137" i="4" s="1"/>
  <c r="AF137" i="4" s="1"/>
  <c r="AG137" i="4" s="1"/>
  <c r="AH137" i="4" s="1"/>
  <c r="AI137" i="4" s="1"/>
  <c r="AI128" i="4"/>
  <c r="AI135" i="4" s="1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U128" i="4"/>
  <c r="T128" i="4"/>
  <c r="S128" i="4"/>
  <c r="R128" i="4"/>
  <c r="Q128" i="4"/>
  <c r="P128" i="4"/>
  <c r="O128" i="4"/>
  <c r="N128" i="4"/>
  <c r="M128" i="4"/>
  <c r="L128" i="4"/>
  <c r="K128" i="4"/>
  <c r="J128" i="4"/>
  <c r="H128" i="4"/>
  <c r="G128" i="4"/>
  <c r="F128" i="4"/>
  <c r="E128" i="4"/>
  <c r="AK124" i="4"/>
  <c r="AK123" i="4"/>
  <c r="AK122" i="4"/>
  <c r="AI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U123" i="4"/>
  <c r="T123" i="4"/>
  <c r="S123" i="4"/>
  <c r="R123" i="4"/>
  <c r="P123" i="4"/>
  <c r="O123" i="4"/>
  <c r="N123" i="4"/>
  <c r="M123" i="4"/>
  <c r="L123" i="4"/>
  <c r="K123" i="4"/>
  <c r="J123" i="4"/>
  <c r="I123" i="4"/>
  <c r="H123" i="4"/>
  <c r="G123" i="4"/>
  <c r="F123" i="4"/>
  <c r="E123" i="4"/>
  <c r="AK120" i="4"/>
  <c r="H38" i="13" s="1"/>
  <c r="K38" i="13" s="1"/>
  <c r="L38" i="13" s="1"/>
  <c r="E121" i="4"/>
  <c r="F121" i="4" s="1"/>
  <c r="G121" i="4" s="1"/>
  <c r="H121" i="4" s="1"/>
  <c r="I121" i="4" s="1"/>
  <c r="J121" i="4" s="1"/>
  <c r="K121" i="4" s="1"/>
  <c r="L121" i="4" s="1"/>
  <c r="M121" i="4" s="1"/>
  <c r="N121" i="4" s="1"/>
  <c r="O121" i="4" s="1"/>
  <c r="P121" i="4" s="1"/>
  <c r="Q121" i="4" s="1"/>
  <c r="R121" i="4" s="1"/>
  <c r="S121" i="4" s="1"/>
  <c r="T121" i="4" s="1"/>
  <c r="U121" i="4" s="1"/>
  <c r="V121" i="4" s="1"/>
  <c r="W121" i="4" s="1"/>
  <c r="X121" i="4" s="1"/>
  <c r="Y121" i="4" s="1"/>
  <c r="Z121" i="4" s="1"/>
  <c r="AA121" i="4" s="1"/>
  <c r="AB121" i="4" s="1"/>
  <c r="AC121" i="4" s="1"/>
  <c r="AD121" i="4" s="1"/>
  <c r="AE121" i="4" s="1"/>
  <c r="AF121" i="4" s="1"/>
  <c r="AG121" i="4" s="1"/>
  <c r="AH121" i="4" s="1"/>
  <c r="AI121" i="4" s="1"/>
  <c r="AJ120" i="4"/>
  <c r="C113" i="4"/>
  <c r="AI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S112" i="4"/>
  <c r="R112" i="4"/>
  <c r="Q112" i="4"/>
  <c r="P112" i="4"/>
  <c r="O112" i="4"/>
  <c r="N112" i="4"/>
  <c r="M112" i="4"/>
  <c r="L112" i="4"/>
  <c r="K112" i="4"/>
  <c r="J112" i="4"/>
  <c r="I112" i="4"/>
  <c r="H112" i="4"/>
  <c r="G112" i="4"/>
  <c r="F112" i="4"/>
  <c r="E112" i="4"/>
  <c r="AJ110" i="4"/>
  <c r="AK108" i="4" s="1"/>
  <c r="AJ109" i="4"/>
  <c r="AK107" i="4" s="1"/>
  <c r="AJ108" i="4"/>
  <c r="AK106" i="4" s="1"/>
  <c r="C108" i="4"/>
  <c r="AI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S107" i="4"/>
  <c r="R107" i="4"/>
  <c r="Q107" i="4"/>
  <c r="P107" i="4"/>
  <c r="O107" i="4"/>
  <c r="N107" i="4"/>
  <c r="M107" i="4"/>
  <c r="L107" i="4"/>
  <c r="K107" i="4"/>
  <c r="J107" i="4"/>
  <c r="I107" i="4"/>
  <c r="H107" i="4"/>
  <c r="G107" i="4"/>
  <c r="F107" i="4"/>
  <c r="E107" i="4"/>
  <c r="AJ106" i="4"/>
  <c r="AK104" i="4" s="1"/>
  <c r="E105" i="4"/>
  <c r="F105" i="4" s="1"/>
  <c r="G105" i="4" s="1"/>
  <c r="H105" i="4" s="1"/>
  <c r="I105" i="4" s="1"/>
  <c r="J105" i="4" s="1"/>
  <c r="K105" i="4" s="1"/>
  <c r="L105" i="4" s="1"/>
  <c r="M105" i="4" s="1"/>
  <c r="N105" i="4" s="1"/>
  <c r="O105" i="4" s="1"/>
  <c r="P105" i="4" s="1"/>
  <c r="Q105" i="4" s="1"/>
  <c r="R105" i="4" s="1"/>
  <c r="S105" i="4" s="1"/>
  <c r="T105" i="4" s="1"/>
  <c r="U105" i="4" s="1"/>
  <c r="V105" i="4" s="1"/>
  <c r="W105" i="4" s="1"/>
  <c r="X105" i="4" s="1"/>
  <c r="Y105" i="4" s="1"/>
  <c r="AJ104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S96" i="4"/>
  <c r="R96" i="4"/>
  <c r="Q96" i="4"/>
  <c r="P96" i="4"/>
  <c r="O96" i="4"/>
  <c r="N96" i="4"/>
  <c r="M96" i="4"/>
  <c r="L96" i="4"/>
  <c r="K96" i="4"/>
  <c r="J96" i="4"/>
  <c r="I96" i="4"/>
  <c r="G96" i="4"/>
  <c r="F96" i="4"/>
  <c r="E96" i="4"/>
  <c r="AJ94" i="4"/>
  <c r="AK92" i="4" s="1"/>
  <c r="AJ93" i="4"/>
  <c r="AK91" i="4" s="1"/>
  <c r="AJ92" i="4"/>
  <c r="AK90" i="4" s="1"/>
  <c r="AI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S91" i="4"/>
  <c r="R91" i="4"/>
  <c r="P91" i="4"/>
  <c r="O91" i="4"/>
  <c r="N91" i="4"/>
  <c r="M91" i="4"/>
  <c r="L91" i="4"/>
  <c r="K91" i="4"/>
  <c r="J91" i="4"/>
  <c r="I91" i="4"/>
  <c r="H91" i="4"/>
  <c r="G91" i="4"/>
  <c r="F91" i="4"/>
  <c r="E91" i="4"/>
  <c r="AF89" i="4"/>
  <c r="AE89" i="4"/>
  <c r="AD89" i="4"/>
  <c r="AB89" i="4"/>
  <c r="AA89" i="4"/>
  <c r="Z89" i="4"/>
  <c r="Y89" i="4"/>
  <c r="X89" i="4"/>
  <c r="W89" i="4"/>
  <c r="V89" i="4"/>
  <c r="U89" i="4"/>
  <c r="T89" i="4"/>
  <c r="S89" i="4"/>
  <c r="R89" i="4"/>
  <c r="Q89" i="4"/>
  <c r="P89" i="4"/>
  <c r="O89" i="4"/>
  <c r="N89" i="4"/>
  <c r="M89" i="4"/>
  <c r="L89" i="4"/>
  <c r="K89" i="4"/>
  <c r="J89" i="4"/>
  <c r="I89" i="4"/>
  <c r="G89" i="4"/>
  <c r="F89" i="4"/>
  <c r="E89" i="4"/>
  <c r="AJ88" i="4"/>
  <c r="AK86" i="4" s="1"/>
  <c r="C81" i="4"/>
  <c r="AI80" i="4"/>
  <c r="AH80" i="4"/>
  <c r="AG80" i="4"/>
  <c r="AF80" i="4"/>
  <c r="AE80" i="4"/>
  <c r="AD80" i="4"/>
  <c r="AC80" i="4"/>
  <c r="AB80" i="4"/>
  <c r="AA80" i="4"/>
  <c r="Z80" i="4"/>
  <c r="Z85" i="4" s="1"/>
  <c r="Y80" i="4"/>
  <c r="X80" i="4"/>
  <c r="W80" i="4"/>
  <c r="V80" i="4"/>
  <c r="U80" i="4"/>
  <c r="T80" i="4"/>
  <c r="S80" i="4"/>
  <c r="R80" i="4"/>
  <c r="Q80" i="4"/>
  <c r="P80" i="4"/>
  <c r="O80" i="4"/>
  <c r="N80" i="4"/>
  <c r="M80" i="4"/>
  <c r="L80" i="4"/>
  <c r="K80" i="4"/>
  <c r="J80" i="4"/>
  <c r="I80" i="4"/>
  <c r="H80" i="4"/>
  <c r="G80" i="4"/>
  <c r="F80" i="4"/>
  <c r="E80" i="4"/>
  <c r="E85" i="4" s="1"/>
  <c r="AJ78" i="4"/>
  <c r="AJ77" i="4"/>
  <c r="AK75" i="4" s="1"/>
  <c r="AJ76" i="4"/>
  <c r="AK74" i="4" s="1"/>
  <c r="C76" i="4"/>
  <c r="AI75" i="4"/>
  <c r="AH75" i="4"/>
  <c r="AG75" i="4"/>
  <c r="AE75" i="4"/>
  <c r="AD75" i="4"/>
  <c r="AC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AJ74" i="4"/>
  <c r="AK72" i="4" s="1"/>
  <c r="H34" i="13" s="1"/>
  <c r="E73" i="4"/>
  <c r="F73" i="4" s="1"/>
  <c r="G73" i="4" s="1"/>
  <c r="H73" i="4" s="1"/>
  <c r="I73" i="4" s="1"/>
  <c r="J73" i="4" s="1"/>
  <c r="K73" i="4" s="1"/>
  <c r="L73" i="4" s="1"/>
  <c r="M73" i="4" s="1"/>
  <c r="N73" i="4" s="1"/>
  <c r="O73" i="4" s="1"/>
  <c r="P73" i="4" s="1"/>
  <c r="Q73" i="4" s="1"/>
  <c r="R73" i="4" s="1"/>
  <c r="S73" i="4" s="1"/>
  <c r="T73" i="4" s="1"/>
  <c r="U73" i="4" s="1"/>
  <c r="V73" i="4" s="1"/>
  <c r="W73" i="4" s="1"/>
  <c r="X73" i="4" s="1"/>
  <c r="Y73" i="4" s="1"/>
  <c r="AJ72" i="4"/>
  <c r="G34" i="13" s="1"/>
  <c r="C65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AJ62" i="4"/>
  <c r="AK60" i="4" s="1"/>
  <c r="AJ61" i="4"/>
  <c r="AK59" i="4" s="1"/>
  <c r="AJ60" i="4"/>
  <c r="AK58" i="4" s="1"/>
  <c r="C60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AJ58" i="4"/>
  <c r="AK56" i="4" s="1"/>
  <c r="H33" i="13" s="1"/>
  <c r="K33" i="13" s="1"/>
  <c r="L33" i="13" s="1"/>
  <c r="E57" i="4"/>
  <c r="F57" i="4" s="1"/>
  <c r="G57" i="4" s="1"/>
  <c r="H57" i="4" s="1"/>
  <c r="I57" i="4" s="1"/>
  <c r="J57" i="4" s="1"/>
  <c r="K57" i="4" s="1"/>
  <c r="L57" i="4" s="1"/>
  <c r="M57" i="4" s="1"/>
  <c r="N57" i="4" s="1"/>
  <c r="O57" i="4" s="1"/>
  <c r="P57" i="4" s="1"/>
  <c r="Q57" i="4" s="1"/>
  <c r="R57" i="4" s="1"/>
  <c r="S57" i="4" s="1"/>
  <c r="T57" i="4" s="1"/>
  <c r="U57" i="4" s="1"/>
  <c r="V57" i="4" s="1"/>
  <c r="W57" i="4" s="1"/>
  <c r="X57" i="4" s="1"/>
  <c r="Y57" i="4" s="1"/>
  <c r="Z57" i="4" s="1"/>
  <c r="AA57" i="4" s="1"/>
  <c r="AE57" i="4" s="1"/>
  <c r="C49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AJ46" i="4"/>
  <c r="AK44" i="4" s="1"/>
  <c r="AJ45" i="4"/>
  <c r="AK43" i="4" s="1"/>
  <c r="AJ44" i="4"/>
  <c r="AK42" i="4" s="1"/>
  <c r="C44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AJ42" i="4"/>
  <c r="AK40" i="4" s="1"/>
  <c r="H32" i="13" s="1"/>
  <c r="E41" i="4"/>
  <c r="F41" i="4" s="1"/>
  <c r="G41" i="4" s="1"/>
  <c r="H41" i="4" s="1"/>
  <c r="I41" i="4" s="1"/>
  <c r="J41" i="4" s="1"/>
  <c r="K41" i="4" s="1"/>
  <c r="L41" i="4" s="1"/>
  <c r="M41" i="4" s="1"/>
  <c r="N41" i="4" s="1"/>
  <c r="O41" i="4" s="1"/>
  <c r="P41" i="4" s="1"/>
  <c r="Q41" i="4" s="1"/>
  <c r="R41" i="4" s="1"/>
  <c r="S41" i="4" s="1"/>
  <c r="T41" i="4" s="1"/>
  <c r="U41" i="4" s="1"/>
  <c r="V41" i="4" s="1"/>
  <c r="W41" i="4" s="1"/>
  <c r="X41" i="4" s="1"/>
  <c r="Y41" i="4" s="1"/>
  <c r="Z41" i="4" s="1"/>
  <c r="AA41" i="4" s="1"/>
  <c r="AB41" i="4" s="1"/>
  <c r="AC41" i="4" s="1"/>
  <c r="AD41" i="4" s="1"/>
  <c r="AE41" i="4" s="1"/>
  <c r="AF41" i="4" s="1"/>
  <c r="AG41" i="4" s="1"/>
  <c r="AH41" i="4" s="1"/>
  <c r="AI41" i="4" s="1"/>
  <c r="AJ40" i="4"/>
  <c r="G32" i="13" s="1"/>
  <c r="C33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L32" i="4"/>
  <c r="K32" i="4"/>
  <c r="J32" i="4"/>
  <c r="I32" i="4"/>
  <c r="H32" i="4"/>
  <c r="F32" i="4"/>
  <c r="E32" i="4"/>
  <c r="AJ30" i="4"/>
  <c r="AJ29" i="4"/>
  <c r="AJ28" i="4"/>
  <c r="C28" i="4"/>
  <c r="AI27" i="4"/>
  <c r="AG27" i="4"/>
  <c r="AE27" i="4"/>
  <c r="AD27" i="4"/>
  <c r="AC27" i="4"/>
  <c r="AB27" i="4"/>
  <c r="AA27" i="4"/>
  <c r="Z27" i="4"/>
  <c r="Y27" i="4"/>
  <c r="X27" i="4"/>
  <c r="W27" i="4"/>
  <c r="U27" i="4"/>
  <c r="S27" i="4"/>
  <c r="R27" i="4"/>
  <c r="Q27" i="4"/>
  <c r="N27" i="4"/>
  <c r="M27" i="4"/>
  <c r="L27" i="4"/>
  <c r="K27" i="4"/>
  <c r="J27" i="4"/>
  <c r="I27" i="4"/>
  <c r="G27" i="4"/>
  <c r="F27" i="4"/>
  <c r="E27" i="4"/>
  <c r="AJ26" i="4"/>
  <c r="E25" i="4"/>
  <c r="F25" i="4" s="1"/>
  <c r="G25" i="4" s="1"/>
  <c r="H25" i="4" s="1"/>
  <c r="I25" i="4" s="1"/>
  <c r="J25" i="4" s="1"/>
  <c r="K25" i="4" s="1"/>
  <c r="L25" i="4" s="1"/>
  <c r="M25" i="4" s="1"/>
  <c r="N25" i="4" s="1"/>
  <c r="O25" i="4" s="1"/>
  <c r="P25" i="4" s="1"/>
  <c r="Q25" i="4" s="1"/>
  <c r="C17" i="4"/>
  <c r="AI16" i="4"/>
  <c r="AI23" i="4" s="1"/>
  <c r="AH16" i="4"/>
  <c r="AH23" i="4" s="1"/>
  <c r="AG16" i="4"/>
  <c r="AG23" i="4" s="1"/>
  <c r="AF16" i="4"/>
  <c r="AF23" i="4" s="1"/>
  <c r="AE16" i="4"/>
  <c r="AE23" i="4" s="1"/>
  <c r="AD16" i="4"/>
  <c r="AD23" i="4" s="1"/>
  <c r="AC16" i="4"/>
  <c r="AC23" i="4" s="1"/>
  <c r="AB16" i="4"/>
  <c r="AB23" i="4" s="1"/>
  <c r="AA16" i="4"/>
  <c r="AA23" i="4" s="1"/>
  <c r="Z16" i="4"/>
  <c r="Z23" i="4" s="1"/>
  <c r="Y16" i="4"/>
  <c r="Y23" i="4" s="1"/>
  <c r="X16" i="4"/>
  <c r="X23" i="4" s="1"/>
  <c r="W16" i="4"/>
  <c r="W23" i="4" s="1"/>
  <c r="V16" i="4"/>
  <c r="V23" i="4" s="1"/>
  <c r="U16" i="4"/>
  <c r="U23" i="4" s="1"/>
  <c r="T16" i="4"/>
  <c r="T23" i="4" s="1"/>
  <c r="S16" i="4"/>
  <c r="S23" i="4" s="1"/>
  <c r="R16" i="4"/>
  <c r="R23" i="4" s="1"/>
  <c r="Q16" i="4"/>
  <c r="Q23" i="4" s="1"/>
  <c r="P16" i="4"/>
  <c r="P23" i="4" s="1"/>
  <c r="O16" i="4"/>
  <c r="O23" i="4" s="1"/>
  <c r="N16" i="4"/>
  <c r="N23" i="4" s="1"/>
  <c r="M16" i="4"/>
  <c r="M23" i="4" s="1"/>
  <c r="L16" i="4"/>
  <c r="L23" i="4" s="1"/>
  <c r="K16" i="4"/>
  <c r="J16" i="4"/>
  <c r="J23" i="4" s="1"/>
  <c r="I16" i="4"/>
  <c r="I23" i="4" s="1"/>
  <c r="H16" i="4"/>
  <c r="H23" i="4" s="1"/>
  <c r="G16" i="4"/>
  <c r="G23" i="4" s="1"/>
  <c r="F16" i="4"/>
  <c r="F23" i="4" s="1"/>
  <c r="E16" i="4"/>
  <c r="AJ14" i="4"/>
  <c r="AK12" i="4" s="1"/>
  <c r="AJ13" i="4"/>
  <c r="AK11" i="4" s="1"/>
  <c r="AJ12" i="4"/>
  <c r="AK10" i="4" s="1"/>
  <c r="C12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K11" i="4"/>
  <c r="J11" i="4"/>
  <c r="I11" i="4"/>
  <c r="H11" i="4"/>
  <c r="G11" i="4"/>
  <c r="F11" i="4"/>
  <c r="E11" i="4"/>
  <c r="AJ10" i="4"/>
  <c r="E9" i="4"/>
  <c r="F9" i="4" s="1"/>
  <c r="G9" i="4" s="1"/>
  <c r="H9" i="4" s="1"/>
  <c r="I9" i="4" s="1"/>
  <c r="J9" i="4" s="1"/>
  <c r="K9" i="4" s="1"/>
  <c r="L9" i="4" s="1"/>
  <c r="M9" i="4" s="1"/>
  <c r="N9" i="4" s="1"/>
  <c r="O9" i="4" s="1"/>
  <c r="P9" i="4" s="1"/>
  <c r="Q9" i="4" s="1"/>
  <c r="R9" i="4" s="1"/>
  <c r="S9" i="4" s="1"/>
  <c r="T9" i="4" s="1"/>
  <c r="U9" i="4" s="1"/>
  <c r="V9" i="4" s="1"/>
  <c r="W9" i="4" s="1"/>
  <c r="X9" i="4" s="1"/>
  <c r="Y9" i="4" s="1"/>
  <c r="Z9" i="4" s="1"/>
  <c r="AA9" i="4" s="1"/>
  <c r="AJ8" i="4"/>
  <c r="G30" i="13" s="1"/>
  <c r="F7" i="4"/>
  <c r="G7" i="4" s="1"/>
  <c r="H7" i="4" s="1"/>
  <c r="I7" i="4" s="1"/>
  <c r="J7" i="4" s="1"/>
  <c r="K7" i="4" s="1"/>
  <c r="L7" i="4" s="1"/>
  <c r="M7" i="4" s="1"/>
  <c r="N7" i="4" s="1"/>
  <c r="O7" i="4" s="1"/>
  <c r="P7" i="4" s="1"/>
  <c r="Q7" i="4" s="1"/>
  <c r="R7" i="4" s="1"/>
  <c r="S7" i="4" s="1"/>
  <c r="T7" i="4" s="1"/>
  <c r="U7" i="4" s="1"/>
  <c r="V7" i="4" s="1"/>
  <c r="W7" i="4" s="1"/>
  <c r="X7" i="4" s="1"/>
  <c r="Y7" i="4" s="1"/>
  <c r="Z7" i="4" s="1"/>
  <c r="AA7" i="4" s="1"/>
  <c r="AB7" i="4" s="1"/>
  <c r="AC7" i="4" s="1"/>
  <c r="AD7" i="4" s="1"/>
  <c r="AE7" i="4" s="1"/>
  <c r="AF7" i="4" s="1"/>
  <c r="AG7" i="4" s="1"/>
  <c r="AH7" i="4" s="1"/>
  <c r="AI7" i="4" s="1"/>
  <c r="AH577" i="3"/>
  <c r="AH580" i="3" s="1"/>
  <c r="AG577" i="3"/>
  <c r="AG580" i="3" s="1"/>
  <c r="AF577" i="3"/>
  <c r="AF580" i="3" s="1"/>
  <c r="AE577" i="3"/>
  <c r="AC577" i="3"/>
  <c r="AB577" i="3"/>
  <c r="AA577" i="3"/>
  <c r="Z577" i="3"/>
  <c r="Y577" i="3"/>
  <c r="X577" i="3"/>
  <c r="W577" i="3"/>
  <c r="V577" i="3"/>
  <c r="U577" i="3"/>
  <c r="T577" i="3"/>
  <c r="S577" i="3"/>
  <c r="R577" i="3"/>
  <c r="Q577" i="3"/>
  <c r="P577" i="3"/>
  <c r="O577" i="3"/>
  <c r="N577" i="3"/>
  <c r="M577" i="3"/>
  <c r="L577" i="3"/>
  <c r="K577" i="3"/>
  <c r="J577" i="3"/>
  <c r="I577" i="3"/>
  <c r="H577" i="3"/>
  <c r="G577" i="3"/>
  <c r="F577" i="3"/>
  <c r="E577" i="3"/>
  <c r="AJ575" i="3"/>
  <c r="AJ574" i="3"/>
  <c r="AJ573" i="3"/>
  <c r="AI572" i="3"/>
  <c r="AH572" i="3"/>
  <c r="AG572" i="3"/>
  <c r="AF572" i="3"/>
  <c r="AE572" i="3"/>
  <c r="AD572" i="3"/>
  <c r="AB572" i="3"/>
  <c r="AA572" i="3"/>
  <c r="Z572" i="3"/>
  <c r="Y572" i="3"/>
  <c r="X572" i="3"/>
  <c r="W572" i="3"/>
  <c r="V572" i="3"/>
  <c r="U572" i="3"/>
  <c r="T572" i="3"/>
  <c r="S572" i="3"/>
  <c r="R572" i="3"/>
  <c r="Q572" i="3"/>
  <c r="N572" i="3"/>
  <c r="M572" i="3"/>
  <c r="L572" i="3"/>
  <c r="K572" i="3"/>
  <c r="I572" i="3"/>
  <c r="H572" i="3"/>
  <c r="G572" i="3"/>
  <c r="F572" i="3"/>
  <c r="E572" i="3"/>
  <c r="AJ571" i="3"/>
  <c r="E570" i="3"/>
  <c r="F570" i="3" s="1"/>
  <c r="G570" i="3" s="1"/>
  <c r="H570" i="3" s="1"/>
  <c r="I570" i="3" s="1"/>
  <c r="J570" i="3" s="1"/>
  <c r="K570" i="3" s="1"/>
  <c r="L570" i="3" s="1"/>
  <c r="M570" i="3" s="1"/>
  <c r="N570" i="3" s="1"/>
  <c r="O570" i="3" s="1"/>
  <c r="P570" i="3" s="1"/>
  <c r="Q570" i="3" s="1"/>
  <c r="R570" i="3" s="1"/>
  <c r="S570" i="3" s="1"/>
  <c r="T570" i="3" s="1"/>
  <c r="U570" i="3" s="1"/>
  <c r="V570" i="3" s="1"/>
  <c r="W570" i="3" s="1"/>
  <c r="X570" i="3" s="1"/>
  <c r="Y570" i="3" s="1"/>
  <c r="Z570" i="3" s="1"/>
  <c r="AJ569" i="3"/>
  <c r="AI563" i="3"/>
  <c r="AH563" i="3"/>
  <c r="AG563" i="3"/>
  <c r="AF563" i="3"/>
  <c r="AE563" i="3"/>
  <c r="AD563" i="3"/>
  <c r="AD566" i="3" s="1"/>
  <c r="AC563" i="3"/>
  <c r="AC566" i="3" s="1"/>
  <c r="AB563" i="3"/>
  <c r="AA563" i="3"/>
  <c r="AA566" i="3" s="1"/>
  <c r="Z563" i="3"/>
  <c r="Z566" i="3" s="1"/>
  <c r="Y563" i="3"/>
  <c r="Y566" i="3" s="1"/>
  <c r="X563" i="3"/>
  <c r="X566" i="3" s="1"/>
  <c r="W563" i="3"/>
  <c r="W566" i="3" s="1"/>
  <c r="V563" i="3"/>
  <c r="U563" i="3"/>
  <c r="T563" i="3"/>
  <c r="S563" i="3"/>
  <c r="R563" i="3"/>
  <c r="Q563" i="3"/>
  <c r="P563" i="3"/>
  <c r="O563" i="3"/>
  <c r="N563" i="3"/>
  <c r="M563" i="3"/>
  <c r="L563" i="3"/>
  <c r="K563" i="3"/>
  <c r="J563" i="3"/>
  <c r="I563" i="3"/>
  <c r="H563" i="3"/>
  <c r="G563" i="3"/>
  <c r="F563" i="3"/>
  <c r="E563" i="3"/>
  <c r="AJ561" i="3"/>
  <c r="AJ560" i="3"/>
  <c r="AJ559" i="3"/>
  <c r="AI558" i="3"/>
  <c r="AH558" i="3"/>
  <c r="AG558" i="3"/>
  <c r="AF558" i="3"/>
  <c r="AE558" i="3"/>
  <c r="AD558" i="3"/>
  <c r="AC558" i="3"/>
  <c r="AB558" i="3"/>
  <c r="AA558" i="3"/>
  <c r="Z558" i="3"/>
  <c r="Y558" i="3"/>
  <c r="X558" i="3"/>
  <c r="W558" i="3"/>
  <c r="V558" i="3"/>
  <c r="U558" i="3"/>
  <c r="T558" i="3"/>
  <c r="S558" i="3"/>
  <c r="R558" i="3"/>
  <c r="Q558" i="3"/>
  <c r="P558" i="3"/>
  <c r="O558" i="3"/>
  <c r="N558" i="3"/>
  <c r="M558" i="3"/>
  <c r="L558" i="3"/>
  <c r="K558" i="3"/>
  <c r="J558" i="3"/>
  <c r="I558" i="3"/>
  <c r="H558" i="3"/>
  <c r="G558" i="3"/>
  <c r="F558" i="3"/>
  <c r="E558" i="3"/>
  <c r="AJ557" i="3"/>
  <c r="AK555" i="3" s="1"/>
  <c r="H20" i="13" s="1"/>
  <c r="E556" i="3"/>
  <c r="F556" i="3" s="1"/>
  <c r="G556" i="3" s="1"/>
  <c r="H556" i="3" s="1"/>
  <c r="I556" i="3" s="1"/>
  <c r="J556" i="3" s="1"/>
  <c r="K556" i="3" s="1"/>
  <c r="L556" i="3" s="1"/>
  <c r="M556" i="3" s="1"/>
  <c r="N556" i="3" s="1"/>
  <c r="O556" i="3" s="1"/>
  <c r="P556" i="3" s="1"/>
  <c r="Q556" i="3" s="1"/>
  <c r="R556" i="3" s="1"/>
  <c r="S556" i="3" s="1"/>
  <c r="T556" i="3" s="1"/>
  <c r="U556" i="3" s="1"/>
  <c r="V556" i="3" s="1"/>
  <c r="W556" i="3" s="1"/>
  <c r="X556" i="3" s="1"/>
  <c r="Y556" i="3" s="1"/>
  <c r="Z556" i="3" s="1"/>
  <c r="AA556" i="3" s="1"/>
  <c r="AB556" i="3" s="1"/>
  <c r="AF556" i="3" s="1"/>
  <c r="AJ555" i="3"/>
  <c r="AH549" i="3"/>
  <c r="AH552" i="3" s="1"/>
  <c r="AG549" i="3"/>
  <c r="AG552" i="3" s="1"/>
  <c r="AF549" i="3"/>
  <c r="AF552" i="3" s="1"/>
  <c r="AE549" i="3"/>
  <c r="AD549" i="3"/>
  <c r="AC549" i="3"/>
  <c r="AB549" i="3"/>
  <c r="AA549" i="3"/>
  <c r="Z549" i="3"/>
  <c r="Y549" i="3"/>
  <c r="X549" i="3"/>
  <c r="W549" i="3"/>
  <c r="V549" i="3"/>
  <c r="U549" i="3"/>
  <c r="T549" i="3"/>
  <c r="S549" i="3"/>
  <c r="R549" i="3"/>
  <c r="Q549" i="3"/>
  <c r="P549" i="3"/>
  <c r="O549" i="3"/>
  <c r="N549" i="3"/>
  <c r="M549" i="3"/>
  <c r="L549" i="3"/>
  <c r="K549" i="3"/>
  <c r="J549" i="3"/>
  <c r="I549" i="3"/>
  <c r="H549" i="3"/>
  <c r="G549" i="3"/>
  <c r="E549" i="3"/>
  <c r="AJ547" i="3"/>
  <c r="AJ546" i="3"/>
  <c r="AJ545" i="3"/>
  <c r="AI544" i="3"/>
  <c r="AH544" i="3"/>
  <c r="AG544" i="3"/>
  <c r="AF544" i="3"/>
  <c r="AE544" i="3"/>
  <c r="AD544" i="3"/>
  <c r="AC544" i="3"/>
  <c r="AB544" i="3"/>
  <c r="AA544" i="3"/>
  <c r="Z544" i="3"/>
  <c r="Y544" i="3"/>
  <c r="X544" i="3"/>
  <c r="W544" i="3"/>
  <c r="U544" i="3"/>
  <c r="T544" i="3"/>
  <c r="S544" i="3"/>
  <c r="R544" i="3"/>
  <c r="Q544" i="3"/>
  <c r="P544" i="3"/>
  <c r="O544" i="3"/>
  <c r="N544" i="3"/>
  <c r="L544" i="3"/>
  <c r="K544" i="3"/>
  <c r="J544" i="3"/>
  <c r="I544" i="3"/>
  <c r="H544" i="3"/>
  <c r="G544" i="3"/>
  <c r="F544" i="3"/>
  <c r="E544" i="3"/>
  <c r="E542" i="3"/>
  <c r="F542" i="3" s="1"/>
  <c r="G542" i="3" s="1"/>
  <c r="H542" i="3" s="1"/>
  <c r="I542" i="3" s="1"/>
  <c r="J542" i="3" s="1"/>
  <c r="K542" i="3" s="1"/>
  <c r="L542" i="3" s="1"/>
  <c r="M542" i="3" s="1"/>
  <c r="N542" i="3" s="1"/>
  <c r="O542" i="3" s="1"/>
  <c r="P542" i="3" s="1"/>
  <c r="Q542" i="3" s="1"/>
  <c r="R542" i="3" s="1"/>
  <c r="S542" i="3" s="1"/>
  <c r="T542" i="3" s="1"/>
  <c r="U542" i="3" s="1"/>
  <c r="V542" i="3" s="1"/>
  <c r="W542" i="3" s="1"/>
  <c r="X542" i="3" s="1"/>
  <c r="Y542" i="3" s="1"/>
  <c r="Z542" i="3" s="1"/>
  <c r="AJ541" i="3"/>
  <c r="AG535" i="3"/>
  <c r="AF535" i="3"/>
  <c r="AE535" i="3"/>
  <c r="AD535" i="3"/>
  <c r="AC535" i="3"/>
  <c r="AB535" i="3"/>
  <c r="AA535" i="3"/>
  <c r="AA538" i="3" s="1"/>
  <c r="Z535" i="3"/>
  <c r="Z538" i="3" s="1"/>
  <c r="Y535" i="3"/>
  <c r="X535" i="3"/>
  <c r="W535" i="3"/>
  <c r="V535" i="3"/>
  <c r="U535" i="3"/>
  <c r="T535" i="3"/>
  <c r="S535" i="3"/>
  <c r="R535" i="3"/>
  <c r="Q535" i="3"/>
  <c r="P535" i="3"/>
  <c r="O535" i="3"/>
  <c r="N535" i="3"/>
  <c r="M535" i="3"/>
  <c r="L535" i="3"/>
  <c r="K535" i="3"/>
  <c r="J535" i="3"/>
  <c r="I535" i="3"/>
  <c r="H535" i="3"/>
  <c r="G535" i="3"/>
  <c r="F535" i="3"/>
  <c r="E535" i="3"/>
  <c r="E538" i="3" s="1"/>
  <c r="AJ533" i="3"/>
  <c r="AJ532" i="3"/>
  <c r="AJ531" i="3"/>
  <c r="AG530" i="3"/>
  <c r="AF530" i="3"/>
  <c r="AE530" i="3"/>
  <c r="AD530" i="3"/>
  <c r="AC530" i="3"/>
  <c r="AB530" i="3"/>
  <c r="AA530" i="3"/>
  <c r="Z530" i="3"/>
  <c r="Y530" i="3"/>
  <c r="X530" i="3"/>
  <c r="W530" i="3"/>
  <c r="V530" i="3"/>
  <c r="U530" i="3"/>
  <c r="T530" i="3"/>
  <c r="S530" i="3"/>
  <c r="R530" i="3"/>
  <c r="Q530" i="3"/>
  <c r="P530" i="3"/>
  <c r="O530" i="3"/>
  <c r="N530" i="3"/>
  <c r="M530" i="3"/>
  <c r="L530" i="3"/>
  <c r="K530" i="3"/>
  <c r="J530" i="3"/>
  <c r="I530" i="3"/>
  <c r="H530" i="3"/>
  <c r="G530" i="3"/>
  <c r="F530" i="3"/>
  <c r="E530" i="3"/>
  <c r="AJ529" i="3"/>
  <c r="AK527" i="3" s="1"/>
  <c r="AI528" i="3"/>
  <c r="AH528" i="3"/>
  <c r="AG528" i="3"/>
  <c r="AF528" i="3"/>
  <c r="AE528" i="3"/>
  <c r="AD528" i="3"/>
  <c r="AC528" i="3"/>
  <c r="AB528" i="3"/>
  <c r="AA528" i="3"/>
  <c r="Z528" i="3"/>
  <c r="Y528" i="3"/>
  <c r="X528" i="3"/>
  <c r="W528" i="3"/>
  <c r="V528" i="3"/>
  <c r="U528" i="3"/>
  <c r="T528" i="3"/>
  <c r="S528" i="3"/>
  <c r="R528" i="3"/>
  <c r="Q528" i="3"/>
  <c r="P528" i="3"/>
  <c r="O528" i="3"/>
  <c r="N528" i="3"/>
  <c r="M528" i="3"/>
  <c r="L528" i="3"/>
  <c r="K528" i="3"/>
  <c r="J528" i="3"/>
  <c r="I528" i="3"/>
  <c r="H528" i="3"/>
  <c r="G528" i="3"/>
  <c r="F528" i="3"/>
  <c r="E528" i="3"/>
  <c r="AJ527" i="3"/>
  <c r="AO527" i="3" s="1"/>
  <c r="AI521" i="3"/>
  <c r="AH521" i="3"/>
  <c r="AG521" i="3"/>
  <c r="AF521" i="3"/>
  <c r="AE521" i="3"/>
  <c r="AD521" i="3"/>
  <c r="AC521" i="3"/>
  <c r="AB521" i="3"/>
  <c r="AA521" i="3"/>
  <c r="Z521" i="3"/>
  <c r="Y521" i="3"/>
  <c r="X521" i="3"/>
  <c r="W521" i="3"/>
  <c r="V521" i="3"/>
  <c r="U521" i="3"/>
  <c r="T521" i="3"/>
  <c r="S521" i="3"/>
  <c r="R521" i="3"/>
  <c r="Q521" i="3"/>
  <c r="P521" i="3"/>
  <c r="O521" i="3"/>
  <c r="N521" i="3"/>
  <c r="M521" i="3"/>
  <c r="L521" i="3"/>
  <c r="K521" i="3"/>
  <c r="J521" i="3"/>
  <c r="I521" i="3"/>
  <c r="H521" i="3"/>
  <c r="G521" i="3"/>
  <c r="F521" i="3"/>
  <c r="E521" i="3"/>
  <c r="E524" i="3" s="1"/>
  <c r="AJ519" i="3"/>
  <c r="AJ518" i="3"/>
  <c r="AJ517" i="3"/>
  <c r="AI516" i="3"/>
  <c r="AH516" i="3"/>
  <c r="AG516" i="3"/>
  <c r="AF516" i="3"/>
  <c r="AE516" i="3"/>
  <c r="AD516" i="3"/>
  <c r="AC516" i="3"/>
  <c r="AB516" i="3"/>
  <c r="AA516" i="3"/>
  <c r="Z516" i="3"/>
  <c r="Y516" i="3"/>
  <c r="X516" i="3"/>
  <c r="W516" i="3"/>
  <c r="V516" i="3"/>
  <c r="U516" i="3"/>
  <c r="T516" i="3"/>
  <c r="S516" i="3"/>
  <c r="R516" i="3"/>
  <c r="Q516" i="3"/>
  <c r="P516" i="3"/>
  <c r="O516" i="3"/>
  <c r="N516" i="3"/>
  <c r="M516" i="3"/>
  <c r="L516" i="3"/>
  <c r="K516" i="3"/>
  <c r="J516" i="3"/>
  <c r="I516" i="3"/>
  <c r="H516" i="3"/>
  <c r="G516" i="3"/>
  <c r="F516" i="3"/>
  <c r="E516" i="3"/>
  <c r="AJ515" i="3"/>
  <c r="AK513" i="3" s="1"/>
  <c r="AI514" i="3"/>
  <c r="AH514" i="3"/>
  <c r="AG514" i="3"/>
  <c r="AF514" i="3"/>
  <c r="AE514" i="3"/>
  <c r="AD514" i="3"/>
  <c r="AC514" i="3"/>
  <c r="AB514" i="3"/>
  <c r="AA514" i="3"/>
  <c r="Z514" i="3"/>
  <c r="Y514" i="3"/>
  <c r="X514" i="3"/>
  <c r="W514" i="3"/>
  <c r="V514" i="3"/>
  <c r="U514" i="3"/>
  <c r="T514" i="3"/>
  <c r="S514" i="3"/>
  <c r="R514" i="3"/>
  <c r="Q514" i="3"/>
  <c r="P514" i="3"/>
  <c r="O514" i="3"/>
  <c r="N514" i="3"/>
  <c r="M514" i="3"/>
  <c r="L514" i="3"/>
  <c r="K514" i="3"/>
  <c r="J514" i="3"/>
  <c r="I514" i="3"/>
  <c r="H514" i="3"/>
  <c r="G514" i="3"/>
  <c r="F514" i="3"/>
  <c r="E514" i="3"/>
  <c r="AJ513" i="3"/>
  <c r="AO513" i="3" s="1"/>
  <c r="AI507" i="3"/>
  <c r="AH507" i="3"/>
  <c r="AG507" i="3"/>
  <c r="AF507" i="3"/>
  <c r="AE507" i="3"/>
  <c r="AD507" i="3"/>
  <c r="AC507" i="3"/>
  <c r="AB507" i="3"/>
  <c r="AA507" i="3"/>
  <c r="Z507" i="3"/>
  <c r="Y507" i="3"/>
  <c r="X507" i="3"/>
  <c r="W507" i="3"/>
  <c r="V507" i="3"/>
  <c r="U507" i="3"/>
  <c r="T507" i="3"/>
  <c r="S507" i="3"/>
  <c r="R507" i="3"/>
  <c r="Q507" i="3"/>
  <c r="P507" i="3"/>
  <c r="O507" i="3"/>
  <c r="N507" i="3"/>
  <c r="M507" i="3"/>
  <c r="L507" i="3"/>
  <c r="K507" i="3"/>
  <c r="J507" i="3"/>
  <c r="I507" i="3"/>
  <c r="H507" i="3"/>
  <c r="G507" i="3"/>
  <c r="F507" i="3"/>
  <c r="E507" i="3"/>
  <c r="AJ505" i="3"/>
  <c r="AJ504" i="3"/>
  <c r="AJ503" i="3"/>
  <c r="AI502" i="3"/>
  <c r="AH502" i="3"/>
  <c r="AG502" i="3"/>
  <c r="AF502" i="3"/>
  <c r="AE502" i="3"/>
  <c r="AD502" i="3"/>
  <c r="AC502" i="3"/>
  <c r="AB502" i="3"/>
  <c r="AA502" i="3"/>
  <c r="Z502" i="3"/>
  <c r="Y502" i="3"/>
  <c r="X502" i="3"/>
  <c r="W502" i="3"/>
  <c r="V502" i="3"/>
  <c r="U502" i="3"/>
  <c r="T502" i="3"/>
  <c r="S502" i="3"/>
  <c r="R502" i="3"/>
  <c r="Q502" i="3"/>
  <c r="P502" i="3"/>
  <c r="O502" i="3"/>
  <c r="N502" i="3"/>
  <c r="M502" i="3"/>
  <c r="L502" i="3"/>
  <c r="K502" i="3"/>
  <c r="J502" i="3"/>
  <c r="I502" i="3"/>
  <c r="H502" i="3"/>
  <c r="G502" i="3"/>
  <c r="F502" i="3"/>
  <c r="E502" i="3"/>
  <c r="AJ501" i="3"/>
  <c r="AK499" i="3" s="1"/>
  <c r="AI500" i="3"/>
  <c r="AH500" i="3"/>
  <c r="AG500" i="3"/>
  <c r="AF500" i="3"/>
  <c r="AE500" i="3"/>
  <c r="AD500" i="3"/>
  <c r="AC500" i="3"/>
  <c r="AB500" i="3"/>
  <c r="AA500" i="3"/>
  <c r="Z500" i="3"/>
  <c r="Y500" i="3"/>
  <c r="X500" i="3"/>
  <c r="W500" i="3"/>
  <c r="V500" i="3"/>
  <c r="U500" i="3"/>
  <c r="T500" i="3"/>
  <c r="S500" i="3"/>
  <c r="R500" i="3"/>
  <c r="Q500" i="3"/>
  <c r="P500" i="3"/>
  <c r="O500" i="3"/>
  <c r="N500" i="3"/>
  <c r="M500" i="3"/>
  <c r="L500" i="3"/>
  <c r="K500" i="3"/>
  <c r="J500" i="3"/>
  <c r="I500" i="3"/>
  <c r="H500" i="3"/>
  <c r="G500" i="3"/>
  <c r="F500" i="3"/>
  <c r="E500" i="3"/>
  <c r="AJ499" i="3"/>
  <c r="AO499" i="3" s="1"/>
  <c r="AI493" i="3"/>
  <c r="AH493" i="3"/>
  <c r="AH496" i="3" s="1"/>
  <c r="AG493" i="3"/>
  <c r="AG496" i="3" s="1"/>
  <c r="AF493" i="3"/>
  <c r="AF496" i="3" s="1"/>
  <c r="AE493" i="3"/>
  <c r="AD493" i="3"/>
  <c r="AC493" i="3"/>
  <c r="AB493" i="3"/>
  <c r="AA493" i="3"/>
  <c r="Z493" i="3"/>
  <c r="Y493" i="3"/>
  <c r="X493" i="3"/>
  <c r="W493" i="3"/>
  <c r="V493" i="3"/>
  <c r="U493" i="3"/>
  <c r="T493" i="3"/>
  <c r="S493" i="3"/>
  <c r="R493" i="3"/>
  <c r="Q493" i="3"/>
  <c r="P493" i="3"/>
  <c r="O493" i="3"/>
  <c r="N493" i="3"/>
  <c r="M493" i="3"/>
  <c r="L493" i="3"/>
  <c r="K493" i="3"/>
  <c r="J493" i="3"/>
  <c r="I493" i="3"/>
  <c r="H493" i="3"/>
  <c r="G493" i="3"/>
  <c r="F493" i="3"/>
  <c r="E493" i="3"/>
  <c r="AJ491" i="3"/>
  <c r="AJ490" i="3"/>
  <c r="AJ489" i="3"/>
  <c r="AI488" i="3"/>
  <c r="AH488" i="3"/>
  <c r="AG488" i="3"/>
  <c r="AF488" i="3"/>
  <c r="AE488" i="3"/>
  <c r="AD488" i="3"/>
  <c r="AC488" i="3"/>
  <c r="AA488" i="3"/>
  <c r="Y488" i="3"/>
  <c r="X488" i="3"/>
  <c r="W488" i="3"/>
  <c r="T488" i="3"/>
  <c r="S488" i="3"/>
  <c r="R488" i="3"/>
  <c r="Q488" i="3"/>
  <c r="L488" i="3"/>
  <c r="K488" i="3"/>
  <c r="J488" i="3"/>
  <c r="I488" i="3"/>
  <c r="H488" i="3"/>
  <c r="G488" i="3"/>
  <c r="F488" i="3"/>
  <c r="E488" i="3"/>
  <c r="AJ487" i="3"/>
  <c r="E486" i="3"/>
  <c r="F486" i="3" s="1"/>
  <c r="G486" i="3" s="1"/>
  <c r="H486" i="3" s="1"/>
  <c r="I486" i="3" s="1"/>
  <c r="J486" i="3" s="1"/>
  <c r="K486" i="3" s="1"/>
  <c r="L486" i="3" s="1"/>
  <c r="M486" i="3" s="1"/>
  <c r="N486" i="3" s="1"/>
  <c r="O486" i="3" s="1"/>
  <c r="P486" i="3" s="1"/>
  <c r="Q486" i="3" s="1"/>
  <c r="R486" i="3" s="1"/>
  <c r="S486" i="3" s="1"/>
  <c r="T486" i="3" s="1"/>
  <c r="U486" i="3" s="1"/>
  <c r="V486" i="3" s="1"/>
  <c r="W486" i="3" s="1"/>
  <c r="X486" i="3" s="1"/>
  <c r="Y486" i="3" s="1"/>
  <c r="Z486" i="3" s="1"/>
  <c r="AJ485" i="3"/>
  <c r="AO485" i="3" s="1"/>
  <c r="AI479" i="3"/>
  <c r="AH479" i="3"/>
  <c r="AG479" i="3"/>
  <c r="AF479" i="3"/>
  <c r="AE479" i="3"/>
  <c r="AD479" i="3"/>
  <c r="AC479" i="3"/>
  <c r="AB479" i="3"/>
  <c r="AA479" i="3"/>
  <c r="Z479" i="3"/>
  <c r="Y479" i="3"/>
  <c r="X479" i="3"/>
  <c r="W479" i="3"/>
  <c r="V479" i="3"/>
  <c r="U479" i="3"/>
  <c r="T479" i="3"/>
  <c r="S479" i="3"/>
  <c r="R479" i="3"/>
  <c r="Q479" i="3"/>
  <c r="P479" i="3"/>
  <c r="O479" i="3"/>
  <c r="N479" i="3"/>
  <c r="M479" i="3"/>
  <c r="L479" i="3"/>
  <c r="K479" i="3"/>
  <c r="J479" i="3"/>
  <c r="I479" i="3"/>
  <c r="H479" i="3"/>
  <c r="G479" i="3"/>
  <c r="F479" i="3"/>
  <c r="E479" i="3"/>
  <c r="AJ477" i="3"/>
  <c r="AJ476" i="3"/>
  <c r="AJ475" i="3"/>
  <c r="AI474" i="3"/>
  <c r="AH474" i="3"/>
  <c r="AG474" i="3"/>
  <c r="AF474" i="3"/>
  <c r="AE474" i="3"/>
  <c r="AD474" i="3"/>
  <c r="AC474" i="3"/>
  <c r="AA474" i="3"/>
  <c r="Z474" i="3"/>
  <c r="Y474" i="3"/>
  <c r="M474" i="3"/>
  <c r="H474" i="3"/>
  <c r="F474" i="3"/>
  <c r="E474" i="3"/>
  <c r="AJ473" i="3"/>
  <c r="AK471" i="3" s="1"/>
  <c r="E472" i="3"/>
  <c r="F472" i="3" s="1"/>
  <c r="G472" i="3" s="1"/>
  <c r="H472" i="3" s="1"/>
  <c r="I472" i="3" s="1"/>
  <c r="J472" i="3" s="1"/>
  <c r="K472" i="3" s="1"/>
  <c r="L472" i="3" s="1"/>
  <c r="M472" i="3" s="1"/>
  <c r="N472" i="3" s="1"/>
  <c r="O472" i="3" s="1"/>
  <c r="P472" i="3" s="1"/>
  <c r="Q472" i="3" s="1"/>
  <c r="R472" i="3" s="1"/>
  <c r="S472" i="3" s="1"/>
  <c r="T472" i="3" s="1"/>
  <c r="U472" i="3" s="1"/>
  <c r="V472" i="3" s="1"/>
  <c r="W472" i="3" s="1"/>
  <c r="X472" i="3" s="1"/>
  <c r="Y472" i="3" s="1"/>
  <c r="Z472" i="3" s="1"/>
  <c r="AJ471" i="3"/>
  <c r="AO471" i="3" s="1"/>
  <c r="AI465" i="3"/>
  <c r="AH465" i="3"/>
  <c r="AH468" i="3" s="1"/>
  <c r="AG465" i="3"/>
  <c r="AG468" i="3" s="1"/>
  <c r="AF465" i="3"/>
  <c r="AF468" i="3" s="1"/>
  <c r="AE465" i="3"/>
  <c r="AD465" i="3"/>
  <c r="AC465" i="3"/>
  <c r="AB465" i="3"/>
  <c r="AA465" i="3"/>
  <c r="Z465" i="3"/>
  <c r="Y465" i="3"/>
  <c r="X465" i="3"/>
  <c r="W465" i="3"/>
  <c r="V465" i="3"/>
  <c r="U465" i="3"/>
  <c r="T465" i="3"/>
  <c r="S465" i="3"/>
  <c r="R465" i="3"/>
  <c r="Q465" i="3"/>
  <c r="P465" i="3"/>
  <c r="O465" i="3"/>
  <c r="N465" i="3"/>
  <c r="M465" i="3"/>
  <c r="L465" i="3"/>
  <c r="K465" i="3"/>
  <c r="I465" i="3"/>
  <c r="H465" i="3"/>
  <c r="G465" i="3"/>
  <c r="F465" i="3"/>
  <c r="E465" i="3"/>
  <c r="AJ463" i="3"/>
  <c r="AJ462" i="3"/>
  <c r="AJ461" i="3"/>
  <c r="AI460" i="3"/>
  <c r="AH460" i="3"/>
  <c r="AG460" i="3"/>
  <c r="AF460" i="3"/>
  <c r="AE460" i="3"/>
  <c r="AD460" i="3"/>
  <c r="AC460" i="3"/>
  <c r="AB460" i="3"/>
  <c r="AA460" i="3"/>
  <c r="Z460" i="3"/>
  <c r="Y460" i="3"/>
  <c r="X460" i="3"/>
  <c r="W460" i="3"/>
  <c r="V460" i="3"/>
  <c r="T460" i="3"/>
  <c r="S460" i="3"/>
  <c r="R460" i="3"/>
  <c r="N460" i="3"/>
  <c r="M460" i="3"/>
  <c r="L460" i="3"/>
  <c r="K460" i="3"/>
  <c r="J460" i="3"/>
  <c r="I460" i="3"/>
  <c r="H460" i="3"/>
  <c r="G460" i="3"/>
  <c r="F460" i="3"/>
  <c r="E460" i="3"/>
  <c r="AJ459" i="3"/>
  <c r="E458" i="3"/>
  <c r="F458" i="3" s="1"/>
  <c r="G458" i="3" s="1"/>
  <c r="H458" i="3" s="1"/>
  <c r="I458" i="3" s="1"/>
  <c r="J458" i="3" s="1"/>
  <c r="K458" i="3" s="1"/>
  <c r="L458" i="3" s="1"/>
  <c r="M458" i="3" s="1"/>
  <c r="N458" i="3" s="1"/>
  <c r="O458" i="3" s="1"/>
  <c r="P458" i="3" s="1"/>
  <c r="Q458" i="3" s="1"/>
  <c r="R458" i="3" s="1"/>
  <c r="S458" i="3" s="1"/>
  <c r="T458" i="3" s="1"/>
  <c r="U458" i="3" s="1"/>
  <c r="V458" i="3" s="1"/>
  <c r="W458" i="3" s="1"/>
  <c r="X458" i="3" s="1"/>
  <c r="Y458" i="3" s="1"/>
  <c r="Z458" i="3" s="1"/>
  <c r="AI451" i="3"/>
  <c r="AH451" i="3"/>
  <c r="AG451" i="3"/>
  <c r="AF451" i="3"/>
  <c r="AE451" i="3"/>
  <c r="AD451" i="3"/>
  <c r="AC451" i="3"/>
  <c r="AB451" i="3"/>
  <c r="AA451" i="3"/>
  <c r="Z451" i="3"/>
  <c r="Y451" i="3"/>
  <c r="X451" i="3"/>
  <c r="W451" i="3"/>
  <c r="V451" i="3"/>
  <c r="U451" i="3"/>
  <c r="T451" i="3"/>
  <c r="S451" i="3"/>
  <c r="R451" i="3"/>
  <c r="Q451" i="3"/>
  <c r="P451" i="3"/>
  <c r="O451" i="3"/>
  <c r="N451" i="3"/>
  <c r="M451" i="3"/>
  <c r="L451" i="3"/>
  <c r="K451" i="3"/>
  <c r="J451" i="3"/>
  <c r="I451" i="3"/>
  <c r="H451" i="3"/>
  <c r="G451" i="3"/>
  <c r="F451" i="3"/>
  <c r="E451" i="3"/>
  <c r="AJ449" i="3"/>
  <c r="AJ448" i="3"/>
  <c r="AJ447" i="3"/>
  <c r="AI446" i="3"/>
  <c r="AH446" i="3"/>
  <c r="AG446" i="3"/>
  <c r="AF446" i="3"/>
  <c r="AE446" i="3"/>
  <c r="AD446" i="3"/>
  <c r="AC446" i="3"/>
  <c r="AB446" i="3"/>
  <c r="AA446" i="3"/>
  <c r="Z446" i="3"/>
  <c r="Y446" i="3"/>
  <c r="X446" i="3"/>
  <c r="W446" i="3"/>
  <c r="V446" i="3"/>
  <c r="U446" i="3"/>
  <c r="T446" i="3"/>
  <c r="S446" i="3"/>
  <c r="R446" i="3"/>
  <c r="Q446" i="3"/>
  <c r="P446" i="3"/>
  <c r="O446" i="3"/>
  <c r="N446" i="3"/>
  <c r="M446" i="3"/>
  <c r="L446" i="3"/>
  <c r="K446" i="3"/>
  <c r="J446" i="3"/>
  <c r="I446" i="3"/>
  <c r="H446" i="3"/>
  <c r="G446" i="3"/>
  <c r="F446" i="3"/>
  <c r="E446" i="3"/>
  <c r="AJ445" i="3"/>
  <c r="AK443" i="3" s="1"/>
  <c r="AI444" i="3"/>
  <c r="AH444" i="3"/>
  <c r="AG444" i="3"/>
  <c r="AF444" i="3"/>
  <c r="AE444" i="3"/>
  <c r="AD444" i="3"/>
  <c r="AC444" i="3"/>
  <c r="AB444" i="3"/>
  <c r="AA444" i="3"/>
  <c r="Z444" i="3"/>
  <c r="Y444" i="3"/>
  <c r="X444" i="3"/>
  <c r="W444" i="3"/>
  <c r="V444" i="3"/>
  <c r="U444" i="3"/>
  <c r="T444" i="3"/>
  <c r="S444" i="3"/>
  <c r="R444" i="3"/>
  <c r="Q444" i="3"/>
  <c r="P444" i="3"/>
  <c r="O444" i="3"/>
  <c r="N444" i="3"/>
  <c r="M444" i="3"/>
  <c r="L444" i="3"/>
  <c r="K444" i="3"/>
  <c r="J444" i="3"/>
  <c r="I444" i="3"/>
  <c r="H444" i="3"/>
  <c r="G444" i="3"/>
  <c r="F444" i="3"/>
  <c r="E444" i="3"/>
  <c r="AJ443" i="3"/>
  <c r="AO443" i="3" s="1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U437" i="3"/>
  <c r="T437" i="3"/>
  <c r="S437" i="3"/>
  <c r="R437" i="3"/>
  <c r="Q437" i="3"/>
  <c r="P437" i="3"/>
  <c r="O437" i="3"/>
  <c r="N437" i="3"/>
  <c r="M437" i="3"/>
  <c r="L437" i="3"/>
  <c r="K437" i="3"/>
  <c r="J437" i="3"/>
  <c r="I437" i="3"/>
  <c r="H437" i="3"/>
  <c r="G437" i="3"/>
  <c r="F437" i="3"/>
  <c r="E437" i="3"/>
  <c r="AJ435" i="3"/>
  <c r="AJ434" i="3"/>
  <c r="AJ433" i="3"/>
  <c r="AI432" i="3"/>
  <c r="AH432" i="3"/>
  <c r="AG432" i="3"/>
  <c r="AF432" i="3"/>
  <c r="AE432" i="3"/>
  <c r="AD432" i="3"/>
  <c r="AC432" i="3"/>
  <c r="AB432" i="3"/>
  <c r="AA432" i="3"/>
  <c r="Z432" i="3"/>
  <c r="Y432" i="3"/>
  <c r="X432" i="3"/>
  <c r="W432" i="3"/>
  <c r="V432" i="3"/>
  <c r="U432" i="3"/>
  <c r="T432" i="3"/>
  <c r="S432" i="3"/>
  <c r="R432" i="3"/>
  <c r="Q432" i="3"/>
  <c r="P432" i="3"/>
  <c r="O432" i="3"/>
  <c r="N432" i="3"/>
  <c r="M432" i="3"/>
  <c r="L432" i="3"/>
  <c r="K432" i="3"/>
  <c r="J432" i="3"/>
  <c r="I432" i="3"/>
  <c r="H432" i="3"/>
  <c r="G432" i="3"/>
  <c r="F432" i="3"/>
  <c r="E432" i="3"/>
  <c r="AJ431" i="3"/>
  <c r="AK429" i="3" s="1"/>
  <c r="AI430" i="3"/>
  <c r="AH430" i="3"/>
  <c r="AG430" i="3"/>
  <c r="AF430" i="3"/>
  <c r="AE430" i="3"/>
  <c r="AD430" i="3"/>
  <c r="AC430" i="3"/>
  <c r="AB430" i="3"/>
  <c r="AA430" i="3"/>
  <c r="Z430" i="3"/>
  <c r="Y430" i="3"/>
  <c r="X430" i="3"/>
  <c r="W430" i="3"/>
  <c r="V430" i="3"/>
  <c r="U430" i="3"/>
  <c r="T430" i="3"/>
  <c r="S430" i="3"/>
  <c r="R430" i="3"/>
  <c r="Q430" i="3"/>
  <c r="P430" i="3"/>
  <c r="O430" i="3"/>
  <c r="N430" i="3"/>
  <c r="M430" i="3"/>
  <c r="L430" i="3"/>
  <c r="K430" i="3"/>
  <c r="J430" i="3"/>
  <c r="I430" i="3"/>
  <c r="H430" i="3"/>
  <c r="G430" i="3"/>
  <c r="F430" i="3"/>
  <c r="E430" i="3"/>
  <c r="AJ429" i="3"/>
  <c r="AO429" i="3" s="1"/>
  <c r="AI423" i="3"/>
  <c r="AH423" i="3"/>
  <c r="AG423" i="3"/>
  <c r="AF423" i="3"/>
  <c r="AE423" i="3"/>
  <c r="AD423" i="3"/>
  <c r="AC423" i="3"/>
  <c r="AB423" i="3"/>
  <c r="AA423" i="3"/>
  <c r="AA426" i="3" s="1"/>
  <c r="Z423" i="3"/>
  <c r="Z426" i="3" s="1"/>
  <c r="Y423" i="3"/>
  <c r="Y426" i="3" s="1"/>
  <c r="X423" i="3"/>
  <c r="X426" i="3" s="1"/>
  <c r="W423" i="3"/>
  <c r="W426" i="3" s="1"/>
  <c r="V423" i="3"/>
  <c r="U423" i="3"/>
  <c r="T423" i="3"/>
  <c r="S423" i="3"/>
  <c r="R423" i="3"/>
  <c r="Q423" i="3"/>
  <c r="P423" i="3"/>
  <c r="O423" i="3"/>
  <c r="N423" i="3"/>
  <c r="M423" i="3"/>
  <c r="L423" i="3"/>
  <c r="K423" i="3"/>
  <c r="J423" i="3"/>
  <c r="I423" i="3"/>
  <c r="H423" i="3"/>
  <c r="G423" i="3"/>
  <c r="F423" i="3"/>
  <c r="E423" i="3"/>
  <c r="AJ421" i="3"/>
  <c r="AJ420" i="3"/>
  <c r="AJ419" i="3"/>
  <c r="AI418" i="3"/>
  <c r="AH418" i="3"/>
  <c r="AG418" i="3"/>
  <c r="AF418" i="3"/>
  <c r="AE418" i="3"/>
  <c r="AD418" i="3"/>
  <c r="AC418" i="3"/>
  <c r="AB418" i="3"/>
  <c r="AA418" i="3"/>
  <c r="Z418" i="3"/>
  <c r="Y418" i="3"/>
  <c r="X418" i="3"/>
  <c r="W418" i="3"/>
  <c r="V418" i="3"/>
  <c r="U418" i="3"/>
  <c r="T418" i="3"/>
  <c r="S418" i="3"/>
  <c r="R418" i="3"/>
  <c r="Q418" i="3"/>
  <c r="P418" i="3"/>
  <c r="O418" i="3"/>
  <c r="N418" i="3"/>
  <c r="M418" i="3"/>
  <c r="L418" i="3"/>
  <c r="K418" i="3"/>
  <c r="J418" i="3"/>
  <c r="I418" i="3"/>
  <c r="H418" i="3"/>
  <c r="G418" i="3"/>
  <c r="F418" i="3"/>
  <c r="E418" i="3"/>
  <c r="AJ417" i="3"/>
  <c r="AK415" i="3" s="1"/>
  <c r="H18" i="13" s="1"/>
  <c r="AI416" i="3"/>
  <c r="E416" i="3"/>
  <c r="F416" i="3" s="1"/>
  <c r="G416" i="3" s="1"/>
  <c r="H416" i="3" s="1"/>
  <c r="I416" i="3" s="1"/>
  <c r="J416" i="3" s="1"/>
  <c r="K416" i="3" s="1"/>
  <c r="L416" i="3" s="1"/>
  <c r="M416" i="3" s="1"/>
  <c r="N416" i="3" s="1"/>
  <c r="O416" i="3" s="1"/>
  <c r="P416" i="3" s="1"/>
  <c r="Q416" i="3" s="1"/>
  <c r="R416" i="3" s="1"/>
  <c r="S416" i="3" s="1"/>
  <c r="T416" i="3" s="1"/>
  <c r="U416" i="3" s="1"/>
  <c r="V416" i="3" s="1"/>
  <c r="W416" i="3" s="1"/>
  <c r="X416" i="3" s="1"/>
  <c r="Y416" i="3" s="1"/>
  <c r="Z416" i="3" s="1"/>
  <c r="AJ415" i="3"/>
  <c r="AI409" i="3"/>
  <c r="AH409" i="3"/>
  <c r="AG409" i="3"/>
  <c r="AF409" i="3"/>
  <c r="AE409" i="3"/>
  <c r="AD409" i="3"/>
  <c r="AD412" i="3" s="1"/>
  <c r="AC409" i="3"/>
  <c r="AC412" i="3" s="1"/>
  <c r="AB409" i="3"/>
  <c r="AB412" i="3" s="1"/>
  <c r="AA409" i="3"/>
  <c r="AA412" i="3" s="1"/>
  <c r="Z409" i="3"/>
  <c r="Z412" i="3" s="1"/>
  <c r="Y409" i="3"/>
  <c r="X409" i="3"/>
  <c r="W409" i="3"/>
  <c r="V409" i="3"/>
  <c r="U409" i="3"/>
  <c r="T409" i="3"/>
  <c r="S409" i="3"/>
  <c r="R409" i="3"/>
  <c r="Q409" i="3"/>
  <c r="P409" i="3"/>
  <c r="O409" i="3"/>
  <c r="N409" i="3"/>
  <c r="M409" i="3"/>
  <c r="L409" i="3"/>
  <c r="K409" i="3"/>
  <c r="J409" i="3"/>
  <c r="I409" i="3"/>
  <c r="H409" i="3"/>
  <c r="G409" i="3"/>
  <c r="F409" i="3"/>
  <c r="E409" i="3"/>
  <c r="AJ407" i="3"/>
  <c r="AJ406" i="3"/>
  <c r="AJ405" i="3"/>
  <c r="AI404" i="3"/>
  <c r="AH404" i="3"/>
  <c r="AG404" i="3"/>
  <c r="AF404" i="3"/>
  <c r="AE404" i="3"/>
  <c r="AD404" i="3"/>
  <c r="AC404" i="3"/>
  <c r="AB404" i="3"/>
  <c r="AA404" i="3"/>
  <c r="Z404" i="3"/>
  <c r="Y404" i="3"/>
  <c r="X404" i="3"/>
  <c r="W404" i="3"/>
  <c r="V404" i="3"/>
  <c r="U404" i="3"/>
  <c r="T404" i="3"/>
  <c r="S404" i="3"/>
  <c r="R404" i="3"/>
  <c r="Q404" i="3"/>
  <c r="P404" i="3"/>
  <c r="O404" i="3"/>
  <c r="N404" i="3"/>
  <c r="M404" i="3"/>
  <c r="L404" i="3"/>
  <c r="K404" i="3"/>
  <c r="J404" i="3"/>
  <c r="I404" i="3"/>
  <c r="H404" i="3"/>
  <c r="G404" i="3"/>
  <c r="F404" i="3"/>
  <c r="E404" i="3"/>
  <c r="AJ403" i="3"/>
  <c r="AK401" i="3" s="1"/>
  <c r="H17" i="13" s="1"/>
  <c r="AI402" i="3"/>
  <c r="E402" i="3"/>
  <c r="F402" i="3" s="1"/>
  <c r="G402" i="3" s="1"/>
  <c r="H402" i="3" s="1"/>
  <c r="I402" i="3" s="1"/>
  <c r="J402" i="3" s="1"/>
  <c r="K402" i="3" s="1"/>
  <c r="L402" i="3" s="1"/>
  <c r="M402" i="3" s="1"/>
  <c r="N402" i="3" s="1"/>
  <c r="O402" i="3" s="1"/>
  <c r="P402" i="3" s="1"/>
  <c r="Q402" i="3" s="1"/>
  <c r="R402" i="3" s="1"/>
  <c r="S402" i="3" s="1"/>
  <c r="T402" i="3" s="1"/>
  <c r="U402" i="3" s="1"/>
  <c r="V402" i="3" s="1"/>
  <c r="W402" i="3" s="1"/>
  <c r="X402" i="3" s="1"/>
  <c r="Y402" i="3" s="1"/>
  <c r="Z402" i="3" s="1"/>
  <c r="AJ401" i="3"/>
  <c r="AI395" i="3"/>
  <c r="AH395" i="3"/>
  <c r="AG395" i="3"/>
  <c r="AF395" i="3"/>
  <c r="AE395" i="3"/>
  <c r="AD395" i="3"/>
  <c r="AC395" i="3"/>
  <c r="AB395" i="3"/>
  <c r="AA395" i="3"/>
  <c r="Z395" i="3"/>
  <c r="Y395" i="3"/>
  <c r="X395" i="3"/>
  <c r="W395" i="3"/>
  <c r="V395" i="3"/>
  <c r="U395" i="3"/>
  <c r="T395" i="3"/>
  <c r="S395" i="3"/>
  <c r="R395" i="3"/>
  <c r="Q395" i="3"/>
  <c r="P395" i="3"/>
  <c r="O395" i="3"/>
  <c r="N395" i="3"/>
  <c r="M395" i="3"/>
  <c r="L395" i="3"/>
  <c r="K395" i="3"/>
  <c r="J395" i="3"/>
  <c r="I395" i="3"/>
  <c r="H395" i="3"/>
  <c r="G395" i="3"/>
  <c r="F395" i="3"/>
  <c r="E395" i="3"/>
  <c r="AJ393" i="3"/>
  <c r="AJ392" i="3"/>
  <c r="AJ391" i="3"/>
  <c r="AI390" i="3"/>
  <c r="AH390" i="3"/>
  <c r="AG390" i="3"/>
  <c r="AF390" i="3"/>
  <c r="AE390" i="3"/>
  <c r="AD390" i="3"/>
  <c r="AC390" i="3"/>
  <c r="AB390" i="3"/>
  <c r="AA390" i="3"/>
  <c r="Z390" i="3"/>
  <c r="Y390" i="3"/>
  <c r="X390" i="3"/>
  <c r="W390" i="3"/>
  <c r="V390" i="3"/>
  <c r="U390" i="3"/>
  <c r="T390" i="3"/>
  <c r="S390" i="3"/>
  <c r="R390" i="3"/>
  <c r="Q390" i="3"/>
  <c r="P390" i="3"/>
  <c r="O390" i="3"/>
  <c r="N390" i="3"/>
  <c r="M390" i="3"/>
  <c r="L390" i="3"/>
  <c r="K390" i="3"/>
  <c r="J390" i="3"/>
  <c r="I390" i="3"/>
  <c r="H390" i="3"/>
  <c r="G390" i="3"/>
  <c r="F390" i="3"/>
  <c r="E390" i="3"/>
  <c r="AJ389" i="3"/>
  <c r="AK387" i="3" s="1"/>
  <c r="H15" i="13" s="1"/>
  <c r="AI388" i="3"/>
  <c r="AH388" i="3"/>
  <c r="AG388" i="3"/>
  <c r="AF388" i="3"/>
  <c r="AE388" i="3"/>
  <c r="AD388" i="3"/>
  <c r="AC388" i="3"/>
  <c r="AB388" i="3"/>
  <c r="AA388" i="3"/>
  <c r="Z388" i="3"/>
  <c r="Y388" i="3"/>
  <c r="X388" i="3"/>
  <c r="W388" i="3"/>
  <c r="V388" i="3"/>
  <c r="U388" i="3"/>
  <c r="T388" i="3"/>
  <c r="S388" i="3"/>
  <c r="R388" i="3"/>
  <c r="Q388" i="3"/>
  <c r="P388" i="3"/>
  <c r="O388" i="3"/>
  <c r="N388" i="3"/>
  <c r="M388" i="3"/>
  <c r="L388" i="3"/>
  <c r="K388" i="3"/>
  <c r="J388" i="3"/>
  <c r="I388" i="3"/>
  <c r="H388" i="3"/>
  <c r="G388" i="3"/>
  <c r="F388" i="3"/>
  <c r="E388" i="3"/>
  <c r="AJ387" i="3"/>
  <c r="AI381" i="3"/>
  <c r="AH381" i="3"/>
  <c r="AG381" i="3"/>
  <c r="AF381" i="3"/>
  <c r="AE381" i="3"/>
  <c r="AD381" i="3"/>
  <c r="AC381" i="3"/>
  <c r="AB381" i="3"/>
  <c r="AA381" i="3"/>
  <c r="Z381" i="3"/>
  <c r="Y381" i="3"/>
  <c r="X381" i="3"/>
  <c r="W381" i="3"/>
  <c r="V381" i="3"/>
  <c r="U381" i="3"/>
  <c r="T381" i="3"/>
  <c r="S381" i="3"/>
  <c r="R381" i="3"/>
  <c r="Q381" i="3"/>
  <c r="P381" i="3"/>
  <c r="O381" i="3"/>
  <c r="N381" i="3"/>
  <c r="M381" i="3"/>
  <c r="L381" i="3"/>
  <c r="K381" i="3"/>
  <c r="J381" i="3"/>
  <c r="I381" i="3"/>
  <c r="H381" i="3"/>
  <c r="G381" i="3"/>
  <c r="F381" i="3"/>
  <c r="E381" i="3"/>
  <c r="AJ379" i="3"/>
  <c r="AJ378" i="3"/>
  <c r="AJ377" i="3"/>
  <c r="AI376" i="3"/>
  <c r="AH376" i="3"/>
  <c r="AG376" i="3"/>
  <c r="AF376" i="3"/>
  <c r="AE376" i="3"/>
  <c r="AD376" i="3"/>
  <c r="AC376" i="3"/>
  <c r="AB376" i="3"/>
  <c r="AA376" i="3"/>
  <c r="Z376" i="3"/>
  <c r="Y376" i="3"/>
  <c r="X376" i="3"/>
  <c r="W376" i="3"/>
  <c r="V376" i="3"/>
  <c r="U376" i="3"/>
  <c r="T376" i="3"/>
  <c r="S376" i="3"/>
  <c r="R376" i="3"/>
  <c r="Q376" i="3"/>
  <c r="P376" i="3"/>
  <c r="O376" i="3"/>
  <c r="N376" i="3"/>
  <c r="M376" i="3"/>
  <c r="L376" i="3"/>
  <c r="K376" i="3"/>
  <c r="J376" i="3"/>
  <c r="I376" i="3"/>
  <c r="H376" i="3"/>
  <c r="G376" i="3"/>
  <c r="F376" i="3"/>
  <c r="E376" i="3"/>
  <c r="AJ375" i="3"/>
  <c r="AK373" i="3" s="1"/>
  <c r="AI374" i="3"/>
  <c r="AH374" i="3"/>
  <c r="AG374" i="3"/>
  <c r="AF374" i="3"/>
  <c r="AE374" i="3"/>
  <c r="AD374" i="3"/>
  <c r="AC374" i="3"/>
  <c r="AB374" i="3"/>
  <c r="AA374" i="3"/>
  <c r="Z374" i="3"/>
  <c r="Y374" i="3"/>
  <c r="X374" i="3"/>
  <c r="W374" i="3"/>
  <c r="V374" i="3"/>
  <c r="U374" i="3"/>
  <c r="T374" i="3"/>
  <c r="S374" i="3"/>
  <c r="R374" i="3"/>
  <c r="Q374" i="3"/>
  <c r="P374" i="3"/>
  <c r="O374" i="3"/>
  <c r="N374" i="3"/>
  <c r="M374" i="3"/>
  <c r="L374" i="3"/>
  <c r="K374" i="3"/>
  <c r="J374" i="3"/>
  <c r="I374" i="3"/>
  <c r="H374" i="3"/>
  <c r="G374" i="3"/>
  <c r="F374" i="3"/>
  <c r="E374" i="3"/>
  <c r="AJ373" i="3"/>
  <c r="AO373" i="3" s="1"/>
  <c r="AH367" i="3"/>
  <c r="AG367" i="3"/>
  <c r="AF367" i="3"/>
  <c r="AE367" i="3"/>
  <c r="AD367" i="3"/>
  <c r="AC367" i="3"/>
  <c r="AB367" i="3"/>
  <c r="AA367" i="3"/>
  <c r="Z367" i="3"/>
  <c r="Y367" i="3"/>
  <c r="X367" i="3"/>
  <c r="W367" i="3"/>
  <c r="V367" i="3"/>
  <c r="U367" i="3"/>
  <c r="T367" i="3"/>
  <c r="S367" i="3"/>
  <c r="R367" i="3"/>
  <c r="Q367" i="3"/>
  <c r="P367" i="3"/>
  <c r="O367" i="3"/>
  <c r="N367" i="3"/>
  <c r="M367" i="3"/>
  <c r="L367" i="3"/>
  <c r="K367" i="3"/>
  <c r="J367" i="3"/>
  <c r="I367" i="3"/>
  <c r="G367" i="3"/>
  <c r="F367" i="3"/>
  <c r="E367" i="3"/>
  <c r="E370" i="3" s="1"/>
  <c r="AJ365" i="3"/>
  <c r="AJ364" i="3"/>
  <c r="AJ363" i="3"/>
  <c r="AI362" i="3"/>
  <c r="AH362" i="3"/>
  <c r="AG362" i="3"/>
  <c r="AE362" i="3"/>
  <c r="AD362" i="3"/>
  <c r="AC362" i="3"/>
  <c r="AB362" i="3"/>
  <c r="AA362" i="3"/>
  <c r="Z362" i="3"/>
  <c r="Y362" i="3"/>
  <c r="X362" i="3"/>
  <c r="W362" i="3"/>
  <c r="V362" i="3"/>
  <c r="U362" i="3"/>
  <c r="T362" i="3"/>
  <c r="S362" i="3"/>
  <c r="R362" i="3"/>
  <c r="Q362" i="3"/>
  <c r="P362" i="3"/>
  <c r="O362" i="3"/>
  <c r="N362" i="3"/>
  <c r="M362" i="3"/>
  <c r="L362" i="3"/>
  <c r="J362" i="3"/>
  <c r="I362" i="3"/>
  <c r="H362" i="3"/>
  <c r="G362" i="3"/>
  <c r="F362" i="3"/>
  <c r="E362" i="3"/>
  <c r="AJ361" i="3"/>
  <c r="AK359" i="3" s="1"/>
  <c r="E360" i="3"/>
  <c r="F360" i="3" s="1"/>
  <c r="G360" i="3" s="1"/>
  <c r="H360" i="3" s="1"/>
  <c r="I360" i="3" s="1"/>
  <c r="J360" i="3" s="1"/>
  <c r="K360" i="3" s="1"/>
  <c r="L360" i="3" s="1"/>
  <c r="M360" i="3" s="1"/>
  <c r="N360" i="3" s="1"/>
  <c r="O360" i="3" s="1"/>
  <c r="P360" i="3" s="1"/>
  <c r="Q360" i="3" s="1"/>
  <c r="R360" i="3" s="1"/>
  <c r="S360" i="3" s="1"/>
  <c r="T360" i="3" s="1"/>
  <c r="U360" i="3" s="1"/>
  <c r="V360" i="3" s="1"/>
  <c r="W360" i="3" s="1"/>
  <c r="X360" i="3" s="1"/>
  <c r="Y360" i="3" s="1"/>
  <c r="Z360" i="3" s="1"/>
  <c r="AJ359" i="3"/>
  <c r="AO359" i="3" s="1"/>
  <c r="AH353" i="3"/>
  <c r="AH356" i="3" s="1"/>
  <c r="AG353" i="3"/>
  <c r="AG356" i="3" s="1"/>
  <c r="AF353" i="3"/>
  <c r="AF356" i="3" s="1"/>
  <c r="AE353" i="3"/>
  <c r="AD353" i="3"/>
  <c r="AC353" i="3"/>
  <c r="AB353" i="3"/>
  <c r="AA353" i="3"/>
  <c r="Z353" i="3"/>
  <c r="Y353" i="3"/>
  <c r="X353" i="3"/>
  <c r="W353" i="3"/>
  <c r="V353" i="3"/>
  <c r="U353" i="3"/>
  <c r="T353" i="3"/>
  <c r="S353" i="3"/>
  <c r="R353" i="3"/>
  <c r="Q353" i="3"/>
  <c r="P353" i="3"/>
  <c r="O353" i="3"/>
  <c r="N353" i="3"/>
  <c r="M353" i="3"/>
  <c r="L353" i="3"/>
  <c r="K353" i="3"/>
  <c r="J353" i="3"/>
  <c r="I353" i="3"/>
  <c r="H353" i="3"/>
  <c r="G353" i="3"/>
  <c r="F353" i="3"/>
  <c r="AJ351" i="3"/>
  <c r="AJ350" i="3"/>
  <c r="AJ349" i="3"/>
  <c r="AI348" i="3"/>
  <c r="AH348" i="3"/>
  <c r="AG348" i="3"/>
  <c r="AF348" i="3"/>
  <c r="AE348" i="3"/>
  <c r="AD348" i="3"/>
  <c r="AC348" i="3"/>
  <c r="AB348" i="3"/>
  <c r="AA348" i="3"/>
  <c r="Z348" i="3"/>
  <c r="Y348" i="3"/>
  <c r="X348" i="3"/>
  <c r="W348" i="3"/>
  <c r="V348" i="3"/>
  <c r="U348" i="3"/>
  <c r="T348" i="3"/>
  <c r="S348" i="3"/>
  <c r="R348" i="3"/>
  <c r="Q348" i="3"/>
  <c r="P348" i="3"/>
  <c r="O348" i="3"/>
  <c r="N348" i="3"/>
  <c r="M348" i="3"/>
  <c r="L348" i="3"/>
  <c r="K348" i="3"/>
  <c r="J348" i="3"/>
  <c r="I348" i="3"/>
  <c r="H348" i="3"/>
  <c r="G348" i="3"/>
  <c r="F348" i="3"/>
  <c r="E348" i="3"/>
  <c r="AJ347" i="3"/>
  <c r="AK345" i="3" s="1"/>
  <c r="H14" i="13" s="1"/>
  <c r="K14" i="13" s="1"/>
  <c r="L14" i="13" s="1"/>
  <c r="E346" i="3"/>
  <c r="F346" i="3" s="1"/>
  <c r="G346" i="3" s="1"/>
  <c r="H346" i="3" s="1"/>
  <c r="I346" i="3" s="1"/>
  <c r="J346" i="3" s="1"/>
  <c r="K346" i="3" s="1"/>
  <c r="L346" i="3" s="1"/>
  <c r="M346" i="3" s="1"/>
  <c r="N346" i="3" s="1"/>
  <c r="O346" i="3" s="1"/>
  <c r="P346" i="3" s="1"/>
  <c r="Q346" i="3" s="1"/>
  <c r="R346" i="3" s="1"/>
  <c r="S346" i="3" s="1"/>
  <c r="T346" i="3" s="1"/>
  <c r="U346" i="3" s="1"/>
  <c r="V346" i="3" s="1"/>
  <c r="W346" i="3" s="1"/>
  <c r="X346" i="3" s="1"/>
  <c r="Y346" i="3" s="1"/>
  <c r="Z346" i="3" s="1"/>
  <c r="AO345" i="3"/>
  <c r="AH339" i="3"/>
  <c r="AG339" i="3"/>
  <c r="AF339" i="3"/>
  <c r="AE339" i="3"/>
  <c r="AD339" i="3"/>
  <c r="AC339" i="3"/>
  <c r="AB339" i="3"/>
  <c r="AA339" i="3"/>
  <c r="Z339" i="3"/>
  <c r="Y339" i="3"/>
  <c r="X339" i="3"/>
  <c r="W339" i="3"/>
  <c r="V339" i="3"/>
  <c r="U339" i="3"/>
  <c r="T339" i="3"/>
  <c r="S339" i="3"/>
  <c r="R339" i="3"/>
  <c r="Q339" i="3"/>
  <c r="P339" i="3"/>
  <c r="O339" i="3"/>
  <c r="N339" i="3"/>
  <c r="M339" i="3"/>
  <c r="L339" i="3"/>
  <c r="K339" i="3"/>
  <c r="J339" i="3"/>
  <c r="I339" i="3"/>
  <c r="H339" i="3"/>
  <c r="G339" i="3"/>
  <c r="F339" i="3"/>
  <c r="E339" i="3"/>
  <c r="AJ337" i="3"/>
  <c r="AJ336" i="3"/>
  <c r="AJ335" i="3"/>
  <c r="AI334" i="3"/>
  <c r="AH334" i="3"/>
  <c r="AG334" i="3"/>
  <c r="AF334" i="3"/>
  <c r="AE334" i="3"/>
  <c r="AD334" i="3"/>
  <c r="AC334" i="3"/>
  <c r="AB334" i="3"/>
  <c r="AA334" i="3"/>
  <c r="Z334" i="3"/>
  <c r="Y334" i="3"/>
  <c r="X334" i="3"/>
  <c r="W334" i="3"/>
  <c r="V334" i="3"/>
  <c r="U334" i="3"/>
  <c r="T334" i="3"/>
  <c r="S334" i="3"/>
  <c r="R334" i="3"/>
  <c r="Q334" i="3"/>
  <c r="N334" i="3"/>
  <c r="M334" i="3"/>
  <c r="L334" i="3"/>
  <c r="K334" i="3"/>
  <c r="I334" i="3"/>
  <c r="H334" i="3"/>
  <c r="G334" i="3"/>
  <c r="F334" i="3"/>
  <c r="E334" i="3"/>
  <c r="AJ333" i="3"/>
  <c r="E332" i="3"/>
  <c r="F332" i="3" s="1"/>
  <c r="G332" i="3" s="1"/>
  <c r="H332" i="3" s="1"/>
  <c r="I332" i="3" s="1"/>
  <c r="J332" i="3" s="1"/>
  <c r="K332" i="3" s="1"/>
  <c r="L332" i="3" s="1"/>
  <c r="M332" i="3" s="1"/>
  <c r="N332" i="3" s="1"/>
  <c r="O332" i="3" s="1"/>
  <c r="P332" i="3" s="1"/>
  <c r="Q332" i="3" s="1"/>
  <c r="R332" i="3" s="1"/>
  <c r="S332" i="3" s="1"/>
  <c r="T332" i="3" s="1"/>
  <c r="U332" i="3" s="1"/>
  <c r="V332" i="3" s="1"/>
  <c r="W332" i="3" s="1"/>
  <c r="X332" i="3" s="1"/>
  <c r="Y332" i="3" s="1"/>
  <c r="Z332" i="3" s="1"/>
  <c r="AO331" i="3"/>
  <c r="AI325" i="3"/>
  <c r="AH325" i="3"/>
  <c r="AG325" i="3"/>
  <c r="AF325" i="3"/>
  <c r="AE325" i="3"/>
  <c r="AD325" i="3"/>
  <c r="AC325" i="3"/>
  <c r="AB325" i="3"/>
  <c r="AA325" i="3"/>
  <c r="Z325" i="3"/>
  <c r="Y325" i="3"/>
  <c r="X325" i="3"/>
  <c r="W325" i="3"/>
  <c r="V325" i="3"/>
  <c r="U325" i="3"/>
  <c r="T325" i="3"/>
  <c r="S325" i="3"/>
  <c r="R325" i="3"/>
  <c r="Q325" i="3"/>
  <c r="P325" i="3"/>
  <c r="O325" i="3"/>
  <c r="N325" i="3"/>
  <c r="M325" i="3"/>
  <c r="L325" i="3"/>
  <c r="K325" i="3"/>
  <c r="J325" i="3"/>
  <c r="I325" i="3"/>
  <c r="H325" i="3"/>
  <c r="G325" i="3"/>
  <c r="F325" i="3"/>
  <c r="E325" i="3"/>
  <c r="AJ323" i="3"/>
  <c r="AJ322" i="3"/>
  <c r="AJ321" i="3"/>
  <c r="AI320" i="3"/>
  <c r="AH320" i="3"/>
  <c r="AG320" i="3"/>
  <c r="AF320" i="3"/>
  <c r="AE320" i="3"/>
  <c r="AD320" i="3"/>
  <c r="AC320" i="3"/>
  <c r="AB320" i="3"/>
  <c r="AA320" i="3"/>
  <c r="Z320" i="3"/>
  <c r="Y320" i="3"/>
  <c r="X320" i="3"/>
  <c r="W320" i="3"/>
  <c r="V320" i="3"/>
  <c r="U320" i="3"/>
  <c r="T320" i="3"/>
  <c r="S320" i="3"/>
  <c r="R320" i="3"/>
  <c r="Q320" i="3"/>
  <c r="P320" i="3"/>
  <c r="O320" i="3"/>
  <c r="N320" i="3"/>
  <c r="M320" i="3"/>
  <c r="L320" i="3"/>
  <c r="K320" i="3"/>
  <c r="J320" i="3"/>
  <c r="I320" i="3"/>
  <c r="H320" i="3"/>
  <c r="G320" i="3"/>
  <c r="F320" i="3"/>
  <c r="E320" i="3"/>
  <c r="AJ319" i="3"/>
  <c r="AK317" i="3" s="1"/>
  <c r="H12" i="13" s="1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W318" i="3"/>
  <c r="V318" i="3"/>
  <c r="U318" i="3"/>
  <c r="T318" i="3"/>
  <c r="S318" i="3"/>
  <c r="R318" i="3"/>
  <c r="Q318" i="3"/>
  <c r="P318" i="3"/>
  <c r="O318" i="3"/>
  <c r="N318" i="3"/>
  <c r="M318" i="3"/>
  <c r="L318" i="3"/>
  <c r="K318" i="3"/>
  <c r="J318" i="3"/>
  <c r="I318" i="3"/>
  <c r="H318" i="3"/>
  <c r="G318" i="3"/>
  <c r="F318" i="3"/>
  <c r="E318" i="3"/>
  <c r="AJ317" i="3"/>
  <c r="AI311" i="3"/>
  <c r="AH311" i="3"/>
  <c r="AH314" i="3" s="1"/>
  <c r="AG311" i="3"/>
  <c r="AG314" i="3" s="1"/>
  <c r="AF311" i="3"/>
  <c r="AF314" i="3" s="1"/>
  <c r="AE311" i="3"/>
  <c r="AE314" i="3" s="1"/>
  <c r="AD311" i="3"/>
  <c r="AC311" i="3"/>
  <c r="AB311" i="3"/>
  <c r="AA311" i="3"/>
  <c r="Z311" i="3"/>
  <c r="Y311" i="3"/>
  <c r="X311" i="3"/>
  <c r="W311" i="3"/>
  <c r="V311" i="3"/>
  <c r="U311" i="3"/>
  <c r="T311" i="3"/>
  <c r="S311" i="3"/>
  <c r="R311" i="3"/>
  <c r="Q311" i="3"/>
  <c r="P311" i="3"/>
  <c r="O311" i="3"/>
  <c r="N311" i="3"/>
  <c r="M311" i="3"/>
  <c r="L311" i="3"/>
  <c r="K311" i="3"/>
  <c r="J311" i="3"/>
  <c r="I311" i="3"/>
  <c r="H311" i="3"/>
  <c r="G311" i="3"/>
  <c r="F311" i="3"/>
  <c r="E311" i="3"/>
  <c r="E314" i="3" s="1"/>
  <c r="AJ309" i="3"/>
  <c r="AJ308" i="3"/>
  <c r="AJ307" i="3"/>
  <c r="AI306" i="3"/>
  <c r="AH306" i="3"/>
  <c r="AG306" i="3"/>
  <c r="AF306" i="3"/>
  <c r="AE306" i="3"/>
  <c r="AD306" i="3"/>
  <c r="AC306" i="3"/>
  <c r="AA306" i="3"/>
  <c r="Z306" i="3"/>
  <c r="Y306" i="3"/>
  <c r="X306" i="3"/>
  <c r="W306" i="3"/>
  <c r="V306" i="3"/>
  <c r="U306" i="3"/>
  <c r="T306" i="3"/>
  <c r="S306" i="3"/>
  <c r="R306" i="3"/>
  <c r="Q306" i="3"/>
  <c r="O306" i="3"/>
  <c r="N306" i="3"/>
  <c r="M306" i="3"/>
  <c r="L306" i="3"/>
  <c r="K306" i="3"/>
  <c r="J306" i="3"/>
  <c r="I306" i="3"/>
  <c r="H306" i="3"/>
  <c r="G306" i="3"/>
  <c r="F306" i="3"/>
  <c r="E306" i="3"/>
  <c r="AJ305" i="3"/>
  <c r="AK303" i="3" s="1"/>
  <c r="H13" i="13" s="1"/>
  <c r="E304" i="3"/>
  <c r="F304" i="3" s="1"/>
  <c r="G304" i="3" s="1"/>
  <c r="H304" i="3" s="1"/>
  <c r="I304" i="3" s="1"/>
  <c r="J304" i="3" s="1"/>
  <c r="K304" i="3" s="1"/>
  <c r="L304" i="3" s="1"/>
  <c r="M304" i="3" s="1"/>
  <c r="N304" i="3" s="1"/>
  <c r="O304" i="3" s="1"/>
  <c r="P304" i="3" s="1"/>
  <c r="Q304" i="3" s="1"/>
  <c r="R304" i="3" s="1"/>
  <c r="S304" i="3" s="1"/>
  <c r="T304" i="3" s="1"/>
  <c r="U304" i="3" s="1"/>
  <c r="V304" i="3" s="1"/>
  <c r="W304" i="3" s="1"/>
  <c r="X304" i="3" s="1"/>
  <c r="Y304" i="3" s="1"/>
  <c r="Z304" i="3" s="1"/>
  <c r="AJ303" i="3"/>
  <c r="AI297" i="3"/>
  <c r="AH297" i="3"/>
  <c r="AG297" i="3"/>
  <c r="AF297" i="3"/>
  <c r="AE297" i="3"/>
  <c r="AD297" i="3"/>
  <c r="AC297" i="3"/>
  <c r="AB297" i="3"/>
  <c r="AA297" i="3"/>
  <c r="Z297" i="3"/>
  <c r="Y297" i="3"/>
  <c r="X297" i="3"/>
  <c r="W297" i="3"/>
  <c r="V297" i="3"/>
  <c r="U297" i="3"/>
  <c r="T297" i="3"/>
  <c r="S297" i="3"/>
  <c r="R297" i="3"/>
  <c r="Q297" i="3"/>
  <c r="P297" i="3"/>
  <c r="O297" i="3"/>
  <c r="N297" i="3"/>
  <c r="M297" i="3"/>
  <c r="L297" i="3"/>
  <c r="K297" i="3"/>
  <c r="J297" i="3"/>
  <c r="I297" i="3"/>
  <c r="H297" i="3"/>
  <c r="G297" i="3"/>
  <c r="F297" i="3"/>
  <c r="E297" i="3"/>
  <c r="E300" i="3" s="1"/>
  <c r="F300" i="3" s="1"/>
  <c r="AJ295" i="3"/>
  <c r="AJ294" i="3"/>
  <c r="AJ293" i="3"/>
  <c r="AI292" i="3"/>
  <c r="AH292" i="3"/>
  <c r="AG292" i="3"/>
  <c r="AF292" i="3"/>
  <c r="AE292" i="3"/>
  <c r="AD292" i="3"/>
  <c r="AC292" i="3"/>
  <c r="AB292" i="3"/>
  <c r="AA292" i="3"/>
  <c r="Z292" i="3"/>
  <c r="Y292" i="3"/>
  <c r="X292" i="3"/>
  <c r="W292" i="3"/>
  <c r="V292" i="3"/>
  <c r="U292" i="3"/>
  <c r="T292" i="3"/>
  <c r="S292" i="3"/>
  <c r="R292" i="3"/>
  <c r="Q292" i="3"/>
  <c r="P292" i="3"/>
  <c r="O292" i="3"/>
  <c r="N292" i="3"/>
  <c r="M292" i="3"/>
  <c r="L292" i="3"/>
  <c r="K292" i="3"/>
  <c r="J292" i="3"/>
  <c r="I292" i="3"/>
  <c r="H292" i="3"/>
  <c r="G292" i="3"/>
  <c r="F292" i="3"/>
  <c r="E292" i="3"/>
  <c r="AJ291" i="3"/>
  <c r="AK289" i="3" s="1"/>
  <c r="E290" i="3"/>
  <c r="F290" i="3" s="1"/>
  <c r="G290" i="3" s="1"/>
  <c r="H290" i="3" s="1"/>
  <c r="I290" i="3" s="1"/>
  <c r="J290" i="3" s="1"/>
  <c r="K290" i="3" s="1"/>
  <c r="L290" i="3" s="1"/>
  <c r="M290" i="3" s="1"/>
  <c r="N290" i="3" s="1"/>
  <c r="O290" i="3" s="1"/>
  <c r="P290" i="3" s="1"/>
  <c r="Q290" i="3" s="1"/>
  <c r="R290" i="3" s="1"/>
  <c r="S290" i="3" s="1"/>
  <c r="T290" i="3" s="1"/>
  <c r="U290" i="3" s="1"/>
  <c r="V290" i="3" s="1"/>
  <c r="W290" i="3" s="1"/>
  <c r="X290" i="3" s="1"/>
  <c r="Y290" i="3" s="1"/>
  <c r="Z290" i="3" s="1"/>
  <c r="AJ289" i="3"/>
  <c r="AO289" i="3" s="1"/>
  <c r="AI283" i="3"/>
  <c r="AH283" i="3"/>
  <c r="AG283" i="3"/>
  <c r="AF283" i="3"/>
  <c r="AE283" i="3"/>
  <c r="AD283" i="3"/>
  <c r="AC283" i="3"/>
  <c r="AB283" i="3"/>
  <c r="AA283" i="3"/>
  <c r="Z283" i="3"/>
  <c r="Y283" i="3"/>
  <c r="X283" i="3"/>
  <c r="W283" i="3"/>
  <c r="V283" i="3"/>
  <c r="U283" i="3"/>
  <c r="T283" i="3"/>
  <c r="S283" i="3"/>
  <c r="R283" i="3"/>
  <c r="Q283" i="3"/>
  <c r="P283" i="3"/>
  <c r="O283" i="3"/>
  <c r="N283" i="3"/>
  <c r="M283" i="3"/>
  <c r="L283" i="3"/>
  <c r="K283" i="3"/>
  <c r="J283" i="3"/>
  <c r="I283" i="3"/>
  <c r="H283" i="3"/>
  <c r="G283" i="3"/>
  <c r="F283" i="3"/>
  <c r="E283" i="3"/>
  <c r="AJ281" i="3"/>
  <c r="AJ280" i="3"/>
  <c r="AJ279" i="3"/>
  <c r="AI278" i="3"/>
  <c r="AH278" i="3"/>
  <c r="AG278" i="3"/>
  <c r="AF278" i="3"/>
  <c r="AE278" i="3"/>
  <c r="AD278" i="3"/>
  <c r="AC278" i="3"/>
  <c r="AB278" i="3"/>
  <c r="AA278" i="3"/>
  <c r="Z278" i="3"/>
  <c r="Y278" i="3"/>
  <c r="X278" i="3"/>
  <c r="W278" i="3"/>
  <c r="V278" i="3"/>
  <c r="U278" i="3"/>
  <c r="T278" i="3"/>
  <c r="S278" i="3"/>
  <c r="R278" i="3"/>
  <c r="Q278" i="3"/>
  <c r="P278" i="3"/>
  <c r="O278" i="3"/>
  <c r="N278" i="3"/>
  <c r="M278" i="3"/>
  <c r="L278" i="3"/>
  <c r="K278" i="3"/>
  <c r="J278" i="3"/>
  <c r="I278" i="3"/>
  <c r="H278" i="3"/>
  <c r="G278" i="3"/>
  <c r="F278" i="3"/>
  <c r="E278" i="3"/>
  <c r="AJ277" i="3"/>
  <c r="AK275" i="3" s="1"/>
  <c r="AI276" i="3"/>
  <c r="AH276" i="3"/>
  <c r="AG276" i="3"/>
  <c r="AF276" i="3"/>
  <c r="AE276" i="3"/>
  <c r="AD276" i="3"/>
  <c r="AC276" i="3"/>
  <c r="AB276" i="3"/>
  <c r="AA276" i="3"/>
  <c r="Z276" i="3"/>
  <c r="Y276" i="3"/>
  <c r="X276" i="3"/>
  <c r="W276" i="3"/>
  <c r="V276" i="3"/>
  <c r="U276" i="3"/>
  <c r="T276" i="3"/>
  <c r="S276" i="3"/>
  <c r="R276" i="3"/>
  <c r="Q276" i="3"/>
  <c r="P276" i="3"/>
  <c r="O276" i="3"/>
  <c r="N276" i="3"/>
  <c r="M276" i="3"/>
  <c r="L276" i="3"/>
  <c r="K276" i="3"/>
  <c r="J276" i="3"/>
  <c r="I276" i="3"/>
  <c r="H276" i="3"/>
  <c r="G276" i="3"/>
  <c r="F276" i="3"/>
  <c r="E276" i="3"/>
  <c r="AL275" i="3"/>
  <c r="AI269" i="3"/>
  <c r="AH269" i="3"/>
  <c r="AG269" i="3"/>
  <c r="AF269" i="3"/>
  <c r="AE269" i="3"/>
  <c r="AD269" i="3"/>
  <c r="AC269" i="3"/>
  <c r="AB269" i="3"/>
  <c r="AA269" i="3"/>
  <c r="Z269" i="3"/>
  <c r="Y269" i="3"/>
  <c r="X269" i="3"/>
  <c r="W269" i="3"/>
  <c r="V269" i="3"/>
  <c r="U269" i="3"/>
  <c r="T269" i="3"/>
  <c r="S269" i="3"/>
  <c r="R269" i="3"/>
  <c r="Q269" i="3"/>
  <c r="P269" i="3"/>
  <c r="O269" i="3"/>
  <c r="N269" i="3"/>
  <c r="M269" i="3"/>
  <c r="L269" i="3"/>
  <c r="K269" i="3"/>
  <c r="J269" i="3"/>
  <c r="I269" i="3"/>
  <c r="H269" i="3"/>
  <c r="G269" i="3"/>
  <c r="F269" i="3"/>
  <c r="E269" i="3"/>
  <c r="AJ267" i="3"/>
  <c r="AJ266" i="3"/>
  <c r="AJ265" i="3"/>
  <c r="AI264" i="3"/>
  <c r="AH264" i="3"/>
  <c r="AG264" i="3"/>
  <c r="AF264" i="3"/>
  <c r="AE264" i="3"/>
  <c r="AD264" i="3"/>
  <c r="AC264" i="3"/>
  <c r="AB264" i="3"/>
  <c r="AA264" i="3"/>
  <c r="Z264" i="3"/>
  <c r="Y264" i="3"/>
  <c r="X264" i="3"/>
  <c r="W264" i="3"/>
  <c r="V264" i="3"/>
  <c r="U264" i="3"/>
  <c r="T264" i="3"/>
  <c r="S264" i="3"/>
  <c r="R264" i="3"/>
  <c r="Q264" i="3"/>
  <c r="P264" i="3"/>
  <c r="O264" i="3"/>
  <c r="N264" i="3"/>
  <c r="M264" i="3"/>
  <c r="L264" i="3"/>
  <c r="K264" i="3"/>
  <c r="J264" i="3"/>
  <c r="I264" i="3"/>
  <c r="H264" i="3"/>
  <c r="G264" i="3"/>
  <c r="F264" i="3"/>
  <c r="E264" i="3"/>
  <c r="AJ263" i="3"/>
  <c r="AK261" i="3" s="1"/>
  <c r="AI262" i="3"/>
  <c r="AH262" i="3"/>
  <c r="AG262" i="3"/>
  <c r="AF262" i="3"/>
  <c r="AE262" i="3"/>
  <c r="AD262" i="3"/>
  <c r="AC262" i="3"/>
  <c r="AB262" i="3"/>
  <c r="AA262" i="3"/>
  <c r="Z262" i="3"/>
  <c r="Y262" i="3"/>
  <c r="X262" i="3"/>
  <c r="W262" i="3"/>
  <c r="V262" i="3"/>
  <c r="U262" i="3"/>
  <c r="T262" i="3"/>
  <c r="S262" i="3"/>
  <c r="R262" i="3"/>
  <c r="Q262" i="3"/>
  <c r="P262" i="3"/>
  <c r="O262" i="3"/>
  <c r="N262" i="3"/>
  <c r="M262" i="3"/>
  <c r="L262" i="3"/>
  <c r="K262" i="3"/>
  <c r="J262" i="3"/>
  <c r="I262" i="3"/>
  <c r="H262" i="3"/>
  <c r="G262" i="3"/>
  <c r="F262" i="3"/>
  <c r="E262" i="3"/>
  <c r="AI255" i="3"/>
  <c r="AH255" i="3"/>
  <c r="AG255" i="3"/>
  <c r="AF255" i="3"/>
  <c r="AE255" i="3"/>
  <c r="AD255" i="3"/>
  <c r="AC255" i="3"/>
  <c r="AB255" i="3"/>
  <c r="AA255" i="3"/>
  <c r="Z255" i="3"/>
  <c r="Y255" i="3"/>
  <c r="X255" i="3"/>
  <c r="W255" i="3"/>
  <c r="V255" i="3"/>
  <c r="U255" i="3"/>
  <c r="T255" i="3"/>
  <c r="S255" i="3"/>
  <c r="R255" i="3"/>
  <c r="Q255" i="3"/>
  <c r="P255" i="3"/>
  <c r="O255" i="3"/>
  <c r="N255" i="3"/>
  <c r="M255" i="3"/>
  <c r="L255" i="3"/>
  <c r="K255" i="3"/>
  <c r="J255" i="3"/>
  <c r="I255" i="3"/>
  <c r="H255" i="3"/>
  <c r="G255" i="3"/>
  <c r="F255" i="3"/>
  <c r="E255" i="3"/>
  <c r="E258" i="3" s="1"/>
  <c r="AJ253" i="3"/>
  <c r="AJ252" i="3"/>
  <c r="AJ251" i="3"/>
  <c r="AI250" i="3"/>
  <c r="AH250" i="3"/>
  <c r="AG250" i="3"/>
  <c r="AF250" i="3"/>
  <c r="AE250" i="3"/>
  <c r="AD250" i="3"/>
  <c r="AC250" i="3"/>
  <c r="AB250" i="3"/>
  <c r="AA250" i="3"/>
  <c r="Z250" i="3"/>
  <c r="Y250" i="3"/>
  <c r="X250" i="3"/>
  <c r="W250" i="3"/>
  <c r="V250" i="3"/>
  <c r="U250" i="3"/>
  <c r="T250" i="3"/>
  <c r="S250" i="3"/>
  <c r="R250" i="3"/>
  <c r="Q250" i="3"/>
  <c r="P250" i="3"/>
  <c r="O250" i="3"/>
  <c r="N250" i="3"/>
  <c r="M250" i="3"/>
  <c r="L250" i="3"/>
  <c r="K250" i="3"/>
  <c r="J250" i="3"/>
  <c r="I250" i="3"/>
  <c r="H250" i="3"/>
  <c r="G250" i="3"/>
  <c r="F250" i="3"/>
  <c r="E250" i="3"/>
  <c r="AJ249" i="3"/>
  <c r="AK247" i="3" s="1"/>
  <c r="E248" i="3"/>
  <c r="F248" i="3" s="1"/>
  <c r="G248" i="3" s="1"/>
  <c r="H248" i="3" s="1"/>
  <c r="I248" i="3" s="1"/>
  <c r="J248" i="3" s="1"/>
  <c r="K248" i="3" s="1"/>
  <c r="L248" i="3" s="1"/>
  <c r="M248" i="3" s="1"/>
  <c r="N248" i="3" s="1"/>
  <c r="O248" i="3" s="1"/>
  <c r="P248" i="3" s="1"/>
  <c r="Q248" i="3" s="1"/>
  <c r="R248" i="3" s="1"/>
  <c r="S248" i="3" s="1"/>
  <c r="T248" i="3" s="1"/>
  <c r="U248" i="3" s="1"/>
  <c r="V248" i="3" s="1"/>
  <c r="W248" i="3" s="1"/>
  <c r="X248" i="3" s="1"/>
  <c r="Y248" i="3" s="1"/>
  <c r="Z248" i="3" s="1"/>
  <c r="AJ247" i="3"/>
  <c r="AO247" i="3" s="1"/>
  <c r="AI241" i="3"/>
  <c r="AH241" i="3"/>
  <c r="AH244" i="3" s="1"/>
  <c r="AG241" i="3"/>
  <c r="AG244" i="3" s="1"/>
  <c r="AF241" i="3"/>
  <c r="AF244" i="3" s="1"/>
  <c r="AE241" i="3"/>
  <c r="AD241" i="3"/>
  <c r="AC241" i="3"/>
  <c r="AB241" i="3"/>
  <c r="AA241" i="3"/>
  <c r="Z241" i="3"/>
  <c r="Y241" i="3"/>
  <c r="X241" i="3"/>
  <c r="W241" i="3"/>
  <c r="V241" i="3"/>
  <c r="U241" i="3"/>
  <c r="T241" i="3"/>
  <c r="S241" i="3"/>
  <c r="R241" i="3"/>
  <c r="Q241" i="3"/>
  <c r="P241" i="3"/>
  <c r="O241" i="3"/>
  <c r="N241" i="3"/>
  <c r="M241" i="3"/>
  <c r="L241" i="3"/>
  <c r="K241" i="3"/>
  <c r="J241" i="3"/>
  <c r="I241" i="3"/>
  <c r="H241" i="3"/>
  <c r="F241" i="3"/>
  <c r="E241" i="3"/>
  <c r="AJ239" i="3"/>
  <c r="AJ238" i="3"/>
  <c r="AJ237" i="3"/>
  <c r="AJ235" i="3"/>
  <c r="AK233" i="3" s="1"/>
  <c r="E234" i="3"/>
  <c r="F234" i="3" s="1"/>
  <c r="G234" i="3" s="1"/>
  <c r="H234" i="3" s="1"/>
  <c r="I234" i="3" s="1"/>
  <c r="J234" i="3" s="1"/>
  <c r="K234" i="3" s="1"/>
  <c r="L234" i="3" s="1"/>
  <c r="M234" i="3" s="1"/>
  <c r="N234" i="3" s="1"/>
  <c r="O234" i="3" s="1"/>
  <c r="P234" i="3" s="1"/>
  <c r="Q234" i="3" s="1"/>
  <c r="R234" i="3" s="1"/>
  <c r="S234" i="3" s="1"/>
  <c r="T234" i="3" s="1"/>
  <c r="U234" i="3" s="1"/>
  <c r="V234" i="3" s="1"/>
  <c r="W234" i="3" s="1"/>
  <c r="X234" i="3" s="1"/>
  <c r="Y234" i="3" s="1"/>
  <c r="Z234" i="3" s="1"/>
  <c r="AO233" i="3"/>
  <c r="AI227" i="3"/>
  <c r="AH227" i="3"/>
  <c r="AH230" i="3" s="1"/>
  <c r="AG227" i="3"/>
  <c r="AG230" i="3" s="1"/>
  <c r="AF227" i="3"/>
  <c r="AF230" i="3" s="1"/>
  <c r="AE227" i="3"/>
  <c r="AE230" i="3" s="1"/>
  <c r="AD227" i="3"/>
  <c r="AD230" i="3" s="1"/>
  <c r="AC227" i="3"/>
  <c r="AC230" i="3" s="1"/>
  <c r="AB227" i="3"/>
  <c r="AB230" i="3" s="1"/>
  <c r="AA227" i="3"/>
  <c r="AA230" i="3" s="1"/>
  <c r="Z227" i="3"/>
  <c r="Z230" i="3" s="1"/>
  <c r="Y227" i="3"/>
  <c r="Y230" i="3" s="1"/>
  <c r="X227" i="3"/>
  <c r="X230" i="3" s="1"/>
  <c r="W227" i="3"/>
  <c r="W230" i="3" s="1"/>
  <c r="V227" i="3"/>
  <c r="V230" i="3" s="1"/>
  <c r="U227" i="3"/>
  <c r="U230" i="3" s="1"/>
  <c r="T227" i="3"/>
  <c r="T230" i="3" s="1"/>
  <c r="S227" i="3"/>
  <c r="S230" i="3" s="1"/>
  <c r="R227" i="3"/>
  <c r="R230" i="3" s="1"/>
  <c r="Q227" i="3"/>
  <c r="Q230" i="3" s="1"/>
  <c r="P227" i="3"/>
  <c r="P230" i="3" s="1"/>
  <c r="O227" i="3"/>
  <c r="O230" i="3" s="1"/>
  <c r="N227" i="3"/>
  <c r="N230" i="3" s="1"/>
  <c r="M227" i="3"/>
  <c r="M230" i="3" s="1"/>
  <c r="L227" i="3"/>
  <c r="L230" i="3" s="1"/>
  <c r="K227" i="3"/>
  <c r="K230" i="3" s="1"/>
  <c r="J227" i="3"/>
  <c r="I227" i="3"/>
  <c r="H227" i="3"/>
  <c r="G227" i="3"/>
  <c r="F227" i="3"/>
  <c r="E227" i="3"/>
  <c r="E230" i="3" s="1"/>
  <c r="F230" i="3" s="1"/>
  <c r="G230" i="3" s="1"/>
  <c r="H230" i="3" s="1"/>
  <c r="I230" i="3" s="1"/>
  <c r="J230" i="3" s="1"/>
  <c r="AJ225" i="3"/>
  <c r="AJ224" i="3"/>
  <c r="AJ223" i="3"/>
  <c r="AJ221" i="3"/>
  <c r="AK219" i="3" s="1"/>
  <c r="E220" i="3"/>
  <c r="F220" i="3" s="1"/>
  <c r="G220" i="3" s="1"/>
  <c r="H220" i="3" s="1"/>
  <c r="I220" i="3" s="1"/>
  <c r="J220" i="3" s="1"/>
  <c r="K220" i="3" s="1"/>
  <c r="L220" i="3" s="1"/>
  <c r="M220" i="3" s="1"/>
  <c r="N220" i="3" s="1"/>
  <c r="O220" i="3" s="1"/>
  <c r="P220" i="3" s="1"/>
  <c r="Q220" i="3" s="1"/>
  <c r="R220" i="3" s="1"/>
  <c r="S220" i="3" s="1"/>
  <c r="T220" i="3" s="1"/>
  <c r="U220" i="3" s="1"/>
  <c r="V220" i="3" s="1"/>
  <c r="W220" i="3" s="1"/>
  <c r="X220" i="3" s="1"/>
  <c r="Y220" i="3" s="1"/>
  <c r="Z220" i="3" s="1"/>
  <c r="AI213" i="3"/>
  <c r="AH213" i="3"/>
  <c r="AH216" i="3" s="1"/>
  <c r="AG213" i="3"/>
  <c r="AG216" i="3" s="1"/>
  <c r="AF213" i="3"/>
  <c r="AF216" i="3" s="1"/>
  <c r="AE213" i="3"/>
  <c r="AD213" i="3"/>
  <c r="AC213" i="3"/>
  <c r="AB213" i="3"/>
  <c r="AA213" i="3"/>
  <c r="Z213" i="3"/>
  <c r="Y213" i="3"/>
  <c r="X213" i="3"/>
  <c r="W213" i="3"/>
  <c r="V213" i="3"/>
  <c r="U213" i="3"/>
  <c r="T213" i="3"/>
  <c r="S213" i="3"/>
  <c r="R213" i="3"/>
  <c r="Q213" i="3"/>
  <c r="P213" i="3"/>
  <c r="N213" i="3"/>
  <c r="M213" i="3"/>
  <c r="L213" i="3"/>
  <c r="K213" i="3"/>
  <c r="J213" i="3"/>
  <c r="I213" i="3"/>
  <c r="H213" i="3"/>
  <c r="G213" i="3"/>
  <c r="F213" i="3"/>
  <c r="E213" i="3"/>
  <c r="AJ211" i="3"/>
  <c r="AJ210" i="3"/>
  <c r="AJ209" i="3"/>
  <c r="AI208" i="3"/>
  <c r="AH208" i="3"/>
  <c r="AG208" i="3"/>
  <c r="AF208" i="3"/>
  <c r="AE208" i="3"/>
  <c r="AD208" i="3"/>
  <c r="AC208" i="3"/>
  <c r="AB208" i="3"/>
  <c r="AA208" i="3"/>
  <c r="Z208" i="3"/>
  <c r="Y208" i="3"/>
  <c r="W208" i="3"/>
  <c r="V208" i="3"/>
  <c r="U208" i="3"/>
  <c r="T208" i="3"/>
  <c r="S208" i="3"/>
  <c r="R208" i="3"/>
  <c r="P208" i="3"/>
  <c r="O208" i="3"/>
  <c r="N208" i="3"/>
  <c r="M208" i="3"/>
  <c r="L208" i="3"/>
  <c r="J208" i="3"/>
  <c r="I208" i="3"/>
  <c r="H208" i="3"/>
  <c r="G208" i="3"/>
  <c r="F208" i="3"/>
  <c r="E208" i="3"/>
  <c r="AJ207" i="3"/>
  <c r="AK205" i="3" s="1"/>
  <c r="H9" i="13" s="1"/>
  <c r="K9" i="13" s="1"/>
  <c r="L9" i="13" s="1"/>
  <c r="E206" i="3"/>
  <c r="F206" i="3" s="1"/>
  <c r="G206" i="3" s="1"/>
  <c r="H206" i="3" s="1"/>
  <c r="I206" i="3" s="1"/>
  <c r="J206" i="3" s="1"/>
  <c r="K206" i="3" s="1"/>
  <c r="L206" i="3" s="1"/>
  <c r="M206" i="3" s="1"/>
  <c r="N206" i="3" s="1"/>
  <c r="O206" i="3" s="1"/>
  <c r="P206" i="3" s="1"/>
  <c r="Q206" i="3" s="1"/>
  <c r="R206" i="3" s="1"/>
  <c r="S206" i="3" s="1"/>
  <c r="T206" i="3" s="1"/>
  <c r="U206" i="3" s="1"/>
  <c r="V206" i="3" s="1"/>
  <c r="W206" i="3" s="1"/>
  <c r="X206" i="3" s="1"/>
  <c r="Y206" i="3" s="1"/>
  <c r="Z206" i="3" s="1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V199" i="3"/>
  <c r="U199" i="3"/>
  <c r="T199" i="3"/>
  <c r="S199" i="3"/>
  <c r="R199" i="3"/>
  <c r="Q199" i="3"/>
  <c r="P199" i="3"/>
  <c r="O199" i="3"/>
  <c r="N199" i="3"/>
  <c r="M199" i="3"/>
  <c r="L199" i="3"/>
  <c r="K199" i="3"/>
  <c r="J199" i="3"/>
  <c r="I199" i="3"/>
  <c r="H199" i="3"/>
  <c r="G199" i="3"/>
  <c r="F199" i="3"/>
  <c r="E199" i="3"/>
  <c r="AJ197" i="3"/>
  <c r="AJ196" i="3"/>
  <c r="AJ195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V194" i="3"/>
  <c r="U194" i="3"/>
  <c r="T194" i="3"/>
  <c r="S194" i="3"/>
  <c r="R194" i="3"/>
  <c r="Q194" i="3"/>
  <c r="P194" i="3"/>
  <c r="O194" i="3"/>
  <c r="N194" i="3"/>
  <c r="M194" i="3"/>
  <c r="L194" i="3"/>
  <c r="K194" i="3"/>
  <c r="J194" i="3"/>
  <c r="I194" i="3"/>
  <c r="H194" i="3"/>
  <c r="G194" i="3"/>
  <c r="F194" i="3"/>
  <c r="E194" i="3"/>
  <c r="AJ193" i="3"/>
  <c r="AK191" i="3" s="1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V192" i="3"/>
  <c r="U192" i="3"/>
  <c r="T192" i="3"/>
  <c r="S192" i="3"/>
  <c r="R192" i="3"/>
  <c r="Q192" i="3"/>
  <c r="P192" i="3"/>
  <c r="O192" i="3"/>
  <c r="N192" i="3"/>
  <c r="M192" i="3"/>
  <c r="L192" i="3"/>
  <c r="K192" i="3"/>
  <c r="J192" i="3"/>
  <c r="I192" i="3"/>
  <c r="H192" i="3"/>
  <c r="G192" i="3"/>
  <c r="F192" i="3"/>
  <c r="E192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Q185" i="3"/>
  <c r="P185" i="3"/>
  <c r="O185" i="3"/>
  <c r="N185" i="3"/>
  <c r="M185" i="3"/>
  <c r="L185" i="3"/>
  <c r="K185" i="3"/>
  <c r="J185" i="3"/>
  <c r="I185" i="3"/>
  <c r="H185" i="3"/>
  <c r="G185" i="3"/>
  <c r="F185" i="3"/>
  <c r="E185" i="3"/>
  <c r="E188" i="3" s="1"/>
  <c r="AJ183" i="3"/>
  <c r="AJ182" i="3"/>
  <c r="AJ181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V180" i="3"/>
  <c r="U180" i="3"/>
  <c r="T180" i="3"/>
  <c r="S180" i="3"/>
  <c r="R180" i="3"/>
  <c r="Q180" i="3"/>
  <c r="P180" i="3"/>
  <c r="O180" i="3"/>
  <c r="N180" i="3"/>
  <c r="M180" i="3"/>
  <c r="L180" i="3"/>
  <c r="K180" i="3"/>
  <c r="J180" i="3"/>
  <c r="I180" i="3"/>
  <c r="H180" i="3"/>
  <c r="G180" i="3"/>
  <c r="F180" i="3"/>
  <c r="E180" i="3"/>
  <c r="AJ179" i="3"/>
  <c r="AK177" i="3" s="1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V178" i="3"/>
  <c r="U178" i="3"/>
  <c r="T178" i="3"/>
  <c r="S178" i="3"/>
  <c r="R178" i="3"/>
  <c r="Q178" i="3"/>
  <c r="P178" i="3"/>
  <c r="O178" i="3"/>
  <c r="N178" i="3"/>
  <c r="M178" i="3"/>
  <c r="L178" i="3"/>
  <c r="K178" i="3"/>
  <c r="J178" i="3"/>
  <c r="I178" i="3"/>
  <c r="H178" i="3"/>
  <c r="G178" i="3"/>
  <c r="F178" i="3"/>
  <c r="E178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V171" i="3"/>
  <c r="U171" i="3"/>
  <c r="T171" i="3"/>
  <c r="S171" i="3"/>
  <c r="R171" i="3"/>
  <c r="Q171" i="3"/>
  <c r="P171" i="3"/>
  <c r="O171" i="3"/>
  <c r="N171" i="3"/>
  <c r="M171" i="3"/>
  <c r="L171" i="3"/>
  <c r="K171" i="3"/>
  <c r="J171" i="3"/>
  <c r="I171" i="3"/>
  <c r="H171" i="3"/>
  <c r="G171" i="3"/>
  <c r="F171" i="3"/>
  <c r="E171" i="3"/>
  <c r="E174" i="3" s="1"/>
  <c r="F174" i="3" s="1"/>
  <c r="AJ169" i="3"/>
  <c r="AJ168" i="3"/>
  <c r="AJ167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W166" i="3"/>
  <c r="V166" i="3"/>
  <c r="U166" i="3"/>
  <c r="T166" i="3"/>
  <c r="S166" i="3"/>
  <c r="R166" i="3"/>
  <c r="Q166" i="3"/>
  <c r="P166" i="3"/>
  <c r="O166" i="3"/>
  <c r="N166" i="3"/>
  <c r="M166" i="3"/>
  <c r="L166" i="3"/>
  <c r="K166" i="3"/>
  <c r="J166" i="3"/>
  <c r="I166" i="3"/>
  <c r="H166" i="3"/>
  <c r="G166" i="3"/>
  <c r="F166" i="3"/>
  <c r="E166" i="3"/>
  <c r="AJ165" i="3"/>
  <c r="AK163" i="3" s="1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W164" i="3"/>
  <c r="V164" i="3"/>
  <c r="U164" i="3"/>
  <c r="T164" i="3"/>
  <c r="S164" i="3"/>
  <c r="R164" i="3"/>
  <c r="Q164" i="3"/>
  <c r="P164" i="3"/>
  <c r="O164" i="3"/>
  <c r="N164" i="3"/>
  <c r="M164" i="3"/>
  <c r="L164" i="3"/>
  <c r="K164" i="3"/>
  <c r="J164" i="3"/>
  <c r="I164" i="3"/>
  <c r="H164" i="3"/>
  <c r="G164" i="3"/>
  <c r="F164" i="3"/>
  <c r="E164" i="3"/>
  <c r="AI157" i="3"/>
  <c r="AH157" i="3"/>
  <c r="AG157" i="3"/>
  <c r="AF157" i="3"/>
  <c r="AE157" i="3"/>
  <c r="AD157" i="3"/>
  <c r="AC157" i="3"/>
  <c r="AB157" i="3"/>
  <c r="AA157" i="3"/>
  <c r="Z157" i="3"/>
  <c r="X157" i="3"/>
  <c r="W157" i="3"/>
  <c r="V157" i="3"/>
  <c r="U157" i="3"/>
  <c r="T157" i="3"/>
  <c r="S157" i="3"/>
  <c r="R157" i="3"/>
  <c r="Q157" i="3"/>
  <c r="P157" i="3"/>
  <c r="O157" i="3"/>
  <c r="N157" i="3"/>
  <c r="M157" i="3"/>
  <c r="L157" i="3"/>
  <c r="K157" i="3"/>
  <c r="J157" i="3"/>
  <c r="I157" i="3"/>
  <c r="H157" i="3"/>
  <c r="G157" i="3"/>
  <c r="F157" i="3"/>
  <c r="E157" i="3"/>
  <c r="AJ155" i="3"/>
  <c r="AJ154" i="3"/>
  <c r="AJ153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V152" i="3"/>
  <c r="U152" i="3"/>
  <c r="R152" i="3"/>
  <c r="Q152" i="3"/>
  <c r="P152" i="3"/>
  <c r="O152" i="3"/>
  <c r="N152" i="3"/>
  <c r="M152" i="3"/>
  <c r="L152" i="3"/>
  <c r="K152" i="3"/>
  <c r="J152" i="3"/>
  <c r="I152" i="3"/>
  <c r="H152" i="3"/>
  <c r="G152" i="3"/>
  <c r="F152" i="3"/>
  <c r="E152" i="3"/>
  <c r="AJ151" i="3"/>
  <c r="AK149" i="3" s="1"/>
  <c r="H8" i="13" s="1"/>
  <c r="K8" i="13" s="1"/>
  <c r="L8" i="13" s="1"/>
  <c r="E150" i="3"/>
  <c r="F150" i="3" s="1"/>
  <c r="G150" i="3" s="1"/>
  <c r="H150" i="3" s="1"/>
  <c r="I150" i="3" s="1"/>
  <c r="J150" i="3" s="1"/>
  <c r="K150" i="3" s="1"/>
  <c r="L150" i="3" s="1"/>
  <c r="M150" i="3" s="1"/>
  <c r="N150" i="3" s="1"/>
  <c r="O150" i="3" s="1"/>
  <c r="P150" i="3" s="1"/>
  <c r="Q150" i="3" s="1"/>
  <c r="R150" i="3" s="1"/>
  <c r="S150" i="3" s="1"/>
  <c r="T150" i="3" s="1"/>
  <c r="U150" i="3" s="1"/>
  <c r="V150" i="3" s="1"/>
  <c r="W150" i="3" s="1"/>
  <c r="X150" i="3" s="1"/>
  <c r="Y150" i="3" s="1"/>
  <c r="Z150" i="3" s="1"/>
  <c r="AI143" i="3"/>
  <c r="AH143" i="3"/>
  <c r="AH146" i="3" s="1"/>
  <c r="AG143" i="3"/>
  <c r="AG146" i="3" s="1"/>
  <c r="AF143" i="3"/>
  <c r="AF146" i="3" s="1"/>
  <c r="AE143" i="3"/>
  <c r="AD143" i="3"/>
  <c r="AC143" i="3"/>
  <c r="AB143" i="3"/>
  <c r="AA143" i="3"/>
  <c r="Z143" i="3"/>
  <c r="Y143" i="3"/>
  <c r="X143" i="3"/>
  <c r="W143" i="3"/>
  <c r="V143" i="3"/>
  <c r="U143" i="3"/>
  <c r="T143" i="3"/>
  <c r="S143" i="3"/>
  <c r="R143" i="3"/>
  <c r="Q143" i="3"/>
  <c r="P143" i="3"/>
  <c r="O143" i="3"/>
  <c r="N143" i="3"/>
  <c r="M143" i="3"/>
  <c r="L143" i="3"/>
  <c r="K143" i="3"/>
  <c r="J143" i="3"/>
  <c r="I143" i="3"/>
  <c r="H143" i="3"/>
  <c r="G143" i="3"/>
  <c r="F143" i="3"/>
  <c r="E143" i="3"/>
  <c r="AJ141" i="3"/>
  <c r="AJ140" i="3"/>
  <c r="AJ139" i="3"/>
  <c r="AI138" i="3"/>
  <c r="AH138" i="3"/>
  <c r="AG138" i="3"/>
  <c r="AF138" i="3"/>
  <c r="AE138" i="3"/>
  <c r="AD138" i="3"/>
  <c r="AC138" i="3"/>
  <c r="AB138" i="3"/>
  <c r="AA138" i="3"/>
  <c r="Z138" i="3"/>
  <c r="Y138" i="3"/>
  <c r="W138" i="3"/>
  <c r="U138" i="3"/>
  <c r="T138" i="3"/>
  <c r="S138" i="3"/>
  <c r="R138" i="3"/>
  <c r="Q138" i="3"/>
  <c r="P138" i="3"/>
  <c r="O138" i="3"/>
  <c r="N138" i="3"/>
  <c r="M138" i="3"/>
  <c r="L138" i="3"/>
  <c r="K138" i="3"/>
  <c r="J138" i="3"/>
  <c r="I138" i="3"/>
  <c r="H138" i="3"/>
  <c r="G138" i="3"/>
  <c r="F138" i="3"/>
  <c r="E138" i="3"/>
  <c r="AJ137" i="3"/>
  <c r="AK135" i="3" s="1"/>
  <c r="H7" i="13" s="1"/>
  <c r="E136" i="3"/>
  <c r="F136" i="3" s="1"/>
  <c r="G136" i="3" s="1"/>
  <c r="H136" i="3" s="1"/>
  <c r="I136" i="3" s="1"/>
  <c r="J136" i="3" s="1"/>
  <c r="K136" i="3" s="1"/>
  <c r="L136" i="3" s="1"/>
  <c r="M136" i="3" s="1"/>
  <c r="N136" i="3" s="1"/>
  <c r="O136" i="3" s="1"/>
  <c r="P136" i="3" s="1"/>
  <c r="Q136" i="3" s="1"/>
  <c r="R136" i="3" s="1"/>
  <c r="S136" i="3" s="1"/>
  <c r="T136" i="3" s="1"/>
  <c r="U136" i="3" s="1"/>
  <c r="V136" i="3" s="1"/>
  <c r="W136" i="3" s="1"/>
  <c r="X136" i="3" s="1"/>
  <c r="Y136" i="3" s="1"/>
  <c r="Z136" i="3" s="1"/>
  <c r="AJ135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V129" i="3"/>
  <c r="U129" i="3"/>
  <c r="T129" i="3"/>
  <c r="S129" i="3"/>
  <c r="R129" i="3"/>
  <c r="Q129" i="3"/>
  <c r="P129" i="3"/>
  <c r="O129" i="3"/>
  <c r="N129" i="3"/>
  <c r="M129" i="3"/>
  <c r="L129" i="3"/>
  <c r="K129" i="3"/>
  <c r="J129" i="3"/>
  <c r="I129" i="3"/>
  <c r="H129" i="3"/>
  <c r="G129" i="3"/>
  <c r="F129" i="3"/>
  <c r="E129" i="3"/>
  <c r="AJ127" i="3"/>
  <c r="AJ126" i="3"/>
  <c r="AJ125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V124" i="3"/>
  <c r="U124" i="3"/>
  <c r="T124" i="3"/>
  <c r="S124" i="3"/>
  <c r="R124" i="3"/>
  <c r="Q124" i="3"/>
  <c r="P124" i="3"/>
  <c r="O124" i="3"/>
  <c r="N124" i="3"/>
  <c r="M124" i="3"/>
  <c r="L124" i="3"/>
  <c r="K124" i="3"/>
  <c r="J124" i="3"/>
  <c r="I124" i="3"/>
  <c r="H124" i="3"/>
  <c r="G124" i="3"/>
  <c r="F124" i="3"/>
  <c r="E124" i="3"/>
  <c r="AJ123" i="3"/>
  <c r="AK121" i="3" s="1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V122" i="3"/>
  <c r="U122" i="3"/>
  <c r="T122" i="3"/>
  <c r="S122" i="3"/>
  <c r="R122" i="3"/>
  <c r="Q122" i="3"/>
  <c r="P122" i="3"/>
  <c r="O122" i="3"/>
  <c r="N122" i="3"/>
  <c r="M122" i="3"/>
  <c r="L122" i="3"/>
  <c r="K122" i="3"/>
  <c r="J122" i="3"/>
  <c r="I122" i="3"/>
  <c r="H122" i="3"/>
  <c r="G122" i="3"/>
  <c r="F122" i="3"/>
  <c r="E122" i="3"/>
  <c r="AJ121" i="3"/>
  <c r="AO121" i="3" s="1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V115" i="3"/>
  <c r="U115" i="3"/>
  <c r="T115" i="3"/>
  <c r="S115" i="3"/>
  <c r="R115" i="3"/>
  <c r="Q115" i="3"/>
  <c r="P115" i="3"/>
  <c r="O115" i="3"/>
  <c r="N115" i="3"/>
  <c r="M115" i="3"/>
  <c r="L115" i="3"/>
  <c r="K115" i="3"/>
  <c r="J115" i="3"/>
  <c r="I115" i="3"/>
  <c r="H115" i="3"/>
  <c r="G115" i="3"/>
  <c r="F115" i="3"/>
  <c r="E115" i="3"/>
  <c r="AJ113" i="3"/>
  <c r="AJ112" i="3"/>
  <c r="AJ111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V110" i="3"/>
  <c r="U110" i="3"/>
  <c r="T110" i="3"/>
  <c r="S110" i="3"/>
  <c r="R110" i="3"/>
  <c r="Q110" i="3"/>
  <c r="P110" i="3"/>
  <c r="O110" i="3"/>
  <c r="N110" i="3"/>
  <c r="M110" i="3"/>
  <c r="L110" i="3"/>
  <c r="K110" i="3"/>
  <c r="J110" i="3"/>
  <c r="I110" i="3"/>
  <c r="H110" i="3"/>
  <c r="G110" i="3"/>
  <c r="F110" i="3"/>
  <c r="E110" i="3"/>
  <c r="AJ109" i="3"/>
  <c r="AK107" i="3" s="1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V108" i="3"/>
  <c r="U108" i="3"/>
  <c r="T108" i="3"/>
  <c r="S108" i="3"/>
  <c r="R108" i="3"/>
  <c r="Q108" i="3"/>
  <c r="P108" i="3"/>
  <c r="O108" i="3"/>
  <c r="N108" i="3"/>
  <c r="M108" i="3"/>
  <c r="L108" i="3"/>
  <c r="K108" i="3"/>
  <c r="J108" i="3"/>
  <c r="I108" i="3"/>
  <c r="H108" i="3"/>
  <c r="G108" i="3"/>
  <c r="F108" i="3"/>
  <c r="E108" i="3"/>
  <c r="AJ107" i="3"/>
  <c r="AO107" i="3" s="1"/>
  <c r="AI101" i="3"/>
  <c r="AH101" i="3"/>
  <c r="AH104" i="3" s="1"/>
  <c r="AG101" i="3"/>
  <c r="AG104" i="3" s="1"/>
  <c r="AF101" i="3"/>
  <c r="AF104" i="3" s="1"/>
  <c r="AE101" i="3"/>
  <c r="AD101" i="3"/>
  <c r="AC101" i="3"/>
  <c r="AB101" i="3"/>
  <c r="AA101" i="3"/>
  <c r="Z101" i="3"/>
  <c r="Y101" i="3"/>
  <c r="X101" i="3"/>
  <c r="W101" i="3"/>
  <c r="V101" i="3"/>
  <c r="U101" i="3"/>
  <c r="T101" i="3"/>
  <c r="S101" i="3"/>
  <c r="R101" i="3"/>
  <c r="Q101" i="3"/>
  <c r="P101" i="3"/>
  <c r="O101" i="3"/>
  <c r="N101" i="3"/>
  <c r="M101" i="3"/>
  <c r="L101" i="3"/>
  <c r="K101" i="3"/>
  <c r="J101" i="3"/>
  <c r="I101" i="3"/>
  <c r="H101" i="3"/>
  <c r="G101" i="3"/>
  <c r="F101" i="3"/>
  <c r="E101" i="3"/>
  <c r="AJ99" i="3"/>
  <c r="AJ98" i="3"/>
  <c r="AJ97" i="3"/>
  <c r="AI96" i="3"/>
  <c r="AG96" i="3"/>
  <c r="AF96" i="3"/>
  <c r="AE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96" i="3"/>
  <c r="O96" i="3"/>
  <c r="N96" i="3"/>
  <c r="L96" i="3"/>
  <c r="J96" i="3"/>
  <c r="I96" i="3"/>
  <c r="H96" i="3"/>
  <c r="G96" i="3"/>
  <c r="F96" i="3"/>
  <c r="E96" i="3"/>
  <c r="AJ95" i="3"/>
  <c r="AK93" i="3" s="1"/>
  <c r="H6" i="13" s="1"/>
  <c r="E94" i="3"/>
  <c r="F94" i="3" s="1"/>
  <c r="G94" i="3" s="1"/>
  <c r="H94" i="3" s="1"/>
  <c r="I94" i="3" s="1"/>
  <c r="J94" i="3" s="1"/>
  <c r="K94" i="3" s="1"/>
  <c r="L94" i="3" s="1"/>
  <c r="M94" i="3" s="1"/>
  <c r="N94" i="3" s="1"/>
  <c r="O94" i="3" s="1"/>
  <c r="P94" i="3" s="1"/>
  <c r="Q94" i="3" s="1"/>
  <c r="R94" i="3" s="1"/>
  <c r="S94" i="3" s="1"/>
  <c r="T94" i="3" s="1"/>
  <c r="U94" i="3" s="1"/>
  <c r="V94" i="3" s="1"/>
  <c r="W94" i="3" s="1"/>
  <c r="X94" i="3" s="1"/>
  <c r="Y94" i="3" s="1"/>
  <c r="Z94" i="3" s="1"/>
  <c r="AJ93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V87" i="3"/>
  <c r="U87" i="3"/>
  <c r="T87" i="3"/>
  <c r="S87" i="3"/>
  <c r="R87" i="3"/>
  <c r="Q87" i="3"/>
  <c r="P87" i="3"/>
  <c r="O87" i="3"/>
  <c r="N87" i="3"/>
  <c r="M87" i="3"/>
  <c r="L87" i="3"/>
  <c r="K87" i="3"/>
  <c r="J87" i="3"/>
  <c r="I87" i="3"/>
  <c r="H87" i="3"/>
  <c r="G87" i="3"/>
  <c r="F87" i="3"/>
  <c r="E87" i="3"/>
  <c r="AJ85" i="3"/>
  <c r="AJ84" i="3"/>
  <c r="AJ83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V82" i="3"/>
  <c r="T82" i="3"/>
  <c r="S82" i="3"/>
  <c r="R82" i="3"/>
  <c r="Q82" i="3"/>
  <c r="N82" i="3"/>
  <c r="M82" i="3"/>
  <c r="L82" i="3"/>
  <c r="J82" i="3"/>
  <c r="I82" i="3"/>
  <c r="H82" i="3"/>
  <c r="G82" i="3"/>
  <c r="F82" i="3"/>
  <c r="E82" i="3"/>
  <c r="AJ81" i="3"/>
  <c r="AK79" i="3" s="1"/>
  <c r="H4" i="13" s="1"/>
  <c r="E80" i="3"/>
  <c r="F80" i="3" s="1"/>
  <c r="G80" i="3" s="1"/>
  <c r="H80" i="3" s="1"/>
  <c r="I80" i="3" s="1"/>
  <c r="J80" i="3" s="1"/>
  <c r="K80" i="3" s="1"/>
  <c r="L80" i="3" s="1"/>
  <c r="M80" i="3" s="1"/>
  <c r="N80" i="3" s="1"/>
  <c r="O80" i="3" s="1"/>
  <c r="P80" i="3" s="1"/>
  <c r="Q80" i="3" s="1"/>
  <c r="R80" i="3" s="1"/>
  <c r="S80" i="3" s="1"/>
  <c r="T80" i="3" s="1"/>
  <c r="U80" i="3" s="1"/>
  <c r="V80" i="3" s="1"/>
  <c r="W80" i="3" s="1"/>
  <c r="X80" i="3" s="1"/>
  <c r="Y80" i="3" s="1"/>
  <c r="Z80" i="3" s="1"/>
  <c r="AJ79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73" i="3"/>
  <c r="O73" i="3"/>
  <c r="N73" i="3"/>
  <c r="M73" i="3"/>
  <c r="L73" i="3"/>
  <c r="K73" i="3"/>
  <c r="J73" i="3"/>
  <c r="I73" i="3"/>
  <c r="H73" i="3"/>
  <c r="G73" i="3"/>
  <c r="F73" i="3"/>
  <c r="E73" i="3"/>
  <c r="AJ71" i="3"/>
  <c r="AJ70" i="3"/>
  <c r="AJ69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N68" i="3"/>
  <c r="M68" i="3"/>
  <c r="L68" i="3"/>
  <c r="K68" i="3"/>
  <c r="J68" i="3"/>
  <c r="I68" i="3"/>
  <c r="H68" i="3"/>
  <c r="G68" i="3"/>
  <c r="F68" i="3"/>
  <c r="E68" i="3"/>
  <c r="AJ67" i="3"/>
  <c r="AK65" i="3" s="1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AJ65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J59" i="3"/>
  <c r="I59" i="3"/>
  <c r="H59" i="3"/>
  <c r="G59" i="3"/>
  <c r="F59" i="3"/>
  <c r="E59" i="3"/>
  <c r="AJ57" i="3"/>
  <c r="AJ56" i="3"/>
  <c r="AJ55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J54" i="3"/>
  <c r="I54" i="3"/>
  <c r="H54" i="3"/>
  <c r="G54" i="3"/>
  <c r="F54" i="3"/>
  <c r="E54" i="3"/>
  <c r="AJ53" i="3"/>
  <c r="AK51" i="3" s="1"/>
  <c r="H5" i="13" s="1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J52" i="3"/>
  <c r="I52" i="3"/>
  <c r="H52" i="3"/>
  <c r="G52" i="3"/>
  <c r="F52" i="3"/>
  <c r="E52" i="3"/>
  <c r="AJ51" i="3"/>
  <c r="AH31" i="3"/>
  <c r="AH34" i="3" s="1"/>
  <c r="AG31" i="3"/>
  <c r="AG34" i="3" s="1"/>
  <c r="AF31" i="3"/>
  <c r="AF34" i="3" s="1"/>
  <c r="AE31" i="3"/>
  <c r="AD31" i="3"/>
  <c r="AC31" i="3"/>
  <c r="AB31" i="3"/>
  <c r="AA31" i="3"/>
  <c r="Z31" i="3"/>
  <c r="Y31" i="3"/>
  <c r="X31" i="3"/>
  <c r="W31" i="3"/>
  <c r="V31" i="3"/>
  <c r="U31" i="3"/>
  <c r="T31" i="3"/>
  <c r="S31" i="3"/>
  <c r="R31" i="3"/>
  <c r="P31" i="3"/>
  <c r="O31" i="3"/>
  <c r="N31" i="3"/>
  <c r="M31" i="3"/>
  <c r="L31" i="3"/>
  <c r="K31" i="3"/>
  <c r="J31" i="3"/>
  <c r="I31" i="3"/>
  <c r="H31" i="3"/>
  <c r="G31" i="3"/>
  <c r="F31" i="3"/>
  <c r="E31" i="3"/>
  <c r="AJ29" i="3"/>
  <c r="C29" i="3"/>
  <c r="AJ28" i="3"/>
  <c r="AJ27" i="3"/>
  <c r="AI26" i="3"/>
  <c r="AH26" i="3"/>
  <c r="AG26" i="3"/>
  <c r="AF26" i="3"/>
  <c r="AE26" i="3"/>
  <c r="AD26" i="3"/>
  <c r="AC26" i="3"/>
  <c r="AB26" i="3"/>
  <c r="AA26" i="3"/>
  <c r="Z26" i="3"/>
  <c r="Y26" i="3"/>
  <c r="X26" i="3"/>
  <c r="V26" i="3"/>
  <c r="U26" i="3"/>
  <c r="T26" i="3"/>
  <c r="S26" i="3"/>
  <c r="R26" i="3"/>
  <c r="N26" i="3"/>
  <c r="M26" i="3"/>
  <c r="L26" i="3"/>
  <c r="K26" i="3"/>
  <c r="I26" i="3"/>
  <c r="H26" i="3"/>
  <c r="G26" i="3"/>
  <c r="F26" i="3"/>
  <c r="AJ25" i="3"/>
  <c r="E24" i="3"/>
  <c r="F24" i="3" s="1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Y24" i="3" s="1"/>
  <c r="Z24" i="3" s="1"/>
  <c r="AJ23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J17" i="3"/>
  <c r="I17" i="3"/>
  <c r="H17" i="3"/>
  <c r="G17" i="3"/>
  <c r="F17" i="3"/>
  <c r="E17" i="3"/>
  <c r="AJ15" i="3"/>
  <c r="C15" i="3"/>
  <c r="AJ14" i="3"/>
  <c r="AJ13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AJ11" i="3"/>
  <c r="E10" i="3"/>
  <c r="F10" i="3" s="1"/>
  <c r="G10" i="3" s="1"/>
  <c r="H10" i="3" s="1"/>
  <c r="I10" i="3" s="1"/>
  <c r="J10" i="3" s="1"/>
  <c r="K10" i="3" s="1"/>
  <c r="L10" i="3" s="1"/>
  <c r="M10" i="3" s="1"/>
  <c r="N10" i="3" s="1"/>
  <c r="O10" i="3" s="1"/>
  <c r="P10" i="3" s="1"/>
  <c r="Q10" i="3" s="1"/>
  <c r="R10" i="3" s="1"/>
  <c r="S10" i="3" s="1"/>
  <c r="T10" i="3" s="1"/>
  <c r="U10" i="3" s="1"/>
  <c r="V10" i="3" s="1"/>
  <c r="W10" i="3" s="1"/>
  <c r="X10" i="3" s="1"/>
  <c r="Y10" i="3" s="1"/>
  <c r="Z10" i="3" s="1"/>
  <c r="AD10" i="3" s="1"/>
  <c r="AH10" i="3" s="1"/>
  <c r="AI10" i="3" s="1"/>
  <c r="AJ9" i="3"/>
  <c r="G2" i="13" s="1"/>
  <c r="F8" i="3"/>
  <c r="G8" i="3" s="1"/>
  <c r="H8" i="3" s="1"/>
  <c r="I8" i="3" s="1"/>
  <c r="J8" i="3" s="1"/>
  <c r="K8" i="3" s="1"/>
  <c r="L8" i="3" s="1"/>
  <c r="M8" i="3" s="1"/>
  <c r="N8" i="3" s="1"/>
  <c r="O8" i="3" s="1"/>
  <c r="P8" i="3" s="1"/>
  <c r="Q8" i="3" s="1"/>
  <c r="R8" i="3" s="1"/>
  <c r="S8" i="3" s="1"/>
  <c r="T8" i="3" s="1"/>
  <c r="U8" i="3" s="1"/>
  <c r="V8" i="3" s="1"/>
  <c r="W8" i="3" s="1"/>
  <c r="X8" i="3" s="1"/>
  <c r="Y8" i="3" s="1"/>
  <c r="Z8" i="3" s="1"/>
  <c r="AA8" i="3" s="1"/>
  <c r="AB8" i="3" s="1"/>
  <c r="AC8" i="3" s="1"/>
  <c r="AD8" i="3" s="1"/>
  <c r="AE8" i="3" s="1"/>
  <c r="AF8" i="3" s="1"/>
  <c r="AG8" i="3" s="1"/>
  <c r="AH8" i="3" s="1"/>
  <c r="AI8" i="3" s="1"/>
  <c r="D83" i="2"/>
  <c r="C60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N59" i="2"/>
  <c r="M59" i="2"/>
  <c r="L59" i="2"/>
  <c r="K59" i="2"/>
  <c r="J59" i="2"/>
  <c r="I59" i="2"/>
  <c r="H59" i="2"/>
  <c r="G59" i="2"/>
  <c r="F59" i="2"/>
  <c r="E59" i="2"/>
  <c r="E62" i="2" s="1"/>
  <c r="AJ57" i="2"/>
  <c r="AJ56" i="2"/>
  <c r="AJ55" i="2"/>
  <c r="AI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S54" i="2"/>
  <c r="R54" i="2"/>
  <c r="Q54" i="2"/>
  <c r="P54" i="2"/>
  <c r="N54" i="2"/>
  <c r="M54" i="2"/>
  <c r="L54" i="2"/>
  <c r="K54" i="2"/>
  <c r="J54" i="2"/>
  <c r="I54" i="2"/>
  <c r="H54" i="2"/>
  <c r="G54" i="2"/>
  <c r="F54" i="2"/>
  <c r="E54" i="2"/>
  <c r="AJ53" i="2"/>
  <c r="AI52" i="2"/>
  <c r="AH52" i="2"/>
  <c r="AG52" i="2"/>
  <c r="E52" i="2"/>
  <c r="F52" i="2" s="1"/>
  <c r="G52" i="2" s="1"/>
  <c r="H52" i="2" s="1"/>
  <c r="I52" i="2" s="1"/>
  <c r="J52" i="2" s="1"/>
  <c r="K52" i="2" s="1"/>
  <c r="L52" i="2" s="1"/>
  <c r="M52" i="2" s="1"/>
  <c r="N52" i="2" s="1"/>
  <c r="O52" i="2" s="1"/>
  <c r="P52" i="2" s="1"/>
  <c r="Q52" i="2" s="1"/>
  <c r="R52" i="2" s="1"/>
  <c r="S52" i="2" s="1"/>
  <c r="T52" i="2" s="1"/>
  <c r="U52" i="2" s="1"/>
  <c r="V52" i="2" s="1"/>
  <c r="W52" i="2" s="1"/>
  <c r="X52" i="2" s="1"/>
  <c r="Y52" i="2" s="1"/>
  <c r="Z52" i="2" s="1"/>
  <c r="AJ51" i="2"/>
  <c r="AK49" i="2" s="1"/>
  <c r="C46" i="2"/>
  <c r="AI45" i="2"/>
  <c r="AH45" i="2"/>
  <c r="AH48" i="2" s="1"/>
  <c r="AG45" i="2"/>
  <c r="AG48" i="2" s="1"/>
  <c r="AF45" i="2"/>
  <c r="AF48" i="2" s="1"/>
  <c r="AE45" i="2"/>
  <c r="AD45" i="2"/>
  <c r="AC45" i="2"/>
  <c r="AB45" i="2"/>
  <c r="AA45" i="2"/>
  <c r="Z45" i="2"/>
  <c r="Y45" i="2"/>
  <c r="X45" i="2"/>
  <c r="W45" i="2"/>
  <c r="V45" i="2"/>
  <c r="U45" i="2"/>
  <c r="T45" i="2"/>
  <c r="S45" i="2"/>
  <c r="R45" i="2"/>
  <c r="Q45" i="2"/>
  <c r="P45" i="2"/>
  <c r="N45" i="2"/>
  <c r="M45" i="2"/>
  <c r="L45" i="2"/>
  <c r="K45" i="2"/>
  <c r="J45" i="2"/>
  <c r="I45" i="2"/>
  <c r="H45" i="2"/>
  <c r="G45" i="2"/>
  <c r="F45" i="2"/>
  <c r="E45" i="2"/>
  <c r="E50" i="2" s="1"/>
  <c r="AJ43" i="2"/>
  <c r="AK41" i="2" s="1"/>
  <c r="AJ42" i="2"/>
  <c r="AK40" i="2" s="1"/>
  <c r="AJ41" i="2"/>
  <c r="AK39" i="2" s="1"/>
  <c r="AI40" i="2"/>
  <c r="AH40" i="2"/>
  <c r="AG40" i="2"/>
  <c r="AF40" i="2"/>
  <c r="AE40" i="2"/>
  <c r="AD40" i="2"/>
  <c r="AB40" i="2"/>
  <c r="AA40" i="2"/>
  <c r="X40" i="2"/>
  <c r="W40" i="2"/>
  <c r="U40" i="2"/>
  <c r="T40" i="2"/>
  <c r="S40" i="2"/>
  <c r="R40" i="2"/>
  <c r="Q40" i="2"/>
  <c r="L40" i="2"/>
  <c r="K40" i="2"/>
  <c r="J40" i="2"/>
  <c r="I40" i="2"/>
  <c r="H40" i="2"/>
  <c r="G40" i="2"/>
  <c r="F40" i="2"/>
  <c r="AJ39" i="2"/>
  <c r="AK37" i="2" s="1"/>
  <c r="E38" i="2"/>
  <c r="F38" i="2" s="1"/>
  <c r="G38" i="2" s="1"/>
  <c r="H38" i="2" s="1"/>
  <c r="I38" i="2" s="1"/>
  <c r="J38" i="2" s="1"/>
  <c r="K38" i="2" s="1"/>
  <c r="L38" i="2" s="1"/>
  <c r="M38" i="2" s="1"/>
  <c r="N38" i="2" s="1"/>
  <c r="AJ37" i="2"/>
  <c r="C32" i="2"/>
  <c r="AI31" i="2"/>
  <c r="AH31" i="2"/>
  <c r="AH34" i="2" s="1"/>
  <c r="AG31" i="2"/>
  <c r="AG34" i="2" s="1"/>
  <c r="AF31" i="2"/>
  <c r="AE31" i="2"/>
  <c r="AD31" i="2"/>
  <c r="AD34" i="2" s="1"/>
  <c r="AC31" i="2"/>
  <c r="AC34" i="2" s="1"/>
  <c r="AB31" i="2"/>
  <c r="AA31" i="2"/>
  <c r="Z31" i="2"/>
  <c r="Y31" i="2"/>
  <c r="X31" i="2"/>
  <c r="W31" i="2"/>
  <c r="V31" i="2"/>
  <c r="U31" i="2"/>
  <c r="T31" i="2"/>
  <c r="S31" i="2"/>
  <c r="R31" i="2"/>
  <c r="Q31" i="2"/>
  <c r="P31" i="2"/>
  <c r="N31" i="2"/>
  <c r="M31" i="2"/>
  <c r="L31" i="2"/>
  <c r="K31" i="2"/>
  <c r="J31" i="2"/>
  <c r="I31" i="2"/>
  <c r="H31" i="2"/>
  <c r="G31" i="2"/>
  <c r="F31" i="2"/>
  <c r="E31" i="2"/>
  <c r="E34" i="2" s="1"/>
  <c r="AJ29" i="2"/>
  <c r="AK27" i="2" s="1"/>
  <c r="AJ28" i="2"/>
  <c r="AK26" i="2" s="1"/>
  <c r="AJ27" i="2"/>
  <c r="AK25" i="2" s="1"/>
  <c r="AI26" i="2"/>
  <c r="AH26" i="2"/>
  <c r="AG26" i="2"/>
  <c r="AF26" i="2"/>
  <c r="AE26" i="2"/>
  <c r="AD26" i="2"/>
  <c r="AC26" i="2"/>
  <c r="AB26" i="2"/>
  <c r="AA26" i="2"/>
  <c r="X26" i="2"/>
  <c r="W26" i="2"/>
  <c r="V26" i="2"/>
  <c r="U26" i="2"/>
  <c r="T26" i="2"/>
  <c r="S26" i="2"/>
  <c r="R26" i="2"/>
  <c r="Q26" i="2"/>
  <c r="P26" i="2"/>
  <c r="N26" i="2"/>
  <c r="M26" i="2"/>
  <c r="L26" i="2"/>
  <c r="I26" i="2"/>
  <c r="H26" i="2"/>
  <c r="G26" i="2"/>
  <c r="F26" i="2"/>
  <c r="E26" i="2"/>
  <c r="AJ25" i="2"/>
  <c r="E24" i="2"/>
  <c r="F24" i="2" s="1"/>
  <c r="G24" i="2" s="1"/>
  <c r="H24" i="2" s="1"/>
  <c r="I24" i="2" s="1"/>
  <c r="J24" i="2" s="1"/>
  <c r="K24" i="2" s="1"/>
  <c r="L24" i="2" s="1"/>
  <c r="M24" i="2" s="1"/>
  <c r="N24" i="2" s="1"/>
  <c r="AJ23" i="2"/>
  <c r="G62" i="13" s="1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N17" i="2"/>
  <c r="M17" i="2"/>
  <c r="L17" i="2"/>
  <c r="K17" i="2"/>
  <c r="J17" i="2"/>
  <c r="I17" i="2"/>
  <c r="H17" i="2"/>
  <c r="G17" i="2"/>
  <c r="F17" i="2"/>
  <c r="E17" i="2"/>
  <c r="AJ15" i="2"/>
  <c r="AJ14" i="2"/>
  <c r="AJ13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N12" i="2"/>
  <c r="M12" i="2"/>
  <c r="L12" i="2"/>
  <c r="J12" i="2"/>
  <c r="I12" i="2"/>
  <c r="H12" i="2"/>
  <c r="G12" i="2"/>
  <c r="F12" i="2"/>
  <c r="E12" i="2"/>
  <c r="AJ11" i="2"/>
  <c r="E10" i="2"/>
  <c r="F10" i="2" s="1"/>
  <c r="G10" i="2" s="1"/>
  <c r="H10" i="2" s="1"/>
  <c r="I10" i="2" s="1"/>
  <c r="J10" i="2" s="1"/>
  <c r="K10" i="2" s="1"/>
  <c r="L10" i="2" s="1"/>
  <c r="M10" i="2" s="1"/>
  <c r="N10" i="2" s="1"/>
  <c r="AJ9" i="2"/>
  <c r="G61" i="13" s="1"/>
  <c r="F8" i="2"/>
  <c r="G8" i="2" s="1"/>
  <c r="H8" i="2" s="1"/>
  <c r="I8" i="2" s="1"/>
  <c r="J8" i="2" s="1"/>
  <c r="K8" i="2" s="1"/>
  <c r="L8" i="2" s="1"/>
  <c r="M8" i="2" s="1"/>
  <c r="N8" i="2" s="1"/>
  <c r="AH1195" i="1"/>
  <c r="AG1195" i="1"/>
  <c r="AF1195" i="1"/>
  <c r="AE1195" i="1"/>
  <c r="AD1195" i="1"/>
  <c r="AC1195" i="1"/>
  <c r="AB1195" i="1"/>
  <c r="AA1195" i="1"/>
  <c r="Z1195" i="1"/>
  <c r="Y1195" i="1"/>
  <c r="X1195" i="1"/>
  <c r="W1195" i="1"/>
  <c r="V1195" i="1"/>
  <c r="U1195" i="1"/>
  <c r="S1195" i="1"/>
  <c r="R1195" i="1"/>
  <c r="Q1195" i="1"/>
  <c r="P1195" i="1"/>
  <c r="O1195" i="1"/>
  <c r="N1195" i="1"/>
  <c r="M1195" i="1"/>
  <c r="L1195" i="1"/>
  <c r="K1195" i="1"/>
  <c r="J1195" i="1"/>
  <c r="I1195" i="1"/>
  <c r="H1195" i="1"/>
  <c r="G1195" i="1"/>
  <c r="F1195" i="1"/>
  <c r="E1195" i="1"/>
  <c r="D1195" i="1"/>
  <c r="AI1194" i="1"/>
  <c r="AH1194" i="1"/>
  <c r="AG1194" i="1"/>
  <c r="AF1194" i="1"/>
  <c r="AE1194" i="1"/>
  <c r="AD1194" i="1"/>
  <c r="AC1194" i="1"/>
  <c r="AB1194" i="1"/>
  <c r="Z1194" i="1"/>
  <c r="Y1194" i="1"/>
  <c r="X1194" i="1"/>
  <c r="W1194" i="1"/>
  <c r="V1194" i="1"/>
  <c r="U1194" i="1"/>
  <c r="T1194" i="1"/>
  <c r="S1194" i="1"/>
  <c r="R1194" i="1"/>
  <c r="Q1194" i="1"/>
  <c r="P1194" i="1"/>
  <c r="O1194" i="1"/>
  <c r="N1194" i="1"/>
  <c r="M1194" i="1"/>
  <c r="L1194" i="1"/>
  <c r="K1194" i="1"/>
  <c r="J1194" i="1"/>
  <c r="I1194" i="1"/>
  <c r="H1194" i="1"/>
  <c r="G1194" i="1"/>
  <c r="F1194" i="1"/>
  <c r="E1194" i="1"/>
  <c r="AI1193" i="1"/>
  <c r="AH1193" i="1"/>
  <c r="AG1193" i="1"/>
  <c r="AF1193" i="1"/>
  <c r="AE1193" i="1"/>
  <c r="AD1193" i="1"/>
  <c r="AC1193" i="1"/>
  <c r="AB1193" i="1"/>
  <c r="AA1193" i="1"/>
  <c r="Z1193" i="1"/>
  <c r="Y1193" i="1"/>
  <c r="X1193" i="1"/>
  <c r="W1193" i="1"/>
  <c r="V1193" i="1"/>
  <c r="U1193" i="1"/>
  <c r="T1193" i="1"/>
  <c r="S1193" i="1"/>
  <c r="R1193" i="1"/>
  <c r="Q1193" i="1"/>
  <c r="P1193" i="1"/>
  <c r="O1193" i="1"/>
  <c r="N1193" i="1"/>
  <c r="M1193" i="1"/>
  <c r="L1193" i="1"/>
  <c r="K1193" i="1"/>
  <c r="J1193" i="1"/>
  <c r="I1193" i="1"/>
  <c r="H1193" i="1"/>
  <c r="G1193" i="1"/>
  <c r="F1193" i="1"/>
  <c r="E1193" i="1"/>
  <c r="AI1192" i="1"/>
  <c r="AH1192" i="1"/>
  <c r="AG1192" i="1"/>
  <c r="AF1192" i="1"/>
  <c r="AE1192" i="1"/>
  <c r="AD1192" i="1"/>
  <c r="AC1192" i="1"/>
  <c r="AB1192" i="1"/>
  <c r="AA1192" i="1"/>
  <c r="Z1192" i="1"/>
  <c r="Y1192" i="1"/>
  <c r="X1192" i="1"/>
  <c r="W1192" i="1"/>
  <c r="V1192" i="1"/>
  <c r="U1192" i="1"/>
  <c r="T1192" i="1"/>
  <c r="S1192" i="1"/>
  <c r="R1192" i="1"/>
  <c r="P1192" i="1"/>
  <c r="O1192" i="1"/>
  <c r="N1192" i="1"/>
  <c r="M1192" i="1"/>
  <c r="L1192" i="1"/>
  <c r="K1192" i="1"/>
  <c r="J1192" i="1"/>
  <c r="I1192" i="1"/>
  <c r="H1192" i="1"/>
  <c r="G1192" i="1"/>
  <c r="F1192" i="1"/>
  <c r="E1192" i="1"/>
  <c r="AI1191" i="1"/>
  <c r="AH1191" i="1"/>
  <c r="AG1191" i="1"/>
  <c r="AF1191" i="1"/>
  <c r="AE1191" i="1"/>
  <c r="AD1191" i="1"/>
  <c r="AC1191" i="1"/>
  <c r="AB1191" i="1"/>
  <c r="AA1191" i="1"/>
  <c r="Y1191" i="1"/>
  <c r="W1191" i="1"/>
  <c r="V1191" i="1"/>
  <c r="U1191" i="1"/>
  <c r="T1191" i="1"/>
  <c r="S1191" i="1"/>
  <c r="R1191" i="1"/>
  <c r="Q1191" i="1"/>
  <c r="P1191" i="1"/>
  <c r="O1191" i="1"/>
  <c r="N1191" i="1"/>
  <c r="M1191" i="1"/>
  <c r="L1191" i="1"/>
  <c r="K1191" i="1"/>
  <c r="J1191" i="1"/>
  <c r="I1191" i="1"/>
  <c r="H1191" i="1"/>
  <c r="G1191" i="1"/>
  <c r="F1191" i="1"/>
  <c r="C1187" i="1"/>
  <c r="AI1186" i="1"/>
  <c r="AH1186" i="1"/>
  <c r="AG1186" i="1"/>
  <c r="AF1186" i="1"/>
  <c r="AE1186" i="1"/>
  <c r="AD1186" i="1"/>
  <c r="AC1186" i="1"/>
  <c r="AB1186" i="1"/>
  <c r="AA1186" i="1"/>
  <c r="Z1186" i="1"/>
  <c r="Y1186" i="1"/>
  <c r="X1186" i="1"/>
  <c r="W1186" i="1"/>
  <c r="V1186" i="1"/>
  <c r="U1186" i="1"/>
  <c r="T1186" i="1"/>
  <c r="S1186" i="1"/>
  <c r="R1186" i="1"/>
  <c r="Q1186" i="1"/>
  <c r="P1186" i="1"/>
  <c r="O1186" i="1"/>
  <c r="N1186" i="1"/>
  <c r="M1186" i="1"/>
  <c r="L1186" i="1"/>
  <c r="K1186" i="1"/>
  <c r="J1186" i="1"/>
  <c r="I1186" i="1"/>
  <c r="H1186" i="1"/>
  <c r="G1186" i="1"/>
  <c r="F1186" i="1"/>
  <c r="E1186" i="1"/>
  <c r="AJ1184" i="1"/>
  <c r="AJ1183" i="1"/>
  <c r="AJ1182" i="1"/>
  <c r="AI1181" i="1"/>
  <c r="AH1181" i="1"/>
  <c r="AG1181" i="1"/>
  <c r="AF1181" i="1"/>
  <c r="AE1181" i="1"/>
  <c r="AD1181" i="1"/>
  <c r="AC1181" i="1"/>
  <c r="AB1181" i="1"/>
  <c r="AA1181" i="1"/>
  <c r="Z1181" i="1"/>
  <c r="Y1181" i="1"/>
  <c r="X1181" i="1"/>
  <c r="W1181" i="1"/>
  <c r="V1181" i="1"/>
  <c r="U1181" i="1"/>
  <c r="T1181" i="1"/>
  <c r="S1181" i="1"/>
  <c r="R1181" i="1"/>
  <c r="Q1181" i="1"/>
  <c r="P1181" i="1"/>
  <c r="O1181" i="1"/>
  <c r="N1181" i="1"/>
  <c r="M1181" i="1"/>
  <c r="L1181" i="1"/>
  <c r="K1181" i="1"/>
  <c r="J1181" i="1"/>
  <c r="I1181" i="1"/>
  <c r="H1181" i="1"/>
  <c r="G1181" i="1"/>
  <c r="F1181" i="1"/>
  <c r="E1181" i="1"/>
  <c r="AJ1180" i="1"/>
  <c r="AK1178" i="1" s="1"/>
  <c r="AI1179" i="1"/>
  <c r="AH1179" i="1"/>
  <c r="AG1179" i="1"/>
  <c r="AF1179" i="1"/>
  <c r="AE1179" i="1"/>
  <c r="AD1179" i="1"/>
  <c r="AC1179" i="1"/>
  <c r="AB1179" i="1"/>
  <c r="AA1179" i="1"/>
  <c r="Z1179" i="1"/>
  <c r="Y1179" i="1"/>
  <c r="X1179" i="1"/>
  <c r="W1179" i="1"/>
  <c r="V1179" i="1"/>
  <c r="U1179" i="1"/>
  <c r="T1179" i="1"/>
  <c r="S1179" i="1"/>
  <c r="R1179" i="1"/>
  <c r="Q1179" i="1"/>
  <c r="P1179" i="1"/>
  <c r="O1179" i="1"/>
  <c r="N1179" i="1"/>
  <c r="M1179" i="1"/>
  <c r="L1179" i="1"/>
  <c r="K1179" i="1"/>
  <c r="J1179" i="1"/>
  <c r="I1179" i="1"/>
  <c r="H1179" i="1"/>
  <c r="G1179" i="1"/>
  <c r="F1179" i="1"/>
  <c r="E1179" i="1"/>
  <c r="AJ1178" i="1"/>
  <c r="C1173" i="1"/>
  <c r="AI1172" i="1"/>
  <c r="AH1172" i="1"/>
  <c r="AG1172" i="1"/>
  <c r="AF1172" i="1"/>
  <c r="AE1172" i="1"/>
  <c r="AD1172" i="1"/>
  <c r="AC1172" i="1"/>
  <c r="AB1172" i="1"/>
  <c r="AA1172" i="1"/>
  <c r="Z1172" i="1"/>
  <c r="Y1172" i="1"/>
  <c r="X1172" i="1"/>
  <c r="W1172" i="1"/>
  <c r="V1172" i="1"/>
  <c r="U1172" i="1"/>
  <c r="T1172" i="1"/>
  <c r="S1172" i="1"/>
  <c r="R1172" i="1"/>
  <c r="Q1172" i="1"/>
  <c r="P1172" i="1"/>
  <c r="O1172" i="1"/>
  <c r="N1172" i="1"/>
  <c r="M1172" i="1"/>
  <c r="L1172" i="1"/>
  <c r="K1172" i="1"/>
  <c r="J1172" i="1"/>
  <c r="I1172" i="1"/>
  <c r="H1172" i="1"/>
  <c r="G1172" i="1"/>
  <c r="F1172" i="1"/>
  <c r="E1172" i="1"/>
  <c r="E1174" i="1" s="1"/>
  <c r="AJ1170" i="1"/>
  <c r="AJ1169" i="1"/>
  <c r="AJ1168" i="1"/>
  <c r="AI1167" i="1"/>
  <c r="AH1167" i="1"/>
  <c r="AG1167" i="1"/>
  <c r="AF1167" i="1"/>
  <c r="AE1167" i="1"/>
  <c r="AD1167" i="1"/>
  <c r="AC1167" i="1"/>
  <c r="AB1167" i="1"/>
  <c r="AA1167" i="1"/>
  <c r="Z1167" i="1"/>
  <c r="Y1167" i="1"/>
  <c r="X1167" i="1"/>
  <c r="W1167" i="1"/>
  <c r="V1167" i="1"/>
  <c r="U1167" i="1"/>
  <c r="T1167" i="1"/>
  <c r="S1167" i="1"/>
  <c r="R1167" i="1"/>
  <c r="Q1167" i="1"/>
  <c r="P1167" i="1"/>
  <c r="O1167" i="1"/>
  <c r="N1167" i="1"/>
  <c r="M1167" i="1"/>
  <c r="L1167" i="1"/>
  <c r="K1167" i="1"/>
  <c r="J1167" i="1"/>
  <c r="I1167" i="1"/>
  <c r="H1167" i="1"/>
  <c r="G1167" i="1"/>
  <c r="F1167" i="1"/>
  <c r="E1167" i="1"/>
  <c r="AJ1166" i="1"/>
  <c r="AK1164" i="1" s="1"/>
  <c r="AI1165" i="1"/>
  <c r="AH1165" i="1"/>
  <c r="AG1165" i="1"/>
  <c r="AF1165" i="1"/>
  <c r="AE1165" i="1"/>
  <c r="AD1165" i="1"/>
  <c r="AC1165" i="1"/>
  <c r="AB1165" i="1"/>
  <c r="AA1165" i="1"/>
  <c r="Z1165" i="1"/>
  <c r="Y1165" i="1"/>
  <c r="X1165" i="1"/>
  <c r="W1165" i="1"/>
  <c r="V1165" i="1"/>
  <c r="U1165" i="1"/>
  <c r="T1165" i="1"/>
  <c r="S1165" i="1"/>
  <c r="R1165" i="1"/>
  <c r="Q1165" i="1"/>
  <c r="P1165" i="1"/>
  <c r="O1165" i="1"/>
  <c r="N1165" i="1"/>
  <c r="M1165" i="1"/>
  <c r="L1165" i="1"/>
  <c r="K1165" i="1"/>
  <c r="J1165" i="1"/>
  <c r="I1165" i="1"/>
  <c r="H1165" i="1"/>
  <c r="G1165" i="1"/>
  <c r="F1165" i="1"/>
  <c r="E1165" i="1"/>
  <c r="AJ1164" i="1"/>
  <c r="C1159" i="1"/>
  <c r="AI1158" i="1"/>
  <c r="AH1158" i="1"/>
  <c r="AG1158" i="1"/>
  <c r="AF1158" i="1"/>
  <c r="AE1158" i="1"/>
  <c r="AD1158" i="1"/>
  <c r="AC1158" i="1"/>
  <c r="AB1158" i="1"/>
  <c r="AA1158" i="1"/>
  <c r="Z1158" i="1"/>
  <c r="Y1158" i="1"/>
  <c r="X1158" i="1"/>
  <c r="W1158" i="1"/>
  <c r="V1158" i="1"/>
  <c r="U1158" i="1"/>
  <c r="T1158" i="1"/>
  <c r="S1158" i="1"/>
  <c r="R1158" i="1"/>
  <c r="Q1158" i="1"/>
  <c r="P1158" i="1"/>
  <c r="O1158" i="1"/>
  <c r="N1158" i="1"/>
  <c r="M1158" i="1"/>
  <c r="L1158" i="1"/>
  <c r="K1158" i="1"/>
  <c r="J1158" i="1"/>
  <c r="I1158" i="1"/>
  <c r="H1158" i="1"/>
  <c r="G1158" i="1"/>
  <c r="F1158" i="1"/>
  <c r="E1158" i="1"/>
  <c r="E1160" i="1" s="1"/>
  <c r="AJ1156" i="1"/>
  <c r="AJ1155" i="1"/>
  <c r="AJ1154" i="1"/>
  <c r="AI1153" i="1"/>
  <c r="AH1153" i="1"/>
  <c r="AG1153" i="1"/>
  <c r="AF1153" i="1"/>
  <c r="AE1153" i="1"/>
  <c r="AD1153" i="1"/>
  <c r="AC1153" i="1"/>
  <c r="AB1153" i="1"/>
  <c r="AA1153" i="1"/>
  <c r="Z1153" i="1"/>
  <c r="Y1153" i="1"/>
  <c r="X1153" i="1"/>
  <c r="W1153" i="1"/>
  <c r="V1153" i="1"/>
  <c r="U1153" i="1"/>
  <c r="T1153" i="1"/>
  <c r="S1153" i="1"/>
  <c r="R1153" i="1"/>
  <c r="Q1153" i="1"/>
  <c r="P1153" i="1"/>
  <c r="O1153" i="1"/>
  <c r="N1153" i="1"/>
  <c r="M1153" i="1"/>
  <c r="L1153" i="1"/>
  <c r="K1153" i="1"/>
  <c r="J1153" i="1"/>
  <c r="I1153" i="1"/>
  <c r="H1153" i="1"/>
  <c r="G1153" i="1"/>
  <c r="F1153" i="1"/>
  <c r="E1153" i="1"/>
  <c r="AJ1152" i="1"/>
  <c r="AK1150" i="1" s="1"/>
  <c r="AI1151" i="1"/>
  <c r="AH1151" i="1"/>
  <c r="AG1151" i="1"/>
  <c r="AF1151" i="1"/>
  <c r="AE1151" i="1"/>
  <c r="AD1151" i="1"/>
  <c r="AC1151" i="1"/>
  <c r="AB1151" i="1"/>
  <c r="AA1151" i="1"/>
  <c r="Z1151" i="1"/>
  <c r="Y1151" i="1"/>
  <c r="X1151" i="1"/>
  <c r="W1151" i="1"/>
  <c r="V1151" i="1"/>
  <c r="U1151" i="1"/>
  <c r="T1151" i="1"/>
  <c r="S1151" i="1"/>
  <c r="R1151" i="1"/>
  <c r="Q1151" i="1"/>
  <c r="P1151" i="1"/>
  <c r="O1151" i="1"/>
  <c r="N1151" i="1"/>
  <c r="M1151" i="1"/>
  <c r="L1151" i="1"/>
  <c r="K1151" i="1"/>
  <c r="J1151" i="1"/>
  <c r="I1151" i="1"/>
  <c r="H1151" i="1"/>
  <c r="G1151" i="1"/>
  <c r="F1151" i="1"/>
  <c r="E1151" i="1"/>
  <c r="AJ1150" i="1"/>
  <c r="C1146" i="1"/>
  <c r="AI1145" i="1"/>
  <c r="AH1145" i="1"/>
  <c r="AG1145" i="1"/>
  <c r="AF1145" i="1"/>
  <c r="AE1145" i="1"/>
  <c r="AD1145" i="1"/>
  <c r="AC1145" i="1"/>
  <c r="AB1145" i="1"/>
  <c r="AA1145" i="1"/>
  <c r="Z1145" i="1"/>
  <c r="Y1145" i="1"/>
  <c r="X1145" i="1"/>
  <c r="W1145" i="1"/>
  <c r="V1145" i="1"/>
  <c r="U1145" i="1"/>
  <c r="T1145" i="1"/>
  <c r="S1145" i="1"/>
  <c r="R1145" i="1"/>
  <c r="Q1145" i="1"/>
  <c r="P1145" i="1"/>
  <c r="O1145" i="1"/>
  <c r="N1145" i="1"/>
  <c r="M1145" i="1"/>
  <c r="L1145" i="1"/>
  <c r="K1145" i="1"/>
  <c r="J1145" i="1"/>
  <c r="I1145" i="1"/>
  <c r="H1145" i="1"/>
  <c r="G1145" i="1"/>
  <c r="F1145" i="1"/>
  <c r="E1145" i="1"/>
  <c r="AJ1143" i="1"/>
  <c r="AJ1142" i="1"/>
  <c r="AJ1141" i="1"/>
  <c r="AI1140" i="1"/>
  <c r="AH1140" i="1"/>
  <c r="AG1140" i="1"/>
  <c r="AF1140" i="1"/>
  <c r="AE1140" i="1"/>
  <c r="AD1140" i="1"/>
  <c r="AC1140" i="1"/>
  <c r="AA1140" i="1"/>
  <c r="Z1140" i="1"/>
  <c r="Y1140" i="1"/>
  <c r="X1140" i="1"/>
  <c r="W1140" i="1"/>
  <c r="V1140" i="1"/>
  <c r="U1140" i="1"/>
  <c r="T1140" i="1"/>
  <c r="S1140" i="1"/>
  <c r="R1140" i="1"/>
  <c r="Q1140" i="1"/>
  <c r="P1140" i="1"/>
  <c r="O1140" i="1"/>
  <c r="N1140" i="1"/>
  <c r="M1140" i="1"/>
  <c r="L1140" i="1"/>
  <c r="K1140" i="1"/>
  <c r="J1140" i="1"/>
  <c r="I1140" i="1"/>
  <c r="H1140" i="1"/>
  <c r="G1140" i="1"/>
  <c r="F1140" i="1"/>
  <c r="E1140" i="1"/>
  <c r="AJ1139" i="1"/>
  <c r="AK1137" i="1" s="1"/>
  <c r="AI1138" i="1"/>
  <c r="AH1138" i="1"/>
  <c r="AG1138" i="1"/>
  <c r="AF1138" i="1"/>
  <c r="AE1138" i="1"/>
  <c r="AD1138" i="1"/>
  <c r="AC1138" i="1"/>
  <c r="AB1138" i="1"/>
  <c r="AA1138" i="1"/>
  <c r="Z1138" i="1"/>
  <c r="Y1138" i="1"/>
  <c r="X1138" i="1"/>
  <c r="W1138" i="1"/>
  <c r="V1138" i="1"/>
  <c r="U1138" i="1"/>
  <c r="T1138" i="1"/>
  <c r="S1138" i="1"/>
  <c r="R1138" i="1"/>
  <c r="Q1138" i="1"/>
  <c r="P1138" i="1"/>
  <c r="O1138" i="1"/>
  <c r="N1138" i="1"/>
  <c r="M1138" i="1"/>
  <c r="L1138" i="1"/>
  <c r="K1138" i="1"/>
  <c r="J1138" i="1"/>
  <c r="I1138" i="1"/>
  <c r="H1138" i="1"/>
  <c r="G1138" i="1"/>
  <c r="F1138" i="1"/>
  <c r="E1138" i="1"/>
  <c r="AJ1137" i="1"/>
  <c r="C1132" i="1"/>
  <c r="AI1131" i="1"/>
  <c r="AH1131" i="1"/>
  <c r="AG1131" i="1"/>
  <c r="AF1131" i="1"/>
  <c r="AE1131" i="1"/>
  <c r="AD1131" i="1"/>
  <c r="AC1131" i="1"/>
  <c r="AB1131" i="1"/>
  <c r="AA1131" i="1"/>
  <c r="Z1131" i="1"/>
  <c r="Y1131" i="1"/>
  <c r="X1131" i="1"/>
  <c r="W1131" i="1"/>
  <c r="V1131" i="1"/>
  <c r="U1131" i="1"/>
  <c r="T1131" i="1"/>
  <c r="S1131" i="1"/>
  <c r="R1131" i="1"/>
  <c r="Q1131" i="1"/>
  <c r="P1131" i="1"/>
  <c r="O1131" i="1"/>
  <c r="N1131" i="1"/>
  <c r="M1131" i="1"/>
  <c r="L1131" i="1"/>
  <c r="K1131" i="1"/>
  <c r="J1131" i="1"/>
  <c r="I1131" i="1"/>
  <c r="H1131" i="1"/>
  <c r="G1131" i="1"/>
  <c r="F1131" i="1"/>
  <c r="E1131" i="1"/>
  <c r="AJ1129" i="1"/>
  <c r="AJ1128" i="1"/>
  <c r="AJ1127" i="1"/>
  <c r="AI1126" i="1"/>
  <c r="AH1126" i="1"/>
  <c r="AG1126" i="1"/>
  <c r="AF1126" i="1"/>
  <c r="AE1126" i="1"/>
  <c r="AD1126" i="1"/>
  <c r="AC1126" i="1"/>
  <c r="AB1126" i="1"/>
  <c r="AA1126" i="1"/>
  <c r="Z1126" i="1"/>
  <c r="Y1126" i="1"/>
  <c r="X1126" i="1"/>
  <c r="W1126" i="1"/>
  <c r="V1126" i="1"/>
  <c r="U1126" i="1"/>
  <c r="T1126" i="1"/>
  <c r="S1126" i="1"/>
  <c r="R1126" i="1"/>
  <c r="Q1126" i="1"/>
  <c r="P1126" i="1"/>
  <c r="O1126" i="1"/>
  <c r="N1126" i="1"/>
  <c r="M1126" i="1"/>
  <c r="L1126" i="1"/>
  <c r="K1126" i="1"/>
  <c r="J1126" i="1"/>
  <c r="I1126" i="1"/>
  <c r="H1126" i="1"/>
  <c r="G1126" i="1"/>
  <c r="F1126" i="1"/>
  <c r="E1126" i="1"/>
  <c r="AJ1125" i="1"/>
  <c r="AK1123" i="1" s="1"/>
  <c r="AI1124" i="1"/>
  <c r="AH1124" i="1"/>
  <c r="AG1124" i="1"/>
  <c r="AF1124" i="1"/>
  <c r="AE1124" i="1"/>
  <c r="AD1124" i="1"/>
  <c r="AC1124" i="1"/>
  <c r="AB1124" i="1"/>
  <c r="AA1124" i="1"/>
  <c r="Z1124" i="1"/>
  <c r="Y1124" i="1"/>
  <c r="X1124" i="1"/>
  <c r="W1124" i="1"/>
  <c r="V1124" i="1"/>
  <c r="U1124" i="1"/>
  <c r="T1124" i="1"/>
  <c r="S1124" i="1"/>
  <c r="R1124" i="1"/>
  <c r="Q1124" i="1"/>
  <c r="P1124" i="1"/>
  <c r="O1124" i="1"/>
  <c r="N1124" i="1"/>
  <c r="M1124" i="1"/>
  <c r="L1124" i="1"/>
  <c r="K1124" i="1"/>
  <c r="J1124" i="1"/>
  <c r="I1124" i="1"/>
  <c r="H1124" i="1"/>
  <c r="G1124" i="1"/>
  <c r="F1124" i="1"/>
  <c r="E1124" i="1"/>
  <c r="AJ1123" i="1"/>
  <c r="C1118" i="1"/>
  <c r="AI1117" i="1"/>
  <c r="AH1117" i="1"/>
  <c r="AG1117" i="1"/>
  <c r="AF1117" i="1"/>
  <c r="AE1117" i="1"/>
  <c r="AD1117" i="1"/>
  <c r="AC1117" i="1"/>
  <c r="AB1117" i="1"/>
  <c r="AA1117" i="1"/>
  <c r="Z1117" i="1"/>
  <c r="Y1117" i="1"/>
  <c r="X1117" i="1"/>
  <c r="W1117" i="1"/>
  <c r="V1117" i="1"/>
  <c r="U1117" i="1"/>
  <c r="T1117" i="1"/>
  <c r="S1117" i="1"/>
  <c r="R1117" i="1"/>
  <c r="Q1117" i="1"/>
  <c r="P1117" i="1"/>
  <c r="O1117" i="1"/>
  <c r="N1117" i="1"/>
  <c r="M1117" i="1"/>
  <c r="L1117" i="1"/>
  <c r="K1117" i="1"/>
  <c r="J1117" i="1"/>
  <c r="I1117" i="1"/>
  <c r="H1117" i="1"/>
  <c r="G1117" i="1"/>
  <c r="F1117" i="1"/>
  <c r="E1117" i="1"/>
  <c r="AJ1115" i="1"/>
  <c r="AJ1114" i="1"/>
  <c r="AJ1113" i="1"/>
  <c r="AI1112" i="1"/>
  <c r="AH1112" i="1"/>
  <c r="AG1112" i="1"/>
  <c r="AF1112" i="1"/>
  <c r="AE1112" i="1"/>
  <c r="AD1112" i="1"/>
  <c r="AC1112" i="1"/>
  <c r="AA1112" i="1"/>
  <c r="Z1112" i="1"/>
  <c r="Y1112" i="1"/>
  <c r="X1112" i="1"/>
  <c r="W1112" i="1"/>
  <c r="V1112" i="1"/>
  <c r="U1112" i="1"/>
  <c r="T1112" i="1"/>
  <c r="S1112" i="1"/>
  <c r="R1112" i="1"/>
  <c r="Q1112" i="1"/>
  <c r="P1112" i="1"/>
  <c r="O1112" i="1"/>
  <c r="N1112" i="1"/>
  <c r="M1112" i="1"/>
  <c r="L1112" i="1"/>
  <c r="K1112" i="1"/>
  <c r="J1112" i="1"/>
  <c r="I1112" i="1"/>
  <c r="H1112" i="1"/>
  <c r="G1112" i="1"/>
  <c r="F1112" i="1"/>
  <c r="E1112" i="1"/>
  <c r="AJ1111" i="1"/>
  <c r="AK1109" i="1" s="1"/>
  <c r="E1110" i="1"/>
  <c r="F1110" i="1" s="1"/>
  <c r="G1110" i="1" s="1"/>
  <c r="H1110" i="1" s="1"/>
  <c r="I1110" i="1" s="1"/>
  <c r="J1110" i="1" s="1"/>
  <c r="K1110" i="1" s="1"/>
  <c r="L1110" i="1" s="1"/>
  <c r="M1110" i="1" s="1"/>
  <c r="N1110" i="1" s="1"/>
  <c r="O1110" i="1" s="1"/>
  <c r="P1110" i="1" s="1"/>
  <c r="Q1110" i="1" s="1"/>
  <c r="R1110" i="1" s="1"/>
  <c r="S1110" i="1" s="1"/>
  <c r="T1110" i="1" s="1"/>
  <c r="U1110" i="1" s="1"/>
  <c r="V1110" i="1" s="1"/>
  <c r="W1110" i="1" s="1"/>
  <c r="X1110" i="1" s="1"/>
  <c r="Y1110" i="1" s="1"/>
  <c r="Z1110" i="1" s="1"/>
  <c r="AA1110" i="1" s="1"/>
  <c r="AB1110" i="1" s="1"/>
  <c r="AC1110" i="1" s="1"/>
  <c r="AD1110" i="1" s="1"/>
  <c r="AE1110" i="1" s="1"/>
  <c r="AF1110" i="1" s="1"/>
  <c r="AG1110" i="1" s="1"/>
  <c r="AH1110" i="1" s="1"/>
  <c r="AI1110" i="1" s="1"/>
  <c r="AJ1109" i="1"/>
  <c r="C1104" i="1"/>
  <c r="AI1103" i="1"/>
  <c r="AH1103" i="1"/>
  <c r="AG1103" i="1"/>
  <c r="AF1103" i="1"/>
  <c r="AE1103" i="1"/>
  <c r="AD1103" i="1"/>
  <c r="AC1103" i="1"/>
  <c r="AB1103" i="1"/>
  <c r="AA1103" i="1"/>
  <c r="Z1103" i="1"/>
  <c r="Y1103" i="1"/>
  <c r="X1103" i="1"/>
  <c r="W1103" i="1"/>
  <c r="V1103" i="1"/>
  <c r="U1103" i="1"/>
  <c r="T1103" i="1"/>
  <c r="S1103" i="1"/>
  <c r="R1103" i="1"/>
  <c r="Q1103" i="1"/>
  <c r="P1103" i="1"/>
  <c r="O1103" i="1"/>
  <c r="N1103" i="1"/>
  <c r="M1103" i="1"/>
  <c r="L1103" i="1"/>
  <c r="K1103" i="1"/>
  <c r="J1103" i="1"/>
  <c r="I1103" i="1"/>
  <c r="H1103" i="1"/>
  <c r="G1103" i="1"/>
  <c r="F1103" i="1"/>
  <c r="E1103" i="1"/>
  <c r="E1108" i="1" s="1"/>
  <c r="AJ1101" i="1"/>
  <c r="AJ1100" i="1"/>
  <c r="AJ1099" i="1"/>
  <c r="AI1098" i="1"/>
  <c r="AH1098" i="1"/>
  <c r="AG1098" i="1"/>
  <c r="AF1098" i="1"/>
  <c r="AE1098" i="1"/>
  <c r="AD1098" i="1"/>
  <c r="AC1098" i="1"/>
  <c r="AB1098" i="1"/>
  <c r="AA1098" i="1"/>
  <c r="Z1098" i="1"/>
  <c r="Y1098" i="1"/>
  <c r="X1098" i="1"/>
  <c r="W1098" i="1"/>
  <c r="V1098" i="1"/>
  <c r="U1098" i="1"/>
  <c r="T1098" i="1"/>
  <c r="S1098" i="1"/>
  <c r="R1098" i="1"/>
  <c r="Q1098" i="1"/>
  <c r="P1098" i="1"/>
  <c r="O1098" i="1"/>
  <c r="N1098" i="1"/>
  <c r="M1098" i="1"/>
  <c r="L1098" i="1"/>
  <c r="K1098" i="1"/>
  <c r="J1098" i="1"/>
  <c r="I1098" i="1"/>
  <c r="H1098" i="1"/>
  <c r="G1098" i="1"/>
  <c r="F1098" i="1"/>
  <c r="E1098" i="1"/>
  <c r="AJ1097" i="1"/>
  <c r="AK1095" i="1" s="1"/>
  <c r="AI1096" i="1"/>
  <c r="AH1096" i="1"/>
  <c r="AG1096" i="1"/>
  <c r="AF1096" i="1"/>
  <c r="AE1096" i="1"/>
  <c r="AD1096" i="1"/>
  <c r="AC1096" i="1"/>
  <c r="AB1096" i="1"/>
  <c r="AA1096" i="1"/>
  <c r="Z1096" i="1"/>
  <c r="Y1096" i="1"/>
  <c r="X1096" i="1"/>
  <c r="W1096" i="1"/>
  <c r="V1096" i="1"/>
  <c r="U1096" i="1"/>
  <c r="T1096" i="1"/>
  <c r="S1096" i="1"/>
  <c r="R1096" i="1"/>
  <c r="Q1096" i="1"/>
  <c r="P1096" i="1"/>
  <c r="O1096" i="1"/>
  <c r="N1096" i="1"/>
  <c r="M1096" i="1"/>
  <c r="L1096" i="1"/>
  <c r="K1096" i="1"/>
  <c r="J1096" i="1"/>
  <c r="I1096" i="1"/>
  <c r="H1096" i="1"/>
  <c r="G1096" i="1"/>
  <c r="F1096" i="1"/>
  <c r="E1096" i="1"/>
  <c r="AJ1095" i="1"/>
  <c r="C1090" i="1"/>
  <c r="AI1089" i="1"/>
  <c r="AH1089" i="1"/>
  <c r="AG1089" i="1"/>
  <c r="AF1089" i="1"/>
  <c r="AE1089" i="1"/>
  <c r="AD1089" i="1"/>
  <c r="AC1089" i="1"/>
  <c r="AB1089" i="1"/>
  <c r="AA1089" i="1"/>
  <c r="Z1089" i="1"/>
  <c r="Y1089" i="1"/>
  <c r="X1089" i="1"/>
  <c r="W1089" i="1"/>
  <c r="V1089" i="1"/>
  <c r="U1089" i="1"/>
  <c r="T1089" i="1"/>
  <c r="S1089" i="1"/>
  <c r="R1089" i="1"/>
  <c r="Q1089" i="1"/>
  <c r="P1089" i="1"/>
  <c r="O1089" i="1"/>
  <c r="N1089" i="1"/>
  <c r="M1089" i="1"/>
  <c r="L1089" i="1"/>
  <c r="K1089" i="1"/>
  <c r="J1089" i="1"/>
  <c r="I1089" i="1"/>
  <c r="H1089" i="1"/>
  <c r="G1089" i="1"/>
  <c r="F1089" i="1"/>
  <c r="E1089" i="1"/>
  <c r="E1092" i="1" s="1"/>
  <c r="AJ1087" i="1"/>
  <c r="AJ1086" i="1"/>
  <c r="AJ1085" i="1"/>
  <c r="AI1084" i="1"/>
  <c r="AH1084" i="1"/>
  <c r="AG1084" i="1"/>
  <c r="AF1084" i="1"/>
  <c r="AE1084" i="1"/>
  <c r="AD1084" i="1"/>
  <c r="AC1084" i="1"/>
  <c r="AB1084" i="1"/>
  <c r="AA1084" i="1"/>
  <c r="Z1084" i="1"/>
  <c r="Y1084" i="1"/>
  <c r="X1084" i="1"/>
  <c r="W1084" i="1"/>
  <c r="V1084" i="1"/>
  <c r="U1084" i="1"/>
  <c r="T1084" i="1"/>
  <c r="S1084" i="1"/>
  <c r="R1084" i="1"/>
  <c r="Q1084" i="1"/>
  <c r="P1084" i="1"/>
  <c r="O1084" i="1"/>
  <c r="N1084" i="1"/>
  <c r="M1084" i="1"/>
  <c r="L1084" i="1"/>
  <c r="J1084" i="1"/>
  <c r="I1084" i="1"/>
  <c r="H1084" i="1"/>
  <c r="G1084" i="1"/>
  <c r="F1084" i="1"/>
  <c r="E1084" i="1"/>
  <c r="AJ1083" i="1"/>
  <c r="AK1081" i="1" s="1"/>
  <c r="E1082" i="1"/>
  <c r="F1082" i="1" s="1"/>
  <c r="G1082" i="1" s="1"/>
  <c r="H1082" i="1" s="1"/>
  <c r="I1082" i="1" s="1"/>
  <c r="J1082" i="1" s="1"/>
  <c r="K1082" i="1" s="1"/>
  <c r="L1082" i="1" s="1"/>
  <c r="M1082" i="1" s="1"/>
  <c r="N1082" i="1" s="1"/>
  <c r="O1082" i="1" s="1"/>
  <c r="P1082" i="1" s="1"/>
  <c r="Q1082" i="1" s="1"/>
  <c r="R1082" i="1" s="1"/>
  <c r="S1082" i="1" s="1"/>
  <c r="T1082" i="1" s="1"/>
  <c r="U1082" i="1" s="1"/>
  <c r="V1082" i="1" s="1"/>
  <c r="W1082" i="1" s="1"/>
  <c r="X1082" i="1" s="1"/>
  <c r="Y1082" i="1" s="1"/>
  <c r="Z1082" i="1" s="1"/>
  <c r="AA1082" i="1" s="1"/>
  <c r="AB1082" i="1" s="1"/>
  <c r="AC1082" i="1" s="1"/>
  <c r="AD1082" i="1" s="1"/>
  <c r="AE1082" i="1" s="1"/>
  <c r="AF1082" i="1" s="1"/>
  <c r="AG1082" i="1" s="1"/>
  <c r="AH1082" i="1" s="1"/>
  <c r="AI1082" i="1" s="1"/>
  <c r="AJ1081" i="1"/>
  <c r="C1076" i="1"/>
  <c r="AI1075" i="1"/>
  <c r="AH1075" i="1"/>
  <c r="AG1075" i="1"/>
  <c r="AF1075" i="1"/>
  <c r="AE1075" i="1"/>
  <c r="AD1075" i="1"/>
  <c r="AC1075" i="1"/>
  <c r="AB1075" i="1"/>
  <c r="AA1075" i="1"/>
  <c r="Z1075" i="1"/>
  <c r="Y1075" i="1"/>
  <c r="X1075" i="1"/>
  <c r="W1075" i="1"/>
  <c r="V1075" i="1"/>
  <c r="U1075" i="1"/>
  <c r="T1075" i="1"/>
  <c r="S1075" i="1"/>
  <c r="R1075" i="1"/>
  <c r="Q1075" i="1"/>
  <c r="P1075" i="1"/>
  <c r="O1075" i="1"/>
  <c r="N1075" i="1"/>
  <c r="M1075" i="1"/>
  <c r="L1075" i="1"/>
  <c r="K1075" i="1"/>
  <c r="J1075" i="1"/>
  <c r="I1075" i="1"/>
  <c r="H1075" i="1"/>
  <c r="G1075" i="1"/>
  <c r="F1075" i="1"/>
  <c r="E1075" i="1"/>
  <c r="E1078" i="1" s="1"/>
  <c r="AJ1073" i="1"/>
  <c r="AJ1072" i="1"/>
  <c r="AJ1071" i="1"/>
  <c r="AI1070" i="1"/>
  <c r="AH1070" i="1"/>
  <c r="AG1070" i="1"/>
  <c r="AF1070" i="1"/>
  <c r="AE1070" i="1"/>
  <c r="AD1070" i="1"/>
  <c r="AC1070" i="1"/>
  <c r="AB1070" i="1"/>
  <c r="AA1070" i="1"/>
  <c r="Z1070" i="1"/>
  <c r="Y1070" i="1"/>
  <c r="X1070" i="1"/>
  <c r="W1070" i="1"/>
  <c r="V1070" i="1"/>
  <c r="T1070" i="1"/>
  <c r="S1070" i="1"/>
  <c r="R1070" i="1"/>
  <c r="Q1070" i="1"/>
  <c r="P1070" i="1"/>
  <c r="O1070" i="1"/>
  <c r="N1070" i="1"/>
  <c r="M1070" i="1"/>
  <c r="L1070" i="1"/>
  <c r="J1070" i="1"/>
  <c r="I1070" i="1"/>
  <c r="H1070" i="1"/>
  <c r="G1070" i="1"/>
  <c r="F1070" i="1"/>
  <c r="E1070" i="1"/>
  <c r="AJ1069" i="1"/>
  <c r="AK1067" i="1" s="1"/>
  <c r="E1068" i="1"/>
  <c r="F1068" i="1" s="1"/>
  <c r="G1068" i="1" s="1"/>
  <c r="H1068" i="1" s="1"/>
  <c r="I1068" i="1" s="1"/>
  <c r="J1068" i="1" s="1"/>
  <c r="K1068" i="1" s="1"/>
  <c r="L1068" i="1" s="1"/>
  <c r="M1068" i="1" s="1"/>
  <c r="N1068" i="1" s="1"/>
  <c r="O1068" i="1" s="1"/>
  <c r="P1068" i="1" s="1"/>
  <c r="Q1068" i="1" s="1"/>
  <c r="R1068" i="1" s="1"/>
  <c r="S1068" i="1" s="1"/>
  <c r="T1068" i="1" s="1"/>
  <c r="U1068" i="1" s="1"/>
  <c r="V1068" i="1" s="1"/>
  <c r="W1068" i="1" s="1"/>
  <c r="X1068" i="1" s="1"/>
  <c r="Y1068" i="1" s="1"/>
  <c r="Z1068" i="1" s="1"/>
  <c r="AA1068" i="1" s="1"/>
  <c r="AB1068" i="1" s="1"/>
  <c r="AC1068" i="1" s="1"/>
  <c r="AD1068" i="1" s="1"/>
  <c r="AE1068" i="1" s="1"/>
  <c r="AF1068" i="1" s="1"/>
  <c r="AG1068" i="1" s="1"/>
  <c r="AH1068" i="1" s="1"/>
  <c r="AI1068" i="1" s="1"/>
  <c r="AJ1067" i="1"/>
  <c r="C1063" i="1"/>
  <c r="AI1062" i="1"/>
  <c r="AH1062" i="1"/>
  <c r="AG1062" i="1"/>
  <c r="AF1062" i="1"/>
  <c r="AE1062" i="1"/>
  <c r="AD1062" i="1"/>
  <c r="AC1062" i="1"/>
  <c r="AB1062" i="1"/>
  <c r="AA1062" i="1"/>
  <c r="Z1062" i="1"/>
  <c r="Y1062" i="1"/>
  <c r="X1062" i="1"/>
  <c r="W1062" i="1"/>
  <c r="V1062" i="1"/>
  <c r="U1062" i="1"/>
  <c r="T1062" i="1"/>
  <c r="S1062" i="1"/>
  <c r="R1062" i="1"/>
  <c r="Q1062" i="1"/>
  <c r="P1062" i="1"/>
  <c r="O1062" i="1"/>
  <c r="N1062" i="1"/>
  <c r="M1062" i="1"/>
  <c r="L1062" i="1"/>
  <c r="K1062" i="1"/>
  <c r="J1062" i="1"/>
  <c r="I1062" i="1"/>
  <c r="H1062" i="1"/>
  <c r="G1062" i="1"/>
  <c r="F1062" i="1"/>
  <c r="E1062" i="1"/>
  <c r="AJ1060" i="1"/>
  <c r="AJ1059" i="1"/>
  <c r="AJ1058" i="1"/>
  <c r="AI1057" i="1"/>
  <c r="AH1057" i="1"/>
  <c r="AG1057" i="1"/>
  <c r="AF1057" i="1"/>
  <c r="AE1057" i="1"/>
  <c r="AD1057" i="1"/>
  <c r="AC1057" i="1"/>
  <c r="AB1057" i="1"/>
  <c r="AA1057" i="1"/>
  <c r="Z1057" i="1"/>
  <c r="Y1057" i="1"/>
  <c r="X1057" i="1"/>
  <c r="W1057" i="1"/>
  <c r="V1057" i="1"/>
  <c r="U1057" i="1"/>
  <c r="T1057" i="1"/>
  <c r="S1057" i="1"/>
  <c r="R1057" i="1"/>
  <c r="Q1057" i="1"/>
  <c r="P1057" i="1"/>
  <c r="O1057" i="1"/>
  <c r="N1057" i="1"/>
  <c r="M1057" i="1"/>
  <c r="L1057" i="1"/>
  <c r="K1057" i="1"/>
  <c r="J1057" i="1"/>
  <c r="I1057" i="1"/>
  <c r="H1057" i="1"/>
  <c r="G1057" i="1"/>
  <c r="F1057" i="1"/>
  <c r="E1057" i="1"/>
  <c r="AJ1056" i="1"/>
  <c r="AI1055" i="1"/>
  <c r="AH1055" i="1"/>
  <c r="AG1055" i="1"/>
  <c r="AF1055" i="1"/>
  <c r="AE1055" i="1"/>
  <c r="AD1055" i="1"/>
  <c r="AC1055" i="1"/>
  <c r="AB1055" i="1"/>
  <c r="AA1055" i="1"/>
  <c r="Z1055" i="1"/>
  <c r="Y1055" i="1"/>
  <c r="X1055" i="1"/>
  <c r="W1055" i="1"/>
  <c r="V1055" i="1"/>
  <c r="U1055" i="1"/>
  <c r="T1055" i="1"/>
  <c r="S1055" i="1"/>
  <c r="R1055" i="1"/>
  <c r="Q1055" i="1"/>
  <c r="P1055" i="1"/>
  <c r="O1055" i="1"/>
  <c r="N1055" i="1"/>
  <c r="M1055" i="1"/>
  <c r="L1055" i="1"/>
  <c r="K1055" i="1"/>
  <c r="J1055" i="1"/>
  <c r="I1055" i="1"/>
  <c r="H1055" i="1"/>
  <c r="G1055" i="1"/>
  <c r="F1055" i="1"/>
  <c r="E1055" i="1"/>
  <c r="AJ1054" i="1"/>
  <c r="C1049" i="1"/>
  <c r="AI1048" i="1"/>
  <c r="AH1048" i="1"/>
  <c r="AG1048" i="1"/>
  <c r="AF1048" i="1"/>
  <c r="AE1048" i="1"/>
  <c r="AD1048" i="1"/>
  <c r="AC1048" i="1"/>
  <c r="AB1048" i="1"/>
  <c r="AA1048" i="1"/>
  <c r="Z1048" i="1"/>
  <c r="Y1048" i="1"/>
  <c r="X1048" i="1"/>
  <c r="W1048" i="1"/>
  <c r="V1048" i="1"/>
  <c r="U1048" i="1"/>
  <c r="T1048" i="1"/>
  <c r="S1048" i="1"/>
  <c r="R1048" i="1"/>
  <c r="Q1048" i="1"/>
  <c r="P1048" i="1"/>
  <c r="O1048" i="1"/>
  <c r="N1048" i="1"/>
  <c r="M1048" i="1"/>
  <c r="L1048" i="1"/>
  <c r="K1048" i="1"/>
  <c r="J1048" i="1"/>
  <c r="I1048" i="1"/>
  <c r="H1048" i="1"/>
  <c r="G1048" i="1"/>
  <c r="F1048" i="1"/>
  <c r="E1048" i="1"/>
  <c r="AJ1046" i="1"/>
  <c r="AJ1045" i="1"/>
  <c r="AJ1044" i="1"/>
  <c r="AI1043" i="1"/>
  <c r="AH1043" i="1"/>
  <c r="AG1043" i="1"/>
  <c r="AF1043" i="1"/>
  <c r="AE1043" i="1"/>
  <c r="AD1043" i="1"/>
  <c r="AC1043" i="1"/>
  <c r="AB1043" i="1"/>
  <c r="AA1043" i="1"/>
  <c r="Z1043" i="1"/>
  <c r="Y1043" i="1"/>
  <c r="X1043" i="1"/>
  <c r="W1043" i="1"/>
  <c r="V1043" i="1"/>
  <c r="U1043" i="1"/>
  <c r="T1043" i="1"/>
  <c r="S1043" i="1"/>
  <c r="R1043" i="1"/>
  <c r="Q1043" i="1"/>
  <c r="P1043" i="1"/>
  <c r="O1043" i="1"/>
  <c r="N1043" i="1"/>
  <c r="M1043" i="1"/>
  <c r="L1043" i="1"/>
  <c r="K1043" i="1"/>
  <c r="J1043" i="1"/>
  <c r="I1043" i="1"/>
  <c r="H1043" i="1"/>
  <c r="G1043" i="1"/>
  <c r="F1043" i="1"/>
  <c r="E1043" i="1"/>
  <c r="AJ1042" i="1"/>
  <c r="AK1040" i="1" s="1"/>
  <c r="AI1041" i="1"/>
  <c r="AH1041" i="1"/>
  <c r="AG1041" i="1"/>
  <c r="AF1041" i="1"/>
  <c r="AE1041" i="1"/>
  <c r="AD1041" i="1"/>
  <c r="AC1041" i="1"/>
  <c r="AB1041" i="1"/>
  <c r="AA1041" i="1"/>
  <c r="Z1041" i="1"/>
  <c r="Y1041" i="1"/>
  <c r="X1041" i="1"/>
  <c r="W1041" i="1"/>
  <c r="V1041" i="1"/>
  <c r="U1041" i="1"/>
  <c r="T1041" i="1"/>
  <c r="S1041" i="1"/>
  <c r="R1041" i="1"/>
  <c r="Q1041" i="1"/>
  <c r="P1041" i="1"/>
  <c r="O1041" i="1"/>
  <c r="N1041" i="1"/>
  <c r="M1041" i="1"/>
  <c r="L1041" i="1"/>
  <c r="K1041" i="1"/>
  <c r="J1041" i="1"/>
  <c r="I1041" i="1"/>
  <c r="H1041" i="1"/>
  <c r="G1041" i="1"/>
  <c r="F1041" i="1"/>
  <c r="E1041" i="1"/>
  <c r="AJ1040" i="1"/>
  <c r="C1035" i="1"/>
  <c r="AI1034" i="1"/>
  <c r="AH1034" i="1"/>
  <c r="AG1034" i="1"/>
  <c r="AF1034" i="1"/>
  <c r="AE1034" i="1"/>
  <c r="AD1034" i="1"/>
  <c r="AC1034" i="1"/>
  <c r="AB1034" i="1"/>
  <c r="AA1034" i="1"/>
  <c r="Z1034" i="1"/>
  <c r="Y1034" i="1"/>
  <c r="X1034" i="1"/>
  <c r="W1034" i="1"/>
  <c r="V1034" i="1"/>
  <c r="U1034" i="1"/>
  <c r="T1034" i="1"/>
  <c r="S1034" i="1"/>
  <c r="R1034" i="1"/>
  <c r="Q1034" i="1"/>
  <c r="P1034" i="1"/>
  <c r="O1034" i="1"/>
  <c r="N1034" i="1"/>
  <c r="M1034" i="1"/>
  <c r="L1034" i="1"/>
  <c r="K1034" i="1"/>
  <c r="J1034" i="1"/>
  <c r="I1034" i="1"/>
  <c r="H1034" i="1"/>
  <c r="G1034" i="1"/>
  <c r="F1034" i="1"/>
  <c r="E1034" i="1"/>
  <c r="AJ1032" i="1"/>
  <c r="AJ1031" i="1"/>
  <c r="AJ1030" i="1"/>
  <c r="AI1029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AJ1028" i="1"/>
  <c r="AK1026" i="1" s="1"/>
  <c r="AI1027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AJ1026" i="1"/>
  <c r="C1022" i="1"/>
  <c r="AI1021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AJ1019" i="1"/>
  <c r="AJ1018" i="1"/>
  <c r="AJ1017" i="1"/>
  <c r="AI1016" i="1"/>
  <c r="AH1016" i="1"/>
  <c r="AG1016" i="1"/>
  <c r="AF1016" i="1"/>
  <c r="AE1016" i="1"/>
  <c r="AD1016" i="1"/>
  <c r="AC1016" i="1"/>
  <c r="AA1016" i="1"/>
  <c r="Z1016" i="1"/>
  <c r="Y1016" i="1"/>
  <c r="X1016" i="1"/>
  <c r="W1016" i="1"/>
  <c r="T1016" i="1"/>
  <c r="S1016" i="1"/>
  <c r="R1016" i="1"/>
  <c r="M1016" i="1"/>
  <c r="L1016" i="1"/>
  <c r="K1016" i="1"/>
  <c r="J1016" i="1"/>
  <c r="I1016" i="1"/>
  <c r="H1016" i="1"/>
  <c r="G1016" i="1"/>
  <c r="F1016" i="1"/>
  <c r="E1016" i="1"/>
  <c r="AJ1015" i="1"/>
  <c r="AK1013" i="1" s="1"/>
  <c r="E1014" i="1"/>
  <c r="F1014" i="1" s="1"/>
  <c r="G1014" i="1" s="1"/>
  <c r="H1014" i="1" s="1"/>
  <c r="I1014" i="1" s="1"/>
  <c r="J1014" i="1" s="1"/>
  <c r="K1014" i="1" s="1"/>
  <c r="L1014" i="1" s="1"/>
  <c r="M1014" i="1" s="1"/>
  <c r="N1014" i="1" s="1"/>
  <c r="O1014" i="1" s="1"/>
  <c r="P1014" i="1" s="1"/>
  <c r="Q1014" i="1" s="1"/>
  <c r="R1014" i="1" s="1"/>
  <c r="S1014" i="1" s="1"/>
  <c r="T1014" i="1" s="1"/>
  <c r="U1014" i="1" s="1"/>
  <c r="V1014" i="1" s="1"/>
  <c r="W1014" i="1" s="1"/>
  <c r="X1014" i="1" s="1"/>
  <c r="Y1014" i="1" s="1"/>
  <c r="Z1014" i="1" s="1"/>
  <c r="AA1014" i="1" s="1"/>
  <c r="AB1014" i="1" s="1"/>
  <c r="AC1014" i="1" s="1"/>
  <c r="AD1014" i="1" s="1"/>
  <c r="AE1014" i="1" s="1"/>
  <c r="AF1014" i="1" s="1"/>
  <c r="AG1014" i="1" s="1"/>
  <c r="AH1014" i="1" s="1"/>
  <c r="AI1014" i="1" s="1"/>
  <c r="AJ1013" i="1"/>
  <c r="C1008" i="1"/>
  <c r="AI1007" i="1"/>
  <c r="AH1007" i="1"/>
  <c r="AH1010" i="1" s="1"/>
  <c r="AG1007" i="1"/>
  <c r="AG1010" i="1" s="1"/>
  <c r="AF1007" i="1"/>
  <c r="AF1010" i="1" s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E1010" i="1" s="1"/>
  <c r="AJ1005" i="1"/>
  <c r="AJ1004" i="1"/>
  <c r="AJ1003" i="1"/>
  <c r="AI1002" i="1"/>
  <c r="AH1002" i="1"/>
  <c r="AG1002" i="1"/>
  <c r="AF1002" i="1"/>
  <c r="AE1002" i="1"/>
  <c r="AD1002" i="1"/>
  <c r="AC1002" i="1"/>
  <c r="AA1002" i="1"/>
  <c r="Z1002" i="1"/>
  <c r="Y1002" i="1"/>
  <c r="X1002" i="1"/>
  <c r="W1002" i="1"/>
  <c r="V1002" i="1"/>
  <c r="T1002" i="1"/>
  <c r="S1002" i="1"/>
  <c r="R1002" i="1"/>
  <c r="M1002" i="1"/>
  <c r="L1002" i="1"/>
  <c r="K1002" i="1"/>
  <c r="J1002" i="1"/>
  <c r="I1002" i="1"/>
  <c r="H1002" i="1"/>
  <c r="G1002" i="1"/>
  <c r="F1002" i="1"/>
  <c r="E1002" i="1"/>
  <c r="AJ1001" i="1"/>
  <c r="AK999" i="1" s="1"/>
  <c r="AJ999" i="1"/>
  <c r="C995" i="1"/>
  <c r="AI994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AJ992" i="1"/>
  <c r="AJ991" i="1"/>
  <c r="AJ990" i="1"/>
  <c r="AI989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Q989" i="1"/>
  <c r="P989" i="1"/>
  <c r="O989" i="1"/>
  <c r="M989" i="1"/>
  <c r="L989" i="1"/>
  <c r="K989" i="1"/>
  <c r="J989" i="1"/>
  <c r="I989" i="1"/>
  <c r="H989" i="1"/>
  <c r="G989" i="1"/>
  <c r="F989" i="1"/>
  <c r="E989" i="1"/>
  <c r="AJ988" i="1"/>
  <c r="AK986" i="1" s="1"/>
  <c r="AI987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AJ986" i="1"/>
  <c r="C981" i="1"/>
  <c r="AI980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E983" i="1" s="1"/>
  <c r="AJ978" i="1"/>
  <c r="AJ977" i="1"/>
  <c r="AJ976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AJ974" i="1"/>
  <c r="AK972" i="1" s="1"/>
  <c r="AI973" i="1"/>
  <c r="AH973" i="1"/>
  <c r="AG973" i="1"/>
  <c r="AC973" i="1"/>
  <c r="AD973" i="1" s="1"/>
  <c r="AE973" i="1" s="1"/>
  <c r="AF973" i="1" s="1"/>
  <c r="AB973" i="1"/>
  <c r="AA973" i="1"/>
  <c r="Z973" i="1"/>
  <c r="Y973" i="1"/>
  <c r="X973" i="1"/>
  <c r="W973" i="1"/>
  <c r="V973" i="1"/>
  <c r="U973" i="1"/>
  <c r="T973" i="1"/>
  <c r="O973" i="1"/>
  <c r="P973" i="1" s="1"/>
  <c r="Q973" i="1" s="1"/>
  <c r="R973" i="1" s="1"/>
  <c r="S973" i="1" s="1"/>
  <c r="N973" i="1"/>
  <c r="G973" i="1"/>
  <c r="H973" i="1" s="1"/>
  <c r="I973" i="1" s="1"/>
  <c r="J973" i="1" s="1"/>
  <c r="K973" i="1" s="1"/>
  <c r="L973" i="1" s="1"/>
  <c r="M973" i="1" s="1"/>
  <c r="F973" i="1"/>
  <c r="E973" i="1"/>
  <c r="AJ972" i="1"/>
  <c r="C968" i="1"/>
  <c r="AI967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AJ965" i="1"/>
  <c r="AJ964" i="1"/>
  <c r="AJ963" i="1"/>
  <c r="AI962" i="1"/>
  <c r="AH962" i="1"/>
  <c r="AG962" i="1"/>
  <c r="AF962" i="1"/>
  <c r="AE962" i="1"/>
  <c r="AD962" i="1"/>
  <c r="AC962" i="1"/>
  <c r="AB962" i="1"/>
  <c r="AA962" i="1"/>
  <c r="Z962" i="1"/>
  <c r="X962" i="1"/>
  <c r="W962" i="1"/>
  <c r="V962" i="1"/>
  <c r="U962" i="1"/>
  <c r="P962" i="1"/>
  <c r="O962" i="1"/>
  <c r="N962" i="1"/>
  <c r="M962" i="1"/>
  <c r="K962" i="1"/>
  <c r="J962" i="1"/>
  <c r="I962" i="1"/>
  <c r="G962" i="1"/>
  <c r="F962" i="1"/>
  <c r="E962" i="1"/>
  <c r="AJ961" i="1"/>
  <c r="AG960" i="1"/>
  <c r="AH960" i="1" s="1"/>
  <c r="AI960" i="1" s="1"/>
  <c r="E960" i="1"/>
  <c r="F960" i="1" s="1"/>
  <c r="G960" i="1" s="1"/>
  <c r="H960" i="1" s="1"/>
  <c r="I960" i="1" s="1"/>
  <c r="J960" i="1" s="1"/>
  <c r="K960" i="1" s="1"/>
  <c r="L960" i="1" s="1"/>
  <c r="M960" i="1" s="1"/>
  <c r="N960" i="1" s="1"/>
  <c r="O960" i="1" s="1"/>
  <c r="P960" i="1" s="1"/>
  <c r="Q960" i="1" s="1"/>
  <c r="R960" i="1" s="1"/>
  <c r="S960" i="1" s="1"/>
  <c r="T960" i="1" s="1"/>
  <c r="U960" i="1" s="1"/>
  <c r="V960" i="1" s="1"/>
  <c r="W960" i="1" s="1"/>
  <c r="X960" i="1" s="1"/>
  <c r="Y960" i="1" s="1"/>
  <c r="Z960" i="1" s="1"/>
  <c r="AA960" i="1" s="1"/>
  <c r="AB960" i="1" s="1"/>
  <c r="AC960" i="1" s="1"/>
  <c r="AD960" i="1" s="1"/>
  <c r="AE960" i="1" s="1"/>
  <c r="AF960" i="1" s="1"/>
  <c r="AJ959" i="1"/>
  <c r="C954" i="1"/>
  <c r="AI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E956" i="1" s="1"/>
  <c r="AJ951" i="1"/>
  <c r="AJ950" i="1"/>
  <c r="AJ949" i="1"/>
  <c r="AI948" i="1"/>
  <c r="AH948" i="1"/>
  <c r="AG948" i="1"/>
  <c r="AF948" i="1"/>
  <c r="AE948" i="1"/>
  <c r="AD948" i="1"/>
  <c r="AB948" i="1"/>
  <c r="AA948" i="1"/>
  <c r="Z948" i="1"/>
  <c r="Y948" i="1"/>
  <c r="X948" i="1"/>
  <c r="W948" i="1"/>
  <c r="V948" i="1"/>
  <c r="U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AJ947" i="1"/>
  <c r="E946" i="1"/>
  <c r="F946" i="1" s="1"/>
  <c r="G946" i="1" s="1"/>
  <c r="H946" i="1" s="1"/>
  <c r="I946" i="1" s="1"/>
  <c r="J946" i="1" s="1"/>
  <c r="K946" i="1" s="1"/>
  <c r="L946" i="1" s="1"/>
  <c r="M946" i="1" s="1"/>
  <c r="N946" i="1" s="1"/>
  <c r="O946" i="1" s="1"/>
  <c r="P946" i="1" s="1"/>
  <c r="Q946" i="1" s="1"/>
  <c r="R946" i="1" s="1"/>
  <c r="S946" i="1" s="1"/>
  <c r="T946" i="1" s="1"/>
  <c r="U946" i="1" s="1"/>
  <c r="V946" i="1" s="1"/>
  <c r="W946" i="1" s="1"/>
  <c r="X946" i="1" s="1"/>
  <c r="Y946" i="1" s="1"/>
  <c r="Z946" i="1" s="1"/>
  <c r="AA946" i="1" s="1"/>
  <c r="AB946" i="1" s="1"/>
  <c r="AC946" i="1" s="1"/>
  <c r="AD946" i="1" s="1"/>
  <c r="AE946" i="1" s="1"/>
  <c r="AF946" i="1" s="1"/>
  <c r="AG946" i="1" s="1"/>
  <c r="AH946" i="1" s="1"/>
  <c r="AI946" i="1" s="1"/>
  <c r="AJ945" i="1"/>
  <c r="C941" i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E944" i="1" s="1"/>
  <c r="AJ938" i="1"/>
  <c r="AJ937" i="1"/>
  <c r="AJ936" i="1"/>
  <c r="AI935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AJ934" i="1"/>
  <c r="AK932" i="1" s="1"/>
  <c r="AI933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AJ932" i="1"/>
  <c r="C927" i="1"/>
  <c r="AI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E929" i="1" s="1"/>
  <c r="AJ924" i="1"/>
  <c r="AJ923" i="1"/>
  <c r="AJ922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AJ920" i="1"/>
  <c r="AK918" i="1" s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AJ918" i="1"/>
  <c r="C914" i="1"/>
  <c r="AI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E917" i="1" s="1"/>
  <c r="AJ911" i="1"/>
  <c r="AJ910" i="1"/>
  <c r="AJ909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AJ907" i="1"/>
  <c r="AK905" i="1" s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AJ905" i="1"/>
  <c r="C900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AJ897" i="1"/>
  <c r="AJ896" i="1"/>
  <c r="AJ895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AJ893" i="1"/>
  <c r="AK891" i="1" s="1"/>
  <c r="E892" i="1"/>
  <c r="F892" i="1" s="1"/>
  <c r="G892" i="1" s="1"/>
  <c r="H892" i="1" s="1"/>
  <c r="I892" i="1" s="1"/>
  <c r="J892" i="1" s="1"/>
  <c r="K892" i="1" s="1"/>
  <c r="L892" i="1" s="1"/>
  <c r="M892" i="1" s="1"/>
  <c r="N892" i="1" s="1"/>
  <c r="O892" i="1" s="1"/>
  <c r="P892" i="1" s="1"/>
  <c r="Q892" i="1" s="1"/>
  <c r="R892" i="1" s="1"/>
  <c r="S892" i="1" s="1"/>
  <c r="T892" i="1" s="1"/>
  <c r="U892" i="1" s="1"/>
  <c r="V892" i="1" s="1"/>
  <c r="W892" i="1" s="1"/>
  <c r="X892" i="1" s="1"/>
  <c r="Y892" i="1" s="1"/>
  <c r="Z892" i="1" s="1"/>
  <c r="AA892" i="1" s="1"/>
  <c r="AB892" i="1" s="1"/>
  <c r="AC892" i="1" s="1"/>
  <c r="AD892" i="1" s="1"/>
  <c r="AE892" i="1" s="1"/>
  <c r="AF892" i="1" s="1"/>
  <c r="AG892" i="1" s="1"/>
  <c r="AH892" i="1" s="1"/>
  <c r="AI892" i="1" s="1"/>
  <c r="AJ891" i="1"/>
  <c r="C887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G890" i="1" s="1"/>
  <c r="F886" i="1"/>
  <c r="F890" i="1" s="1"/>
  <c r="E886" i="1"/>
  <c r="E890" i="1" s="1"/>
  <c r="AJ884" i="1"/>
  <c r="AJ883" i="1"/>
  <c r="AJ882" i="1"/>
  <c r="AI881" i="1"/>
  <c r="AH881" i="1"/>
  <c r="AG881" i="1"/>
  <c r="AF881" i="1"/>
  <c r="AE881" i="1"/>
  <c r="AD881" i="1"/>
  <c r="AC881" i="1"/>
  <c r="AB881" i="1"/>
  <c r="AA881" i="1"/>
  <c r="V881" i="1"/>
  <c r="O881" i="1"/>
  <c r="N881" i="1"/>
  <c r="M881" i="1"/>
  <c r="AJ880" i="1"/>
  <c r="AK878" i="1" s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AJ878" i="1"/>
  <c r="C873" i="1"/>
  <c r="AI872" i="1"/>
  <c r="AH872" i="1"/>
  <c r="AG872" i="1"/>
  <c r="AF872" i="1"/>
  <c r="AE872" i="1"/>
  <c r="AD872" i="1"/>
  <c r="AD875" i="1" s="1"/>
  <c r="AC872" i="1"/>
  <c r="AC875" i="1" s="1"/>
  <c r="AB872" i="1"/>
  <c r="AB875" i="1" s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F875" i="1" s="1"/>
  <c r="E872" i="1"/>
  <c r="E875" i="1" s="1"/>
  <c r="AJ870" i="1"/>
  <c r="AJ869" i="1"/>
  <c r="AJ868" i="1"/>
  <c r="AI867" i="1"/>
  <c r="AH867" i="1"/>
  <c r="AG867" i="1"/>
  <c r="AF867" i="1"/>
  <c r="AE867" i="1"/>
  <c r="AD867" i="1"/>
  <c r="AC867" i="1"/>
  <c r="AB867" i="1"/>
  <c r="AA867" i="1"/>
  <c r="Z867" i="1"/>
  <c r="Y867" i="1"/>
  <c r="V867" i="1"/>
  <c r="O867" i="1"/>
  <c r="M867" i="1"/>
  <c r="G867" i="1"/>
  <c r="F867" i="1"/>
  <c r="E867" i="1"/>
  <c r="AJ866" i="1"/>
  <c r="AK864" i="1" s="1"/>
  <c r="E865" i="1"/>
  <c r="F865" i="1" s="1"/>
  <c r="G865" i="1" s="1"/>
  <c r="H865" i="1" s="1"/>
  <c r="I865" i="1" s="1"/>
  <c r="J865" i="1" s="1"/>
  <c r="K865" i="1" s="1"/>
  <c r="L865" i="1" s="1"/>
  <c r="M865" i="1" s="1"/>
  <c r="N865" i="1" s="1"/>
  <c r="O865" i="1" s="1"/>
  <c r="P865" i="1" s="1"/>
  <c r="Q865" i="1" s="1"/>
  <c r="R865" i="1" s="1"/>
  <c r="S865" i="1" s="1"/>
  <c r="T865" i="1" s="1"/>
  <c r="U865" i="1" s="1"/>
  <c r="V865" i="1" s="1"/>
  <c r="W865" i="1" s="1"/>
  <c r="X865" i="1" s="1"/>
  <c r="Y865" i="1" s="1"/>
  <c r="Z865" i="1" s="1"/>
  <c r="AA865" i="1" s="1"/>
  <c r="AB865" i="1" s="1"/>
  <c r="AC865" i="1" s="1"/>
  <c r="AD865" i="1" s="1"/>
  <c r="AE865" i="1" s="1"/>
  <c r="AF865" i="1" s="1"/>
  <c r="AG865" i="1" s="1"/>
  <c r="AH865" i="1" s="1"/>
  <c r="AI865" i="1" s="1"/>
  <c r="AJ864" i="1"/>
  <c r="C860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AJ857" i="1"/>
  <c r="AL857" i="1" s="1"/>
  <c r="AJ856" i="1"/>
  <c r="AL856" i="1" s="1"/>
  <c r="AJ855" i="1"/>
  <c r="AL855" i="1" s="1"/>
  <c r="AI854" i="1"/>
  <c r="AH854" i="1"/>
  <c r="AG854" i="1"/>
  <c r="AF854" i="1"/>
  <c r="AE854" i="1"/>
  <c r="AD854" i="1"/>
  <c r="AC854" i="1"/>
  <c r="AA854" i="1"/>
  <c r="Z854" i="1"/>
  <c r="Y854" i="1"/>
  <c r="X854" i="1"/>
  <c r="W854" i="1"/>
  <c r="V854" i="1"/>
  <c r="T854" i="1"/>
  <c r="S854" i="1"/>
  <c r="R854" i="1"/>
  <c r="M854" i="1"/>
  <c r="L854" i="1"/>
  <c r="J854" i="1"/>
  <c r="I854" i="1"/>
  <c r="H854" i="1"/>
  <c r="G854" i="1"/>
  <c r="F854" i="1"/>
  <c r="AJ853" i="1"/>
  <c r="AK851" i="1" s="1"/>
  <c r="E852" i="1"/>
  <c r="F852" i="1" s="1"/>
  <c r="G852" i="1" s="1"/>
  <c r="H852" i="1" s="1"/>
  <c r="I852" i="1" s="1"/>
  <c r="J852" i="1" s="1"/>
  <c r="K852" i="1" s="1"/>
  <c r="L852" i="1" s="1"/>
  <c r="M852" i="1" s="1"/>
  <c r="N852" i="1" s="1"/>
  <c r="O852" i="1" s="1"/>
  <c r="P852" i="1" s="1"/>
  <c r="Q852" i="1" s="1"/>
  <c r="R852" i="1" s="1"/>
  <c r="S852" i="1" s="1"/>
  <c r="T852" i="1" s="1"/>
  <c r="U852" i="1" s="1"/>
  <c r="V852" i="1" s="1"/>
  <c r="W852" i="1" s="1"/>
  <c r="X852" i="1" s="1"/>
  <c r="Y852" i="1" s="1"/>
  <c r="Z852" i="1" s="1"/>
  <c r="AA852" i="1" s="1"/>
  <c r="AB852" i="1" s="1"/>
  <c r="AC852" i="1" s="1"/>
  <c r="AD852" i="1" s="1"/>
  <c r="AE852" i="1" s="1"/>
  <c r="AF852" i="1" s="1"/>
  <c r="AG852" i="1" s="1"/>
  <c r="AH852" i="1" s="1"/>
  <c r="AI852" i="1" s="1"/>
  <c r="AJ851" i="1"/>
  <c r="C846" i="1"/>
  <c r="AI845" i="1"/>
  <c r="AH845" i="1"/>
  <c r="AH848" i="1" s="1"/>
  <c r="AG845" i="1"/>
  <c r="AG848" i="1" s="1"/>
  <c r="AF845" i="1"/>
  <c r="AF848" i="1" s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E848" i="1" s="1"/>
  <c r="AJ843" i="1"/>
  <c r="AL843" i="1" s="1"/>
  <c r="AJ842" i="1"/>
  <c r="AL842" i="1" s="1"/>
  <c r="AJ841" i="1"/>
  <c r="AL841" i="1" s="1"/>
  <c r="AI840" i="1"/>
  <c r="AH840" i="1"/>
  <c r="AG840" i="1"/>
  <c r="AF840" i="1"/>
  <c r="AE840" i="1"/>
  <c r="AD840" i="1"/>
  <c r="AC840" i="1"/>
  <c r="AA840" i="1"/>
  <c r="Z840" i="1"/>
  <c r="Y840" i="1"/>
  <c r="X840" i="1"/>
  <c r="V840" i="1"/>
  <c r="T840" i="1"/>
  <c r="S840" i="1"/>
  <c r="R840" i="1"/>
  <c r="M840" i="1"/>
  <c r="L840" i="1"/>
  <c r="J840" i="1"/>
  <c r="I840" i="1"/>
  <c r="H840" i="1"/>
  <c r="G840" i="1"/>
  <c r="F840" i="1"/>
  <c r="AJ839" i="1"/>
  <c r="AK837" i="1" s="1"/>
  <c r="E838" i="1"/>
  <c r="F838" i="1" s="1"/>
  <c r="G838" i="1" s="1"/>
  <c r="H838" i="1" s="1"/>
  <c r="I838" i="1" s="1"/>
  <c r="J838" i="1" s="1"/>
  <c r="K838" i="1" s="1"/>
  <c r="L838" i="1" s="1"/>
  <c r="M838" i="1" s="1"/>
  <c r="N838" i="1" s="1"/>
  <c r="O838" i="1" s="1"/>
  <c r="P838" i="1" s="1"/>
  <c r="Q838" i="1" s="1"/>
  <c r="R838" i="1" s="1"/>
  <c r="S838" i="1" s="1"/>
  <c r="T838" i="1" s="1"/>
  <c r="U838" i="1" s="1"/>
  <c r="V838" i="1" s="1"/>
  <c r="W838" i="1" s="1"/>
  <c r="X838" i="1" s="1"/>
  <c r="Y838" i="1" s="1"/>
  <c r="Z838" i="1" s="1"/>
  <c r="AA838" i="1" s="1"/>
  <c r="AB838" i="1" s="1"/>
  <c r="AC838" i="1" s="1"/>
  <c r="AD838" i="1" s="1"/>
  <c r="AE838" i="1" s="1"/>
  <c r="AF838" i="1" s="1"/>
  <c r="AG838" i="1" s="1"/>
  <c r="AH838" i="1" s="1"/>
  <c r="AI838" i="1" s="1"/>
  <c r="AJ837" i="1"/>
  <c r="C833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E836" i="1" s="1"/>
  <c r="AJ830" i="1"/>
  <c r="AJ829" i="1"/>
  <c r="AJ828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AJ826" i="1"/>
  <c r="AK824" i="1" s="1"/>
  <c r="AI825" i="1"/>
  <c r="E825" i="1"/>
  <c r="F825" i="1" s="1"/>
  <c r="G825" i="1" s="1"/>
  <c r="H825" i="1" s="1"/>
  <c r="I825" i="1" s="1"/>
  <c r="J825" i="1" s="1"/>
  <c r="K825" i="1" s="1"/>
  <c r="L825" i="1" s="1"/>
  <c r="M825" i="1" s="1"/>
  <c r="N825" i="1" s="1"/>
  <c r="O825" i="1" s="1"/>
  <c r="P825" i="1" s="1"/>
  <c r="Q825" i="1" s="1"/>
  <c r="R825" i="1" s="1"/>
  <c r="S825" i="1" s="1"/>
  <c r="T825" i="1" s="1"/>
  <c r="U825" i="1" s="1"/>
  <c r="V825" i="1" s="1"/>
  <c r="W825" i="1" s="1"/>
  <c r="X825" i="1" s="1"/>
  <c r="Y825" i="1" s="1"/>
  <c r="Z825" i="1" s="1"/>
  <c r="AA825" i="1" s="1"/>
  <c r="AB825" i="1" s="1"/>
  <c r="AC825" i="1" s="1"/>
  <c r="AD825" i="1" s="1"/>
  <c r="AE825" i="1" s="1"/>
  <c r="AF825" i="1" s="1"/>
  <c r="AG825" i="1" s="1"/>
  <c r="AH825" i="1" s="1"/>
  <c r="AJ824" i="1"/>
  <c r="C819" i="1"/>
  <c r="AI818" i="1"/>
  <c r="AH818" i="1"/>
  <c r="AG818" i="1"/>
  <c r="AF818" i="1"/>
  <c r="AE818" i="1"/>
  <c r="AD818" i="1"/>
  <c r="AC818" i="1"/>
  <c r="AB818" i="1"/>
  <c r="AA818" i="1"/>
  <c r="Z818" i="1"/>
  <c r="Y818" i="1"/>
  <c r="Y821" i="1" s="1"/>
  <c r="X818" i="1"/>
  <c r="X821" i="1" s="1"/>
  <c r="W818" i="1"/>
  <c r="W821" i="1" s="1"/>
  <c r="V818" i="1"/>
  <c r="V821" i="1" s="1"/>
  <c r="U818" i="1"/>
  <c r="U821" i="1" s="1"/>
  <c r="T818" i="1"/>
  <c r="T821" i="1" s="1"/>
  <c r="S818" i="1"/>
  <c r="S821" i="1" s="1"/>
  <c r="R821" i="1"/>
  <c r="Q818" i="1"/>
  <c r="Q821" i="1" s="1"/>
  <c r="P818" i="1"/>
  <c r="P821" i="1" s="1"/>
  <c r="O818" i="1"/>
  <c r="O821" i="1" s="1"/>
  <c r="N818" i="1"/>
  <c r="N821" i="1" s="1"/>
  <c r="M818" i="1"/>
  <c r="M821" i="1" s="1"/>
  <c r="L818" i="1"/>
  <c r="L821" i="1" s="1"/>
  <c r="K818" i="1"/>
  <c r="J818" i="1"/>
  <c r="J821" i="1" s="1"/>
  <c r="K821" i="1" s="1"/>
  <c r="I818" i="1"/>
  <c r="I821" i="1" s="1"/>
  <c r="H818" i="1"/>
  <c r="H821" i="1" s="1"/>
  <c r="G818" i="1"/>
  <c r="G821" i="1" s="1"/>
  <c r="F818" i="1"/>
  <c r="F821" i="1" s="1"/>
  <c r="E818" i="1"/>
  <c r="AJ816" i="1"/>
  <c r="AJ815" i="1"/>
  <c r="AJ814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AJ812" i="1"/>
  <c r="AK810" i="1" s="1"/>
  <c r="AI811" i="1"/>
  <c r="R811" i="1"/>
  <c r="S811" i="1" s="1"/>
  <c r="T811" i="1" s="1"/>
  <c r="U811" i="1" s="1"/>
  <c r="V811" i="1" s="1"/>
  <c r="W811" i="1" s="1"/>
  <c r="X811" i="1" s="1"/>
  <c r="Y811" i="1" s="1"/>
  <c r="Z811" i="1" s="1"/>
  <c r="AA811" i="1" s="1"/>
  <c r="AB811" i="1" s="1"/>
  <c r="AC811" i="1" s="1"/>
  <c r="AD811" i="1" s="1"/>
  <c r="AE811" i="1" s="1"/>
  <c r="AF811" i="1" s="1"/>
  <c r="AG811" i="1" s="1"/>
  <c r="AH811" i="1" s="1"/>
  <c r="P811" i="1"/>
  <c r="Q811" i="1" s="1"/>
  <c r="O811" i="1"/>
  <c r="K811" i="1"/>
  <c r="L811" i="1" s="1"/>
  <c r="M811" i="1" s="1"/>
  <c r="N811" i="1" s="1"/>
  <c r="J811" i="1"/>
  <c r="I811" i="1"/>
  <c r="H811" i="1"/>
  <c r="G811" i="1"/>
  <c r="F811" i="1"/>
  <c r="E811" i="1"/>
  <c r="AJ810" i="1"/>
  <c r="C805" i="1"/>
  <c r="AI804" i="1"/>
  <c r="AH804" i="1"/>
  <c r="AG804" i="1"/>
  <c r="AF804" i="1"/>
  <c r="AE804" i="1"/>
  <c r="AD804" i="1"/>
  <c r="AC804" i="1"/>
  <c r="AB804" i="1"/>
  <c r="AA804" i="1"/>
  <c r="Z804" i="1"/>
  <c r="Y804" i="1"/>
  <c r="Y807" i="1" s="1"/>
  <c r="X804" i="1"/>
  <c r="X807" i="1" s="1"/>
  <c r="W804" i="1"/>
  <c r="W807" i="1" s="1"/>
  <c r="V804" i="1"/>
  <c r="V807" i="1" s="1"/>
  <c r="U804" i="1"/>
  <c r="U807" i="1" s="1"/>
  <c r="T804" i="1"/>
  <c r="T807" i="1" s="1"/>
  <c r="S804" i="1"/>
  <c r="S807" i="1" s="1"/>
  <c r="R804" i="1"/>
  <c r="R807" i="1" s="1"/>
  <c r="Q804" i="1"/>
  <c r="Q807" i="1" s="1"/>
  <c r="P804" i="1"/>
  <c r="P807" i="1" s="1"/>
  <c r="O804" i="1"/>
  <c r="O807" i="1" s="1"/>
  <c r="N804" i="1"/>
  <c r="N807" i="1" s="1"/>
  <c r="M804" i="1"/>
  <c r="M807" i="1" s="1"/>
  <c r="L804" i="1"/>
  <c r="L807" i="1" s="1"/>
  <c r="K804" i="1"/>
  <c r="J804" i="1"/>
  <c r="J807" i="1" s="1"/>
  <c r="I804" i="1"/>
  <c r="I807" i="1" s="1"/>
  <c r="H804" i="1"/>
  <c r="H807" i="1" s="1"/>
  <c r="G804" i="1"/>
  <c r="G807" i="1" s="1"/>
  <c r="F804" i="1"/>
  <c r="E804" i="1"/>
  <c r="E807" i="1" s="1"/>
  <c r="AJ802" i="1"/>
  <c r="AJ801" i="1"/>
  <c r="AJ800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AJ798" i="1"/>
  <c r="AK796" i="1" s="1"/>
  <c r="E797" i="1"/>
  <c r="F797" i="1" s="1"/>
  <c r="G797" i="1" s="1"/>
  <c r="H797" i="1" s="1"/>
  <c r="I797" i="1" s="1"/>
  <c r="J797" i="1" s="1"/>
  <c r="K797" i="1" s="1"/>
  <c r="L797" i="1" s="1"/>
  <c r="M797" i="1" s="1"/>
  <c r="N797" i="1" s="1"/>
  <c r="O797" i="1" s="1"/>
  <c r="P797" i="1" s="1"/>
  <c r="Q797" i="1" s="1"/>
  <c r="R797" i="1" s="1"/>
  <c r="S797" i="1" s="1"/>
  <c r="T797" i="1" s="1"/>
  <c r="U797" i="1" s="1"/>
  <c r="V797" i="1" s="1"/>
  <c r="W797" i="1" s="1"/>
  <c r="X797" i="1" s="1"/>
  <c r="Y797" i="1" s="1"/>
  <c r="Z797" i="1" s="1"/>
  <c r="AA797" i="1" s="1"/>
  <c r="AB797" i="1" s="1"/>
  <c r="AC797" i="1" s="1"/>
  <c r="AD797" i="1" s="1"/>
  <c r="AE797" i="1" s="1"/>
  <c r="AF797" i="1" s="1"/>
  <c r="AG797" i="1" s="1"/>
  <c r="AH797" i="1" s="1"/>
  <c r="AI797" i="1" s="1"/>
  <c r="AJ796" i="1"/>
  <c r="C792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E795" i="1" s="1"/>
  <c r="AJ789" i="1"/>
  <c r="AJ788" i="1"/>
  <c r="AJ787" i="1"/>
  <c r="AI786" i="1"/>
  <c r="AH786" i="1"/>
  <c r="AG786" i="1"/>
  <c r="AF786" i="1"/>
  <c r="AE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AJ785" i="1"/>
  <c r="AK783" i="1" s="1"/>
  <c r="L784" i="1"/>
  <c r="M784" i="1" s="1"/>
  <c r="N784" i="1" s="1"/>
  <c r="O784" i="1" s="1"/>
  <c r="P784" i="1" s="1"/>
  <c r="Q784" i="1" s="1"/>
  <c r="R784" i="1" s="1"/>
  <c r="S784" i="1" s="1"/>
  <c r="T784" i="1" s="1"/>
  <c r="U784" i="1" s="1"/>
  <c r="V784" i="1" s="1"/>
  <c r="W784" i="1" s="1"/>
  <c r="X784" i="1" s="1"/>
  <c r="Y784" i="1" s="1"/>
  <c r="Z784" i="1" s="1"/>
  <c r="AA784" i="1" s="1"/>
  <c r="AB784" i="1" s="1"/>
  <c r="AC784" i="1" s="1"/>
  <c r="AD784" i="1" s="1"/>
  <c r="AE784" i="1" s="1"/>
  <c r="AF784" i="1" s="1"/>
  <c r="AG784" i="1" s="1"/>
  <c r="AH784" i="1" s="1"/>
  <c r="AI784" i="1" s="1"/>
  <c r="E784" i="1"/>
  <c r="F784" i="1" s="1"/>
  <c r="G784" i="1" s="1"/>
  <c r="H784" i="1" s="1"/>
  <c r="I784" i="1" s="1"/>
  <c r="J784" i="1" s="1"/>
  <c r="K784" i="1" s="1"/>
  <c r="AJ783" i="1"/>
  <c r="C778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AJ775" i="1"/>
  <c r="AJ774" i="1"/>
  <c r="AJ773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AJ771" i="1"/>
  <c r="AK769" i="1" s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AJ769" i="1"/>
  <c r="C764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P766" i="1" s="1"/>
  <c r="O763" i="1"/>
  <c r="O766" i="1" s="1"/>
  <c r="N763" i="1"/>
  <c r="N766" i="1" s="1"/>
  <c r="M763" i="1"/>
  <c r="M766" i="1" s="1"/>
  <c r="L763" i="1"/>
  <c r="L766" i="1" s="1"/>
  <c r="K763" i="1"/>
  <c r="K766" i="1" s="1"/>
  <c r="J763" i="1"/>
  <c r="J766" i="1" s="1"/>
  <c r="I763" i="1"/>
  <c r="I766" i="1" s="1"/>
  <c r="H763" i="1"/>
  <c r="H766" i="1" s="1"/>
  <c r="G763" i="1"/>
  <c r="G766" i="1" s="1"/>
  <c r="F763" i="1"/>
  <c r="F766" i="1" s="1"/>
  <c r="E763" i="1"/>
  <c r="AJ761" i="1"/>
  <c r="AJ760" i="1"/>
  <c r="AJ759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AJ757" i="1"/>
  <c r="AK755" i="1" s="1"/>
  <c r="E756" i="1"/>
  <c r="F756" i="1" s="1"/>
  <c r="G756" i="1" s="1"/>
  <c r="H756" i="1" s="1"/>
  <c r="I756" i="1" s="1"/>
  <c r="J756" i="1" s="1"/>
  <c r="K756" i="1" s="1"/>
  <c r="L756" i="1" s="1"/>
  <c r="M756" i="1" s="1"/>
  <c r="N756" i="1" s="1"/>
  <c r="O756" i="1" s="1"/>
  <c r="P756" i="1" s="1"/>
  <c r="Q756" i="1" s="1"/>
  <c r="R756" i="1" s="1"/>
  <c r="S756" i="1" s="1"/>
  <c r="T756" i="1" s="1"/>
  <c r="U756" i="1" s="1"/>
  <c r="V756" i="1" s="1"/>
  <c r="W756" i="1" s="1"/>
  <c r="X756" i="1" s="1"/>
  <c r="Y756" i="1" s="1"/>
  <c r="Z756" i="1" s="1"/>
  <c r="AA756" i="1" s="1"/>
  <c r="AB756" i="1" s="1"/>
  <c r="AC756" i="1" s="1"/>
  <c r="AD756" i="1" s="1"/>
  <c r="AE756" i="1" s="1"/>
  <c r="AF756" i="1" s="1"/>
  <c r="AG756" i="1" s="1"/>
  <c r="AH756" i="1" s="1"/>
  <c r="AI756" i="1" s="1"/>
  <c r="AJ755" i="1"/>
  <c r="C750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AJ747" i="1"/>
  <c r="AJ746" i="1"/>
  <c r="AJ745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J744" i="1"/>
  <c r="I744" i="1"/>
  <c r="H744" i="1"/>
  <c r="G744" i="1"/>
  <c r="F744" i="1"/>
  <c r="E744" i="1"/>
  <c r="AJ743" i="1"/>
  <c r="AK741" i="1" s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AJ741" i="1"/>
  <c r="C737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E740" i="1" s="1"/>
  <c r="AJ734" i="1"/>
  <c r="AJ733" i="1"/>
  <c r="AJ732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AJ730" i="1"/>
  <c r="AK728" i="1" s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AJ728" i="1"/>
  <c r="C723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E725" i="1" s="1"/>
  <c r="AJ720" i="1"/>
  <c r="AJ719" i="1"/>
  <c r="AJ718" i="1"/>
  <c r="AI717" i="1"/>
  <c r="AH717" i="1"/>
  <c r="AG717" i="1"/>
  <c r="AF717" i="1"/>
  <c r="AE717" i="1"/>
  <c r="AD717" i="1"/>
  <c r="AC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AJ716" i="1"/>
  <c r="AK714" i="1" s="1"/>
  <c r="J715" i="1"/>
  <c r="K715" i="1" s="1"/>
  <c r="L715" i="1" s="1"/>
  <c r="M715" i="1" s="1"/>
  <c r="N715" i="1" s="1"/>
  <c r="O715" i="1" s="1"/>
  <c r="P715" i="1" s="1"/>
  <c r="Q715" i="1" s="1"/>
  <c r="R715" i="1" s="1"/>
  <c r="S715" i="1" s="1"/>
  <c r="T715" i="1" s="1"/>
  <c r="U715" i="1" s="1"/>
  <c r="V715" i="1" s="1"/>
  <c r="W715" i="1" s="1"/>
  <c r="X715" i="1" s="1"/>
  <c r="Y715" i="1" s="1"/>
  <c r="Z715" i="1" s="1"/>
  <c r="AA715" i="1" s="1"/>
  <c r="AB715" i="1" s="1"/>
  <c r="AC715" i="1" s="1"/>
  <c r="AD715" i="1" s="1"/>
  <c r="AE715" i="1" s="1"/>
  <c r="AF715" i="1" s="1"/>
  <c r="AG715" i="1" s="1"/>
  <c r="AH715" i="1" s="1"/>
  <c r="AI715" i="1" s="1"/>
  <c r="H715" i="1"/>
  <c r="I715" i="1" s="1"/>
  <c r="F715" i="1"/>
  <c r="G715" i="1" s="1"/>
  <c r="E715" i="1"/>
  <c r="AJ714" i="1"/>
  <c r="C710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E713" i="1" s="1"/>
  <c r="AJ707" i="1"/>
  <c r="AJ706" i="1"/>
  <c r="AJ705" i="1"/>
  <c r="AI704" i="1"/>
  <c r="AH704" i="1"/>
  <c r="AG704" i="1"/>
  <c r="AF704" i="1"/>
  <c r="AE704" i="1"/>
  <c r="AD704" i="1"/>
  <c r="AC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I704" i="1"/>
  <c r="AJ703" i="1"/>
  <c r="AK701" i="1" s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R702" i="1"/>
  <c r="Q702" i="1"/>
  <c r="P702" i="1"/>
  <c r="N702" i="1"/>
  <c r="O702" i="1" s="1"/>
  <c r="H702" i="1"/>
  <c r="I702" i="1" s="1"/>
  <c r="J702" i="1" s="1"/>
  <c r="K702" i="1" s="1"/>
  <c r="L702" i="1" s="1"/>
  <c r="M702" i="1" s="1"/>
  <c r="F702" i="1"/>
  <c r="G702" i="1" s="1"/>
  <c r="E702" i="1"/>
  <c r="AJ701" i="1"/>
  <c r="C697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AJ694" i="1"/>
  <c r="AJ693" i="1"/>
  <c r="AJ692" i="1"/>
  <c r="AI691" i="1"/>
  <c r="AH691" i="1"/>
  <c r="AG691" i="1"/>
  <c r="AF691" i="1"/>
  <c r="AE691" i="1"/>
  <c r="AD691" i="1"/>
  <c r="AC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AJ690" i="1"/>
  <c r="AK688" i="1" s="1"/>
  <c r="E689" i="1"/>
  <c r="F689" i="1" s="1"/>
  <c r="G689" i="1" s="1"/>
  <c r="H689" i="1" s="1"/>
  <c r="I689" i="1" s="1"/>
  <c r="J689" i="1" s="1"/>
  <c r="K689" i="1" s="1"/>
  <c r="L689" i="1" s="1"/>
  <c r="M689" i="1" s="1"/>
  <c r="N689" i="1" s="1"/>
  <c r="O689" i="1" s="1"/>
  <c r="P689" i="1" s="1"/>
  <c r="Q689" i="1" s="1"/>
  <c r="R689" i="1" s="1"/>
  <c r="S689" i="1" s="1"/>
  <c r="T689" i="1" s="1"/>
  <c r="U689" i="1" s="1"/>
  <c r="V689" i="1" s="1"/>
  <c r="W689" i="1" s="1"/>
  <c r="X689" i="1" s="1"/>
  <c r="Y689" i="1" s="1"/>
  <c r="Z689" i="1" s="1"/>
  <c r="AA689" i="1" s="1"/>
  <c r="AB689" i="1" s="1"/>
  <c r="AC689" i="1" s="1"/>
  <c r="AD689" i="1" s="1"/>
  <c r="AE689" i="1" s="1"/>
  <c r="AF689" i="1" s="1"/>
  <c r="AG689" i="1" s="1"/>
  <c r="AH689" i="1" s="1"/>
  <c r="AI689" i="1" s="1"/>
  <c r="AJ688" i="1"/>
  <c r="C683" i="1"/>
  <c r="AI682" i="1"/>
  <c r="AH682" i="1"/>
  <c r="AG682" i="1"/>
  <c r="AF682" i="1"/>
  <c r="AE682" i="1"/>
  <c r="AD682" i="1"/>
  <c r="AC682" i="1"/>
  <c r="AB682" i="1"/>
  <c r="AA682" i="1"/>
  <c r="AA685" i="1" s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N685" i="1" s="1"/>
  <c r="M682" i="1"/>
  <c r="L682" i="1"/>
  <c r="K682" i="1"/>
  <c r="J682" i="1"/>
  <c r="I682" i="1"/>
  <c r="H682" i="1"/>
  <c r="G682" i="1"/>
  <c r="F682" i="1"/>
  <c r="F685" i="1" s="1"/>
  <c r="E682" i="1"/>
  <c r="AJ680" i="1"/>
  <c r="AJ679" i="1"/>
  <c r="AJ678" i="1"/>
  <c r="AI677" i="1"/>
  <c r="AH677" i="1"/>
  <c r="AG677" i="1"/>
  <c r="AF677" i="1"/>
  <c r="AE677" i="1"/>
  <c r="AD677" i="1"/>
  <c r="AC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K677" i="1"/>
  <c r="I677" i="1"/>
  <c r="H677" i="1"/>
  <c r="G677" i="1"/>
  <c r="F677" i="1"/>
  <c r="E677" i="1"/>
  <c r="AJ676" i="1"/>
  <c r="AK674" i="1" s="1"/>
  <c r="E675" i="1"/>
  <c r="F675" i="1" s="1"/>
  <c r="G675" i="1" s="1"/>
  <c r="H675" i="1" s="1"/>
  <c r="I675" i="1" s="1"/>
  <c r="J675" i="1" s="1"/>
  <c r="K675" i="1" s="1"/>
  <c r="L675" i="1" s="1"/>
  <c r="M675" i="1" s="1"/>
  <c r="N675" i="1" s="1"/>
  <c r="O675" i="1" s="1"/>
  <c r="P675" i="1" s="1"/>
  <c r="Q675" i="1" s="1"/>
  <c r="R675" i="1" s="1"/>
  <c r="S675" i="1" s="1"/>
  <c r="T675" i="1" s="1"/>
  <c r="U675" i="1" s="1"/>
  <c r="V675" i="1" s="1"/>
  <c r="W675" i="1" s="1"/>
  <c r="X675" i="1" s="1"/>
  <c r="Y675" i="1" s="1"/>
  <c r="Z675" i="1" s="1"/>
  <c r="AA675" i="1" s="1"/>
  <c r="AB675" i="1" s="1"/>
  <c r="AC675" i="1" s="1"/>
  <c r="AD675" i="1" s="1"/>
  <c r="AE675" i="1" s="1"/>
  <c r="AF675" i="1" s="1"/>
  <c r="AG675" i="1" s="1"/>
  <c r="AH675" i="1" s="1"/>
  <c r="AI675" i="1" s="1"/>
  <c r="AJ674" i="1"/>
  <c r="C670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AJ667" i="1"/>
  <c r="AJ666" i="1"/>
  <c r="AJ665" i="1"/>
  <c r="AI664" i="1"/>
  <c r="AH664" i="1"/>
  <c r="AG664" i="1"/>
  <c r="AF664" i="1"/>
  <c r="AE664" i="1"/>
  <c r="AD664" i="1"/>
  <c r="AC664" i="1"/>
  <c r="AB664" i="1"/>
  <c r="AA664" i="1"/>
  <c r="Y664" i="1"/>
  <c r="X664" i="1"/>
  <c r="T664" i="1"/>
  <c r="Q664" i="1"/>
  <c r="P664" i="1"/>
  <c r="O664" i="1"/>
  <c r="N664" i="1"/>
  <c r="L664" i="1"/>
  <c r="J664" i="1"/>
  <c r="E664" i="1"/>
  <c r="AJ663" i="1"/>
  <c r="AK661" i="1" s="1"/>
  <c r="E662" i="1"/>
  <c r="F662" i="1" s="1"/>
  <c r="G662" i="1" s="1"/>
  <c r="H662" i="1" s="1"/>
  <c r="I662" i="1" s="1"/>
  <c r="J662" i="1" s="1"/>
  <c r="K662" i="1" s="1"/>
  <c r="L662" i="1" s="1"/>
  <c r="M662" i="1" s="1"/>
  <c r="N662" i="1" s="1"/>
  <c r="O662" i="1" s="1"/>
  <c r="P662" i="1" s="1"/>
  <c r="Q662" i="1" s="1"/>
  <c r="R662" i="1" s="1"/>
  <c r="S662" i="1" s="1"/>
  <c r="T662" i="1" s="1"/>
  <c r="U662" i="1" s="1"/>
  <c r="V662" i="1" s="1"/>
  <c r="W662" i="1" s="1"/>
  <c r="X662" i="1" s="1"/>
  <c r="Y662" i="1" s="1"/>
  <c r="Z662" i="1" s="1"/>
  <c r="AA662" i="1" s="1"/>
  <c r="AB662" i="1" s="1"/>
  <c r="AC662" i="1" s="1"/>
  <c r="AD662" i="1" s="1"/>
  <c r="AE662" i="1" s="1"/>
  <c r="AF662" i="1" s="1"/>
  <c r="AG662" i="1" s="1"/>
  <c r="AH662" i="1" s="1"/>
  <c r="AI662" i="1" s="1"/>
  <c r="AJ661" i="1"/>
  <c r="C656" i="1"/>
  <c r="AI655" i="1"/>
  <c r="AH655" i="1"/>
  <c r="AG655" i="1"/>
  <c r="AF655" i="1"/>
  <c r="AE655" i="1"/>
  <c r="AE658" i="1" s="1"/>
  <c r="AD655" i="1"/>
  <c r="AD658" i="1" s="1"/>
  <c r="AC655" i="1"/>
  <c r="AC658" i="1" s="1"/>
  <c r="AB655" i="1"/>
  <c r="AA655" i="1"/>
  <c r="AA658" i="1" s="1"/>
  <c r="Z655" i="1"/>
  <c r="Y655" i="1"/>
  <c r="X655" i="1"/>
  <c r="W655" i="1"/>
  <c r="V655" i="1"/>
  <c r="V658" i="1" s="1"/>
  <c r="U655" i="1"/>
  <c r="U658" i="1" s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E658" i="1" s="1"/>
  <c r="AJ653" i="1"/>
  <c r="AJ652" i="1"/>
  <c r="AJ651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P650" i="1"/>
  <c r="O650" i="1"/>
  <c r="N650" i="1"/>
  <c r="M650" i="1"/>
  <c r="L650" i="1"/>
  <c r="K650" i="1"/>
  <c r="J650" i="1"/>
  <c r="I650" i="1"/>
  <c r="H650" i="1"/>
  <c r="F650" i="1"/>
  <c r="E650" i="1"/>
  <c r="AJ649" i="1"/>
  <c r="AK647" i="1" s="1"/>
  <c r="E648" i="1"/>
  <c r="F648" i="1" s="1"/>
  <c r="G648" i="1" s="1"/>
  <c r="H648" i="1" s="1"/>
  <c r="I648" i="1" s="1"/>
  <c r="J648" i="1" s="1"/>
  <c r="K648" i="1" s="1"/>
  <c r="L648" i="1" s="1"/>
  <c r="M648" i="1" s="1"/>
  <c r="N648" i="1" s="1"/>
  <c r="O648" i="1" s="1"/>
  <c r="P648" i="1" s="1"/>
  <c r="Q648" i="1" s="1"/>
  <c r="R648" i="1" s="1"/>
  <c r="S648" i="1" s="1"/>
  <c r="T648" i="1" s="1"/>
  <c r="U648" i="1" s="1"/>
  <c r="V648" i="1" s="1"/>
  <c r="W648" i="1" s="1"/>
  <c r="X648" i="1" s="1"/>
  <c r="Y648" i="1" s="1"/>
  <c r="Z648" i="1" s="1"/>
  <c r="AA648" i="1" s="1"/>
  <c r="AB648" i="1" s="1"/>
  <c r="AC648" i="1" s="1"/>
  <c r="AD648" i="1" s="1"/>
  <c r="AE648" i="1" s="1"/>
  <c r="AF648" i="1" s="1"/>
  <c r="AG648" i="1" s="1"/>
  <c r="AH648" i="1" s="1"/>
  <c r="AI648" i="1" s="1"/>
  <c r="AJ647" i="1"/>
  <c r="C642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E644" i="1" s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P636" i="1"/>
  <c r="O636" i="1"/>
  <c r="N636" i="1"/>
  <c r="M636" i="1"/>
  <c r="L636" i="1"/>
  <c r="J636" i="1"/>
  <c r="I636" i="1"/>
  <c r="H636" i="1"/>
  <c r="G636" i="1"/>
  <c r="F636" i="1"/>
  <c r="E636" i="1"/>
  <c r="AJ635" i="1"/>
  <c r="AK633" i="1" s="1"/>
  <c r="E634" i="1"/>
  <c r="F634" i="1" s="1"/>
  <c r="G634" i="1" s="1"/>
  <c r="H634" i="1" s="1"/>
  <c r="I634" i="1" s="1"/>
  <c r="J634" i="1" s="1"/>
  <c r="K634" i="1" s="1"/>
  <c r="L634" i="1" s="1"/>
  <c r="M634" i="1" s="1"/>
  <c r="N634" i="1" s="1"/>
  <c r="O634" i="1" s="1"/>
  <c r="P634" i="1" s="1"/>
  <c r="Q634" i="1" s="1"/>
  <c r="R634" i="1" s="1"/>
  <c r="S634" i="1" s="1"/>
  <c r="T634" i="1" s="1"/>
  <c r="U634" i="1" s="1"/>
  <c r="V634" i="1" s="1"/>
  <c r="W634" i="1" s="1"/>
  <c r="X634" i="1" s="1"/>
  <c r="Y634" i="1" s="1"/>
  <c r="Z634" i="1" s="1"/>
  <c r="AA634" i="1" s="1"/>
  <c r="AB634" i="1" s="1"/>
  <c r="AC634" i="1" s="1"/>
  <c r="AD634" i="1" s="1"/>
  <c r="AE634" i="1" s="1"/>
  <c r="AF634" i="1" s="1"/>
  <c r="AG634" i="1" s="1"/>
  <c r="AH634" i="1" s="1"/>
  <c r="AI634" i="1" s="1"/>
  <c r="AL633" i="1"/>
  <c r="AM631" i="1" s="1"/>
  <c r="C629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E632" i="1" s="1"/>
  <c r="AJ626" i="1"/>
  <c r="AJ625" i="1"/>
  <c r="AJ624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AJ622" i="1"/>
  <c r="AK620" i="1" s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AJ620" i="1"/>
  <c r="C615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E617" i="1" s="1"/>
  <c r="AJ612" i="1"/>
  <c r="AJ611" i="1"/>
  <c r="AJ610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O609" i="1"/>
  <c r="N609" i="1"/>
  <c r="M609" i="1"/>
  <c r="L609" i="1"/>
  <c r="AJ608" i="1"/>
  <c r="AK606" i="1" s="1"/>
  <c r="E607" i="1"/>
  <c r="F607" i="1" s="1"/>
  <c r="G607" i="1" s="1"/>
  <c r="H607" i="1" s="1"/>
  <c r="I607" i="1" s="1"/>
  <c r="J607" i="1" s="1"/>
  <c r="K607" i="1" s="1"/>
  <c r="L607" i="1" s="1"/>
  <c r="M607" i="1" s="1"/>
  <c r="N607" i="1" s="1"/>
  <c r="O607" i="1" s="1"/>
  <c r="P607" i="1" s="1"/>
  <c r="Q607" i="1" s="1"/>
  <c r="R607" i="1" s="1"/>
  <c r="S607" i="1" s="1"/>
  <c r="T607" i="1" s="1"/>
  <c r="U607" i="1" s="1"/>
  <c r="V607" i="1" s="1"/>
  <c r="W607" i="1" s="1"/>
  <c r="X607" i="1" s="1"/>
  <c r="Y607" i="1" s="1"/>
  <c r="Z607" i="1" s="1"/>
  <c r="AA607" i="1" s="1"/>
  <c r="AB607" i="1" s="1"/>
  <c r="AC607" i="1" s="1"/>
  <c r="AD607" i="1" s="1"/>
  <c r="AE607" i="1" s="1"/>
  <c r="AF607" i="1" s="1"/>
  <c r="AG607" i="1" s="1"/>
  <c r="AH607" i="1" s="1"/>
  <c r="AI607" i="1" s="1"/>
  <c r="AJ606" i="1"/>
  <c r="C601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E603" i="1" s="1"/>
  <c r="AJ598" i="1"/>
  <c r="AJ597" i="1"/>
  <c r="AJ596" i="1"/>
  <c r="AI595" i="1"/>
  <c r="AH595" i="1"/>
  <c r="AG595" i="1"/>
  <c r="AF595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AJ594" i="1"/>
  <c r="AK592" i="1" s="1"/>
  <c r="E593" i="1"/>
  <c r="F593" i="1" s="1"/>
  <c r="G593" i="1" s="1"/>
  <c r="H593" i="1" s="1"/>
  <c r="I593" i="1" s="1"/>
  <c r="J593" i="1" s="1"/>
  <c r="K593" i="1" s="1"/>
  <c r="L593" i="1" s="1"/>
  <c r="M593" i="1" s="1"/>
  <c r="N593" i="1" s="1"/>
  <c r="O593" i="1" s="1"/>
  <c r="P593" i="1" s="1"/>
  <c r="Q593" i="1" s="1"/>
  <c r="R593" i="1" s="1"/>
  <c r="S593" i="1" s="1"/>
  <c r="T593" i="1" s="1"/>
  <c r="U593" i="1" s="1"/>
  <c r="V593" i="1" s="1"/>
  <c r="W593" i="1" s="1"/>
  <c r="X593" i="1" s="1"/>
  <c r="Y593" i="1" s="1"/>
  <c r="Z593" i="1" s="1"/>
  <c r="AA593" i="1" s="1"/>
  <c r="AB593" i="1" s="1"/>
  <c r="AC593" i="1" s="1"/>
  <c r="AD593" i="1" s="1"/>
  <c r="AE593" i="1" s="1"/>
  <c r="AF593" i="1" s="1"/>
  <c r="AG593" i="1" s="1"/>
  <c r="AH593" i="1" s="1"/>
  <c r="AI593" i="1" s="1"/>
  <c r="C588" i="1"/>
  <c r="AI587" i="1"/>
  <c r="AH587" i="1"/>
  <c r="AG587" i="1"/>
  <c r="AF587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E591" i="1" s="1"/>
  <c r="AJ585" i="1"/>
  <c r="AJ584" i="1"/>
  <c r="AJ583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I582" i="1"/>
  <c r="H582" i="1"/>
  <c r="G582" i="1"/>
  <c r="F582" i="1"/>
  <c r="E582" i="1"/>
  <c r="AJ581" i="1"/>
  <c r="AK579" i="1" s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AJ579" i="1"/>
  <c r="C574" i="1"/>
  <c r="AI573" i="1"/>
  <c r="AH573" i="1"/>
  <c r="AG573" i="1"/>
  <c r="AF573" i="1"/>
  <c r="AE573" i="1"/>
  <c r="AD573" i="1"/>
  <c r="AD576" i="1" s="1"/>
  <c r="AC573" i="1"/>
  <c r="AC576" i="1" s="1"/>
  <c r="AB573" i="1"/>
  <c r="AB576" i="1" s="1"/>
  <c r="AA573" i="1"/>
  <c r="AA576" i="1" s="1"/>
  <c r="Z573" i="1"/>
  <c r="Z576" i="1" s="1"/>
  <c r="Y573" i="1"/>
  <c r="Y576" i="1" s="1"/>
  <c r="X573" i="1"/>
  <c r="X576" i="1" s="1"/>
  <c r="W573" i="1"/>
  <c r="W576" i="1" s="1"/>
  <c r="V573" i="1"/>
  <c r="V576" i="1" s="1"/>
  <c r="U573" i="1"/>
  <c r="U576" i="1" s="1"/>
  <c r="T573" i="1"/>
  <c r="T576" i="1" s="1"/>
  <c r="S573" i="1"/>
  <c r="S576" i="1" s="1"/>
  <c r="R573" i="1"/>
  <c r="R576" i="1" s="1"/>
  <c r="Q573" i="1"/>
  <c r="Q576" i="1" s="1"/>
  <c r="P573" i="1"/>
  <c r="P576" i="1" s="1"/>
  <c r="O573" i="1"/>
  <c r="O576" i="1" s="1"/>
  <c r="N573" i="1"/>
  <c r="N576" i="1" s="1"/>
  <c r="M573" i="1"/>
  <c r="M576" i="1" s="1"/>
  <c r="L573" i="1"/>
  <c r="L576" i="1" s="1"/>
  <c r="K573" i="1"/>
  <c r="K576" i="1" s="1"/>
  <c r="J573" i="1"/>
  <c r="J576" i="1" s="1"/>
  <c r="I573" i="1"/>
  <c r="I576" i="1" s="1"/>
  <c r="H573" i="1"/>
  <c r="H576" i="1" s="1"/>
  <c r="G573" i="1"/>
  <c r="G576" i="1" s="1"/>
  <c r="F573" i="1"/>
  <c r="F576" i="1" s="1"/>
  <c r="E573" i="1"/>
  <c r="E576" i="1" s="1"/>
  <c r="AJ571" i="1"/>
  <c r="AJ570" i="1"/>
  <c r="AJ569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I568" i="1"/>
  <c r="H568" i="1"/>
  <c r="G568" i="1"/>
  <c r="F568" i="1"/>
  <c r="E568" i="1"/>
  <c r="AJ567" i="1"/>
  <c r="AK565" i="1" s="1"/>
  <c r="E566" i="1"/>
  <c r="F566" i="1" s="1"/>
  <c r="G566" i="1" s="1"/>
  <c r="H566" i="1" s="1"/>
  <c r="I566" i="1" s="1"/>
  <c r="J566" i="1" s="1"/>
  <c r="K566" i="1" s="1"/>
  <c r="L566" i="1" s="1"/>
  <c r="M566" i="1" s="1"/>
  <c r="N566" i="1" s="1"/>
  <c r="O566" i="1" s="1"/>
  <c r="P566" i="1" s="1"/>
  <c r="Q566" i="1" s="1"/>
  <c r="R566" i="1" s="1"/>
  <c r="S566" i="1" s="1"/>
  <c r="T566" i="1" s="1"/>
  <c r="U566" i="1" s="1"/>
  <c r="V566" i="1" s="1"/>
  <c r="W566" i="1" s="1"/>
  <c r="X566" i="1" s="1"/>
  <c r="Y566" i="1" s="1"/>
  <c r="Z566" i="1" s="1"/>
  <c r="AA566" i="1" s="1"/>
  <c r="AB566" i="1" s="1"/>
  <c r="AC566" i="1" s="1"/>
  <c r="AD566" i="1" s="1"/>
  <c r="AE566" i="1" s="1"/>
  <c r="AF566" i="1" s="1"/>
  <c r="AG566" i="1" s="1"/>
  <c r="AH566" i="1" s="1"/>
  <c r="AI566" i="1" s="1"/>
  <c r="AJ565" i="1"/>
  <c r="C561" i="1"/>
  <c r="AI560" i="1"/>
  <c r="AH560" i="1"/>
  <c r="AG560" i="1"/>
  <c r="AF560" i="1"/>
  <c r="AE560" i="1"/>
  <c r="AD560" i="1"/>
  <c r="AC560" i="1"/>
  <c r="AB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G560" i="1"/>
  <c r="F560" i="1"/>
  <c r="E560" i="1"/>
  <c r="E564" i="1" s="1"/>
  <c r="AJ558" i="1"/>
  <c r="AJ557" i="1"/>
  <c r="AJ556" i="1"/>
  <c r="AI555" i="1"/>
  <c r="AH555" i="1"/>
  <c r="AG555" i="1"/>
  <c r="AF555" i="1"/>
  <c r="AE555" i="1"/>
  <c r="AD555" i="1"/>
  <c r="AC555" i="1"/>
  <c r="AB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G555" i="1"/>
  <c r="F555" i="1"/>
  <c r="AJ554" i="1"/>
  <c r="AI553" i="1"/>
  <c r="AH553" i="1"/>
  <c r="AG553" i="1"/>
  <c r="AF553" i="1"/>
  <c r="AE553" i="1"/>
  <c r="AD553" i="1"/>
  <c r="AC553" i="1"/>
  <c r="AB553" i="1"/>
  <c r="Z553" i="1"/>
  <c r="Y553" i="1"/>
  <c r="X553" i="1"/>
  <c r="W553" i="1"/>
  <c r="V553" i="1"/>
  <c r="U553" i="1"/>
  <c r="T553" i="1"/>
  <c r="S553" i="1"/>
  <c r="R553" i="1"/>
  <c r="L553" i="1"/>
  <c r="M553" i="1" s="1"/>
  <c r="N553" i="1" s="1"/>
  <c r="O553" i="1" s="1"/>
  <c r="P553" i="1" s="1"/>
  <c r="Q553" i="1" s="1"/>
  <c r="K553" i="1"/>
  <c r="J553" i="1"/>
  <c r="G553" i="1"/>
  <c r="H553" i="1" s="1"/>
  <c r="I553" i="1" s="1"/>
  <c r="F553" i="1"/>
  <c r="AJ552" i="1"/>
  <c r="C547" i="1"/>
  <c r="AI546" i="1"/>
  <c r="AH546" i="1"/>
  <c r="AG546" i="1"/>
  <c r="AF546" i="1"/>
  <c r="AE546" i="1"/>
  <c r="AD546" i="1"/>
  <c r="AC546" i="1"/>
  <c r="AB546" i="1"/>
  <c r="Z546" i="1"/>
  <c r="Z549" i="1" s="1"/>
  <c r="X546" i="1"/>
  <c r="X549" i="1" s="1"/>
  <c r="W546" i="1"/>
  <c r="V546" i="1"/>
  <c r="U546" i="1"/>
  <c r="T546" i="1"/>
  <c r="S546" i="1"/>
  <c r="R546" i="1"/>
  <c r="Q546" i="1"/>
  <c r="P546" i="1"/>
  <c r="P549" i="1" s="1"/>
  <c r="O546" i="1"/>
  <c r="O549" i="1" s="1"/>
  <c r="N546" i="1"/>
  <c r="N549" i="1" s="1"/>
  <c r="M546" i="1"/>
  <c r="M549" i="1" s="1"/>
  <c r="L546" i="1"/>
  <c r="L549" i="1" s="1"/>
  <c r="K546" i="1"/>
  <c r="K549" i="1" s="1"/>
  <c r="J546" i="1"/>
  <c r="I546" i="1"/>
  <c r="H546" i="1"/>
  <c r="G546" i="1"/>
  <c r="G549" i="1" s="1"/>
  <c r="F546" i="1"/>
  <c r="F549" i="1" s="1"/>
  <c r="E546" i="1"/>
  <c r="E549" i="1" s="1"/>
  <c r="AJ544" i="1"/>
  <c r="AJ543" i="1"/>
  <c r="AJ542" i="1"/>
  <c r="AI541" i="1"/>
  <c r="AH541" i="1"/>
  <c r="AG541" i="1"/>
  <c r="AF541" i="1"/>
  <c r="AE541" i="1"/>
  <c r="AD541" i="1"/>
  <c r="AC541" i="1"/>
  <c r="AB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I541" i="1"/>
  <c r="H541" i="1"/>
  <c r="G541" i="1"/>
  <c r="F541" i="1"/>
  <c r="E541" i="1"/>
  <c r="AJ540" i="1"/>
  <c r="AK538" i="1" s="1"/>
  <c r="E539" i="1"/>
  <c r="F539" i="1" s="1"/>
  <c r="G539" i="1" s="1"/>
  <c r="H539" i="1" s="1"/>
  <c r="I539" i="1" s="1"/>
  <c r="J539" i="1" s="1"/>
  <c r="K539" i="1" s="1"/>
  <c r="L539" i="1" s="1"/>
  <c r="M539" i="1" s="1"/>
  <c r="N539" i="1" s="1"/>
  <c r="O539" i="1" s="1"/>
  <c r="P539" i="1" s="1"/>
  <c r="Q539" i="1" s="1"/>
  <c r="R539" i="1" s="1"/>
  <c r="S539" i="1" s="1"/>
  <c r="T539" i="1" s="1"/>
  <c r="U539" i="1" s="1"/>
  <c r="V539" i="1" s="1"/>
  <c r="W539" i="1" s="1"/>
  <c r="X539" i="1" s="1"/>
  <c r="Y539" i="1" s="1"/>
  <c r="Z539" i="1" s="1"/>
  <c r="AJ538" i="1"/>
  <c r="C534" i="1"/>
  <c r="AI533" i="1"/>
  <c r="AH533" i="1"/>
  <c r="AG533" i="1"/>
  <c r="AF533" i="1"/>
  <c r="AE533" i="1"/>
  <c r="AD533" i="1"/>
  <c r="AC533" i="1"/>
  <c r="AB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AJ531" i="1"/>
  <c r="AJ530" i="1"/>
  <c r="AJ529" i="1"/>
  <c r="AJ527" i="1"/>
  <c r="AK525" i="1" s="1"/>
  <c r="F526" i="1"/>
  <c r="G526" i="1" s="1"/>
  <c r="H526" i="1" s="1"/>
  <c r="I526" i="1" s="1"/>
  <c r="J526" i="1" s="1"/>
  <c r="K526" i="1" s="1"/>
  <c r="L526" i="1" s="1"/>
  <c r="M526" i="1" s="1"/>
  <c r="N526" i="1" s="1"/>
  <c r="O526" i="1" s="1"/>
  <c r="P526" i="1" s="1"/>
  <c r="Q526" i="1" s="1"/>
  <c r="R526" i="1" s="1"/>
  <c r="S526" i="1" s="1"/>
  <c r="T526" i="1" s="1"/>
  <c r="U526" i="1" s="1"/>
  <c r="V526" i="1" s="1"/>
  <c r="W526" i="1" s="1"/>
  <c r="X526" i="1" s="1"/>
  <c r="Y526" i="1" s="1"/>
  <c r="Z526" i="1" s="1"/>
  <c r="AA526" i="1" s="1"/>
  <c r="AB526" i="1" s="1"/>
  <c r="AC526" i="1" s="1"/>
  <c r="AD526" i="1" s="1"/>
  <c r="AE526" i="1" s="1"/>
  <c r="AF526" i="1" s="1"/>
  <c r="AG526" i="1" s="1"/>
  <c r="AH526" i="1" s="1"/>
  <c r="AI526" i="1" s="1"/>
  <c r="E526" i="1"/>
  <c r="AJ525" i="1"/>
  <c r="C520" i="1"/>
  <c r="AI519" i="1"/>
  <c r="AH519" i="1"/>
  <c r="AH522" i="1" s="1"/>
  <c r="AG519" i="1"/>
  <c r="AG522" i="1" s="1"/>
  <c r="AF519" i="1"/>
  <c r="AF522" i="1" s="1"/>
  <c r="AE519" i="1"/>
  <c r="AE522" i="1" s="1"/>
  <c r="AD519" i="1"/>
  <c r="AD522" i="1" s="1"/>
  <c r="AC519" i="1"/>
  <c r="AC522" i="1" s="1"/>
  <c r="AB519" i="1"/>
  <c r="AB522" i="1" s="1"/>
  <c r="Z519" i="1"/>
  <c r="Z522" i="1" s="1"/>
  <c r="Y519" i="1"/>
  <c r="Y522" i="1" s="1"/>
  <c r="X519" i="1"/>
  <c r="X522" i="1" s="1"/>
  <c r="W519" i="1"/>
  <c r="W522" i="1" s="1"/>
  <c r="V519" i="1"/>
  <c r="U519" i="1"/>
  <c r="T519" i="1"/>
  <c r="T522" i="1" s="1"/>
  <c r="U522" i="1" s="1"/>
  <c r="V522" i="1" s="1"/>
  <c r="S519" i="1"/>
  <c r="S522" i="1" s="1"/>
  <c r="R519" i="1"/>
  <c r="R522" i="1" s="1"/>
  <c r="Q519" i="1"/>
  <c r="Q522" i="1" s="1"/>
  <c r="P519" i="1"/>
  <c r="P522" i="1" s="1"/>
  <c r="O519" i="1"/>
  <c r="O522" i="1" s="1"/>
  <c r="N519" i="1"/>
  <c r="N522" i="1" s="1"/>
  <c r="M519" i="1"/>
  <c r="M522" i="1" s="1"/>
  <c r="L519" i="1"/>
  <c r="L522" i="1" s="1"/>
  <c r="K519" i="1"/>
  <c r="J519" i="1"/>
  <c r="I519" i="1"/>
  <c r="H519" i="1"/>
  <c r="G519" i="1"/>
  <c r="F519" i="1"/>
  <c r="E519" i="1"/>
  <c r="E522" i="1" s="1"/>
  <c r="AJ517" i="1"/>
  <c r="AJ516" i="1"/>
  <c r="AJ515" i="1"/>
  <c r="AI514" i="1"/>
  <c r="AH514" i="1"/>
  <c r="AG514" i="1"/>
  <c r="AF514" i="1"/>
  <c r="AE514" i="1"/>
  <c r="AC514" i="1"/>
  <c r="AB514" i="1"/>
  <c r="Z514" i="1"/>
  <c r="Y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I514" i="1"/>
  <c r="G514" i="1"/>
  <c r="F514" i="1"/>
  <c r="AJ513" i="1"/>
  <c r="AK511" i="1" s="1"/>
  <c r="E512" i="1"/>
  <c r="F512" i="1" s="1"/>
  <c r="G512" i="1" s="1"/>
  <c r="H512" i="1" s="1"/>
  <c r="I512" i="1" s="1"/>
  <c r="J512" i="1" s="1"/>
  <c r="K512" i="1" s="1"/>
  <c r="L512" i="1" s="1"/>
  <c r="M512" i="1" s="1"/>
  <c r="N512" i="1" s="1"/>
  <c r="O512" i="1" s="1"/>
  <c r="P512" i="1" s="1"/>
  <c r="Q512" i="1" s="1"/>
  <c r="R512" i="1" s="1"/>
  <c r="S512" i="1" s="1"/>
  <c r="T512" i="1" s="1"/>
  <c r="U512" i="1" s="1"/>
  <c r="V512" i="1" s="1"/>
  <c r="W512" i="1" s="1"/>
  <c r="AJ511" i="1"/>
  <c r="C507" i="1"/>
  <c r="AI506" i="1"/>
  <c r="AH506" i="1"/>
  <c r="AG506" i="1"/>
  <c r="AF506" i="1"/>
  <c r="AE506" i="1"/>
  <c r="AD506" i="1"/>
  <c r="AC506" i="1"/>
  <c r="AB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AJ504" i="1"/>
  <c r="AJ503" i="1"/>
  <c r="AJ502" i="1"/>
  <c r="AI501" i="1"/>
  <c r="AH501" i="1"/>
  <c r="AG501" i="1"/>
  <c r="AF501" i="1"/>
  <c r="AE501" i="1"/>
  <c r="AD501" i="1"/>
  <c r="AC501" i="1"/>
  <c r="AB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AJ500" i="1"/>
  <c r="AK498" i="1" s="1"/>
  <c r="AI499" i="1"/>
  <c r="AH499" i="1"/>
  <c r="AG499" i="1"/>
  <c r="AF499" i="1"/>
  <c r="AE499" i="1"/>
  <c r="AD499" i="1"/>
  <c r="AC499" i="1"/>
  <c r="AB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AJ498" i="1"/>
  <c r="C493" i="1"/>
  <c r="AI492" i="1"/>
  <c r="AH492" i="1"/>
  <c r="AG492" i="1"/>
  <c r="AF492" i="1"/>
  <c r="AE492" i="1"/>
  <c r="AD492" i="1"/>
  <c r="AC492" i="1"/>
  <c r="AB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E495" i="1" s="1"/>
  <c r="AJ490" i="1"/>
  <c r="AJ489" i="1"/>
  <c r="AJ488" i="1"/>
  <c r="AI487" i="1"/>
  <c r="AH487" i="1"/>
  <c r="AG487" i="1"/>
  <c r="AF487" i="1"/>
  <c r="AE487" i="1"/>
  <c r="AD487" i="1"/>
  <c r="AC487" i="1"/>
  <c r="AB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AJ486" i="1"/>
  <c r="AK484" i="1" s="1"/>
  <c r="AI485" i="1"/>
  <c r="AH485" i="1"/>
  <c r="AG485" i="1"/>
  <c r="AF485" i="1"/>
  <c r="AE485" i="1"/>
  <c r="AD485" i="1"/>
  <c r="AC485" i="1"/>
  <c r="AB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AJ484" i="1"/>
  <c r="C480" i="1"/>
  <c r="AI479" i="1"/>
  <c r="AH479" i="1"/>
  <c r="AG479" i="1"/>
  <c r="AF479" i="1"/>
  <c r="AE479" i="1"/>
  <c r="AD479" i="1"/>
  <c r="AC479" i="1"/>
  <c r="AB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AJ477" i="1"/>
  <c r="AJ476" i="1"/>
  <c r="AJ475" i="1"/>
  <c r="AI474" i="1"/>
  <c r="AH474" i="1"/>
  <c r="AG474" i="1"/>
  <c r="AF474" i="1"/>
  <c r="AE474" i="1"/>
  <c r="AD474" i="1"/>
  <c r="AC474" i="1"/>
  <c r="AB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AJ473" i="1"/>
  <c r="AK471" i="1" s="1"/>
  <c r="AI472" i="1"/>
  <c r="AH472" i="1"/>
  <c r="AG472" i="1"/>
  <c r="AF472" i="1"/>
  <c r="AE472" i="1"/>
  <c r="AD472" i="1"/>
  <c r="AC472" i="1"/>
  <c r="AB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AJ471" i="1"/>
  <c r="C466" i="1"/>
  <c r="AI465" i="1"/>
  <c r="AH465" i="1"/>
  <c r="AG465" i="1"/>
  <c r="AF465" i="1"/>
  <c r="AE465" i="1"/>
  <c r="AD465" i="1"/>
  <c r="AC465" i="1"/>
  <c r="AB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E468" i="1" s="1"/>
  <c r="AJ463" i="1"/>
  <c r="AJ462" i="1"/>
  <c r="AJ461" i="1"/>
  <c r="AI460" i="1"/>
  <c r="AH460" i="1"/>
  <c r="AG460" i="1"/>
  <c r="AF460" i="1"/>
  <c r="AE460" i="1"/>
  <c r="AD460" i="1"/>
  <c r="AC460" i="1"/>
  <c r="AB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AJ459" i="1"/>
  <c r="AK457" i="1" s="1"/>
  <c r="AI458" i="1"/>
  <c r="AH458" i="1"/>
  <c r="AG458" i="1"/>
  <c r="AF458" i="1"/>
  <c r="AE458" i="1"/>
  <c r="AD458" i="1"/>
  <c r="AC458" i="1"/>
  <c r="AB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AJ457" i="1"/>
  <c r="C453" i="1"/>
  <c r="AI452" i="1"/>
  <c r="AH452" i="1"/>
  <c r="AG452" i="1"/>
  <c r="AF452" i="1"/>
  <c r="AE452" i="1"/>
  <c r="AD452" i="1"/>
  <c r="AC452" i="1"/>
  <c r="AB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E456" i="1" s="1"/>
  <c r="AJ450" i="1"/>
  <c r="AJ449" i="1"/>
  <c r="AJ448" i="1"/>
  <c r="AI447" i="1"/>
  <c r="AH447" i="1"/>
  <c r="AG447" i="1"/>
  <c r="AF447" i="1"/>
  <c r="AE447" i="1"/>
  <c r="AD447" i="1"/>
  <c r="AC447" i="1"/>
  <c r="AB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AJ446" i="1"/>
  <c r="AK444" i="1" s="1"/>
  <c r="AI445" i="1"/>
  <c r="AH445" i="1"/>
  <c r="AG445" i="1"/>
  <c r="AF445" i="1"/>
  <c r="AE445" i="1"/>
  <c r="AD445" i="1"/>
  <c r="AC445" i="1"/>
  <c r="AB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AJ444" i="1"/>
  <c r="C439" i="1"/>
  <c r="AI438" i="1"/>
  <c r="AH438" i="1"/>
  <c r="AG438" i="1"/>
  <c r="AF438" i="1"/>
  <c r="AE438" i="1"/>
  <c r="AD438" i="1"/>
  <c r="AC438" i="1"/>
  <c r="AB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E441" i="1" s="1"/>
  <c r="AJ436" i="1"/>
  <c r="AJ435" i="1"/>
  <c r="AJ434" i="1"/>
  <c r="AI433" i="1"/>
  <c r="AH433" i="1"/>
  <c r="AG433" i="1"/>
  <c r="AF433" i="1"/>
  <c r="AE433" i="1"/>
  <c r="AD433" i="1"/>
  <c r="AC433" i="1"/>
  <c r="AB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AJ432" i="1"/>
  <c r="AK430" i="1" s="1"/>
  <c r="AB431" i="1"/>
  <c r="AC431" i="1" s="1"/>
  <c r="AD431" i="1" s="1"/>
  <c r="AE431" i="1" s="1"/>
  <c r="AF431" i="1" s="1"/>
  <c r="AG431" i="1" s="1"/>
  <c r="AH431" i="1" s="1"/>
  <c r="AI431" i="1" s="1"/>
  <c r="E431" i="1"/>
  <c r="F431" i="1" s="1"/>
  <c r="G431" i="1" s="1"/>
  <c r="H431" i="1" s="1"/>
  <c r="I431" i="1" s="1"/>
  <c r="J431" i="1" s="1"/>
  <c r="K431" i="1" s="1"/>
  <c r="L431" i="1" s="1"/>
  <c r="M431" i="1" s="1"/>
  <c r="N431" i="1" s="1"/>
  <c r="O431" i="1" s="1"/>
  <c r="P431" i="1" s="1"/>
  <c r="Q431" i="1" s="1"/>
  <c r="R431" i="1" s="1"/>
  <c r="S431" i="1" s="1"/>
  <c r="T431" i="1" s="1"/>
  <c r="U431" i="1" s="1"/>
  <c r="V431" i="1" s="1"/>
  <c r="W431" i="1" s="1"/>
  <c r="X431" i="1" s="1"/>
  <c r="Y431" i="1" s="1"/>
  <c r="Z431" i="1" s="1"/>
  <c r="AJ430" i="1"/>
  <c r="C426" i="1"/>
  <c r="AI425" i="1"/>
  <c r="AH425" i="1"/>
  <c r="AG425" i="1"/>
  <c r="AF425" i="1"/>
  <c r="AE425" i="1"/>
  <c r="AD425" i="1"/>
  <c r="AC425" i="1"/>
  <c r="AB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E429" i="1" s="1"/>
  <c r="AJ423" i="1"/>
  <c r="AJ422" i="1"/>
  <c r="AJ421" i="1"/>
  <c r="AI420" i="1"/>
  <c r="AH420" i="1"/>
  <c r="AG420" i="1"/>
  <c r="AF420" i="1"/>
  <c r="AE420" i="1"/>
  <c r="AD420" i="1"/>
  <c r="AC420" i="1"/>
  <c r="AB420" i="1"/>
  <c r="Z420" i="1"/>
  <c r="Y420" i="1"/>
  <c r="X420" i="1"/>
  <c r="W420" i="1"/>
  <c r="V420" i="1"/>
  <c r="U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AJ419" i="1"/>
  <c r="AK417" i="1" s="1"/>
  <c r="AI418" i="1"/>
  <c r="AH418" i="1"/>
  <c r="AG418" i="1"/>
  <c r="AF418" i="1"/>
  <c r="AC418" i="1"/>
  <c r="AD418" i="1" s="1"/>
  <c r="AE418" i="1" s="1"/>
  <c r="AB418" i="1"/>
  <c r="Y418" i="1"/>
  <c r="Z418" i="1" s="1"/>
  <c r="R418" i="1"/>
  <c r="S418" i="1" s="1"/>
  <c r="T418" i="1" s="1"/>
  <c r="U418" i="1" s="1"/>
  <c r="V418" i="1" s="1"/>
  <c r="W418" i="1" s="1"/>
  <c r="X418" i="1" s="1"/>
  <c r="Q418" i="1"/>
  <c r="M418" i="1"/>
  <c r="N418" i="1" s="1"/>
  <c r="O418" i="1" s="1"/>
  <c r="P418" i="1" s="1"/>
  <c r="L418" i="1"/>
  <c r="K418" i="1"/>
  <c r="J418" i="1"/>
  <c r="I418" i="1"/>
  <c r="G418" i="1"/>
  <c r="H418" i="1" s="1"/>
  <c r="F418" i="1"/>
  <c r="E418" i="1"/>
  <c r="AJ417" i="1"/>
  <c r="C412" i="1"/>
  <c r="AI411" i="1"/>
  <c r="AH411" i="1"/>
  <c r="AG411" i="1"/>
  <c r="AF411" i="1"/>
  <c r="AE411" i="1"/>
  <c r="AD411" i="1"/>
  <c r="AC411" i="1"/>
  <c r="AB411" i="1"/>
  <c r="Z411" i="1"/>
  <c r="Z414" i="1" s="1"/>
  <c r="Y411" i="1"/>
  <c r="X411" i="1"/>
  <c r="W411" i="1"/>
  <c r="V411" i="1"/>
  <c r="V414" i="1" s="1"/>
  <c r="U411" i="1"/>
  <c r="U414" i="1" s="1"/>
  <c r="T411" i="1"/>
  <c r="T414" i="1" s="1"/>
  <c r="S411" i="1"/>
  <c r="S414" i="1" s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F414" i="1" s="1"/>
  <c r="E411" i="1"/>
  <c r="AJ409" i="1"/>
  <c r="AJ408" i="1"/>
  <c r="AJ407" i="1"/>
  <c r="AI406" i="1"/>
  <c r="AH406" i="1"/>
  <c r="AG406" i="1"/>
  <c r="AF406" i="1"/>
  <c r="AE406" i="1"/>
  <c r="AD406" i="1"/>
  <c r="AC406" i="1"/>
  <c r="AB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J406" i="1"/>
  <c r="I406" i="1"/>
  <c r="H406" i="1"/>
  <c r="G406" i="1"/>
  <c r="F406" i="1"/>
  <c r="E406" i="1"/>
  <c r="AJ405" i="1"/>
  <c r="AK403" i="1" s="1"/>
  <c r="AB404" i="1"/>
  <c r="AC404" i="1" s="1"/>
  <c r="AD404" i="1" s="1"/>
  <c r="AE404" i="1" s="1"/>
  <c r="AF404" i="1" s="1"/>
  <c r="AG404" i="1" s="1"/>
  <c r="AH404" i="1" s="1"/>
  <c r="AI404" i="1" s="1"/>
  <c r="E404" i="1"/>
  <c r="F404" i="1" s="1"/>
  <c r="G404" i="1" s="1"/>
  <c r="H404" i="1" s="1"/>
  <c r="I404" i="1" s="1"/>
  <c r="J404" i="1" s="1"/>
  <c r="K404" i="1" s="1"/>
  <c r="L404" i="1" s="1"/>
  <c r="M404" i="1" s="1"/>
  <c r="N404" i="1" s="1"/>
  <c r="O404" i="1" s="1"/>
  <c r="P404" i="1" s="1"/>
  <c r="Q404" i="1" s="1"/>
  <c r="R404" i="1" s="1"/>
  <c r="S404" i="1" s="1"/>
  <c r="T404" i="1" s="1"/>
  <c r="U404" i="1" s="1"/>
  <c r="V404" i="1" s="1"/>
  <c r="W404" i="1" s="1"/>
  <c r="X404" i="1" s="1"/>
  <c r="Y404" i="1" s="1"/>
  <c r="Z404" i="1" s="1"/>
  <c r="AJ403" i="1"/>
  <c r="C398" i="1"/>
  <c r="AI397" i="1"/>
  <c r="AH397" i="1"/>
  <c r="AG397" i="1"/>
  <c r="AF397" i="1"/>
  <c r="AE397" i="1"/>
  <c r="AD397" i="1"/>
  <c r="AC397" i="1"/>
  <c r="AB397" i="1"/>
  <c r="Z397" i="1"/>
  <c r="Z400" i="1" s="1"/>
  <c r="Y397" i="1"/>
  <c r="X397" i="1"/>
  <c r="W397" i="1"/>
  <c r="V397" i="1"/>
  <c r="V400" i="1" s="1"/>
  <c r="U397" i="1"/>
  <c r="U400" i="1" s="1"/>
  <c r="T397" i="1"/>
  <c r="T400" i="1" s="1"/>
  <c r="S397" i="1"/>
  <c r="S400" i="1" s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F400" i="1" s="1"/>
  <c r="E397" i="1"/>
  <c r="AJ395" i="1"/>
  <c r="AJ394" i="1"/>
  <c r="AJ393" i="1"/>
  <c r="AI392" i="1"/>
  <c r="AH392" i="1"/>
  <c r="AG392" i="1"/>
  <c r="AF392" i="1"/>
  <c r="AE392" i="1"/>
  <c r="AD392" i="1"/>
  <c r="AC392" i="1"/>
  <c r="AB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AJ391" i="1"/>
  <c r="AK389" i="1" s="1"/>
  <c r="AB390" i="1"/>
  <c r="AC390" i="1" s="1"/>
  <c r="AD390" i="1" s="1"/>
  <c r="AE390" i="1" s="1"/>
  <c r="AF390" i="1" s="1"/>
  <c r="AG390" i="1" s="1"/>
  <c r="AH390" i="1" s="1"/>
  <c r="AI390" i="1" s="1"/>
  <c r="E390" i="1"/>
  <c r="F390" i="1" s="1"/>
  <c r="G390" i="1" s="1"/>
  <c r="H390" i="1" s="1"/>
  <c r="I390" i="1" s="1"/>
  <c r="J390" i="1" s="1"/>
  <c r="K390" i="1" s="1"/>
  <c r="L390" i="1" s="1"/>
  <c r="M390" i="1" s="1"/>
  <c r="N390" i="1" s="1"/>
  <c r="O390" i="1" s="1"/>
  <c r="P390" i="1" s="1"/>
  <c r="Q390" i="1" s="1"/>
  <c r="R390" i="1" s="1"/>
  <c r="S390" i="1" s="1"/>
  <c r="T390" i="1" s="1"/>
  <c r="U390" i="1" s="1"/>
  <c r="V390" i="1" s="1"/>
  <c r="W390" i="1" s="1"/>
  <c r="X390" i="1" s="1"/>
  <c r="Y390" i="1" s="1"/>
  <c r="Z390" i="1" s="1"/>
  <c r="AJ389" i="1"/>
  <c r="C385" i="1"/>
  <c r="AI384" i="1"/>
  <c r="AH384" i="1"/>
  <c r="AG384" i="1"/>
  <c r="AF384" i="1"/>
  <c r="AE384" i="1"/>
  <c r="AD384" i="1"/>
  <c r="AC384" i="1"/>
  <c r="AB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AJ382" i="1"/>
  <c r="AJ381" i="1"/>
  <c r="AJ380" i="1"/>
  <c r="AI379" i="1"/>
  <c r="AH379" i="1"/>
  <c r="AG379" i="1"/>
  <c r="AF379" i="1"/>
  <c r="AE379" i="1"/>
  <c r="AD379" i="1"/>
  <c r="AC379" i="1"/>
  <c r="AB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J379" i="1"/>
  <c r="I379" i="1"/>
  <c r="H379" i="1"/>
  <c r="G379" i="1"/>
  <c r="F379" i="1"/>
  <c r="E379" i="1"/>
  <c r="AJ378" i="1"/>
  <c r="AK376" i="1" s="1"/>
  <c r="AI377" i="1"/>
  <c r="AH377" i="1"/>
  <c r="AG377" i="1"/>
  <c r="AF377" i="1"/>
  <c r="AE377" i="1"/>
  <c r="AD377" i="1"/>
  <c r="AC377" i="1"/>
  <c r="AB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AJ376" i="1"/>
  <c r="C371" i="1"/>
  <c r="AI370" i="1"/>
  <c r="AH370" i="1"/>
  <c r="AG370" i="1"/>
  <c r="AF370" i="1"/>
  <c r="AE370" i="1"/>
  <c r="AD370" i="1"/>
  <c r="AC370" i="1"/>
  <c r="AB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E373" i="1" s="1"/>
  <c r="AJ368" i="1"/>
  <c r="AJ367" i="1"/>
  <c r="AJ366" i="1"/>
  <c r="AI365" i="1"/>
  <c r="AH365" i="1"/>
  <c r="AG365" i="1"/>
  <c r="AF365" i="1"/>
  <c r="AE365" i="1"/>
  <c r="AD365" i="1"/>
  <c r="AC365" i="1"/>
  <c r="AB365" i="1"/>
  <c r="Z365" i="1"/>
  <c r="Y365" i="1"/>
  <c r="X365" i="1"/>
  <c r="W365" i="1"/>
  <c r="U365" i="1"/>
  <c r="T365" i="1"/>
  <c r="S365" i="1"/>
  <c r="R365" i="1"/>
  <c r="Q365" i="1"/>
  <c r="P365" i="1"/>
  <c r="O365" i="1"/>
  <c r="N365" i="1"/>
  <c r="M365" i="1"/>
  <c r="L365" i="1"/>
  <c r="J365" i="1"/>
  <c r="I365" i="1"/>
  <c r="H365" i="1"/>
  <c r="G365" i="1"/>
  <c r="F365" i="1"/>
  <c r="E365" i="1"/>
  <c r="AJ364" i="1"/>
  <c r="AK362" i="1" s="1"/>
  <c r="AI363" i="1"/>
  <c r="AH363" i="1"/>
  <c r="AG363" i="1"/>
  <c r="AE363" i="1"/>
  <c r="AF363" i="1" s="1"/>
  <c r="AD363" i="1"/>
  <c r="AB363" i="1"/>
  <c r="AC363" i="1" s="1"/>
  <c r="Z363" i="1"/>
  <c r="Y363" i="1"/>
  <c r="X363" i="1"/>
  <c r="W363" i="1"/>
  <c r="V363" i="1"/>
  <c r="U363" i="1"/>
  <c r="T363" i="1"/>
  <c r="S363" i="1"/>
  <c r="R363" i="1"/>
  <c r="Q363" i="1"/>
  <c r="P363" i="1"/>
  <c r="H363" i="1"/>
  <c r="I363" i="1" s="1"/>
  <c r="J363" i="1" s="1"/>
  <c r="K363" i="1" s="1"/>
  <c r="L363" i="1" s="1"/>
  <c r="M363" i="1" s="1"/>
  <c r="N363" i="1" s="1"/>
  <c r="O363" i="1" s="1"/>
  <c r="E363" i="1"/>
  <c r="F363" i="1" s="1"/>
  <c r="G363" i="1" s="1"/>
  <c r="AJ362" i="1"/>
  <c r="C357" i="1"/>
  <c r="AI356" i="1"/>
  <c r="AH356" i="1"/>
  <c r="AG356" i="1"/>
  <c r="AF356" i="1"/>
  <c r="AE356" i="1"/>
  <c r="AD356" i="1"/>
  <c r="AC356" i="1"/>
  <c r="AB356" i="1"/>
  <c r="Z356" i="1"/>
  <c r="Y356" i="1"/>
  <c r="X356" i="1"/>
  <c r="W356" i="1"/>
  <c r="V356" i="1"/>
  <c r="V359" i="1" s="1"/>
  <c r="U356" i="1"/>
  <c r="U359" i="1" s="1"/>
  <c r="T356" i="1"/>
  <c r="T359" i="1" s="1"/>
  <c r="S356" i="1"/>
  <c r="S359" i="1" s="1"/>
  <c r="R356" i="1"/>
  <c r="R359" i="1" s="1"/>
  <c r="Q356" i="1"/>
  <c r="Q359" i="1" s="1"/>
  <c r="P356" i="1"/>
  <c r="P359" i="1" s="1"/>
  <c r="O356" i="1"/>
  <c r="O359" i="1" s="1"/>
  <c r="N356" i="1"/>
  <c r="N359" i="1" s="1"/>
  <c r="M356" i="1"/>
  <c r="M359" i="1" s="1"/>
  <c r="L356" i="1"/>
  <c r="L359" i="1" s="1"/>
  <c r="K356" i="1"/>
  <c r="K359" i="1" s="1"/>
  <c r="J356" i="1"/>
  <c r="J359" i="1" s="1"/>
  <c r="I356" i="1"/>
  <c r="I359" i="1" s="1"/>
  <c r="H356" i="1"/>
  <c r="H359" i="1" s="1"/>
  <c r="G356" i="1"/>
  <c r="G359" i="1" s="1"/>
  <c r="F356" i="1"/>
  <c r="F359" i="1" s="1"/>
  <c r="E356" i="1"/>
  <c r="E359" i="1" s="1"/>
  <c r="AJ354" i="1"/>
  <c r="AJ353" i="1"/>
  <c r="AJ352" i="1"/>
  <c r="AI351" i="1"/>
  <c r="AH351" i="1"/>
  <c r="AG351" i="1"/>
  <c r="AF351" i="1"/>
  <c r="AE351" i="1"/>
  <c r="AD351" i="1"/>
  <c r="AC351" i="1"/>
  <c r="Z351" i="1"/>
  <c r="Y351" i="1"/>
  <c r="X351" i="1"/>
  <c r="W351" i="1"/>
  <c r="V351" i="1"/>
  <c r="S351" i="1"/>
  <c r="R351" i="1"/>
  <c r="Q351" i="1"/>
  <c r="N351" i="1"/>
  <c r="M351" i="1"/>
  <c r="L351" i="1"/>
  <c r="K351" i="1"/>
  <c r="J351" i="1"/>
  <c r="I351" i="1"/>
  <c r="H351" i="1"/>
  <c r="G351" i="1"/>
  <c r="E351" i="1"/>
  <c r="AJ350" i="1"/>
  <c r="AK348" i="1" s="1"/>
  <c r="AI349" i="1"/>
  <c r="AH349" i="1"/>
  <c r="AG349" i="1"/>
  <c r="AF349" i="1"/>
  <c r="AE349" i="1"/>
  <c r="AD349" i="1"/>
  <c r="AC349" i="1"/>
  <c r="AB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AJ348" i="1"/>
  <c r="C344" i="1"/>
  <c r="AI343" i="1"/>
  <c r="AH343" i="1"/>
  <c r="AG343" i="1"/>
  <c r="AF343" i="1"/>
  <c r="AE343" i="1"/>
  <c r="AD343" i="1"/>
  <c r="AC343" i="1"/>
  <c r="AB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E347" i="1" s="1"/>
  <c r="AJ341" i="1"/>
  <c r="AJ340" i="1"/>
  <c r="AJ339" i="1"/>
  <c r="AI338" i="1"/>
  <c r="AH338" i="1"/>
  <c r="AG338" i="1"/>
  <c r="AF338" i="1"/>
  <c r="AE338" i="1"/>
  <c r="AD338" i="1"/>
  <c r="AC338" i="1"/>
  <c r="Z338" i="1"/>
  <c r="Y338" i="1"/>
  <c r="X338" i="1"/>
  <c r="W338" i="1"/>
  <c r="V338" i="1"/>
  <c r="T338" i="1"/>
  <c r="S338" i="1"/>
  <c r="R338" i="1"/>
  <c r="Q338" i="1"/>
  <c r="N338" i="1"/>
  <c r="M338" i="1"/>
  <c r="L338" i="1"/>
  <c r="K338" i="1"/>
  <c r="J338" i="1"/>
  <c r="I338" i="1"/>
  <c r="H338" i="1"/>
  <c r="G338" i="1"/>
  <c r="F338" i="1"/>
  <c r="E338" i="1"/>
  <c r="AJ337" i="1"/>
  <c r="AK335" i="1" s="1"/>
  <c r="AI336" i="1"/>
  <c r="AH336" i="1"/>
  <c r="AG336" i="1"/>
  <c r="AF336" i="1"/>
  <c r="AE336" i="1"/>
  <c r="AD336" i="1"/>
  <c r="AC336" i="1"/>
  <c r="AB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AJ335" i="1"/>
  <c r="C330" i="1"/>
  <c r="AI329" i="1"/>
  <c r="AH329" i="1"/>
  <c r="AG329" i="1"/>
  <c r="AF329" i="1"/>
  <c r="AE329" i="1"/>
  <c r="AD329" i="1"/>
  <c r="AC329" i="1"/>
  <c r="AB329" i="1"/>
  <c r="Z329" i="1"/>
  <c r="Y329" i="1"/>
  <c r="Y332" i="1" s="1"/>
  <c r="X329" i="1"/>
  <c r="X332" i="1" s="1"/>
  <c r="W329" i="1"/>
  <c r="W332" i="1" s="1"/>
  <c r="V329" i="1"/>
  <c r="V332" i="1" s="1"/>
  <c r="U329" i="1"/>
  <c r="U332" i="1" s="1"/>
  <c r="T329" i="1"/>
  <c r="T332" i="1" s="1"/>
  <c r="S329" i="1"/>
  <c r="S332" i="1" s="1"/>
  <c r="R329" i="1"/>
  <c r="R332" i="1" s="1"/>
  <c r="Q329" i="1"/>
  <c r="Q332" i="1" s="1"/>
  <c r="P329" i="1"/>
  <c r="P332" i="1" s="1"/>
  <c r="O329" i="1"/>
  <c r="N329" i="1"/>
  <c r="M329" i="1"/>
  <c r="L329" i="1"/>
  <c r="K329" i="1"/>
  <c r="J329" i="1"/>
  <c r="I329" i="1"/>
  <c r="H329" i="1"/>
  <c r="G329" i="1"/>
  <c r="F329" i="1"/>
  <c r="E329" i="1"/>
  <c r="E332" i="1" s="1"/>
  <c r="AJ327" i="1"/>
  <c r="AJ326" i="1"/>
  <c r="AJ325" i="1"/>
  <c r="AI324" i="1"/>
  <c r="AH324" i="1"/>
  <c r="AG324" i="1"/>
  <c r="AF324" i="1"/>
  <c r="AE324" i="1"/>
  <c r="AD324" i="1"/>
  <c r="AC324" i="1"/>
  <c r="AB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AJ323" i="1"/>
  <c r="AK321" i="1" s="1"/>
  <c r="AI322" i="1"/>
  <c r="AB322" i="1"/>
  <c r="AC322" i="1" s="1"/>
  <c r="AD322" i="1" s="1"/>
  <c r="AE322" i="1" s="1"/>
  <c r="AF322" i="1" s="1"/>
  <c r="AG322" i="1" s="1"/>
  <c r="AH322" i="1" s="1"/>
  <c r="O322" i="1"/>
  <c r="P322" i="1" s="1"/>
  <c r="Q322" i="1" s="1"/>
  <c r="R322" i="1" s="1"/>
  <c r="S322" i="1" s="1"/>
  <c r="T322" i="1" s="1"/>
  <c r="U322" i="1" s="1"/>
  <c r="V322" i="1" s="1"/>
  <c r="W322" i="1" s="1"/>
  <c r="X322" i="1" s="1"/>
  <c r="Y322" i="1" s="1"/>
  <c r="Z322" i="1" s="1"/>
  <c r="F322" i="1"/>
  <c r="G322" i="1" s="1"/>
  <c r="H322" i="1" s="1"/>
  <c r="I322" i="1" s="1"/>
  <c r="J322" i="1" s="1"/>
  <c r="K322" i="1" s="1"/>
  <c r="L322" i="1" s="1"/>
  <c r="M322" i="1" s="1"/>
  <c r="N322" i="1" s="1"/>
  <c r="E322" i="1"/>
  <c r="AJ321" i="1"/>
  <c r="C316" i="1"/>
  <c r="AI315" i="1"/>
  <c r="AH315" i="1"/>
  <c r="AG315" i="1"/>
  <c r="AF315" i="1"/>
  <c r="AE315" i="1"/>
  <c r="AD315" i="1"/>
  <c r="AC315" i="1"/>
  <c r="AB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E318" i="1" s="1"/>
  <c r="AJ313" i="1"/>
  <c r="AJ312" i="1"/>
  <c r="AJ311" i="1"/>
  <c r="AI310" i="1"/>
  <c r="AH310" i="1"/>
  <c r="AG310" i="1"/>
  <c r="AF310" i="1"/>
  <c r="AE310" i="1"/>
  <c r="AD310" i="1"/>
  <c r="AC310" i="1"/>
  <c r="AB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AJ309" i="1"/>
  <c r="AK307" i="1" s="1"/>
  <c r="AI308" i="1"/>
  <c r="AH308" i="1"/>
  <c r="AG308" i="1"/>
  <c r="AF308" i="1"/>
  <c r="AE308" i="1"/>
  <c r="AD308" i="1"/>
  <c r="AC308" i="1"/>
  <c r="AB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AJ307" i="1"/>
  <c r="C303" i="1"/>
  <c r="AI302" i="1"/>
  <c r="AH302" i="1"/>
  <c r="AG302" i="1"/>
  <c r="AF302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AJ300" i="1"/>
  <c r="AJ299" i="1"/>
  <c r="AJ298" i="1"/>
  <c r="AI297" i="1"/>
  <c r="AH297" i="1"/>
  <c r="AG297" i="1"/>
  <c r="AE297" i="1"/>
  <c r="AD297" i="1"/>
  <c r="AC297" i="1"/>
  <c r="AB297" i="1"/>
  <c r="AA297" i="1"/>
  <c r="Z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AJ296" i="1"/>
  <c r="AK294" i="1" s="1"/>
  <c r="AI295" i="1"/>
  <c r="AH295" i="1"/>
  <c r="AG295" i="1"/>
  <c r="AF295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AJ294" i="1"/>
  <c r="C289" i="1"/>
  <c r="AI288" i="1"/>
  <c r="AH288" i="1"/>
  <c r="AG288" i="1"/>
  <c r="AF288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E291" i="1" s="1"/>
  <c r="AJ286" i="1"/>
  <c r="AJ285" i="1"/>
  <c r="AJ284" i="1"/>
  <c r="AI283" i="1"/>
  <c r="AH283" i="1"/>
  <c r="AG283" i="1"/>
  <c r="AF283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AJ282" i="1"/>
  <c r="AK280" i="1" s="1"/>
  <c r="AI281" i="1"/>
  <c r="AH281" i="1"/>
  <c r="AG281" i="1"/>
  <c r="AF281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AJ280" i="1"/>
  <c r="C275" i="1"/>
  <c r="AI274" i="1"/>
  <c r="AH274" i="1"/>
  <c r="AG274" i="1"/>
  <c r="AF274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E277" i="1" s="1"/>
  <c r="AJ272" i="1"/>
  <c r="AJ271" i="1"/>
  <c r="AJ270" i="1"/>
  <c r="AI269" i="1"/>
  <c r="AH269" i="1"/>
  <c r="AG269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AJ268" i="1"/>
  <c r="AK266" i="1" s="1"/>
  <c r="AI267" i="1"/>
  <c r="E267" i="1"/>
  <c r="F267" i="1" s="1"/>
  <c r="G267" i="1" s="1"/>
  <c r="H267" i="1" s="1"/>
  <c r="I267" i="1" s="1"/>
  <c r="J267" i="1" s="1"/>
  <c r="K267" i="1" s="1"/>
  <c r="L267" i="1" s="1"/>
  <c r="M267" i="1" s="1"/>
  <c r="N267" i="1" s="1"/>
  <c r="O267" i="1" s="1"/>
  <c r="P267" i="1" s="1"/>
  <c r="Q267" i="1" s="1"/>
  <c r="R267" i="1" s="1"/>
  <c r="S267" i="1" s="1"/>
  <c r="T267" i="1" s="1"/>
  <c r="U267" i="1" s="1"/>
  <c r="V267" i="1" s="1"/>
  <c r="W267" i="1" s="1"/>
  <c r="X267" i="1" s="1"/>
  <c r="Y267" i="1" s="1"/>
  <c r="Z267" i="1" s="1"/>
  <c r="AA267" i="1" s="1"/>
  <c r="AB267" i="1" s="1"/>
  <c r="AC267" i="1" s="1"/>
  <c r="AD267" i="1" s="1"/>
  <c r="AE267" i="1" s="1"/>
  <c r="AF267" i="1" s="1"/>
  <c r="AG267" i="1" s="1"/>
  <c r="AH267" i="1" s="1"/>
  <c r="AJ266" i="1"/>
  <c r="C262" i="1"/>
  <c r="AI261" i="1"/>
  <c r="AH261" i="1"/>
  <c r="AG261" i="1"/>
  <c r="AF261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AJ259" i="1"/>
  <c r="AJ258" i="1"/>
  <c r="AJ257" i="1"/>
  <c r="AI256" i="1"/>
  <c r="AJ255" i="1"/>
  <c r="AK253" i="1" s="1"/>
  <c r="E254" i="1"/>
  <c r="F254" i="1" s="1"/>
  <c r="G254" i="1" s="1"/>
  <c r="H254" i="1" s="1"/>
  <c r="I254" i="1" s="1"/>
  <c r="J254" i="1" s="1"/>
  <c r="K254" i="1" s="1"/>
  <c r="L254" i="1" s="1"/>
  <c r="M254" i="1" s="1"/>
  <c r="N254" i="1" s="1"/>
  <c r="O254" i="1" s="1"/>
  <c r="P254" i="1" s="1"/>
  <c r="Q254" i="1" s="1"/>
  <c r="R254" i="1" s="1"/>
  <c r="S254" i="1" s="1"/>
  <c r="T254" i="1" s="1"/>
  <c r="U254" i="1" s="1"/>
  <c r="V254" i="1" s="1"/>
  <c r="W254" i="1" s="1"/>
  <c r="X254" i="1" s="1"/>
  <c r="Y254" i="1" s="1"/>
  <c r="Z254" i="1" s="1"/>
  <c r="AA254" i="1" s="1"/>
  <c r="AB254" i="1" s="1"/>
  <c r="AC254" i="1" s="1"/>
  <c r="AD254" i="1" s="1"/>
  <c r="AE254" i="1" s="1"/>
  <c r="AF254" i="1" s="1"/>
  <c r="AG254" i="1" s="1"/>
  <c r="AH254" i="1" s="1"/>
  <c r="AI254" i="1" s="1"/>
  <c r="AJ253" i="1"/>
  <c r="C248" i="1"/>
  <c r="AI247" i="1"/>
  <c r="AH247" i="1"/>
  <c r="AG247" i="1"/>
  <c r="AF247" i="1"/>
  <c r="AE247" i="1"/>
  <c r="AD247" i="1"/>
  <c r="AC247" i="1"/>
  <c r="AB247" i="1"/>
  <c r="AA247" i="1"/>
  <c r="Z247" i="1"/>
  <c r="Y247" i="1"/>
  <c r="X247" i="1"/>
  <c r="W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E250" i="1" s="1"/>
  <c r="AJ245" i="1"/>
  <c r="AJ244" i="1"/>
  <c r="AJ243" i="1"/>
  <c r="AI242" i="1"/>
  <c r="AH242" i="1"/>
  <c r="AG242" i="1"/>
  <c r="AF242" i="1"/>
  <c r="AE242" i="1"/>
  <c r="AD242" i="1"/>
  <c r="AC242" i="1"/>
  <c r="AA242" i="1"/>
  <c r="Z242" i="1"/>
  <c r="Y242" i="1"/>
  <c r="X242" i="1"/>
  <c r="W242" i="1"/>
  <c r="V242" i="1"/>
  <c r="T242" i="1"/>
  <c r="S242" i="1"/>
  <c r="R242" i="1"/>
  <c r="Q242" i="1"/>
  <c r="N242" i="1"/>
  <c r="M242" i="1"/>
  <c r="L242" i="1"/>
  <c r="J242" i="1"/>
  <c r="I242" i="1"/>
  <c r="H242" i="1"/>
  <c r="G242" i="1"/>
  <c r="F242" i="1"/>
  <c r="E242" i="1"/>
  <c r="AJ241" i="1"/>
  <c r="AK239" i="1" s="1"/>
  <c r="E240" i="1"/>
  <c r="F240" i="1" s="1"/>
  <c r="G240" i="1" s="1"/>
  <c r="H240" i="1" s="1"/>
  <c r="I240" i="1" s="1"/>
  <c r="J240" i="1" s="1"/>
  <c r="K240" i="1" s="1"/>
  <c r="L240" i="1" s="1"/>
  <c r="M240" i="1" s="1"/>
  <c r="N240" i="1" s="1"/>
  <c r="O240" i="1" s="1"/>
  <c r="P240" i="1" s="1"/>
  <c r="Q240" i="1" s="1"/>
  <c r="R240" i="1" s="1"/>
  <c r="S240" i="1" s="1"/>
  <c r="T240" i="1" s="1"/>
  <c r="U240" i="1" s="1"/>
  <c r="V240" i="1" s="1"/>
  <c r="W240" i="1" s="1"/>
  <c r="X240" i="1" s="1"/>
  <c r="Y240" i="1" s="1"/>
  <c r="Z240" i="1" s="1"/>
  <c r="AA240" i="1" s="1"/>
  <c r="AB240" i="1" s="1"/>
  <c r="AC240" i="1" s="1"/>
  <c r="AD240" i="1" s="1"/>
  <c r="AE240" i="1" s="1"/>
  <c r="AF240" i="1" s="1"/>
  <c r="AG240" i="1" s="1"/>
  <c r="AH240" i="1" s="1"/>
  <c r="AI240" i="1" s="1"/>
  <c r="AJ239" i="1"/>
  <c r="C234" i="1"/>
  <c r="AI233" i="1"/>
  <c r="AH233" i="1"/>
  <c r="AG233" i="1"/>
  <c r="AF233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F236" i="1" s="1"/>
  <c r="E233" i="1"/>
  <c r="E236" i="1" s="1"/>
  <c r="AJ231" i="1"/>
  <c r="AJ230" i="1"/>
  <c r="AJ229" i="1"/>
  <c r="AI228" i="1"/>
  <c r="AH228" i="1"/>
  <c r="AG228" i="1"/>
  <c r="AF228" i="1"/>
  <c r="AE228" i="1"/>
  <c r="AD228" i="1"/>
  <c r="AC228" i="1"/>
  <c r="AA228" i="1"/>
  <c r="Z228" i="1"/>
  <c r="Y228" i="1"/>
  <c r="X228" i="1"/>
  <c r="W228" i="1"/>
  <c r="V228" i="1"/>
  <c r="U228" i="1"/>
  <c r="T228" i="1"/>
  <c r="S228" i="1"/>
  <c r="R228" i="1"/>
  <c r="Q228" i="1"/>
  <c r="N228" i="1"/>
  <c r="M228" i="1"/>
  <c r="J228" i="1"/>
  <c r="I228" i="1"/>
  <c r="H228" i="1"/>
  <c r="G228" i="1"/>
  <c r="F228" i="1"/>
  <c r="E228" i="1"/>
  <c r="AJ227" i="1"/>
  <c r="AK225" i="1" s="1"/>
  <c r="E226" i="1"/>
  <c r="F226" i="1" s="1"/>
  <c r="G226" i="1" s="1"/>
  <c r="H226" i="1" s="1"/>
  <c r="I226" i="1" s="1"/>
  <c r="J226" i="1" s="1"/>
  <c r="K226" i="1" s="1"/>
  <c r="L226" i="1" s="1"/>
  <c r="M226" i="1" s="1"/>
  <c r="N226" i="1" s="1"/>
  <c r="O226" i="1" s="1"/>
  <c r="P226" i="1" s="1"/>
  <c r="R226" i="1" s="1"/>
  <c r="S226" i="1" s="1"/>
  <c r="T226" i="1" s="1"/>
  <c r="U226" i="1" s="1"/>
  <c r="V226" i="1" s="1"/>
  <c r="W226" i="1" s="1"/>
  <c r="X226" i="1" s="1"/>
  <c r="Y226" i="1" s="1"/>
  <c r="Z226" i="1" s="1"/>
  <c r="AA226" i="1" s="1"/>
  <c r="AB226" i="1" s="1"/>
  <c r="AC226" i="1" s="1"/>
  <c r="AD226" i="1" s="1"/>
  <c r="AE226" i="1" s="1"/>
  <c r="AF226" i="1" s="1"/>
  <c r="AG226" i="1" s="1"/>
  <c r="AH226" i="1" s="1"/>
  <c r="AI226" i="1" s="1"/>
  <c r="AL225" i="1"/>
  <c r="C221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E222" i="1" s="1"/>
  <c r="AJ218" i="1"/>
  <c r="AJ217" i="1"/>
  <c r="AJ216" i="1"/>
  <c r="AI215" i="1"/>
  <c r="AH215" i="1"/>
  <c r="AG215" i="1"/>
  <c r="AF215" i="1"/>
  <c r="AE215" i="1"/>
  <c r="AD215" i="1"/>
  <c r="AC215" i="1"/>
  <c r="AA215" i="1"/>
  <c r="Z215" i="1"/>
  <c r="Y215" i="1"/>
  <c r="X215" i="1"/>
  <c r="W215" i="1"/>
  <c r="V215" i="1"/>
  <c r="T215" i="1"/>
  <c r="S215" i="1"/>
  <c r="R215" i="1"/>
  <c r="N215" i="1"/>
  <c r="M215" i="1"/>
  <c r="L215" i="1"/>
  <c r="J215" i="1"/>
  <c r="I215" i="1"/>
  <c r="H215" i="1"/>
  <c r="G215" i="1"/>
  <c r="F215" i="1"/>
  <c r="E215" i="1"/>
  <c r="AJ214" i="1"/>
  <c r="AK212" i="1" s="1"/>
  <c r="E213" i="1"/>
  <c r="F213" i="1" s="1"/>
  <c r="G213" i="1" s="1"/>
  <c r="H213" i="1" s="1"/>
  <c r="I213" i="1" s="1"/>
  <c r="J213" i="1" s="1"/>
  <c r="K213" i="1" s="1"/>
  <c r="L213" i="1" s="1"/>
  <c r="M213" i="1" s="1"/>
  <c r="N213" i="1" s="1"/>
  <c r="O213" i="1" s="1"/>
  <c r="P213" i="1" s="1"/>
  <c r="Q213" i="1" s="1"/>
  <c r="R213" i="1" s="1"/>
  <c r="S213" i="1" s="1"/>
  <c r="T213" i="1" s="1"/>
  <c r="U213" i="1" s="1"/>
  <c r="V213" i="1" s="1"/>
  <c r="W213" i="1" s="1"/>
  <c r="X213" i="1" s="1"/>
  <c r="Y213" i="1" s="1"/>
  <c r="Z213" i="1" s="1"/>
  <c r="AA213" i="1" s="1"/>
  <c r="AB213" i="1" s="1"/>
  <c r="AC213" i="1" s="1"/>
  <c r="AD213" i="1" s="1"/>
  <c r="AE213" i="1" s="1"/>
  <c r="AF213" i="1" s="1"/>
  <c r="AG213" i="1" s="1"/>
  <c r="AH213" i="1" s="1"/>
  <c r="AI213" i="1" s="1"/>
  <c r="AJ212" i="1"/>
  <c r="C207" i="1"/>
  <c r="AI206" i="1"/>
  <c r="AH206" i="1"/>
  <c r="AG206" i="1"/>
  <c r="AF206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E209" i="1" s="1"/>
  <c r="AJ204" i="1"/>
  <c r="AJ203" i="1"/>
  <c r="AJ202" i="1"/>
  <c r="AI201" i="1"/>
  <c r="AH201" i="1"/>
  <c r="AG201" i="1"/>
  <c r="AF201" i="1"/>
  <c r="AE201" i="1"/>
  <c r="AD201" i="1"/>
  <c r="AC201" i="1"/>
  <c r="AA201" i="1"/>
  <c r="Z201" i="1"/>
  <c r="Y201" i="1"/>
  <c r="X201" i="1"/>
  <c r="W201" i="1"/>
  <c r="V201" i="1"/>
  <c r="T201" i="1"/>
  <c r="S201" i="1"/>
  <c r="R201" i="1"/>
  <c r="O201" i="1"/>
  <c r="N201" i="1"/>
  <c r="M201" i="1"/>
  <c r="L201" i="1"/>
  <c r="K201" i="1"/>
  <c r="J201" i="1"/>
  <c r="I201" i="1"/>
  <c r="H201" i="1"/>
  <c r="G201" i="1"/>
  <c r="F201" i="1"/>
  <c r="E201" i="1"/>
  <c r="AJ200" i="1"/>
  <c r="AK198" i="1" s="1"/>
  <c r="E199" i="1"/>
  <c r="F199" i="1" s="1"/>
  <c r="G199" i="1" s="1"/>
  <c r="H199" i="1" s="1"/>
  <c r="I199" i="1" s="1"/>
  <c r="J199" i="1" s="1"/>
  <c r="K199" i="1" s="1"/>
  <c r="L199" i="1" s="1"/>
  <c r="M199" i="1" s="1"/>
  <c r="N199" i="1" s="1"/>
  <c r="O199" i="1" s="1"/>
  <c r="P199" i="1" s="1"/>
  <c r="Q199" i="1" s="1"/>
  <c r="R199" i="1" s="1"/>
  <c r="S199" i="1" s="1"/>
  <c r="T199" i="1" s="1"/>
  <c r="U199" i="1" s="1"/>
  <c r="V199" i="1" s="1"/>
  <c r="W199" i="1" s="1"/>
  <c r="X199" i="1" s="1"/>
  <c r="Y199" i="1" s="1"/>
  <c r="Z199" i="1" s="1"/>
  <c r="AA199" i="1" s="1"/>
  <c r="AB199" i="1" s="1"/>
  <c r="AC199" i="1" s="1"/>
  <c r="AD199" i="1" s="1"/>
  <c r="AE199" i="1" s="1"/>
  <c r="AF199" i="1" s="1"/>
  <c r="AG199" i="1" s="1"/>
  <c r="AH199" i="1" s="1"/>
  <c r="AI199" i="1" s="1"/>
  <c r="AJ198" i="1"/>
  <c r="C194" i="1"/>
  <c r="AI193" i="1"/>
  <c r="AH193" i="1"/>
  <c r="AG193" i="1"/>
  <c r="AF193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AJ191" i="1"/>
  <c r="AJ190" i="1"/>
  <c r="AJ189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AJ187" i="1"/>
  <c r="AK185" i="1" s="1"/>
  <c r="AI186" i="1"/>
  <c r="AH186" i="1"/>
  <c r="AG186" i="1"/>
  <c r="AF186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AJ185" i="1"/>
  <c r="C180" i="1"/>
  <c r="AI179" i="1"/>
  <c r="AH179" i="1"/>
  <c r="AG179" i="1"/>
  <c r="AF179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E182" i="1" s="1"/>
  <c r="AJ177" i="1"/>
  <c r="AJ176" i="1"/>
  <c r="AJ175" i="1"/>
  <c r="AI174" i="1"/>
  <c r="AH174" i="1"/>
  <c r="AG174" i="1"/>
  <c r="AF174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AJ173" i="1"/>
  <c r="AK171" i="1" s="1"/>
  <c r="E172" i="1"/>
  <c r="F172" i="1" s="1"/>
  <c r="G172" i="1" s="1"/>
  <c r="H172" i="1" s="1"/>
  <c r="I172" i="1" s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AB172" i="1" s="1"/>
  <c r="AC172" i="1" s="1"/>
  <c r="AD172" i="1" s="1"/>
  <c r="AE172" i="1" s="1"/>
  <c r="AF172" i="1" s="1"/>
  <c r="AG172" i="1" s="1"/>
  <c r="AH172" i="1" s="1"/>
  <c r="AI172" i="1" s="1"/>
  <c r="AJ171" i="1"/>
  <c r="C167" i="1"/>
  <c r="AI166" i="1"/>
  <c r="AH166" i="1"/>
  <c r="AG166" i="1"/>
  <c r="AF166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AJ164" i="1"/>
  <c r="AJ163" i="1"/>
  <c r="AJ162" i="1"/>
  <c r="AI161" i="1"/>
  <c r="AH161" i="1"/>
  <c r="AG161" i="1"/>
  <c r="AF161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AJ160" i="1"/>
  <c r="AK158" i="1" s="1"/>
  <c r="AI159" i="1"/>
  <c r="AH159" i="1"/>
  <c r="AG159" i="1"/>
  <c r="AF159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AJ158" i="1"/>
  <c r="C153" i="1"/>
  <c r="AI152" i="1"/>
  <c r="AH152" i="1"/>
  <c r="AG152" i="1"/>
  <c r="AF152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E155" i="1" s="1"/>
  <c r="AJ150" i="1"/>
  <c r="AJ149" i="1"/>
  <c r="AJ148" i="1"/>
  <c r="AI147" i="1"/>
  <c r="AH147" i="1"/>
  <c r="AG147" i="1"/>
  <c r="AF147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AJ146" i="1"/>
  <c r="AK144" i="1" s="1"/>
  <c r="AI145" i="1"/>
  <c r="AH145" i="1"/>
  <c r="AG145" i="1"/>
  <c r="AF145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AJ144" i="1"/>
  <c r="C140" i="1"/>
  <c r="AI139" i="1"/>
  <c r="AH139" i="1"/>
  <c r="AG139" i="1"/>
  <c r="AF139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E143" i="1" s="1"/>
  <c r="AJ137" i="1"/>
  <c r="AJ136" i="1"/>
  <c r="AJ135" i="1"/>
  <c r="AI134" i="1"/>
  <c r="AH134" i="1"/>
  <c r="AG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J134" i="1"/>
  <c r="I134" i="1"/>
  <c r="H134" i="1"/>
  <c r="G134" i="1"/>
  <c r="F134" i="1"/>
  <c r="E134" i="1"/>
  <c r="AJ133" i="1"/>
  <c r="AK131" i="1" s="1"/>
  <c r="AI132" i="1"/>
  <c r="AH132" i="1"/>
  <c r="AG132" i="1"/>
  <c r="AF132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AJ131" i="1"/>
  <c r="C126" i="1"/>
  <c r="AI125" i="1"/>
  <c r="AH125" i="1"/>
  <c r="AG125" i="1"/>
  <c r="AF125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E128" i="1" s="1"/>
  <c r="AJ123" i="1"/>
  <c r="AJ122" i="1"/>
  <c r="AJ121" i="1"/>
  <c r="AI120" i="1"/>
  <c r="AH120" i="1"/>
  <c r="AG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AJ119" i="1"/>
  <c r="AK117" i="1" s="1"/>
  <c r="AI118" i="1"/>
  <c r="E118" i="1"/>
  <c r="F118" i="1" s="1"/>
  <c r="G118" i="1" s="1"/>
  <c r="H118" i="1" s="1"/>
  <c r="I118" i="1" s="1"/>
  <c r="J118" i="1" s="1"/>
  <c r="K118" i="1" s="1"/>
  <c r="L118" i="1" s="1"/>
  <c r="M118" i="1" s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 s="1"/>
  <c r="Z118" i="1" s="1"/>
  <c r="AA118" i="1" s="1"/>
  <c r="AB118" i="1" s="1"/>
  <c r="AC118" i="1" s="1"/>
  <c r="AD118" i="1" s="1"/>
  <c r="AE118" i="1" s="1"/>
  <c r="AF118" i="1" s="1"/>
  <c r="AG118" i="1" s="1"/>
  <c r="AH118" i="1" s="1"/>
  <c r="AJ117" i="1"/>
  <c r="C86" i="1"/>
  <c r="AI85" i="1"/>
  <c r="AH85" i="1"/>
  <c r="AG85" i="1"/>
  <c r="AF85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E89" i="1" s="1"/>
  <c r="AJ83" i="1"/>
  <c r="AJ82" i="1"/>
  <c r="AJ81" i="1"/>
  <c r="AI80" i="1"/>
  <c r="AH80" i="1"/>
  <c r="AG80" i="1"/>
  <c r="AF80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AJ79" i="1"/>
  <c r="AK77" i="1" s="1"/>
  <c r="AI78" i="1"/>
  <c r="AH78" i="1"/>
  <c r="AG78" i="1"/>
  <c r="AF78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AL77" i="1"/>
  <c r="AM75" i="1" s="1"/>
  <c r="C72" i="1"/>
  <c r="AI71" i="1"/>
  <c r="AH71" i="1"/>
  <c r="AG71" i="1"/>
  <c r="AF71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N74" i="1" s="1"/>
  <c r="O74" i="1" s="1"/>
  <c r="M71" i="1"/>
  <c r="M74" i="1" s="1"/>
  <c r="L71" i="1"/>
  <c r="L74" i="1" s="1"/>
  <c r="K71" i="1"/>
  <c r="K74" i="1" s="1"/>
  <c r="J71" i="1"/>
  <c r="I71" i="1"/>
  <c r="H71" i="1"/>
  <c r="G71" i="1"/>
  <c r="G74" i="1" s="1"/>
  <c r="F71" i="1"/>
  <c r="F74" i="1" s="1"/>
  <c r="E71" i="1"/>
  <c r="E74" i="1" s="1"/>
  <c r="AJ69" i="1"/>
  <c r="AJ68" i="1"/>
  <c r="AJ67" i="1"/>
  <c r="AI66" i="1"/>
  <c r="AH66" i="1"/>
  <c r="AG66" i="1"/>
  <c r="AF66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AJ65" i="1"/>
  <c r="AK63" i="1" s="1"/>
  <c r="F64" i="1"/>
  <c r="G64" i="1" s="1"/>
  <c r="H64" i="1" s="1"/>
  <c r="I64" i="1" s="1"/>
  <c r="J64" i="1" s="1"/>
  <c r="K64" i="1" s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 s="1"/>
  <c r="W64" i="1" s="1"/>
  <c r="X64" i="1" s="1"/>
  <c r="Y64" i="1" s="1"/>
  <c r="Z64" i="1" s="1"/>
  <c r="AA64" i="1" s="1"/>
  <c r="AB64" i="1" s="1"/>
  <c r="AC64" i="1" s="1"/>
  <c r="AD64" i="1" s="1"/>
  <c r="AE64" i="1" s="1"/>
  <c r="AF64" i="1" s="1"/>
  <c r="AG64" i="1" s="1"/>
  <c r="AH64" i="1" s="1"/>
  <c r="AI64" i="1" s="1"/>
  <c r="E64" i="1"/>
  <c r="AJ63" i="1"/>
  <c r="C59" i="1"/>
  <c r="AI58" i="1"/>
  <c r="AH58" i="1"/>
  <c r="AG58" i="1"/>
  <c r="AF58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E62" i="1" s="1"/>
  <c r="AJ56" i="1"/>
  <c r="AJ55" i="1"/>
  <c r="AJ54" i="1"/>
  <c r="AI53" i="1"/>
  <c r="AH53" i="1"/>
  <c r="AG53" i="1"/>
  <c r="AF53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P53" i="1"/>
  <c r="L53" i="1"/>
  <c r="K53" i="1"/>
  <c r="J53" i="1"/>
  <c r="I53" i="1"/>
  <c r="H53" i="1"/>
  <c r="F53" i="1"/>
  <c r="AJ52" i="1"/>
  <c r="AK50" i="1" s="1"/>
  <c r="E51" i="1"/>
  <c r="F51" i="1" s="1"/>
  <c r="G51" i="1" s="1"/>
  <c r="H51" i="1" s="1"/>
  <c r="I51" i="1" s="1"/>
  <c r="J51" i="1" s="1"/>
  <c r="K51" i="1" s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AJ50" i="1"/>
  <c r="C45" i="1"/>
  <c r="AI44" i="1"/>
  <c r="AH44" i="1"/>
  <c r="AH47" i="1" s="1"/>
  <c r="AG44" i="1"/>
  <c r="AG47" i="1" s="1"/>
  <c r="AF44" i="1"/>
  <c r="AF47" i="1" s="1"/>
  <c r="AE44" i="1"/>
  <c r="AE47" i="1" s="1"/>
  <c r="AD44" i="1"/>
  <c r="AD47" i="1" s="1"/>
  <c r="AC44" i="1"/>
  <c r="AC47" i="1" s="1"/>
  <c r="AB44" i="1"/>
  <c r="AB47" i="1" s="1"/>
  <c r="AA44" i="1"/>
  <c r="AA47" i="1" s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E47" i="1" s="1"/>
  <c r="AJ42" i="1"/>
  <c r="AJ41" i="1"/>
  <c r="AJ40" i="1"/>
  <c r="AI39" i="1"/>
  <c r="AH39" i="1"/>
  <c r="AG39" i="1"/>
  <c r="AF39" i="1"/>
  <c r="AE39" i="1"/>
  <c r="AD39" i="1"/>
  <c r="AC39" i="1"/>
  <c r="AB39" i="1"/>
  <c r="AA39" i="1"/>
  <c r="Z39" i="1"/>
  <c r="Y39" i="1"/>
  <c r="X39" i="1"/>
  <c r="W39" i="1"/>
  <c r="V39" i="1"/>
  <c r="U39" i="1"/>
  <c r="S39" i="1"/>
  <c r="R39" i="1"/>
  <c r="P39" i="1"/>
  <c r="O39" i="1"/>
  <c r="L39" i="1"/>
  <c r="K39" i="1"/>
  <c r="J39" i="1"/>
  <c r="I39" i="1"/>
  <c r="H39" i="1"/>
  <c r="G39" i="1"/>
  <c r="F39" i="1"/>
  <c r="E39" i="1"/>
  <c r="AJ38" i="1"/>
  <c r="AK36" i="1" s="1"/>
  <c r="E37" i="1"/>
  <c r="F37" i="1" s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 s="1"/>
  <c r="T37" i="1" s="1"/>
  <c r="U37" i="1" s="1"/>
  <c r="V37" i="1" s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AJ36" i="1"/>
  <c r="C31" i="1"/>
  <c r="AI30" i="1"/>
  <c r="AH30" i="1"/>
  <c r="AG30" i="1"/>
  <c r="AF30" i="1"/>
  <c r="AE30" i="1"/>
  <c r="AD30" i="1"/>
  <c r="AC30" i="1"/>
  <c r="AB30" i="1"/>
  <c r="AA30" i="1"/>
  <c r="Z30" i="1"/>
  <c r="Y30" i="1"/>
  <c r="Y33" i="1" s="1"/>
  <c r="Z33" i="1" s="1"/>
  <c r="X30" i="1"/>
  <c r="X33" i="1" s="1"/>
  <c r="W30" i="1"/>
  <c r="W33" i="1" s="1"/>
  <c r="V30" i="1"/>
  <c r="V33" i="1" s="1"/>
  <c r="U30" i="1"/>
  <c r="U33" i="1" s="1"/>
  <c r="T30" i="1"/>
  <c r="T33" i="1" s="1"/>
  <c r="S30" i="1"/>
  <c r="S33" i="1" s="1"/>
  <c r="R30" i="1"/>
  <c r="R33" i="1" s="1"/>
  <c r="Q30" i="1"/>
  <c r="Q33" i="1" s="1"/>
  <c r="P30" i="1"/>
  <c r="P33" i="1" s="1"/>
  <c r="O30" i="1"/>
  <c r="O33" i="1" s="1"/>
  <c r="N30" i="1"/>
  <c r="N33" i="1" s="1"/>
  <c r="M30" i="1"/>
  <c r="M33" i="1" s="1"/>
  <c r="L30" i="1"/>
  <c r="L33" i="1" s="1"/>
  <c r="K30" i="1"/>
  <c r="K33" i="1" s="1"/>
  <c r="J30" i="1"/>
  <c r="J33" i="1" s="1"/>
  <c r="I30" i="1"/>
  <c r="I33" i="1" s="1"/>
  <c r="H30" i="1"/>
  <c r="H33" i="1" s="1"/>
  <c r="G30" i="1"/>
  <c r="G33" i="1" s="1"/>
  <c r="F30" i="1"/>
  <c r="F33" i="1" s="1"/>
  <c r="E30" i="1"/>
  <c r="E33" i="1" s="1"/>
  <c r="AJ28" i="1"/>
  <c r="AJ27" i="1"/>
  <c r="AJ26" i="1"/>
  <c r="AI25" i="1"/>
  <c r="AH25" i="1"/>
  <c r="AG25" i="1"/>
  <c r="AF25" i="1"/>
  <c r="AE25" i="1"/>
  <c r="AD25" i="1"/>
  <c r="AC25" i="1"/>
  <c r="AB25" i="1"/>
  <c r="Z25" i="1"/>
  <c r="Y25" i="1"/>
  <c r="X25" i="1"/>
  <c r="W25" i="1"/>
  <c r="V25" i="1"/>
  <c r="U25" i="1"/>
  <c r="T25" i="1"/>
  <c r="S25" i="1"/>
  <c r="R25" i="1"/>
  <c r="P25" i="1"/>
  <c r="O25" i="1"/>
  <c r="N25" i="1"/>
  <c r="M25" i="1"/>
  <c r="L25" i="1"/>
  <c r="K25" i="1"/>
  <c r="J25" i="1"/>
  <c r="I25" i="1"/>
  <c r="H25" i="1"/>
  <c r="G25" i="1"/>
  <c r="F25" i="1"/>
  <c r="E25" i="1"/>
  <c r="AJ24" i="1"/>
  <c r="AK22" i="1" s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P23" i="1"/>
  <c r="O23" i="1"/>
  <c r="N23" i="1"/>
  <c r="M23" i="1"/>
  <c r="L23" i="1"/>
  <c r="K23" i="1"/>
  <c r="J23" i="1"/>
  <c r="I23" i="1"/>
  <c r="H23" i="1"/>
  <c r="G23" i="1"/>
  <c r="F23" i="1"/>
  <c r="E23" i="1"/>
  <c r="AJ22" i="1"/>
  <c r="C17" i="1"/>
  <c r="AI16" i="1"/>
  <c r="AH16" i="1"/>
  <c r="AG16" i="1"/>
  <c r="AF16" i="1"/>
  <c r="AE16" i="1"/>
  <c r="AD16" i="1"/>
  <c r="AC16" i="1"/>
  <c r="AB16" i="1"/>
  <c r="AA16" i="1"/>
  <c r="Z16" i="1"/>
  <c r="Y16" i="1"/>
  <c r="Y19" i="1" s="1"/>
  <c r="Z19" i="1" s="1"/>
  <c r="X16" i="1"/>
  <c r="X19" i="1" s="1"/>
  <c r="W16" i="1"/>
  <c r="W19" i="1" s="1"/>
  <c r="V16" i="1"/>
  <c r="V19" i="1" s="1"/>
  <c r="U16" i="1"/>
  <c r="U19" i="1" s="1"/>
  <c r="T16" i="1"/>
  <c r="T19" i="1" s="1"/>
  <c r="S16" i="1"/>
  <c r="S19" i="1" s="1"/>
  <c r="R16" i="1"/>
  <c r="R19" i="1" s="1"/>
  <c r="P16" i="1"/>
  <c r="P19" i="1" s="1"/>
  <c r="O16" i="1"/>
  <c r="O19" i="1" s="1"/>
  <c r="N16" i="1"/>
  <c r="N19" i="1" s="1"/>
  <c r="M16" i="1"/>
  <c r="L16" i="1"/>
  <c r="K16" i="1"/>
  <c r="J16" i="1"/>
  <c r="I16" i="1"/>
  <c r="H16" i="1"/>
  <c r="G16" i="1"/>
  <c r="F16" i="1"/>
  <c r="F19" i="1" s="1"/>
  <c r="E16" i="1"/>
  <c r="E19" i="1" s="1"/>
  <c r="AJ14" i="1"/>
  <c r="AJ13" i="1"/>
  <c r="AJ12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P11" i="1"/>
  <c r="O11" i="1"/>
  <c r="M11" i="1"/>
  <c r="L11" i="1"/>
  <c r="K11" i="1"/>
  <c r="J11" i="1"/>
  <c r="I11" i="1"/>
  <c r="H11" i="1"/>
  <c r="G11" i="1"/>
  <c r="F11" i="1"/>
  <c r="E11" i="1"/>
  <c r="AV10" i="1"/>
  <c r="AJ10" i="1"/>
  <c r="AK8" i="1" s="1"/>
  <c r="AV9" i="1"/>
  <c r="AI9" i="1"/>
  <c r="AH9" i="1"/>
  <c r="AG9" i="1"/>
  <c r="E9" i="1"/>
  <c r="F9" i="1" s="1"/>
  <c r="G9" i="1" s="1"/>
  <c r="H9" i="1" s="1"/>
  <c r="I9" i="1" s="1"/>
  <c r="J9" i="1" s="1"/>
  <c r="K9" i="1" s="1"/>
  <c r="L9" i="1" s="1"/>
  <c r="M9" i="1" s="1"/>
  <c r="N9" i="1" s="1"/>
  <c r="O9" i="1" s="1"/>
  <c r="P9" i="1" s="1"/>
  <c r="Q9" i="1" s="1"/>
  <c r="R9" i="1" s="1"/>
  <c r="S9" i="1" s="1"/>
  <c r="T9" i="1" s="1"/>
  <c r="U9" i="1" s="1"/>
  <c r="V9" i="1" s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J8" i="1"/>
  <c r="AL8" i="1" s="1"/>
  <c r="F7" i="1"/>
  <c r="G7" i="1" s="1"/>
  <c r="M182" i="1" l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H10" i="13"/>
  <c r="K10" i="13" s="1"/>
  <c r="L10" i="13" s="1"/>
  <c r="AO149" i="6"/>
  <c r="G81" i="13"/>
  <c r="K81" i="13" s="1"/>
  <c r="L81" i="13" s="1"/>
  <c r="K84" i="13"/>
  <c r="L84" i="13" s="1"/>
  <c r="AO37" i="6"/>
  <c r="G89" i="13"/>
  <c r="G83" i="13"/>
  <c r="H83" i="13"/>
  <c r="H89" i="13"/>
  <c r="K59" i="13"/>
  <c r="L59" i="13" s="1"/>
  <c r="K57" i="13"/>
  <c r="L57" i="13" s="1"/>
  <c r="K56" i="13"/>
  <c r="L56" i="13" s="1"/>
  <c r="K55" i="13"/>
  <c r="L55" i="13" s="1"/>
  <c r="K34" i="13"/>
  <c r="L34" i="13" s="1"/>
  <c r="K42" i="13"/>
  <c r="L42" i="13" s="1"/>
  <c r="K48" i="13"/>
  <c r="L48" i="13" s="1"/>
  <c r="K49" i="13"/>
  <c r="L49" i="13" s="1"/>
  <c r="K41" i="13"/>
  <c r="L41" i="13" s="1"/>
  <c r="K32" i="13"/>
  <c r="L32" i="13" s="1"/>
  <c r="AO317" i="3"/>
  <c r="G12" i="13"/>
  <c r="K12" i="13" s="1"/>
  <c r="L12" i="13" s="1"/>
  <c r="AO401" i="3"/>
  <c r="G17" i="13"/>
  <c r="K17" i="13" s="1"/>
  <c r="L17" i="13" s="1"/>
  <c r="AO23" i="3"/>
  <c r="G3" i="13"/>
  <c r="AO79" i="3"/>
  <c r="G4" i="13"/>
  <c r="K4" i="13" s="1"/>
  <c r="L4" i="13" s="1"/>
  <c r="AO93" i="3"/>
  <c r="G6" i="13"/>
  <c r="K6" i="13" s="1"/>
  <c r="L6" i="13" s="1"/>
  <c r="AO555" i="3"/>
  <c r="G20" i="13"/>
  <c r="K20" i="13" s="1"/>
  <c r="L20" i="13" s="1"/>
  <c r="AO415" i="3"/>
  <c r="G18" i="13"/>
  <c r="K18" i="13" s="1"/>
  <c r="L18" i="13" s="1"/>
  <c r="AO65" i="3"/>
  <c r="AO51" i="3"/>
  <c r="G5" i="13"/>
  <c r="K5" i="13" s="1"/>
  <c r="L5" i="13" s="1"/>
  <c r="AO303" i="3"/>
  <c r="G13" i="13"/>
  <c r="K13" i="13" s="1"/>
  <c r="L13" i="13" s="1"/>
  <c r="AO387" i="3"/>
  <c r="G15" i="13"/>
  <c r="K15" i="13" s="1"/>
  <c r="L15" i="13" s="1"/>
  <c r="AO135" i="3"/>
  <c r="G7" i="13"/>
  <c r="K7" i="13" s="1"/>
  <c r="L7" i="13" s="1"/>
  <c r="AC556" i="3"/>
  <c r="AG556" i="3" s="1"/>
  <c r="F182" i="1"/>
  <c r="AA402" i="3"/>
  <c r="AD402" i="3"/>
  <c r="AH402" i="3" s="1"/>
  <c r="E503" i="4"/>
  <c r="F503" i="4" s="1"/>
  <c r="G503" i="4" s="1"/>
  <c r="H503" i="4" s="1"/>
  <c r="I503" i="4" s="1"/>
  <c r="J503" i="4" s="1"/>
  <c r="K503" i="4" s="1"/>
  <c r="L503" i="4" s="1"/>
  <c r="M503" i="4" s="1"/>
  <c r="N503" i="4" s="1"/>
  <c r="O503" i="4" s="1"/>
  <c r="P503" i="4" s="1"/>
  <c r="Q503" i="4" s="1"/>
  <c r="R503" i="4" s="1"/>
  <c r="S503" i="4" s="1"/>
  <c r="T503" i="4" s="1"/>
  <c r="U503" i="4" s="1"/>
  <c r="V503" i="4" s="1"/>
  <c r="W503" i="4" s="1"/>
  <c r="X503" i="4" s="1"/>
  <c r="Y503" i="4" s="1"/>
  <c r="Z503" i="4" s="1"/>
  <c r="AA503" i="4" s="1"/>
  <c r="AB503" i="4" s="1"/>
  <c r="AC503" i="4" s="1"/>
  <c r="AD503" i="4" s="1"/>
  <c r="AE503" i="4" s="1"/>
  <c r="AF503" i="4" s="1"/>
  <c r="AG503" i="4" s="1"/>
  <c r="AH503" i="4" s="1"/>
  <c r="E498" i="4"/>
  <c r="F498" i="4" s="1"/>
  <c r="G498" i="4" s="1"/>
  <c r="H498" i="4" s="1"/>
  <c r="I498" i="4" s="1"/>
  <c r="J498" i="4" s="1"/>
  <c r="K498" i="4" s="1"/>
  <c r="L498" i="4" s="1"/>
  <c r="M498" i="4" s="1"/>
  <c r="N498" i="4" s="1"/>
  <c r="O498" i="4" s="1"/>
  <c r="P498" i="4" s="1"/>
  <c r="Q498" i="4" s="1"/>
  <c r="R498" i="4" s="1"/>
  <c r="S498" i="4" s="1"/>
  <c r="T498" i="4" s="1"/>
  <c r="U498" i="4" s="1"/>
  <c r="V498" i="4" s="1"/>
  <c r="W498" i="4" s="1"/>
  <c r="X498" i="4" s="1"/>
  <c r="Y498" i="4" s="1"/>
  <c r="Z498" i="4" s="1"/>
  <c r="AA498" i="4" s="1"/>
  <c r="AB498" i="4" s="1"/>
  <c r="AC498" i="4" s="1"/>
  <c r="AD498" i="4" s="1"/>
  <c r="AE498" i="4" s="1"/>
  <c r="AF498" i="4" s="1"/>
  <c r="AG498" i="4" s="1"/>
  <c r="AH498" i="4" s="1"/>
  <c r="E500" i="4"/>
  <c r="F500" i="4" s="1"/>
  <c r="G500" i="4" s="1"/>
  <c r="H500" i="4" s="1"/>
  <c r="I500" i="4" s="1"/>
  <c r="J500" i="4" s="1"/>
  <c r="K500" i="4" s="1"/>
  <c r="L500" i="4" s="1"/>
  <c r="M500" i="4" s="1"/>
  <c r="N500" i="4" s="1"/>
  <c r="O500" i="4" s="1"/>
  <c r="P500" i="4" s="1"/>
  <c r="Q500" i="4" s="1"/>
  <c r="R500" i="4" s="1"/>
  <c r="S500" i="4" s="1"/>
  <c r="T500" i="4" s="1"/>
  <c r="U500" i="4" s="1"/>
  <c r="V500" i="4" s="1"/>
  <c r="W500" i="4" s="1"/>
  <c r="X500" i="4" s="1"/>
  <c r="Y500" i="4" s="1"/>
  <c r="Z500" i="4" s="1"/>
  <c r="AA500" i="4" s="1"/>
  <c r="AB500" i="4" s="1"/>
  <c r="AC500" i="4" s="1"/>
  <c r="AD500" i="4" s="1"/>
  <c r="AE500" i="4" s="1"/>
  <c r="AF500" i="4" s="1"/>
  <c r="AG500" i="4" s="1"/>
  <c r="AH500" i="4" s="1"/>
  <c r="AI500" i="4" s="1"/>
  <c r="E501" i="4"/>
  <c r="E468" i="4"/>
  <c r="E466" i="4"/>
  <c r="F466" i="4" s="1"/>
  <c r="G466" i="4" s="1"/>
  <c r="H466" i="4" s="1"/>
  <c r="I466" i="4" s="1"/>
  <c r="J466" i="4" s="1"/>
  <c r="K466" i="4" s="1"/>
  <c r="L466" i="4" s="1"/>
  <c r="M466" i="4" s="1"/>
  <c r="N466" i="4" s="1"/>
  <c r="O466" i="4" s="1"/>
  <c r="P466" i="4" s="1"/>
  <c r="Q466" i="4" s="1"/>
  <c r="R466" i="4" s="1"/>
  <c r="S466" i="4" s="1"/>
  <c r="T466" i="4" s="1"/>
  <c r="U466" i="4" s="1"/>
  <c r="V466" i="4" s="1"/>
  <c r="W466" i="4" s="1"/>
  <c r="X466" i="4" s="1"/>
  <c r="Y466" i="4" s="1"/>
  <c r="Z466" i="4" s="1"/>
  <c r="AA466" i="4" s="1"/>
  <c r="AB466" i="4" s="1"/>
  <c r="AC466" i="4" s="1"/>
  <c r="AD466" i="4" s="1"/>
  <c r="AE466" i="4" s="1"/>
  <c r="AF466" i="4" s="1"/>
  <c r="AG466" i="4" s="1"/>
  <c r="AH466" i="4" s="1"/>
  <c r="F468" i="4"/>
  <c r="G468" i="4" s="1"/>
  <c r="H468" i="4" s="1"/>
  <c r="I468" i="4" s="1"/>
  <c r="J468" i="4" s="1"/>
  <c r="K468" i="4" s="1"/>
  <c r="L468" i="4" s="1"/>
  <c r="M468" i="4" s="1"/>
  <c r="N468" i="4" s="1"/>
  <c r="O468" i="4" s="1"/>
  <c r="P468" i="4" s="1"/>
  <c r="Q468" i="4" s="1"/>
  <c r="R468" i="4" s="1"/>
  <c r="S468" i="4" s="1"/>
  <c r="T468" i="4" s="1"/>
  <c r="U468" i="4" s="1"/>
  <c r="V468" i="4" s="1"/>
  <c r="W468" i="4" s="1"/>
  <c r="X468" i="4" s="1"/>
  <c r="Y468" i="4" s="1"/>
  <c r="Z468" i="4" s="1"/>
  <c r="AA468" i="4" s="1"/>
  <c r="AB468" i="4" s="1"/>
  <c r="AC468" i="4" s="1"/>
  <c r="AD468" i="4" s="1"/>
  <c r="AE468" i="4" s="1"/>
  <c r="AF468" i="4" s="1"/>
  <c r="AG468" i="4" s="1"/>
  <c r="AH468" i="4" s="1"/>
  <c r="E375" i="4"/>
  <c r="E372" i="4"/>
  <c r="E370" i="4"/>
  <c r="F370" i="4" s="1"/>
  <c r="G370" i="4" s="1"/>
  <c r="H370" i="4" s="1"/>
  <c r="I370" i="4" s="1"/>
  <c r="J370" i="4" s="1"/>
  <c r="K370" i="4" s="1"/>
  <c r="L370" i="4" s="1"/>
  <c r="M370" i="4" s="1"/>
  <c r="N370" i="4" s="1"/>
  <c r="O370" i="4" s="1"/>
  <c r="P370" i="4" s="1"/>
  <c r="Q370" i="4" s="1"/>
  <c r="R370" i="4" s="1"/>
  <c r="S370" i="4" s="1"/>
  <c r="T370" i="4" s="1"/>
  <c r="U370" i="4" s="1"/>
  <c r="V370" i="4" s="1"/>
  <c r="W370" i="4" s="1"/>
  <c r="X370" i="4" s="1"/>
  <c r="Y370" i="4" s="1"/>
  <c r="Z370" i="4" s="1"/>
  <c r="AA370" i="4" s="1"/>
  <c r="AB370" i="4" s="1"/>
  <c r="AC370" i="4" s="1"/>
  <c r="AD370" i="4" s="1"/>
  <c r="AE370" i="4" s="1"/>
  <c r="AF370" i="4" s="1"/>
  <c r="AG370" i="4" s="1"/>
  <c r="AH370" i="4" s="1"/>
  <c r="AI370" i="4" s="1"/>
  <c r="E340" i="4"/>
  <c r="F340" i="4" s="1"/>
  <c r="G340" i="4" s="1"/>
  <c r="H340" i="4" s="1"/>
  <c r="I340" i="4" s="1"/>
  <c r="J340" i="4" s="1"/>
  <c r="K340" i="4" s="1"/>
  <c r="L340" i="4" s="1"/>
  <c r="M340" i="4" s="1"/>
  <c r="N340" i="4" s="1"/>
  <c r="O340" i="4" s="1"/>
  <c r="P340" i="4" s="1"/>
  <c r="Q340" i="4" s="1"/>
  <c r="R340" i="4" s="1"/>
  <c r="S340" i="4" s="1"/>
  <c r="T340" i="4" s="1"/>
  <c r="U340" i="4" s="1"/>
  <c r="V340" i="4" s="1"/>
  <c r="W340" i="4" s="1"/>
  <c r="X340" i="4" s="1"/>
  <c r="Y340" i="4" s="1"/>
  <c r="Z340" i="4" s="1"/>
  <c r="AA340" i="4" s="1"/>
  <c r="AB340" i="4" s="1"/>
  <c r="AC340" i="4" s="1"/>
  <c r="AD340" i="4" s="1"/>
  <c r="AE340" i="4" s="1"/>
  <c r="AF340" i="4" s="1"/>
  <c r="AG340" i="4" s="1"/>
  <c r="AH340" i="4" s="1"/>
  <c r="AI340" i="4" s="1"/>
  <c r="E338" i="4"/>
  <c r="E343" i="4"/>
  <c r="F343" i="4" s="1"/>
  <c r="G343" i="4" s="1"/>
  <c r="H343" i="4" s="1"/>
  <c r="I343" i="4" s="1"/>
  <c r="J343" i="4" s="1"/>
  <c r="K343" i="4" s="1"/>
  <c r="L343" i="4" s="1"/>
  <c r="M343" i="4" s="1"/>
  <c r="N343" i="4" s="1"/>
  <c r="O343" i="4" s="1"/>
  <c r="P343" i="4" s="1"/>
  <c r="Q343" i="4" s="1"/>
  <c r="R343" i="4" s="1"/>
  <c r="S343" i="4" s="1"/>
  <c r="T343" i="4" s="1"/>
  <c r="U343" i="4" s="1"/>
  <c r="V343" i="4" s="1"/>
  <c r="W343" i="4" s="1"/>
  <c r="X343" i="4" s="1"/>
  <c r="Y343" i="4" s="1"/>
  <c r="Z343" i="4" s="1"/>
  <c r="AA343" i="4" s="1"/>
  <c r="AB343" i="4" s="1"/>
  <c r="AC343" i="4" s="1"/>
  <c r="AD343" i="4" s="1"/>
  <c r="AE343" i="4" s="1"/>
  <c r="AF343" i="4" s="1"/>
  <c r="AG343" i="4" s="1"/>
  <c r="AH343" i="4" s="1"/>
  <c r="AI343" i="4" s="1"/>
  <c r="E274" i="4"/>
  <c r="E276" i="4"/>
  <c r="F276" i="4" s="1"/>
  <c r="G276" i="4" s="1"/>
  <c r="H276" i="4" s="1"/>
  <c r="I276" i="4" s="1"/>
  <c r="J276" i="4" s="1"/>
  <c r="K276" i="4" s="1"/>
  <c r="L276" i="4" s="1"/>
  <c r="M276" i="4" s="1"/>
  <c r="N276" i="4" s="1"/>
  <c r="O276" i="4" s="1"/>
  <c r="P276" i="4" s="1"/>
  <c r="Q276" i="4" s="1"/>
  <c r="R276" i="4" s="1"/>
  <c r="S276" i="4" s="1"/>
  <c r="T276" i="4" s="1"/>
  <c r="U276" i="4" s="1"/>
  <c r="V276" i="4" s="1"/>
  <c r="W276" i="4" s="1"/>
  <c r="X276" i="4" s="1"/>
  <c r="Y276" i="4" s="1"/>
  <c r="Z276" i="4" s="1"/>
  <c r="AA276" i="4" s="1"/>
  <c r="AB276" i="4" s="1"/>
  <c r="AC276" i="4" s="1"/>
  <c r="AD276" i="4" s="1"/>
  <c r="AE276" i="4" s="1"/>
  <c r="AF276" i="4" s="1"/>
  <c r="AG276" i="4" s="1"/>
  <c r="AH276" i="4" s="1"/>
  <c r="AI276" i="4" s="1"/>
  <c r="E279" i="4"/>
  <c r="F279" i="4" s="1"/>
  <c r="G279" i="4" s="1"/>
  <c r="H279" i="4" s="1"/>
  <c r="I279" i="4" s="1"/>
  <c r="J279" i="4" s="1"/>
  <c r="K279" i="4" s="1"/>
  <c r="L279" i="4" s="1"/>
  <c r="M279" i="4" s="1"/>
  <c r="N279" i="4" s="1"/>
  <c r="O279" i="4" s="1"/>
  <c r="P279" i="4" s="1"/>
  <c r="Q279" i="4" s="1"/>
  <c r="R279" i="4" s="1"/>
  <c r="S279" i="4" s="1"/>
  <c r="T279" i="4" s="1"/>
  <c r="U279" i="4" s="1"/>
  <c r="V279" i="4" s="1"/>
  <c r="W279" i="4" s="1"/>
  <c r="X279" i="4" s="1"/>
  <c r="Y279" i="4" s="1"/>
  <c r="Z279" i="4" s="1"/>
  <c r="AA279" i="4" s="1"/>
  <c r="AB279" i="4" s="1"/>
  <c r="AC279" i="4" s="1"/>
  <c r="AD279" i="4" s="1"/>
  <c r="AE279" i="4" s="1"/>
  <c r="AF279" i="4" s="1"/>
  <c r="AG279" i="4" s="1"/>
  <c r="AH279" i="4" s="1"/>
  <c r="AI279" i="4" s="1"/>
  <c r="E258" i="4"/>
  <c r="E263" i="4"/>
  <c r="E260" i="4"/>
  <c r="E242" i="4"/>
  <c r="E247" i="4"/>
  <c r="E244" i="4"/>
  <c r="E212" i="4"/>
  <c r="F212" i="4" s="1"/>
  <c r="G212" i="4" s="1"/>
  <c r="H212" i="4" s="1"/>
  <c r="I212" i="4" s="1"/>
  <c r="J212" i="4" s="1"/>
  <c r="K212" i="4" s="1"/>
  <c r="L212" i="4" s="1"/>
  <c r="M212" i="4" s="1"/>
  <c r="N212" i="4" s="1"/>
  <c r="O212" i="4" s="1"/>
  <c r="P212" i="4" s="1"/>
  <c r="Q212" i="4" s="1"/>
  <c r="R212" i="4" s="1"/>
  <c r="S212" i="4" s="1"/>
  <c r="T212" i="4" s="1"/>
  <c r="U212" i="4" s="1"/>
  <c r="V212" i="4" s="1"/>
  <c r="W212" i="4" s="1"/>
  <c r="X212" i="4" s="1"/>
  <c r="Y212" i="4" s="1"/>
  <c r="Z212" i="4" s="1"/>
  <c r="AA212" i="4" s="1"/>
  <c r="AB212" i="4" s="1"/>
  <c r="AC212" i="4" s="1"/>
  <c r="AD212" i="4" s="1"/>
  <c r="AE212" i="4" s="1"/>
  <c r="AF212" i="4" s="1"/>
  <c r="AG212" i="4" s="1"/>
  <c r="AH212" i="4" s="1"/>
  <c r="AI212" i="4" s="1"/>
  <c r="E215" i="4"/>
  <c r="F215" i="4" s="1"/>
  <c r="G215" i="4" s="1"/>
  <c r="H215" i="4" s="1"/>
  <c r="I215" i="4" s="1"/>
  <c r="J215" i="4" s="1"/>
  <c r="K215" i="4" s="1"/>
  <c r="L215" i="4" s="1"/>
  <c r="M215" i="4" s="1"/>
  <c r="N215" i="4" s="1"/>
  <c r="O215" i="4" s="1"/>
  <c r="P215" i="4" s="1"/>
  <c r="Q215" i="4" s="1"/>
  <c r="R215" i="4" s="1"/>
  <c r="S215" i="4" s="1"/>
  <c r="T215" i="4" s="1"/>
  <c r="U215" i="4" s="1"/>
  <c r="V215" i="4" s="1"/>
  <c r="W215" i="4" s="1"/>
  <c r="X215" i="4" s="1"/>
  <c r="Y215" i="4" s="1"/>
  <c r="Z215" i="4" s="1"/>
  <c r="AA215" i="4" s="1"/>
  <c r="AB215" i="4" s="1"/>
  <c r="AC215" i="4" s="1"/>
  <c r="AD215" i="4" s="1"/>
  <c r="AE215" i="4" s="1"/>
  <c r="AF215" i="4" s="1"/>
  <c r="AG215" i="4" s="1"/>
  <c r="AH215" i="4" s="1"/>
  <c r="AI215" i="4" s="1"/>
  <c r="E210" i="4"/>
  <c r="F210" i="4" s="1"/>
  <c r="G210" i="4" s="1"/>
  <c r="H210" i="4" s="1"/>
  <c r="I210" i="4" s="1"/>
  <c r="J210" i="4" s="1"/>
  <c r="K210" i="4" s="1"/>
  <c r="L210" i="4" s="1"/>
  <c r="M210" i="4" s="1"/>
  <c r="N210" i="4" s="1"/>
  <c r="O210" i="4" s="1"/>
  <c r="P210" i="4" s="1"/>
  <c r="Q210" i="4" s="1"/>
  <c r="R210" i="4" s="1"/>
  <c r="S210" i="4" s="1"/>
  <c r="T210" i="4" s="1"/>
  <c r="U210" i="4" s="1"/>
  <c r="V210" i="4" s="1"/>
  <c r="W210" i="4" s="1"/>
  <c r="X210" i="4" s="1"/>
  <c r="Y210" i="4" s="1"/>
  <c r="Z210" i="4" s="1"/>
  <c r="AA210" i="4" s="1"/>
  <c r="AB210" i="4" s="1"/>
  <c r="AC210" i="4" s="1"/>
  <c r="AD210" i="4" s="1"/>
  <c r="AE210" i="4" s="1"/>
  <c r="AF210" i="4" s="1"/>
  <c r="AG210" i="4" s="1"/>
  <c r="AH210" i="4" s="1"/>
  <c r="AI210" i="4" s="1"/>
  <c r="E130" i="4"/>
  <c r="E135" i="4"/>
  <c r="F135" i="4" s="1"/>
  <c r="G135" i="4" s="1"/>
  <c r="H135" i="4" s="1"/>
  <c r="I135" i="4" s="1"/>
  <c r="J135" i="4" s="1"/>
  <c r="K135" i="4" s="1"/>
  <c r="L135" i="4" s="1"/>
  <c r="M135" i="4" s="1"/>
  <c r="N135" i="4" s="1"/>
  <c r="O135" i="4" s="1"/>
  <c r="P135" i="4" s="1"/>
  <c r="Q135" i="4" s="1"/>
  <c r="R135" i="4" s="1"/>
  <c r="S135" i="4" s="1"/>
  <c r="T135" i="4" s="1"/>
  <c r="U135" i="4" s="1"/>
  <c r="V135" i="4" s="1"/>
  <c r="W135" i="4" s="1"/>
  <c r="X135" i="4" s="1"/>
  <c r="Y135" i="4" s="1"/>
  <c r="Z135" i="4" s="1"/>
  <c r="AA135" i="4" s="1"/>
  <c r="AB135" i="4" s="1"/>
  <c r="AC135" i="4" s="1"/>
  <c r="AD135" i="4" s="1"/>
  <c r="AE135" i="4" s="1"/>
  <c r="AF135" i="4" s="1"/>
  <c r="AG135" i="4" s="1"/>
  <c r="AH135" i="4" s="1"/>
  <c r="E132" i="4"/>
  <c r="E98" i="4"/>
  <c r="E100" i="4"/>
  <c r="E103" i="4"/>
  <c r="E34" i="4"/>
  <c r="E39" i="4"/>
  <c r="F39" i="4" s="1"/>
  <c r="G39" i="4" s="1"/>
  <c r="H39" i="4" s="1"/>
  <c r="I39" i="4" s="1"/>
  <c r="J39" i="4" s="1"/>
  <c r="K39" i="4" s="1"/>
  <c r="L39" i="4" s="1"/>
  <c r="M39" i="4" s="1"/>
  <c r="N39" i="4" s="1"/>
  <c r="O39" i="4" s="1"/>
  <c r="P39" i="4" s="1"/>
  <c r="Q39" i="4" s="1"/>
  <c r="R39" i="4" s="1"/>
  <c r="S39" i="4" s="1"/>
  <c r="T39" i="4" s="1"/>
  <c r="U39" i="4" s="1"/>
  <c r="V39" i="4" s="1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E36" i="4"/>
  <c r="F36" i="4" s="1"/>
  <c r="E568" i="3"/>
  <c r="E565" i="3"/>
  <c r="E551" i="3"/>
  <c r="E554" i="3"/>
  <c r="E426" i="3"/>
  <c r="E428" i="3"/>
  <c r="E412" i="3"/>
  <c r="F412" i="3" s="1"/>
  <c r="G412" i="3" s="1"/>
  <c r="H412" i="3" s="1"/>
  <c r="I412" i="3" s="1"/>
  <c r="J412" i="3" s="1"/>
  <c r="K412" i="3" s="1"/>
  <c r="L412" i="3" s="1"/>
  <c r="M412" i="3" s="1"/>
  <c r="N412" i="3" s="1"/>
  <c r="O412" i="3" s="1"/>
  <c r="P412" i="3" s="1"/>
  <c r="Q412" i="3" s="1"/>
  <c r="R412" i="3" s="1"/>
  <c r="S412" i="3" s="1"/>
  <c r="T412" i="3" s="1"/>
  <c r="U412" i="3" s="1"/>
  <c r="V412" i="3" s="1"/>
  <c r="W412" i="3" s="1"/>
  <c r="X412" i="3" s="1"/>
  <c r="Y412" i="3" s="1"/>
  <c r="E414" i="3"/>
  <c r="F414" i="3" s="1"/>
  <c r="G414" i="3" s="1"/>
  <c r="H414" i="3" s="1"/>
  <c r="I414" i="3" s="1"/>
  <c r="J414" i="3" s="1"/>
  <c r="K414" i="3" s="1"/>
  <c r="L414" i="3" s="1"/>
  <c r="M414" i="3" s="1"/>
  <c r="N414" i="3" s="1"/>
  <c r="O414" i="3" s="1"/>
  <c r="P414" i="3" s="1"/>
  <c r="Q414" i="3" s="1"/>
  <c r="R414" i="3" s="1"/>
  <c r="S414" i="3" s="1"/>
  <c r="T414" i="3" s="1"/>
  <c r="U414" i="3" s="1"/>
  <c r="V414" i="3" s="1"/>
  <c r="W414" i="3" s="1"/>
  <c r="X414" i="3" s="1"/>
  <c r="Y414" i="3" s="1"/>
  <c r="Z414" i="3" s="1"/>
  <c r="AA414" i="3" s="1"/>
  <c r="AB414" i="3" s="1"/>
  <c r="AC414" i="3" s="1"/>
  <c r="AD414" i="3" s="1"/>
  <c r="AE414" i="3" s="1"/>
  <c r="AF414" i="3" s="1"/>
  <c r="AG414" i="3" s="1"/>
  <c r="AH414" i="3" s="1"/>
  <c r="AI414" i="3" s="1"/>
  <c r="E411" i="3"/>
  <c r="F411" i="3" s="1"/>
  <c r="G411" i="3" s="1"/>
  <c r="H411" i="3" s="1"/>
  <c r="I411" i="3" s="1"/>
  <c r="J411" i="3" s="1"/>
  <c r="K411" i="3" s="1"/>
  <c r="L411" i="3" s="1"/>
  <c r="M411" i="3" s="1"/>
  <c r="N411" i="3" s="1"/>
  <c r="O411" i="3" s="1"/>
  <c r="P411" i="3" s="1"/>
  <c r="Q411" i="3" s="1"/>
  <c r="R411" i="3" s="1"/>
  <c r="S411" i="3" s="1"/>
  <c r="T411" i="3" s="1"/>
  <c r="U411" i="3" s="1"/>
  <c r="V411" i="3" s="1"/>
  <c r="W411" i="3" s="1"/>
  <c r="X411" i="3" s="1"/>
  <c r="Y411" i="3" s="1"/>
  <c r="E341" i="3"/>
  <c r="F341" i="3" s="1"/>
  <c r="G341" i="3" s="1"/>
  <c r="H341" i="3" s="1"/>
  <c r="I341" i="3" s="1"/>
  <c r="J341" i="3" s="1"/>
  <c r="K341" i="3" s="1"/>
  <c r="L341" i="3" s="1"/>
  <c r="M341" i="3" s="1"/>
  <c r="N341" i="3" s="1"/>
  <c r="O341" i="3" s="1"/>
  <c r="P341" i="3" s="1"/>
  <c r="Q341" i="3" s="1"/>
  <c r="R341" i="3" s="1"/>
  <c r="S341" i="3" s="1"/>
  <c r="T341" i="3" s="1"/>
  <c r="U341" i="3" s="1"/>
  <c r="V341" i="3" s="1"/>
  <c r="W341" i="3" s="1"/>
  <c r="X341" i="3" s="1"/>
  <c r="Y341" i="3" s="1"/>
  <c r="Z341" i="3" s="1"/>
  <c r="AA341" i="3" s="1"/>
  <c r="AB341" i="3" s="1"/>
  <c r="AC341" i="3" s="1"/>
  <c r="AD341" i="3" s="1"/>
  <c r="AE341" i="3" s="1"/>
  <c r="AF341" i="3" s="1"/>
  <c r="AG341" i="3" s="1"/>
  <c r="AH341" i="3" s="1"/>
  <c r="AI341" i="3" s="1"/>
  <c r="E344" i="3"/>
  <c r="E246" i="3"/>
  <c r="F246" i="3" s="1"/>
  <c r="G246" i="3" s="1"/>
  <c r="H246" i="3" s="1"/>
  <c r="I246" i="3" s="1"/>
  <c r="J246" i="3" s="1"/>
  <c r="K246" i="3" s="1"/>
  <c r="L246" i="3" s="1"/>
  <c r="M246" i="3" s="1"/>
  <c r="N246" i="3" s="1"/>
  <c r="O246" i="3" s="1"/>
  <c r="P246" i="3" s="1"/>
  <c r="Q246" i="3" s="1"/>
  <c r="R246" i="3" s="1"/>
  <c r="E243" i="3"/>
  <c r="F243" i="3" s="1"/>
  <c r="G243" i="3" s="1"/>
  <c r="H243" i="3" s="1"/>
  <c r="I243" i="3" s="1"/>
  <c r="J243" i="3" s="1"/>
  <c r="K243" i="3" s="1"/>
  <c r="L243" i="3" s="1"/>
  <c r="M243" i="3" s="1"/>
  <c r="N243" i="3" s="1"/>
  <c r="O243" i="3" s="1"/>
  <c r="P243" i="3" s="1"/>
  <c r="Q243" i="3" s="1"/>
  <c r="R243" i="3" s="1"/>
  <c r="S243" i="3" s="1"/>
  <c r="T243" i="3" s="1"/>
  <c r="U243" i="3" s="1"/>
  <c r="V243" i="3" s="1"/>
  <c r="W243" i="3" s="1"/>
  <c r="X243" i="3" s="1"/>
  <c r="Y243" i="3" s="1"/>
  <c r="Z243" i="3" s="1"/>
  <c r="AA243" i="3" s="1"/>
  <c r="AB243" i="3" s="1"/>
  <c r="AC243" i="3" s="1"/>
  <c r="AD243" i="3" s="1"/>
  <c r="AE243" i="3" s="1"/>
  <c r="AF243" i="3" s="1"/>
  <c r="AG243" i="3" s="1"/>
  <c r="AH243" i="3" s="1"/>
  <c r="AI243" i="3" s="1"/>
  <c r="E215" i="3"/>
  <c r="F215" i="3" s="1"/>
  <c r="G215" i="3" s="1"/>
  <c r="E218" i="3"/>
  <c r="F218" i="3" s="1"/>
  <c r="G218" i="3" s="1"/>
  <c r="H218" i="3" s="1"/>
  <c r="I218" i="3" s="1"/>
  <c r="J218" i="3" s="1"/>
  <c r="K218" i="3" s="1"/>
  <c r="L218" i="3" s="1"/>
  <c r="M218" i="3" s="1"/>
  <c r="N218" i="3" s="1"/>
  <c r="O218" i="3" s="1"/>
  <c r="P218" i="3" s="1"/>
  <c r="Q218" i="3" s="1"/>
  <c r="R218" i="3" s="1"/>
  <c r="S218" i="3" s="1"/>
  <c r="T218" i="3" s="1"/>
  <c r="U218" i="3" s="1"/>
  <c r="V218" i="3" s="1"/>
  <c r="W218" i="3" s="1"/>
  <c r="X218" i="3" s="1"/>
  <c r="Y218" i="3" s="1"/>
  <c r="Z218" i="3" s="1"/>
  <c r="AA218" i="3" s="1"/>
  <c r="AB218" i="3" s="1"/>
  <c r="AC218" i="3" s="1"/>
  <c r="AD218" i="3" s="1"/>
  <c r="AE218" i="3" s="1"/>
  <c r="AF218" i="3" s="1"/>
  <c r="AG218" i="3" s="1"/>
  <c r="AH218" i="3" s="1"/>
  <c r="AI218" i="3" s="1"/>
  <c r="E145" i="3"/>
  <c r="F145" i="3" s="1"/>
  <c r="G145" i="3" s="1"/>
  <c r="H145" i="3" s="1"/>
  <c r="I145" i="3" s="1"/>
  <c r="J145" i="3" s="1"/>
  <c r="K145" i="3" s="1"/>
  <c r="L145" i="3" s="1"/>
  <c r="M145" i="3" s="1"/>
  <c r="N145" i="3" s="1"/>
  <c r="O145" i="3" s="1"/>
  <c r="P145" i="3" s="1"/>
  <c r="Q145" i="3" s="1"/>
  <c r="R145" i="3" s="1"/>
  <c r="S145" i="3" s="1"/>
  <c r="T145" i="3" s="1"/>
  <c r="U145" i="3" s="1"/>
  <c r="V145" i="3" s="1"/>
  <c r="W145" i="3" s="1"/>
  <c r="X145" i="3" s="1"/>
  <c r="Y145" i="3" s="1"/>
  <c r="Z145" i="3" s="1"/>
  <c r="AA145" i="3" s="1"/>
  <c r="AB145" i="3" s="1"/>
  <c r="AC145" i="3" s="1"/>
  <c r="AD145" i="3" s="1"/>
  <c r="AE145" i="3" s="1"/>
  <c r="AF145" i="3" s="1"/>
  <c r="AG145" i="3" s="1"/>
  <c r="AH145" i="3" s="1"/>
  <c r="AI145" i="3" s="1"/>
  <c r="E148" i="3"/>
  <c r="F148" i="3" s="1"/>
  <c r="G148" i="3" s="1"/>
  <c r="H148" i="3" s="1"/>
  <c r="I148" i="3" s="1"/>
  <c r="J148" i="3" s="1"/>
  <c r="K148" i="3" s="1"/>
  <c r="L148" i="3" s="1"/>
  <c r="M148" i="3" s="1"/>
  <c r="N148" i="3" s="1"/>
  <c r="O148" i="3" s="1"/>
  <c r="P148" i="3" s="1"/>
  <c r="Q148" i="3" s="1"/>
  <c r="R148" i="3" s="1"/>
  <c r="S148" i="3" s="1"/>
  <c r="T148" i="3" s="1"/>
  <c r="U148" i="3" s="1"/>
  <c r="V148" i="3" s="1"/>
  <c r="W148" i="3" s="1"/>
  <c r="X148" i="3" s="1"/>
  <c r="Y148" i="3" s="1"/>
  <c r="Z148" i="3" s="1"/>
  <c r="AA148" i="3" s="1"/>
  <c r="AB148" i="3" s="1"/>
  <c r="AC148" i="3" s="1"/>
  <c r="AD148" i="3" s="1"/>
  <c r="AE148" i="3" s="1"/>
  <c r="AF148" i="3" s="1"/>
  <c r="AG148" i="3" s="1"/>
  <c r="AH148" i="3" s="1"/>
  <c r="AI148" i="3" s="1"/>
  <c r="E106" i="3"/>
  <c r="F106" i="3" s="1"/>
  <c r="G106" i="3" s="1"/>
  <c r="H106" i="3" s="1"/>
  <c r="I106" i="3" s="1"/>
  <c r="J106" i="3" s="1"/>
  <c r="K106" i="3" s="1"/>
  <c r="L106" i="3" s="1"/>
  <c r="M106" i="3" s="1"/>
  <c r="N106" i="3" s="1"/>
  <c r="O106" i="3" s="1"/>
  <c r="P106" i="3" s="1"/>
  <c r="Q106" i="3" s="1"/>
  <c r="R106" i="3" s="1"/>
  <c r="S106" i="3" s="1"/>
  <c r="T106" i="3" s="1"/>
  <c r="U106" i="3" s="1"/>
  <c r="V106" i="3" s="1"/>
  <c r="W106" i="3" s="1"/>
  <c r="X106" i="3" s="1"/>
  <c r="Y106" i="3" s="1"/>
  <c r="E103" i="3"/>
  <c r="F103" i="3" s="1"/>
  <c r="G103" i="3" s="1"/>
  <c r="H103" i="3" s="1"/>
  <c r="I103" i="3" s="1"/>
  <c r="J103" i="3" s="1"/>
  <c r="K103" i="3" s="1"/>
  <c r="L103" i="3" s="1"/>
  <c r="M103" i="3" s="1"/>
  <c r="N103" i="3" s="1"/>
  <c r="O103" i="3" s="1"/>
  <c r="P103" i="3" s="1"/>
  <c r="Q103" i="3" s="1"/>
  <c r="R103" i="3" s="1"/>
  <c r="S103" i="3" s="1"/>
  <c r="T103" i="3" s="1"/>
  <c r="U103" i="3" s="1"/>
  <c r="V103" i="3" s="1"/>
  <c r="W103" i="3" s="1"/>
  <c r="X103" i="3" s="1"/>
  <c r="Y103" i="3" s="1"/>
  <c r="Z103" i="3" s="1"/>
  <c r="AA103" i="3" s="1"/>
  <c r="AB103" i="3" s="1"/>
  <c r="AC103" i="3" s="1"/>
  <c r="AD103" i="3" s="1"/>
  <c r="AE103" i="3" s="1"/>
  <c r="AF103" i="3" s="1"/>
  <c r="AG103" i="3" s="1"/>
  <c r="AH103" i="3" s="1"/>
  <c r="AI103" i="3" s="1"/>
  <c r="E92" i="3"/>
  <c r="E89" i="3"/>
  <c r="F89" i="3" s="1"/>
  <c r="G89" i="3" s="1"/>
  <c r="H89" i="3" s="1"/>
  <c r="I89" i="3" s="1"/>
  <c r="J89" i="3" s="1"/>
  <c r="K89" i="3" s="1"/>
  <c r="L89" i="3" s="1"/>
  <c r="M89" i="3" s="1"/>
  <c r="N89" i="3" s="1"/>
  <c r="O89" i="3" s="1"/>
  <c r="P89" i="3" s="1"/>
  <c r="Q89" i="3" s="1"/>
  <c r="R89" i="3" s="1"/>
  <c r="S89" i="3" s="1"/>
  <c r="T89" i="3" s="1"/>
  <c r="U89" i="3" s="1"/>
  <c r="V89" i="3" s="1"/>
  <c r="W89" i="3" s="1"/>
  <c r="X89" i="3" s="1"/>
  <c r="Y89" i="3" s="1"/>
  <c r="Z89" i="3" s="1"/>
  <c r="AA89" i="3" s="1"/>
  <c r="AB89" i="3" s="1"/>
  <c r="AC89" i="3" s="1"/>
  <c r="AD89" i="3" s="1"/>
  <c r="AE89" i="3" s="1"/>
  <c r="AF89" i="3" s="1"/>
  <c r="AG89" i="3" s="1"/>
  <c r="AH89" i="3" s="1"/>
  <c r="AI89" i="3" s="1"/>
  <c r="E36" i="3"/>
  <c r="F36" i="3" s="1"/>
  <c r="G36" i="3" s="1"/>
  <c r="H36" i="3" s="1"/>
  <c r="I36" i="3" s="1"/>
  <c r="J36" i="3" s="1"/>
  <c r="K36" i="3" s="1"/>
  <c r="L36" i="3" s="1"/>
  <c r="M36" i="3" s="1"/>
  <c r="N36" i="3" s="1"/>
  <c r="O36" i="3" s="1"/>
  <c r="P36" i="3" s="1"/>
  <c r="Q36" i="3" s="1"/>
  <c r="R36" i="3" s="1"/>
  <c r="S36" i="3" s="1"/>
  <c r="T36" i="3" s="1"/>
  <c r="U36" i="3" s="1"/>
  <c r="V36" i="3" s="1"/>
  <c r="W36" i="3" s="1"/>
  <c r="X36" i="3" s="1"/>
  <c r="Y36" i="3" s="1"/>
  <c r="Z36" i="3" s="1"/>
  <c r="AA36" i="3" s="1"/>
  <c r="AB36" i="3" s="1"/>
  <c r="AC36" i="3" s="1"/>
  <c r="AD36" i="3" s="1"/>
  <c r="AE36" i="3" s="1"/>
  <c r="AF36" i="3" s="1"/>
  <c r="AG36" i="3" s="1"/>
  <c r="AH36" i="3" s="1"/>
  <c r="AI36" i="3" s="1"/>
  <c r="E33" i="3"/>
  <c r="F33" i="3" s="1"/>
  <c r="G33" i="3" s="1"/>
  <c r="H33" i="3" s="1"/>
  <c r="I33" i="3" s="1"/>
  <c r="J33" i="3" s="1"/>
  <c r="K33" i="3" s="1"/>
  <c r="L33" i="3" s="1"/>
  <c r="M33" i="3" s="1"/>
  <c r="N33" i="3" s="1"/>
  <c r="O33" i="3" s="1"/>
  <c r="P33" i="3" s="1"/>
  <c r="Q33" i="3" s="1"/>
  <c r="R33" i="3" s="1"/>
  <c r="S33" i="3" s="1"/>
  <c r="T33" i="3" s="1"/>
  <c r="U33" i="3" s="1"/>
  <c r="V33" i="3" s="1"/>
  <c r="W33" i="3" s="1"/>
  <c r="X33" i="3" s="1"/>
  <c r="Y33" i="3" s="1"/>
  <c r="Z33" i="3" s="1"/>
  <c r="AA33" i="3" s="1"/>
  <c r="AB33" i="3" s="1"/>
  <c r="AC33" i="3" s="1"/>
  <c r="AD33" i="3" s="1"/>
  <c r="AE33" i="3" s="1"/>
  <c r="AF33" i="3" s="1"/>
  <c r="AG33" i="3" s="1"/>
  <c r="AH33" i="3" s="1"/>
  <c r="AI33" i="3" s="1"/>
  <c r="E148" i="6"/>
  <c r="F148" i="6" s="1"/>
  <c r="G148" i="6" s="1"/>
  <c r="H148" i="6" s="1"/>
  <c r="I148" i="6" s="1"/>
  <c r="J148" i="6" s="1"/>
  <c r="K148" i="6" s="1"/>
  <c r="L148" i="6" s="1"/>
  <c r="M148" i="6" s="1"/>
  <c r="N148" i="6" s="1"/>
  <c r="O148" i="6" s="1"/>
  <c r="P148" i="6" s="1"/>
  <c r="Q148" i="6" s="1"/>
  <c r="R148" i="6" s="1"/>
  <c r="S148" i="6" s="1"/>
  <c r="T148" i="6" s="1"/>
  <c r="U148" i="6" s="1"/>
  <c r="V148" i="6" s="1"/>
  <c r="W148" i="6" s="1"/>
  <c r="X148" i="6" s="1"/>
  <c r="Y148" i="6" s="1"/>
  <c r="Z148" i="6" s="1"/>
  <c r="AA148" i="6" s="1"/>
  <c r="AB148" i="6" s="1"/>
  <c r="AC148" i="6" s="1"/>
  <c r="AD148" i="6" s="1"/>
  <c r="AE148" i="6" s="1"/>
  <c r="AF148" i="6" s="1"/>
  <c r="AG148" i="6" s="1"/>
  <c r="AH148" i="6" s="1"/>
  <c r="AI148" i="6" s="1"/>
  <c r="E145" i="6"/>
  <c r="F145" i="6" s="1"/>
  <c r="G145" i="6" s="1"/>
  <c r="H145" i="6" s="1"/>
  <c r="I145" i="6" s="1"/>
  <c r="J145" i="6" s="1"/>
  <c r="K145" i="6" s="1"/>
  <c r="L145" i="6" s="1"/>
  <c r="M145" i="6" s="1"/>
  <c r="N145" i="6" s="1"/>
  <c r="O145" i="6" s="1"/>
  <c r="P145" i="6" s="1"/>
  <c r="Q145" i="6" s="1"/>
  <c r="R145" i="6" s="1"/>
  <c r="S145" i="6" s="1"/>
  <c r="T145" i="6" s="1"/>
  <c r="U145" i="6" s="1"/>
  <c r="V145" i="6" s="1"/>
  <c r="W145" i="6" s="1"/>
  <c r="X145" i="6" s="1"/>
  <c r="Y145" i="6" s="1"/>
  <c r="Z145" i="6" s="1"/>
  <c r="AA145" i="6" s="1"/>
  <c r="AB145" i="6" s="1"/>
  <c r="AC145" i="6" s="1"/>
  <c r="AD145" i="6" s="1"/>
  <c r="AE145" i="6" s="1"/>
  <c r="AF145" i="6" s="1"/>
  <c r="AG145" i="6" s="1"/>
  <c r="AH145" i="6" s="1"/>
  <c r="AI145" i="6" s="1"/>
  <c r="E164" i="4"/>
  <c r="E162" i="4"/>
  <c r="F162" i="4" s="1"/>
  <c r="G162" i="4" s="1"/>
  <c r="H162" i="4" s="1"/>
  <c r="I162" i="4" s="1"/>
  <c r="J162" i="4" s="1"/>
  <c r="K162" i="4" s="1"/>
  <c r="L162" i="4" s="1"/>
  <c r="M162" i="4" s="1"/>
  <c r="N162" i="4" s="1"/>
  <c r="O162" i="4" s="1"/>
  <c r="P162" i="4" s="1"/>
  <c r="Q162" i="4" s="1"/>
  <c r="R162" i="4" s="1"/>
  <c r="S162" i="4" s="1"/>
  <c r="T162" i="4" s="1"/>
  <c r="U162" i="4" s="1"/>
  <c r="V162" i="4" s="1"/>
  <c r="W162" i="4" s="1"/>
  <c r="X162" i="4" s="1"/>
  <c r="Y162" i="4" s="1"/>
  <c r="Z162" i="4" s="1"/>
  <c r="AA162" i="4" s="1"/>
  <c r="AB162" i="4" s="1"/>
  <c r="AC162" i="4" s="1"/>
  <c r="AD162" i="4" s="1"/>
  <c r="AE162" i="4" s="1"/>
  <c r="AF162" i="4" s="1"/>
  <c r="AG162" i="4" s="1"/>
  <c r="AH162" i="4" s="1"/>
  <c r="AI162" i="4" s="1"/>
  <c r="E167" i="4"/>
  <c r="E582" i="3"/>
  <c r="F582" i="3" s="1"/>
  <c r="G582" i="3" s="1"/>
  <c r="H582" i="3" s="1"/>
  <c r="I582" i="3" s="1"/>
  <c r="J582" i="3" s="1"/>
  <c r="K582" i="3" s="1"/>
  <c r="L582" i="3" s="1"/>
  <c r="M582" i="3" s="1"/>
  <c r="N582" i="3" s="1"/>
  <c r="O582" i="3" s="1"/>
  <c r="P582" i="3" s="1"/>
  <c r="Q582" i="3" s="1"/>
  <c r="R582" i="3" s="1"/>
  <c r="S582" i="3" s="1"/>
  <c r="T582" i="3" s="1"/>
  <c r="U582" i="3" s="1"/>
  <c r="V582" i="3" s="1"/>
  <c r="W582" i="3" s="1"/>
  <c r="X582" i="3" s="1"/>
  <c r="Y582" i="3" s="1"/>
  <c r="Z582" i="3" s="1"/>
  <c r="AA582" i="3" s="1"/>
  <c r="AB582" i="3" s="1"/>
  <c r="AC582" i="3" s="1"/>
  <c r="AD582" i="3" s="1"/>
  <c r="AE582" i="3" s="1"/>
  <c r="AF582" i="3" s="1"/>
  <c r="AG582" i="3" s="1"/>
  <c r="AH582" i="3" s="1"/>
  <c r="AI582" i="3" s="1"/>
  <c r="E579" i="3"/>
  <c r="AD416" i="3"/>
  <c r="AH416" i="3" s="1"/>
  <c r="AA416" i="3"/>
  <c r="E407" i="4"/>
  <c r="F407" i="4" s="1"/>
  <c r="G407" i="4" s="1"/>
  <c r="H407" i="4" s="1"/>
  <c r="I407" i="4" s="1"/>
  <c r="J407" i="4" s="1"/>
  <c r="K407" i="4" s="1"/>
  <c r="L407" i="4" s="1"/>
  <c r="M407" i="4" s="1"/>
  <c r="N407" i="4" s="1"/>
  <c r="O407" i="4" s="1"/>
  <c r="P407" i="4" s="1"/>
  <c r="Q407" i="4" s="1"/>
  <c r="R407" i="4" s="1"/>
  <c r="S407" i="4" s="1"/>
  <c r="T407" i="4" s="1"/>
  <c r="U407" i="4" s="1"/>
  <c r="V407" i="4" s="1"/>
  <c r="W407" i="4" s="1"/>
  <c r="X407" i="4" s="1"/>
  <c r="Y407" i="4" s="1"/>
  <c r="Z407" i="4" s="1"/>
  <c r="AA407" i="4" s="1"/>
  <c r="AB407" i="4" s="1"/>
  <c r="AC407" i="4" s="1"/>
  <c r="AD407" i="4" s="1"/>
  <c r="AE407" i="4" s="1"/>
  <c r="AF407" i="4" s="1"/>
  <c r="AG407" i="4" s="1"/>
  <c r="AH407" i="4" s="1"/>
  <c r="AI407" i="4" s="1"/>
  <c r="E404" i="4"/>
  <c r="F404" i="4" s="1"/>
  <c r="G404" i="4" s="1"/>
  <c r="H404" i="4" s="1"/>
  <c r="I404" i="4" s="1"/>
  <c r="J404" i="4" s="1"/>
  <c r="K404" i="4" s="1"/>
  <c r="L404" i="4" s="1"/>
  <c r="M404" i="4" s="1"/>
  <c r="N404" i="4" s="1"/>
  <c r="O404" i="4" s="1"/>
  <c r="P404" i="4" s="1"/>
  <c r="Q404" i="4" s="1"/>
  <c r="R404" i="4" s="1"/>
  <c r="S404" i="4" s="1"/>
  <c r="T404" i="4" s="1"/>
  <c r="U404" i="4" s="1"/>
  <c r="V404" i="4" s="1"/>
  <c r="W404" i="4" s="1"/>
  <c r="X404" i="4" s="1"/>
  <c r="Y404" i="4" s="1"/>
  <c r="Z404" i="4" s="1"/>
  <c r="AA404" i="4" s="1"/>
  <c r="AB404" i="4" s="1"/>
  <c r="AC404" i="4" s="1"/>
  <c r="AD404" i="4" s="1"/>
  <c r="AE404" i="4" s="1"/>
  <c r="AF404" i="4" s="1"/>
  <c r="AG404" i="4" s="1"/>
  <c r="AH404" i="4" s="1"/>
  <c r="AI404" i="4" s="1"/>
  <c r="E402" i="4"/>
  <c r="F402" i="4" s="1"/>
  <c r="G402" i="4" s="1"/>
  <c r="H402" i="4" s="1"/>
  <c r="I402" i="4" s="1"/>
  <c r="J402" i="4" s="1"/>
  <c r="K402" i="4" s="1"/>
  <c r="L402" i="4" s="1"/>
  <c r="M402" i="4" s="1"/>
  <c r="N402" i="4" s="1"/>
  <c r="O402" i="4" s="1"/>
  <c r="P402" i="4" s="1"/>
  <c r="Q402" i="4" s="1"/>
  <c r="R402" i="4" s="1"/>
  <c r="S402" i="4" s="1"/>
  <c r="T402" i="4" s="1"/>
  <c r="U402" i="4" s="1"/>
  <c r="V402" i="4" s="1"/>
  <c r="W402" i="4" s="1"/>
  <c r="X402" i="4" s="1"/>
  <c r="Y402" i="4" s="1"/>
  <c r="Z402" i="4" s="1"/>
  <c r="AA402" i="4" s="1"/>
  <c r="AB402" i="4" s="1"/>
  <c r="AC402" i="4" s="1"/>
  <c r="AD402" i="4" s="1"/>
  <c r="AE402" i="4" s="1"/>
  <c r="AF402" i="4" s="1"/>
  <c r="AG402" i="4" s="1"/>
  <c r="AH402" i="4" s="1"/>
  <c r="AI402" i="4" s="1"/>
  <c r="E566" i="3"/>
  <c r="E22" i="3"/>
  <c r="F22" i="3" s="1"/>
  <c r="G22" i="3" s="1"/>
  <c r="H22" i="3" s="1"/>
  <c r="E19" i="3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521" i="4"/>
  <c r="AB566" i="3"/>
  <c r="AK8" i="4"/>
  <c r="H30" i="13" s="1"/>
  <c r="K30" i="13" s="1"/>
  <c r="L30" i="13" s="1"/>
  <c r="AJ583" i="3"/>
  <c r="F132" i="4"/>
  <c r="G132" i="4" s="1"/>
  <c r="H132" i="4" s="1"/>
  <c r="I132" i="4" s="1"/>
  <c r="J132" i="4" s="1"/>
  <c r="K132" i="4" s="1"/>
  <c r="L132" i="4" s="1"/>
  <c r="M132" i="4" s="1"/>
  <c r="N132" i="4" s="1"/>
  <c r="O132" i="4" s="1"/>
  <c r="P132" i="4" s="1"/>
  <c r="Q132" i="4" s="1"/>
  <c r="R132" i="4" s="1"/>
  <c r="S132" i="4" s="1"/>
  <c r="T132" i="4" s="1"/>
  <c r="U132" i="4" s="1"/>
  <c r="V132" i="4" s="1"/>
  <c r="W132" i="4" s="1"/>
  <c r="X132" i="4" s="1"/>
  <c r="Y132" i="4" s="1"/>
  <c r="Z132" i="4" s="1"/>
  <c r="AA132" i="4" s="1"/>
  <c r="AB132" i="4" s="1"/>
  <c r="AC132" i="4" s="1"/>
  <c r="AD132" i="4" s="1"/>
  <c r="AE132" i="4" s="1"/>
  <c r="AF132" i="4" s="1"/>
  <c r="AG132" i="4" s="1"/>
  <c r="AH132" i="4" s="1"/>
  <c r="AI132" i="4" s="1"/>
  <c r="F130" i="4"/>
  <c r="G130" i="4" s="1"/>
  <c r="F372" i="4"/>
  <c r="G372" i="4" s="1"/>
  <c r="H372" i="4" s="1"/>
  <c r="I372" i="4" s="1"/>
  <c r="J372" i="4" s="1"/>
  <c r="K372" i="4" s="1"/>
  <c r="L372" i="4" s="1"/>
  <c r="M372" i="4" s="1"/>
  <c r="N372" i="4" s="1"/>
  <c r="O372" i="4" s="1"/>
  <c r="P372" i="4" s="1"/>
  <c r="Q372" i="4" s="1"/>
  <c r="R372" i="4" s="1"/>
  <c r="S372" i="4" s="1"/>
  <c r="T372" i="4" s="1"/>
  <c r="U372" i="4" s="1"/>
  <c r="V372" i="4" s="1"/>
  <c r="W372" i="4" s="1"/>
  <c r="X372" i="4" s="1"/>
  <c r="Y372" i="4" s="1"/>
  <c r="Z372" i="4" s="1"/>
  <c r="AA372" i="4" s="1"/>
  <c r="AB372" i="4" s="1"/>
  <c r="AC372" i="4" s="1"/>
  <c r="AD372" i="4" s="1"/>
  <c r="AE372" i="4" s="1"/>
  <c r="AF372" i="4" s="1"/>
  <c r="AG372" i="4" s="1"/>
  <c r="AH372" i="4" s="1"/>
  <c r="AI372" i="4" s="1"/>
  <c r="F375" i="4"/>
  <c r="G375" i="4" s="1"/>
  <c r="H375" i="4" s="1"/>
  <c r="I375" i="4" s="1"/>
  <c r="J375" i="4" s="1"/>
  <c r="K375" i="4" s="1"/>
  <c r="L375" i="4" s="1"/>
  <c r="M375" i="4" s="1"/>
  <c r="N375" i="4" s="1"/>
  <c r="O375" i="4" s="1"/>
  <c r="P375" i="4" s="1"/>
  <c r="Q375" i="4" s="1"/>
  <c r="R375" i="4" s="1"/>
  <c r="S375" i="4" s="1"/>
  <c r="T375" i="4" s="1"/>
  <c r="U375" i="4" s="1"/>
  <c r="V375" i="4" s="1"/>
  <c r="W375" i="4" s="1"/>
  <c r="X375" i="4" s="1"/>
  <c r="Y375" i="4" s="1"/>
  <c r="Z375" i="4" s="1"/>
  <c r="AA375" i="4" s="1"/>
  <c r="AB375" i="4" s="1"/>
  <c r="AC375" i="4" s="1"/>
  <c r="AD375" i="4" s="1"/>
  <c r="AE375" i="4" s="1"/>
  <c r="AF375" i="4" s="1"/>
  <c r="AG375" i="4" s="1"/>
  <c r="AH375" i="4" s="1"/>
  <c r="AI375" i="4" s="1"/>
  <c r="E484" i="4"/>
  <c r="E487" i="4"/>
  <c r="F487" i="4" s="1"/>
  <c r="G487" i="4" s="1"/>
  <c r="H487" i="4" s="1"/>
  <c r="I487" i="4" s="1"/>
  <c r="J487" i="4" s="1"/>
  <c r="K487" i="4" s="1"/>
  <c r="L487" i="4" s="1"/>
  <c r="M487" i="4" s="1"/>
  <c r="N487" i="4" s="1"/>
  <c r="O487" i="4" s="1"/>
  <c r="P487" i="4" s="1"/>
  <c r="Q487" i="4" s="1"/>
  <c r="R487" i="4" s="1"/>
  <c r="S487" i="4" s="1"/>
  <c r="T487" i="4" s="1"/>
  <c r="U487" i="4" s="1"/>
  <c r="V487" i="4" s="1"/>
  <c r="W487" i="4" s="1"/>
  <c r="X487" i="4" s="1"/>
  <c r="Y487" i="4" s="1"/>
  <c r="Z487" i="4" s="1"/>
  <c r="AA487" i="4" s="1"/>
  <c r="AB487" i="4" s="1"/>
  <c r="AC487" i="4" s="1"/>
  <c r="AD487" i="4" s="1"/>
  <c r="AE487" i="4" s="1"/>
  <c r="AF487" i="4" s="1"/>
  <c r="AG487" i="4" s="1"/>
  <c r="AH487" i="4" s="1"/>
  <c r="AI487" i="4" s="1"/>
  <c r="E482" i="4"/>
  <c r="F247" i="4"/>
  <c r="G247" i="4" s="1"/>
  <c r="H247" i="4" s="1"/>
  <c r="I247" i="4" s="1"/>
  <c r="J247" i="4" s="1"/>
  <c r="K247" i="4" s="1"/>
  <c r="L247" i="4" s="1"/>
  <c r="M247" i="4" s="1"/>
  <c r="N247" i="4" s="1"/>
  <c r="O247" i="4" s="1"/>
  <c r="P247" i="4" s="1"/>
  <c r="Q247" i="4" s="1"/>
  <c r="R247" i="4" s="1"/>
  <c r="S247" i="4" s="1"/>
  <c r="T247" i="4" s="1"/>
  <c r="U247" i="4" s="1"/>
  <c r="V247" i="4" s="1"/>
  <c r="W247" i="4" s="1"/>
  <c r="X247" i="4" s="1"/>
  <c r="Y247" i="4" s="1"/>
  <c r="Z247" i="4" s="1"/>
  <c r="AA247" i="4" s="1"/>
  <c r="AB247" i="4" s="1"/>
  <c r="AC247" i="4" s="1"/>
  <c r="AD247" i="4" s="1"/>
  <c r="AE247" i="4" s="1"/>
  <c r="AF247" i="4" s="1"/>
  <c r="AG247" i="4" s="1"/>
  <c r="AH247" i="4" s="1"/>
  <c r="AI247" i="4" s="1"/>
  <c r="F244" i="4"/>
  <c r="G244" i="4" s="1"/>
  <c r="H244" i="4" s="1"/>
  <c r="I244" i="4" s="1"/>
  <c r="J244" i="4" s="1"/>
  <c r="K244" i="4" s="1"/>
  <c r="L244" i="4" s="1"/>
  <c r="M244" i="4" s="1"/>
  <c r="N244" i="4" s="1"/>
  <c r="O244" i="4" s="1"/>
  <c r="P244" i="4" s="1"/>
  <c r="Q244" i="4" s="1"/>
  <c r="R244" i="4" s="1"/>
  <c r="S244" i="4" s="1"/>
  <c r="T244" i="4" s="1"/>
  <c r="U244" i="4" s="1"/>
  <c r="V244" i="4" s="1"/>
  <c r="W244" i="4" s="1"/>
  <c r="X244" i="4" s="1"/>
  <c r="Y244" i="4" s="1"/>
  <c r="Z244" i="4" s="1"/>
  <c r="AA244" i="4" s="1"/>
  <c r="AB244" i="4" s="1"/>
  <c r="AC244" i="4" s="1"/>
  <c r="AD244" i="4" s="1"/>
  <c r="AE244" i="4" s="1"/>
  <c r="AF244" i="4" s="1"/>
  <c r="AG244" i="4" s="1"/>
  <c r="AH244" i="4" s="1"/>
  <c r="AI244" i="4" s="1"/>
  <c r="F100" i="4"/>
  <c r="G100" i="4" s="1"/>
  <c r="H100" i="4" s="1"/>
  <c r="I100" i="4" s="1"/>
  <c r="J100" i="4" s="1"/>
  <c r="K100" i="4" s="1"/>
  <c r="L100" i="4" s="1"/>
  <c r="M100" i="4" s="1"/>
  <c r="N100" i="4" s="1"/>
  <c r="O100" i="4" s="1"/>
  <c r="P100" i="4" s="1"/>
  <c r="Q100" i="4" s="1"/>
  <c r="R100" i="4" s="1"/>
  <c r="S100" i="4" s="1"/>
  <c r="T100" i="4" s="1"/>
  <c r="U100" i="4" s="1"/>
  <c r="V100" i="4" s="1"/>
  <c r="W100" i="4" s="1"/>
  <c r="X100" i="4" s="1"/>
  <c r="Y100" i="4" s="1"/>
  <c r="Z100" i="4" s="1"/>
  <c r="AA100" i="4" s="1"/>
  <c r="AB100" i="4" s="1"/>
  <c r="AC100" i="4" s="1"/>
  <c r="AD100" i="4" s="1"/>
  <c r="AE100" i="4" s="1"/>
  <c r="AF100" i="4" s="1"/>
  <c r="AG100" i="4" s="1"/>
  <c r="AH100" i="4" s="1"/>
  <c r="AI100" i="4" s="1"/>
  <c r="F103" i="4"/>
  <c r="G103" i="4" s="1"/>
  <c r="H103" i="4" s="1"/>
  <c r="I103" i="4" s="1"/>
  <c r="J103" i="4" s="1"/>
  <c r="K103" i="4" s="1"/>
  <c r="L103" i="4" s="1"/>
  <c r="M103" i="4" s="1"/>
  <c r="N103" i="4" s="1"/>
  <c r="O103" i="4" s="1"/>
  <c r="P103" i="4" s="1"/>
  <c r="Q103" i="4" s="1"/>
  <c r="R103" i="4" s="1"/>
  <c r="S103" i="4" s="1"/>
  <c r="T103" i="4" s="1"/>
  <c r="U103" i="4" s="1"/>
  <c r="V103" i="4" s="1"/>
  <c r="W103" i="4" s="1"/>
  <c r="X103" i="4" s="1"/>
  <c r="Y103" i="4" s="1"/>
  <c r="Z103" i="4" s="1"/>
  <c r="AA103" i="4" s="1"/>
  <c r="AB103" i="4" s="1"/>
  <c r="AC103" i="4" s="1"/>
  <c r="AD103" i="4" s="1"/>
  <c r="AE103" i="4" s="1"/>
  <c r="AF103" i="4" s="1"/>
  <c r="AG103" i="4" s="1"/>
  <c r="AH103" i="4" s="1"/>
  <c r="AI103" i="4" s="1"/>
  <c r="F98" i="4"/>
  <c r="G98" i="4" s="1"/>
  <c r="E389" i="4"/>
  <c r="F389" i="4" s="1"/>
  <c r="G389" i="4" s="1"/>
  <c r="H389" i="4" s="1"/>
  <c r="I389" i="4" s="1"/>
  <c r="J389" i="4" s="1"/>
  <c r="K389" i="4" s="1"/>
  <c r="L389" i="4" s="1"/>
  <c r="M389" i="4" s="1"/>
  <c r="N389" i="4" s="1"/>
  <c r="O389" i="4" s="1"/>
  <c r="P389" i="4" s="1"/>
  <c r="Q389" i="4" s="1"/>
  <c r="R389" i="4" s="1"/>
  <c r="S389" i="4" s="1"/>
  <c r="T389" i="4" s="1"/>
  <c r="U389" i="4" s="1"/>
  <c r="V389" i="4" s="1"/>
  <c r="W389" i="4" s="1"/>
  <c r="X389" i="4" s="1"/>
  <c r="Y389" i="4" s="1"/>
  <c r="Z389" i="4" s="1"/>
  <c r="E388" i="4"/>
  <c r="E386" i="4"/>
  <c r="F386" i="4" s="1"/>
  <c r="G386" i="4" s="1"/>
  <c r="H386" i="4" s="1"/>
  <c r="I386" i="4" s="1"/>
  <c r="J386" i="4" s="1"/>
  <c r="K386" i="4" s="1"/>
  <c r="L386" i="4" s="1"/>
  <c r="M386" i="4" s="1"/>
  <c r="N386" i="4" s="1"/>
  <c r="O386" i="4" s="1"/>
  <c r="P386" i="4" s="1"/>
  <c r="Q386" i="4" s="1"/>
  <c r="R386" i="4" s="1"/>
  <c r="S386" i="4" s="1"/>
  <c r="T386" i="4" s="1"/>
  <c r="U386" i="4" s="1"/>
  <c r="V386" i="4" s="1"/>
  <c r="W386" i="4" s="1"/>
  <c r="X386" i="4" s="1"/>
  <c r="Y386" i="4" s="1"/>
  <c r="Z386" i="4" s="1"/>
  <c r="AA386" i="4" s="1"/>
  <c r="AB386" i="4" s="1"/>
  <c r="AC386" i="4" s="1"/>
  <c r="AD386" i="4" s="1"/>
  <c r="AE386" i="4" s="1"/>
  <c r="AF386" i="4" s="1"/>
  <c r="AG386" i="4" s="1"/>
  <c r="AH386" i="4" s="1"/>
  <c r="AI386" i="4" s="1"/>
  <c r="E391" i="4"/>
  <c r="F263" i="4"/>
  <c r="G263" i="4" s="1"/>
  <c r="H263" i="4" s="1"/>
  <c r="I263" i="4" s="1"/>
  <c r="J263" i="4" s="1"/>
  <c r="K263" i="4" s="1"/>
  <c r="L263" i="4" s="1"/>
  <c r="M263" i="4" s="1"/>
  <c r="N263" i="4" s="1"/>
  <c r="O263" i="4" s="1"/>
  <c r="P263" i="4" s="1"/>
  <c r="Q263" i="4" s="1"/>
  <c r="R263" i="4" s="1"/>
  <c r="S263" i="4" s="1"/>
  <c r="T263" i="4" s="1"/>
  <c r="U263" i="4" s="1"/>
  <c r="V263" i="4" s="1"/>
  <c r="W263" i="4" s="1"/>
  <c r="X263" i="4" s="1"/>
  <c r="Y263" i="4" s="1"/>
  <c r="Z263" i="4" s="1"/>
  <c r="AA263" i="4" s="1"/>
  <c r="AB263" i="4" s="1"/>
  <c r="AC263" i="4" s="1"/>
  <c r="AD263" i="4" s="1"/>
  <c r="AE263" i="4" s="1"/>
  <c r="AF263" i="4" s="1"/>
  <c r="AG263" i="4" s="1"/>
  <c r="AH263" i="4" s="1"/>
  <c r="AI263" i="4" s="1"/>
  <c r="F260" i="4"/>
  <c r="G260" i="4" s="1"/>
  <c r="H260" i="4" s="1"/>
  <c r="I260" i="4" s="1"/>
  <c r="J260" i="4" s="1"/>
  <c r="K260" i="4" s="1"/>
  <c r="L260" i="4" s="1"/>
  <c r="M260" i="4" s="1"/>
  <c r="N260" i="4" s="1"/>
  <c r="O260" i="4" s="1"/>
  <c r="P260" i="4" s="1"/>
  <c r="Q260" i="4" s="1"/>
  <c r="R260" i="4" s="1"/>
  <c r="S260" i="4" s="1"/>
  <c r="T260" i="4" s="1"/>
  <c r="U260" i="4" s="1"/>
  <c r="V260" i="4" s="1"/>
  <c r="W260" i="4" s="1"/>
  <c r="X260" i="4" s="1"/>
  <c r="Y260" i="4" s="1"/>
  <c r="Z260" i="4" s="1"/>
  <c r="AA260" i="4" s="1"/>
  <c r="AB260" i="4" s="1"/>
  <c r="AC260" i="4" s="1"/>
  <c r="AD260" i="4" s="1"/>
  <c r="AE260" i="4" s="1"/>
  <c r="AF260" i="4" s="1"/>
  <c r="AG260" i="4" s="1"/>
  <c r="AH260" i="4" s="1"/>
  <c r="AI260" i="4" s="1"/>
  <c r="F258" i="4"/>
  <c r="G258" i="4" s="1"/>
  <c r="H258" i="4" s="1"/>
  <c r="I258" i="4" s="1"/>
  <c r="J258" i="4" s="1"/>
  <c r="K258" i="4" s="1"/>
  <c r="L258" i="4" s="1"/>
  <c r="M258" i="4" s="1"/>
  <c r="N258" i="4" s="1"/>
  <c r="O258" i="4" s="1"/>
  <c r="P258" i="4" s="1"/>
  <c r="Q258" i="4" s="1"/>
  <c r="R258" i="4" s="1"/>
  <c r="S258" i="4" s="1"/>
  <c r="T258" i="4" s="1"/>
  <c r="U258" i="4" s="1"/>
  <c r="V258" i="4" s="1"/>
  <c r="W258" i="4" s="1"/>
  <c r="X258" i="4" s="1"/>
  <c r="Y258" i="4" s="1"/>
  <c r="Z258" i="4" s="1"/>
  <c r="AA258" i="4" s="1"/>
  <c r="AB258" i="4" s="1"/>
  <c r="AC258" i="4" s="1"/>
  <c r="AD258" i="4" s="1"/>
  <c r="AE258" i="4" s="1"/>
  <c r="AF258" i="4" s="1"/>
  <c r="AG258" i="4" s="1"/>
  <c r="AH258" i="4" s="1"/>
  <c r="AI258" i="4" s="1"/>
  <c r="F167" i="4"/>
  <c r="G167" i="4" s="1"/>
  <c r="H167" i="4" s="1"/>
  <c r="I167" i="4" s="1"/>
  <c r="J167" i="4" s="1"/>
  <c r="K167" i="4" s="1"/>
  <c r="L167" i="4" s="1"/>
  <c r="M167" i="4" s="1"/>
  <c r="N167" i="4" s="1"/>
  <c r="O167" i="4" s="1"/>
  <c r="P167" i="4" s="1"/>
  <c r="Q167" i="4" s="1"/>
  <c r="R167" i="4" s="1"/>
  <c r="S167" i="4" s="1"/>
  <c r="T167" i="4" s="1"/>
  <c r="U167" i="4" s="1"/>
  <c r="V167" i="4" s="1"/>
  <c r="W167" i="4" s="1"/>
  <c r="X167" i="4" s="1"/>
  <c r="Y167" i="4" s="1"/>
  <c r="Z167" i="4" s="1"/>
  <c r="AA167" i="4" s="1"/>
  <c r="AB167" i="4" s="1"/>
  <c r="AC167" i="4" s="1"/>
  <c r="AD167" i="4" s="1"/>
  <c r="AE167" i="4" s="1"/>
  <c r="AF167" i="4" s="1"/>
  <c r="AG167" i="4" s="1"/>
  <c r="AH167" i="4" s="1"/>
  <c r="AI167" i="4" s="1"/>
  <c r="F164" i="4"/>
  <c r="G164" i="4" s="1"/>
  <c r="H164" i="4" s="1"/>
  <c r="I164" i="4" s="1"/>
  <c r="J164" i="4" s="1"/>
  <c r="K164" i="4" s="1"/>
  <c r="L164" i="4" s="1"/>
  <c r="M164" i="4" s="1"/>
  <c r="N164" i="4" s="1"/>
  <c r="O164" i="4" s="1"/>
  <c r="P164" i="4" s="1"/>
  <c r="Q164" i="4" s="1"/>
  <c r="R164" i="4" s="1"/>
  <c r="S164" i="4" s="1"/>
  <c r="T164" i="4" s="1"/>
  <c r="U164" i="4" s="1"/>
  <c r="V164" i="4" s="1"/>
  <c r="W164" i="4" s="1"/>
  <c r="X164" i="4" s="1"/>
  <c r="Y164" i="4" s="1"/>
  <c r="Z164" i="4" s="1"/>
  <c r="AA164" i="4" s="1"/>
  <c r="AB164" i="4" s="1"/>
  <c r="AC164" i="4" s="1"/>
  <c r="AD164" i="4" s="1"/>
  <c r="AE164" i="4" s="1"/>
  <c r="AF164" i="4" s="1"/>
  <c r="AG164" i="4" s="1"/>
  <c r="AH164" i="4" s="1"/>
  <c r="AI164" i="4" s="1"/>
  <c r="E20" i="4"/>
  <c r="F20" i="4" s="1"/>
  <c r="G20" i="4" s="1"/>
  <c r="H20" i="4" s="1"/>
  <c r="I20" i="4" s="1"/>
  <c r="J20" i="4" s="1"/>
  <c r="K20" i="4" s="1"/>
  <c r="L20" i="4" s="1"/>
  <c r="M20" i="4" s="1"/>
  <c r="N20" i="4" s="1"/>
  <c r="O20" i="4" s="1"/>
  <c r="P20" i="4" s="1"/>
  <c r="Q20" i="4" s="1"/>
  <c r="R20" i="4" s="1"/>
  <c r="S20" i="4" s="1"/>
  <c r="T20" i="4" s="1"/>
  <c r="U20" i="4" s="1"/>
  <c r="V20" i="4" s="1"/>
  <c r="W20" i="4" s="1"/>
  <c r="X20" i="4" s="1"/>
  <c r="Y20" i="4" s="1"/>
  <c r="Z20" i="4" s="1"/>
  <c r="AA20" i="4" s="1"/>
  <c r="AB20" i="4" s="1"/>
  <c r="AC20" i="4" s="1"/>
  <c r="AD20" i="4" s="1"/>
  <c r="AE20" i="4" s="1"/>
  <c r="AF20" i="4" s="1"/>
  <c r="AG20" i="4" s="1"/>
  <c r="AH20" i="4" s="1"/>
  <c r="AI20" i="4" s="1"/>
  <c r="E18" i="4"/>
  <c r="F18" i="4" s="1"/>
  <c r="G18" i="4" s="1"/>
  <c r="H18" i="4" s="1"/>
  <c r="E23" i="4"/>
  <c r="F274" i="4"/>
  <c r="G274" i="4" s="1"/>
  <c r="H274" i="4" s="1"/>
  <c r="I274" i="4" s="1"/>
  <c r="J274" i="4" s="1"/>
  <c r="K274" i="4" s="1"/>
  <c r="L274" i="4" s="1"/>
  <c r="M274" i="4" s="1"/>
  <c r="N274" i="4" s="1"/>
  <c r="O274" i="4" s="1"/>
  <c r="P274" i="4" s="1"/>
  <c r="Q274" i="4" s="1"/>
  <c r="R274" i="4" s="1"/>
  <c r="S274" i="4" s="1"/>
  <c r="T274" i="4" s="1"/>
  <c r="U274" i="4" s="1"/>
  <c r="V274" i="4" s="1"/>
  <c r="W274" i="4" s="1"/>
  <c r="X274" i="4" s="1"/>
  <c r="Y274" i="4" s="1"/>
  <c r="Z274" i="4" s="1"/>
  <c r="E146" i="4"/>
  <c r="F146" i="4" s="1"/>
  <c r="G146" i="4" s="1"/>
  <c r="H146" i="4" s="1"/>
  <c r="I146" i="4" s="1"/>
  <c r="J146" i="4" s="1"/>
  <c r="K146" i="4" s="1"/>
  <c r="L146" i="4" s="1"/>
  <c r="M146" i="4" s="1"/>
  <c r="N146" i="4" s="1"/>
  <c r="O146" i="4" s="1"/>
  <c r="P146" i="4" s="1"/>
  <c r="Q146" i="4" s="1"/>
  <c r="R146" i="4" s="1"/>
  <c r="S146" i="4" s="1"/>
  <c r="T146" i="4" s="1"/>
  <c r="U146" i="4" s="1"/>
  <c r="V146" i="4" s="1"/>
  <c r="W146" i="4" s="1"/>
  <c r="X146" i="4" s="1"/>
  <c r="Y146" i="4" s="1"/>
  <c r="Z146" i="4" s="1"/>
  <c r="AA146" i="4" s="1"/>
  <c r="AB146" i="4" s="1"/>
  <c r="AC146" i="4" s="1"/>
  <c r="AD146" i="4" s="1"/>
  <c r="AE146" i="4" s="1"/>
  <c r="AF146" i="4" s="1"/>
  <c r="AG146" i="4" s="1"/>
  <c r="AH146" i="4" s="1"/>
  <c r="AI146" i="4" s="1"/>
  <c r="E151" i="4"/>
  <c r="F151" i="4" s="1"/>
  <c r="G151" i="4" s="1"/>
  <c r="H151" i="4" s="1"/>
  <c r="I151" i="4" s="1"/>
  <c r="J151" i="4" s="1"/>
  <c r="K151" i="4" s="1"/>
  <c r="L151" i="4" s="1"/>
  <c r="M151" i="4" s="1"/>
  <c r="N151" i="4" s="1"/>
  <c r="O151" i="4" s="1"/>
  <c r="P151" i="4" s="1"/>
  <c r="Q151" i="4" s="1"/>
  <c r="R151" i="4" s="1"/>
  <c r="S151" i="4" s="1"/>
  <c r="T151" i="4" s="1"/>
  <c r="U151" i="4" s="1"/>
  <c r="V151" i="4" s="1"/>
  <c r="W151" i="4" s="1"/>
  <c r="X151" i="4" s="1"/>
  <c r="Y151" i="4" s="1"/>
  <c r="Z151" i="4" s="1"/>
  <c r="AA151" i="4" s="1"/>
  <c r="AB151" i="4" s="1"/>
  <c r="AC151" i="4" s="1"/>
  <c r="AD151" i="4" s="1"/>
  <c r="AE151" i="4" s="1"/>
  <c r="AF151" i="4" s="1"/>
  <c r="AG151" i="4" s="1"/>
  <c r="AH151" i="4" s="1"/>
  <c r="AI151" i="4" s="1"/>
  <c r="E148" i="4"/>
  <c r="F148" i="4" s="1"/>
  <c r="G148" i="4" s="1"/>
  <c r="H148" i="4" s="1"/>
  <c r="I148" i="4" s="1"/>
  <c r="J148" i="4" s="1"/>
  <c r="K148" i="4" s="1"/>
  <c r="L148" i="4" s="1"/>
  <c r="M148" i="4" s="1"/>
  <c r="N148" i="4" s="1"/>
  <c r="O148" i="4" s="1"/>
  <c r="P148" i="4" s="1"/>
  <c r="Q148" i="4" s="1"/>
  <c r="R148" i="4" s="1"/>
  <c r="S148" i="4" s="1"/>
  <c r="T148" i="4" s="1"/>
  <c r="U148" i="4" s="1"/>
  <c r="V148" i="4" s="1"/>
  <c r="W148" i="4" s="1"/>
  <c r="X148" i="4" s="1"/>
  <c r="Y148" i="4" s="1"/>
  <c r="Z148" i="4" s="1"/>
  <c r="AA148" i="4" s="1"/>
  <c r="AB148" i="4" s="1"/>
  <c r="AC148" i="4" s="1"/>
  <c r="AD148" i="4" s="1"/>
  <c r="AE148" i="4" s="1"/>
  <c r="AF148" i="4" s="1"/>
  <c r="AG148" i="4" s="1"/>
  <c r="AH148" i="4" s="1"/>
  <c r="AI148" i="4" s="1"/>
  <c r="K23" i="4"/>
  <c r="E20" i="3"/>
  <c r="E146" i="6"/>
  <c r="E104" i="6"/>
  <c r="E103" i="6"/>
  <c r="F103" i="6" s="1"/>
  <c r="G103" i="6" s="1"/>
  <c r="H103" i="6" s="1"/>
  <c r="I103" i="6" s="1"/>
  <c r="J103" i="6" s="1"/>
  <c r="K103" i="6" s="1"/>
  <c r="L103" i="6" s="1"/>
  <c r="M103" i="6" s="1"/>
  <c r="N103" i="6" s="1"/>
  <c r="O103" i="6" s="1"/>
  <c r="P103" i="6" s="1"/>
  <c r="Q103" i="6" s="1"/>
  <c r="R103" i="6" s="1"/>
  <c r="S103" i="6" s="1"/>
  <c r="T103" i="6" s="1"/>
  <c r="U103" i="6" s="1"/>
  <c r="V103" i="6" s="1"/>
  <c r="W103" i="6" s="1"/>
  <c r="X103" i="6" s="1"/>
  <c r="Y103" i="6" s="1"/>
  <c r="Z103" i="6" s="1"/>
  <c r="AA103" i="6" s="1"/>
  <c r="AB103" i="6" s="1"/>
  <c r="AC103" i="6" s="1"/>
  <c r="AD103" i="6" s="1"/>
  <c r="AE103" i="6" s="1"/>
  <c r="AF103" i="6" s="1"/>
  <c r="AG103" i="6" s="1"/>
  <c r="AH103" i="6" s="1"/>
  <c r="AI103" i="6" s="1"/>
  <c r="E106" i="6"/>
  <c r="F106" i="6" s="1"/>
  <c r="G106" i="6" s="1"/>
  <c r="E552" i="3"/>
  <c r="E342" i="3"/>
  <c r="F342" i="3" s="1"/>
  <c r="G342" i="3" s="1"/>
  <c r="H342" i="3" s="1"/>
  <c r="I342" i="3" s="1"/>
  <c r="J342" i="3" s="1"/>
  <c r="K342" i="3" s="1"/>
  <c r="L342" i="3" s="1"/>
  <c r="M342" i="3" s="1"/>
  <c r="N342" i="3" s="1"/>
  <c r="O342" i="3" s="1"/>
  <c r="P342" i="3" s="1"/>
  <c r="Q342" i="3" s="1"/>
  <c r="R342" i="3" s="1"/>
  <c r="S342" i="3" s="1"/>
  <c r="T342" i="3" s="1"/>
  <c r="U342" i="3" s="1"/>
  <c r="V342" i="3" s="1"/>
  <c r="W342" i="3" s="1"/>
  <c r="X342" i="3" s="1"/>
  <c r="Y342" i="3" s="1"/>
  <c r="Z342" i="3" s="1"/>
  <c r="AA342" i="3" s="1"/>
  <c r="AB342" i="3" s="1"/>
  <c r="AC342" i="3" s="1"/>
  <c r="AD342" i="3" s="1"/>
  <c r="AE342" i="3" s="1"/>
  <c r="F344" i="3"/>
  <c r="G344" i="3" s="1"/>
  <c r="H344" i="3" s="1"/>
  <c r="I344" i="3" s="1"/>
  <c r="J344" i="3" s="1"/>
  <c r="K344" i="3" s="1"/>
  <c r="L344" i="3" s="1"/>
  <c r="M344" i="3" s="1"/>
  <c r="N344" i="3" s="1"/>
  <c r="O344" i="3" s="1"/>
  <c r="P344" i="3" s="1"/>
  <c r="Q344" i="3" s="1"/>
  <c r="R344" i="3" s="1"/>
  <c r="S344" i="3" s="1"/>
  <c r="T344" i="3" s="1"/>
  <c r="U344" i="3" s="1"/>
  <c r="V344" i="3" s="1"/>
  <c r="W344" i="3" s="1"/>
  <c r="X344" i="3" s="1"/>
  <c r="Y344" i="3" s="1"/>
  <c r="Z344" i="3" s="1"/>
  <c r="AA344" i="3" s="1"/>
  <c r="AB344" i="3" s="1"/>
  <c r="AC344" i="3" s="1"/>
  <c r="AD344" i="3" s="1"/>
  <c r="AE344" i="3" s="1"/>
  <c r="AF344" i="3" s="1"/>
  <c r="AG344" i="3" s="1"/>
  <c r="AH344" i="3" s="1"/>
  <c r="AI344" i="3" s="1"/>
  <c r="E244" i="3"/>
  <c r="F244" i="3" s="1"/>
  <c r="G244" i="3" s="1"/>
  <c r="H244" i="3" s="1"/>
  <c r="I244" i="3" s="1"/>
  <c r="J244" i="3" s="1"/>
  <c r="K244" i="3" s="1"/>
  <c r="L244" i="3" s="1"/>
  <c r="M244" i="3" s="1"/>
  <c r="N244" i="3" s="1"/>
  <c r="O244" i="3" s="1"/>
  <c r="P244" i="3" s="1"/>
  <c r="Q244" i="3" s="1"/>
  <c r="R244" i="3" s="1"/>
  <c r="S244" i="3" s="1"/>
  <c r="T244" i="3" s="1"/>
  <c r="U244" i="3" s="1"/>
  <c r="V244" i="3" s="1"/>
  <c r="W244" i="3" s="1"/>
  <c r="X244" i="3" s="1"/>
  <c r="Y244" i="3" s="1"/>
  <c r="Z244" i="3" s="1"/>
  <c r="AA244" i="3" s="1"/>
  <c r="AB244" i="3" s="1"/>
  <c r="AC244" i="3" s="1"/>
  <c r="AD244" i="3" s="1"/>
  <c r="E216" i="3"/>
  <c r="F216" i="3" s="1"/>
  <c r="G216" i="3" s="1"/>
  <c r="H216" i="3" s="1"/>
  <c r="I216" i="3" s="1"/>
  <c r="J216" i="3" s="1"/>
  <c r="K216" i="3" s="1"/>
  <c r="L216" i="3" s="1"/>
  <c r="M216" i="3" s="1"/>
  <c r="N216" i="3" s="1"/>
  <c r="O216" i="3" s="1"/>
  <c r="P216" i="3" s="1"/>
  <c r="Q216" i="3" s="1"/>
  <c r="R216" i="3" s="1"/>
  <c r="S216" i="3" s="1"/>
  <c r="T216" i="3" s="1"/>
  <c r="U216" i="3" s="1"/>
  <c r="V216" i="3" s="1"/>
  <c r="W216" i="3" s="1"/>
  <c r="X216" i="3" s="1"/>
  <c r="Y216" i="3" s="1"/>
  <c r="Z216" i="3" s="1"/>
  <c r="AA216" i="3" s="1"/>
  <c r="AB216" i="3" s="1"/>
  <c r="AC216" i="3" s="1"/>
  <c r="AD216" i="3" s="1"/>
  <c r="AE216" i="3" s="1"/>
  <c r="E104" i="3"/>
  <c r="E90" i="3"/>
  <c r="E34" i="3"/>
  <c r="E405" i="4"/>
  <c r="F405" i="4" s="1"/>
  <c r="G405" i="4" s="1"/>
  <c r="H405" i="4" s="1"/>
  <c r="I405" i="4" s="1"/>
  <c r="J405" i="4" s="1"/>
  <c r="K405" i="4" s="1"/>
  <c r="L405" i="4" s="1"/>
  <c r="M405" i="4" s="1"/>
  <c r="N405" i="4" s="1"/>
  <c r="O405" i="4" s="1"/>
  <c r="P405" i="4" s="1"/>
  <c r="Q405" i="4" s="1"/>
  <c r="R405" i="4" s="1"/>
  <c r="S405" i="4" s="1"/>
  <c r="T405" i="4" s="1"/>
  <c r="U405" i="4" s="1"/>
  <c r="V405" i="4" s="1"/>
  <c r="W405" i="4" s="1"/>
  <c r="X405" i="4" s="1"/>
  <c r="Y405" i="4" s="1"/>
  <c r="Z405" i="4" s="1"/>
  <c r="AA405" i="4" s="1"/>
  <c r="AB405" i="4" s="1"/>
  <c r="AC405" i="4" s="1"/>
  <c r="AD405" i="4" s="1"/>
  <c r="AE405" i="4" s="1"/>
  <c r="E341" i="4"/>
  <c r="F341" i="4" s="1"/>
  <c r="G341" i="4" s="1"/>
  <c r="H341" i="4" s="1"/>
  <c r="I341" i="4" s="1"/>
  <c r="J341" i="4" s="1"/>
  <c r="K341" i="4" s="1"/>
  <c r="L341" i="4" s="1"/>
  <c r="M341" i="4" s="1"/>
  <c r="N341" i="4" s="1"/>
  <c r="O341" i="4" s="1"/>
  <c r="P341" i="4" s="1"/>
  <c r="Q341" i="4" s="1"/>
  <c r="R341" i="4" s="1"/>
  <c r="S341" i="4" s="1"/>
  <c r="T341" i="4" s="1"/>
  <c r="U341" i="4" s="1"/>
  <c r="F338" i="4"/>
  <c r="G338" i="4" s="1"/>
  <c r="H338" i="4" s="1"/>
  <c r="I338" i="4" s="1"/>
  <c r="J338" i="4" s="1"/>
  <c r="K338" i="4" s="1"/>
  <c r="L338" i="4" s="1"/>
  <c r="M338" i="4" s="1"/>
  <c r="N338" i="4" s="1"/>
  <c r="O338" i="4" s="1"/>
  <c r="P338" i="4" s="1"/>
  <c r="Q338" i="4" s="1"/>
  <c r="R338" i="4" s="1"/>
  <c r="S338" i="4" s="1"/>
  <c r="T338" i="4" s="1"/>
  <c r="U338" i="4" s="1"/>
  <c r="V338" i="4" s="1"/>
  <c r="W338" i="4" s="1"/>
  <c r="X338" i="4" s="1"/>
  <c r="Y338" i="4" s="1"/>
  <c r="Z338" i="4" s="1"/>
  <c r="AA338" i="4" s="1"/>
  <c r="AB338" i="4" s="1"/>
  <c r="AC338" i="4" s="1"/>
  <c r="AD338" i="4" s="1"/>
  <c r="AE338" i="4" s="1"/>
  <c r="AF338" i="4" s="1"/>
  <c r="AG338" i="4" s="1"/>
  <c r="AH338" i="4" s="1"/>
  <c r="AI338" i="4" s="1"/>
  <c r="E261" i="4"/>
  <c r="F242" i="4"/>
  <c r="G242" i="4" s="1"/>
  <c r="H242" i="4" s="1"/>
  <c r="I242" i="4" s="1"/>
  <c r="J242" i="4" s="1"/>
  <c r="K242" i="4" s="1"/>
  <c r="L242" i="4" s="1"/>
  <c r="M242" i="4" s="1"/>
  <c r="N242" i="4" s="1"/>
  <c r="O242" i="4" s="1"/>
  <c r="P242" i="4" s="1"/>
  <c r="Q242" i="4" s="1"/>
  <c r="R242" i="4" s="1"/>
  <c r="S242" i="4" s="1"/>
  <c r="T242" i="4" s="1"/>
  <c r="U242" i="4" s="1"/>
  <c r="V242" i="4" s="1"/>
  <c r="W242" i="4" s="1"/>
  <c r="X242" i="4" s="1"/>
  <c r="Y242" i="4" s="1"/>
  <c r="Z242" i="4" s="1"/>
  <c r="AA242" i="4" s="1"/>
  <c r="AB242" i="4" s="1"/>
  <c r="AC242" i="4" s="1"/>
  <c r="AD242" i="4" s="1"/>
  <c r="AE242" i="4" s="1"/>
  <c r="AF242" i="4" s="1"/>
  <c r="AG242" i="4" s="1"/>
  <c r="AH242" i="4" s="1"/>
  <c r="AI242" i="4" s="1"/>
  <c r="Q549" i="1"/>
  <c r="R549" i="1" s="1"/>
  <c r="S549" i="1" s="1"/>
  <c r="T549" i="1" s="1"/>
  <c r="U549" i="1" s="1"/>
  <c r="V549" i="1" s="1"/>
  <c r="W549" i="1" s="1"/>
  <c r="Q766" i="1"/>
  <c r="R766" i="1" s="1"/>
  <c r="S766" i="1" s="1"/>
  <c r="T766" i="1" s="1"/>
  <c r="U766" i="1" s="1"/>
  <c r="V766" i="1" s="1"/>
  <c r="W766" i="1" s="1"/>
  <c r="H549" i="1"/>
  <c r="I549" i="1" s="1"/>
  <c r="J549" i="1" s="1"/>
  <c r="E485" i="4"/>
  <c r="F485" i="4" s="1"/>
  <c r="G485" i="4" s="1"/>
  <c r="H485" i="4" s="1"/>
  <c r="I485" i="4" s="1"/>
  <c r="J485" i="4" s="1"/>
  <c r="K485" i="4" s="1"/>
  <c r="L485" i="4" s="1"/>
  <c r="M485" i="4" s="1"/>
  <c r="N485" i="4" s="1"/>
  <c r="O485" i="4" s="1"/>
  <c r="P485" i="4" s="1"/>
  <c r="Q485" i="4" s="1"/>
  <c r="R485" i="4" s="1"/>
  <c r="S485" i="4" s="1"/>
  <c r="T485" i="4" s="1"/>
  <c r="U485" i="4" s="1"/>
  <c r="V485" i="4" s="1"/>
  <c r="W485" i="4" s="1"/>
  <c r="X485" i="4" s="1"/>
  <c r="Y485" i="4" s="1"/>
  <c r="Z485" i="4" s="1"/>
  <c r="AA485" i="4" s="1"/>
  <c r="AB485" i="4" s="1"/>
  <c r="AC485" i="4" s="1"/>
  <c r="AD485" i="4" s="1"/>
  <c r="AE485" i="4" s="1"/>
  <c r="AF485" i="4" s="1"/>
  <c r="E373" i="4"/>
  <c r="E277" i="4"/>
  <c r="F277" i="4" s="1"/>
  <c r="G277" i="4" s="1"/>
  <c r="H277" i="4" s="1"/>
  <c r="I277" i="4" s="1"/>
  <c r="J277" i="4" s="1"/>
  <c r="K277" i="4" s="1"/>
  <c r="L277" i="4" s="1"/>
  <c r="M277" i="4" s="1"/>
  <c r="N277" i="4" s="1"/>
  <c r="O277" i="4" s="1"/>
  <c r="P277" i="4" s="1"/>
  <c r="Q277" i="4" s="1"/>
  <c r="R277" i="4" s="1"/>
  <c r="S277" i="4" s="1"/>
  <c r="T277" i="4" s="1"/>
  <c r="U277" i="4" s="1"/>
  <c r="V277" i="4" s="1"/>
  <c r="W277" i="4" s="1"/>
  <c r="X277" i="4" s="1"/>
  <c r="Y277" i="4" s="1"/>
  <c r="Z277" i="4" s="1"/>
  <c r="AA277" i="4" s="1"/>
  <c r="AB277" i="4" s="1"/>
  <c r="AC277" i="4" s="1"/>
  <c r="AD277" i="4" s="1"/>
  <c r="E146" i="3"/>
  <c r="F146" i="3" s="1"/>
  <c r="G146" i="3" s="1"/>
  <c r="H146" i="3" s="1"/>
  <c r="I146" i="3" s="1"/>
  <c r="J146" i="3" s="1"/>
  <c r="K146" i="3" s="1"/>
  <c r="L146" i="3" s="1"/>
  <c r="M146" i="3" s="1"/>
  <c r="N146" i="3" s="1"/>
  <c r="O146" i="3" s="1"/>
  <c r="P146" i="3" s="1"/>
  <c r="Q146" i="3" s="1"/>
  <c r="R146" i="3" s="1"/>
  <c r="S146" i="3" s="1"/>
  <c r="T146" i="3" s="1"/>
  <c r="U146" i="3" s="1"/>
  <c r="V146" i="3" s="1"/>
  <c r="W146" i="3" s="1"/>
  <c r="X146" i="3" s="1"/>
  <c r="Y146" i="3" s="1"/>
  <c r="Z146" i="3" s="1"/>
  <c r="AA146" i="3" s="1"/>
  <c r="AB146" i="3" s="1"/>
  <c r="AC146" i="3" s="1"/>
  <c r="AD146" i="3" s="1"/>
  <c r="AE146" i="3" s="1"/>
  <c r="R25" i="4"/>
  <c r="S25" i="4" s="1"/>
  <c r="T25" i="4" s="1"/>
  <c r="U25" i="4" s="1"/>
  <c r="V25" i="4" s="1"/>
  <c r="W25" i="4" s="1"/>
  <c r="X25" i="4" s="1"/>
  <c r="Y25" i="4" s="1"/>
  <c r="Z25" i="4" s="1"/>
  <c r="AA25" i="4" s="1"/>
  <c r="AB25" i="4" s="1"/>
  <c r="AC25" i="4" s="1"/>
  <c r="AD25" i="4" s="1"/>
  <c r="AE25" i="4" s="1"/>
  <c r="AF25" i="4" s="1"/>
  <c r="AG25" i="4" s="1"/>
  <c r="AH25" i="4" s="1"/>
  <c r="AI25" i="4" s="1"/>
  <c r="R23" i="5"/>
  <c r="S23" i="5" s="1"/>
  <c r="T23" i="5" s="1"/>
  <c r="U23" i="5" s="1"/>
  <c r="V23" i="5" s="1"/>
  <c r="W23" i="5" s="1"/>
  <c r="X23" i="5" s="1"/>
  <c r="Y23" i="5" s="1"/>
  <c r="Z23" i="5" s="1"/>
  <c r="AA23" i="5" s="1"/>
  <c r="AB23" i="5" s="1"/>
  <c r="AC23" i="5" s="1"/>
  <c r="AD23" i="5" s="1"/>
  <c r="AE23" i="5" s="1"/>
  <c r="AF23" i="5" s="1"/>
  <c r="AG23" i="5" s="1"/>
  <c r="AH23" i="5" s="1"/>
  <c r="AI23" i="5" s="1"/>
  <c r="AH80" i="6"/>
  <c r="AI80" i="6" s="1"/>
  <c r="E580" i="3"/>
  <c r="F551" i="3"/>
  <c r="G551" i="3" s="1"/>
  <c r="H551" i="3" s="1"/>
  <c r="I551" i="3" s="1"/>
  <c r="J551" i="3" s="1"/>
  <c r="K551" i="3" s="1"/>
  <c r="L551" i="3" s="1"/>
  <c r="M551" i="3" s="1"/>
  <c r="N551" i="3" s="1"/>
  <c r="O551" i="3" s="1"/>
  <c r="P551" i="3" s="1"/>
  <c r="Q551" i="3" s="1"/>
  <c r="R551" i="3" s="1"/>
  <c r="S551" i="3" s="1"/>
  <c r="T551" i="3" s="1"/>
  <c r="U551" i="3" s="1"/>
  <c r="V551" i="3" s="1"/>
  <c r="W551" i="3" s="1"/>
  <c r="X551" i="3" s="1"/>
  <c r="Y551" i="3" s="1"/>
  <c r="Z551" i="3" s="1"/>
  <c r="AA551" i="3" s="1"/>
  <c r="AB551" i="3" s="1"/>
  <c r="AC551" i="3" s="1"/>
  <c r="AD551" i="3" s="1"/>
  <c r="AE551" i="3" s="1"/>
  <c r="AF551" i="3" s="1"/>
  <c r="AG551" i="3" s="1"/>
  <c r="AH551" i="3" s="1"/>
  <c r="AI551" i="3" s="1"/>
  <c r="F554" i="3"/>
  <c r="G554" i="3" s="1"/>
  <c r="H554" i="3" s="1"/>
  <c r="I554" i="3" s="1"/>
  <c r="J554" i="3" s="1"/>
  <c r="K554" i="3" s="1"/>
  <c r="L554" i="3" s="1"/>
  <c r="M554" i="3" s="1"/>
  <c r="N554" i="3" s="1"/>
  <c r="O554" i="3" s="1"/>
  <c r="P554" i="3" s="1"/>
  <c r="Q554" i="3" s="1"/>
  <c r="R554" i="3" s="1"/>
  <c r="S554" i="3" s="1"/>
  <c r="T554" i="3" s="1"/>
  <c r="U554" i="3" s="1"/>
  <c r="V554" i="3" s="1"/>
  <c r="W554" i="3" s="1"/>
  <c r="X554" i="3" s="1"/>
  <c r="Y554" i="3" s="1"/>
  <c r="Z554" i="3" s="1"/>
  <c r="AA554" i="3" s="1"/>
  <c r="AB554" i="3" s="1"/>
  <c r="AC554" i="3" s="1"/>
  <c r="AD554" i="3" s="1"/>
  <c r="AE554" i="3" s="1"/>
  <c r="AF554" i="3" s="1"/>
  <c r="AG554" i="3" s="1"/>
  <c r="AH554" i="3" s="1"/>
  <c r="AI554" i="3" s="1"/>
  <c r="E482" i="3"/>
  <c r="E484" i="3"/>
  <c r="F484" i="3" s="1"/>
  <c r="G484" i="3" s="1"/>
  <c r="H484" i="3" s="1"/>
  <c r="I484" i="3" s="1"/>
  <c r="J484" i="3" s="1"/>
  <c r="K484" i="3" s="1"/>
  <c r="L484" i="3" s="1"/>
  <c r="M484" i="3" s="1"/>
  <c r="N484" i="3" s="1"/>
  <c r="O484" i="3" s="1"/>
  <c r="P484" i="3" s="1"/>
  <c r="Q484" i="3" s="1"/>
  <c r="R484" i="3" s="1"/>
  <c r="S484" i="3" s="1"/>
  <c r="T484" i="3" s="1"/>
  <c r="U484" i="3" s="1"/>
  <c r="V484" i="3" s="1"/>
  <c r="W484" i="3" s="1"/>
  <c r="X484" i="3" s="1"/>
  <c r="Y484" i="3" s="1"/>
  <c r="Z484" i="3" s="1"/>
  <c r="AA484" i="3" s="1"/>
  <c r="AB484" i="3" s="1"/>
  <c r="AC484" i="3" s="1"/>
  <c r="AD484" i="3" s="1"/>
  <c r="AE484" i="3" s="1"/>
  <c r="AF484" i="3" s="1"/>
  <c r="AG484" i="3" s="1"/>
  <c r="AH484" i="3" s="1"/>
  <c r="AI484" i="3" s="1"/>
  <c r="AJ585" i="3"/>
  <c r="AA539" i="1"/>
  <c r="AB539" i="1" s="1"/>
  <c r="AC539" i="1" s="1"/>
  <c r="AD539" i="1" s="1"/>
  <c r="AE539" i="1" s="1"/>
  <c r="AF539" i="1" s="1"/>
  <c r="AG539" i="1" s="1"/>
  <c r="AI539" i="1" s="1"/>
  <c r="H74" i="1"/>
  <c r="I74" i="1" s="1"/>
  <c r="J74" i="1" s="1"/>
  <c r="G875" i="1"/>
  <c r="H875" i="1" s="1"/>
  <c r="I875" i="1" s="1"/>
  <c r="J875" i="1" s="1"/>
  <c r="K875" i="1" s="1"/>
  <c r="L875" i="1" s="1"/>
  <c r="M875" i="1" s="1"/>
  <c r="N875" i="1" s="1"/>
  <c r="O875" i="1" s="1"/>
  <c r="P875" i="1" s="1"/>
  <c r="Q875" i="1" s="1"/>
  <c r="R875" i="1" s="1"/>
  <c r="S875" i="1" s="1"/>
  <c r="T875" i="1" s="1"/>
  <c r="U875" i="1" s="1"/>
  <c r="V875" i="1" s="1"/>
  <c r="W875" i="1" s="1"/>
  <c r="X875" i="1" s="1"/>
  <c r="Y875" i="1" s="1"/>
  <c r="Z875" i="1" s="1"/>
  <c r="AA875" i="1" s="1"/>
  <c r="E213" i="4"/>
  <c r="E245" i="4"/>
  <c r="E165" i="4"/>
  <c r="F165" i="4" s="1"/>
  <c r="G165" i="4" s="1"/>
  <c r="H165" i="4" s="1"/>
  <c r="I165" i="4" s="1"/>
  <c r="J165" i="4" s="1"/>
  <c r="K165" i="4" s="1"/>
  <c r="L165" i="4" s="1"/>
  <c r="M165" i="4" s="1"/>
  <c r="N165" i="4" s="1"/>
  <c r="O165" i="4" s="1"/>
  <c r="P165" i="4" s="1"/>
  <c r="Q165" i="4" s="1"/>
  <c r="R165" i="4" s="1"/>
  <c r="S165" i="4" s="1"/>
  <c r="T165" i="4" s="1"/>
  <c r="U165" i="4" s="1"/>
  <c r="V165" i="4" s="1"/>
  <c r="W165" i="4" s="1"/>
  <c r="X165" i="4" s="1"/>
  <c r="Y165" i="4" s="1"/>
  <c r="Z165" i="4" s="1"/>
  <c r="AA165" i="4" s="1"/>
  <c r="AB165" i="4" s="1"/>
  <c r="AC165" i="4" s="1"/>
  <c r="AD165" i="4" s="1"/>
  <c r="AE165" i="4" s="1"/>
  <c r="E133" i="4"/>
  <c r="E37" i="4"/>
  <c r="E101" i="4"/>
  <c r="E149" i="4"/>
  <c r="F149" i="4" s="1"/>
  <c r="G149" i="4" s="1"/>
  <c r="H149" i="4" s="1"/>
  <c r="I149" i="4" s="1"/>
  <c r="J149" i="4" s="1"/>
  <c r="K149" i="4" s="1"/>
  <c r="L149" i="4" s="1"/>
  <c r="M149" i="4" s="1"/>
  <c r="N149" i="4" s="1"/>
  <c r="O149" i="4" s="1"/>
  <c r="P149" i="4" s="1"/>
  <c r="Q149" i="4" s="1"/>
  <c r="R149" i="4" s="1"/>
  <c r="S149" i="4" s="1"/>
  <c r="T149" i="4" s="1"/>
  <c r="U149" i="4" s="1"/>
  <c r="V149" i="4" s="1"/>
  <c r="W149" i="4" s="1"/>
  <c r="X149" i="4" s="1"/>
  <c r="Y149" i="4" s="1"/>
  <c r="Z149" i="4" s="1"/>
  <c r="AA149" i="4" s="1"/>
  <c r="AB149" i="4" s="1"/>
  <c r="AC149" i="4" s="1"/>
  <c r="AD149" i="4" s="1"/>
  <c r="AE149" i="4" s="1"/>
  <c r="E19" i="2"/>
  <c r="E20" i="2"/>
  <c r="E36" i="2"/>
  <c r="F36" i="2" s="1"/>
  <c r="G36" i="2" s="1"/>
  <c r="H36" i="2" s="1"/>
  <c r="I36" i="2" s="1"/>
  <c r="J36" i="2" s="1"/>
  <c r="K36" i="2" s="1"/>
  <c r="L36" i="2" s="1"/>
  <c r="M36" i="2" s="1"/>
  <c r="N36" i="2" s="1"/>
  <c r="E33" i="2"/>
  <c r="F33" i="2" s="1"/>
  <c r="G33" i="2" s="1"/>
  <c r="H33" i="2" s="1"/>
  <c r="I33" i="2" s="1"/>
  <c r="J33" i="2" s="1"/>
  <c r="K33" i="2" s="1"/>
  <c r="L33" i="2" s="1"/>
  <c r="M33" i="2" s="1"/>
  <c r="N33" i="2" s="1"/>
  <c r="E176" i="6"/>
  <c r="F176" i="6" s="1"/>
  <c r="G176" i="6" s="1"/>
  <c r="H176" i="6" s="1"/>
  <c r="I176" i="6" s="1"/>
  <c r="J176" i="6" s="1"/>
  <c r="K176" i="6" s="1"/>
  <c r="L176" i="6" s="1"/>
  <c r="M176" i="6" s="1"/>
  <c r="N176" i="6" s="1"/>
  <c r="O176" i="6" s="1"/>
  <c r="P176" i="6" s="1"/>
  <c r="Q176" i="6" s="1"/>
  <c r="R176" i="6" s="1"/>
  <c r="S176" i="6" s="1"/>
  <c r="T176" i="6" s="1"/>
  <c r="U176" i="6" s="1"/>
  <c r="V176" i="6" s="1"/>
  <c r="W176" i="6" s="1"/>
  <c r="X176" i="6" s="1"/>
  <c r="Y176" i="6" s="1"/>
  <c r="Z176" i="6" s="1"/>
  <c r="AA176" i="6" s="1"/>
  <c r="AB176" i="6" s="1"/>
  <c r="AC176" i="6" s="1"/>
  <c r="AD176" i="6" s="1"/>
  <c r="AE176" i="6" s="1"/>
  <c r="AF176" i="6" s="1"/>
  <c r="AG176" i="6" s="1"/>
  <c r="AH176" i="6" s="1"/>
  <c r="AI176" i="6" s="1"/>
  <c r="E173" i="6"/>
  <c r="F173" i="6" s="1"/>
  <c r="G173" i="6" s="1"/>
  <c r="H173" i="6" s="1"/>
  <c r="I173" i="6" s="1"/>
  <c r="J173" i="6" s="1"/>
  <c r="K173" i="6" s="1"/>
  <c r="L173" i="6" s="1"/>
  <c r="M173" i="6" s="1"/>
  <c r="N173" i="6" s="1"/>
  <c r="O173" i="6" s="1"/>
  <c r="P173" i="6" s="1"/>
  <c r="Q173" i="6" s="1"/>
  <c r="R173" i="6" s="1"/>
  <c r="S173" i="6" s="1"/>
  <c r="T173" i="6" s="1"/>
  <c r="U173" i="6" s="1"/>
  <c r="V173" i="6" s="1"/>
  <c r="W173" i="6" s="1"/>
  <c r="X173" i="6" s="1"/>
  <c r="Y173" i="6" s="1"/>
  <c r="Z173" i="6" s="1"/>
  <c r="AA173" i="6" s="1"/>
  <c r="AB173" i="6" s="1"/>
  <c r="AC173" i="6" s="1"/>
  <c r="AD173" i="6" s="1"/>
  <c r="AE173" i="6" s="1"/>
  <c r="AF173" i="6" s="1"/>
  <c r="AG173" i="6" s="1"/>
  <c r="AH173" i="6" s="1"/>
  <c r="AI173" i="6" s="1"/>
  <c r="E134" i="6"/>
  <c r="E131" i="6"/>
  <c r="F131" i="6" s="1"/>
  <c r="G131" i="6" s="1"/>
  <c r="H131" i="6" s="1"/>
  <c r="I131" i="6" s="1"/>
  <c r="J131" i="6" s="1"/>
  <c r="K131" i="6" s="1"/>
  <c r="L131" i="6" s="1"/>
  <c r="M131" i="6" s="1"/>
  <c r="N131" i="6" s="1"/>
  <c r="O131" i="6" s="1"/>
  <c r="P131" i="6" s="1"/>
  <c r="Q131" i="6" s="1"/>
  <c r="R131" i="6" s="1"/>
  <c r="S131" i="6" s="1"/>
  <c r="T131" i="6" s="1"/>
  <c r="U131" i="6" s="1"/>
  <c r="V131" i="6" s="1"/>
  <c r="W131" i="6" s="1"/>
  <c r="X131" i="6" s="1"/>
  <c r="Y131" i="6" s="1"/>
  <c r="Z131" i="6" s="1"/>
  <c r="AA131" i="6" s="1"/>
  <c r="AB131" i="6" s="1"/>
  <c r="AC131" i="6" s="1"/>
  <c r="AD131" i="6" s="1"/>
  <c r="AE131" i="6" s="1"/>
  <c r="AF131" i="6" s="1"/>
  <c r="AG131" i="6" s="1"/>
  <c r="AH131" i="6" s="1"/>
  <c r="AI131" i="6" s="1"/>
  <c r="F356" i="3"/>
  <c r="G356" i="3" s="1"/>
  <c r="H356" i="3" s="1"/>
  <c r="I356" i="3" s="1"/>
  <c r="J356" i="3" s="1"/>
  <c r="K356" i="3" s="1"/>
  <c r="L356" i="3" s="1"/>
  <c r="M356" i="3" s="1"/>
  <c r="N356" i="3" s="1"/>
  <c r="O356" i="3" s="1"/>
  <c r="P356" i="3" s="1"/>
  <c r="Q356" i="3" s="1"/>
  <c r="R356" i="3" s="1"/>
  <c r="S356" i="3" s="1"/>
  <c r="T356" i="3" s="1"/>
  <c r="U356" i="3" s="1"/>
  <c r="V356" i="3" s="1"/>
  <c r="W356" i="3" s="1"/>
  <c r="X356" i="3" s="1"/>
  <c r="Y356" i="3" s="1"/>
  <c r="Z356" i="3" s="1"/>
  <c r="AA356" i="3" s="1"/>
  <c r="AB356" i="3" s="1"/>
  <c r="AC356" i="3" s="1"/>
  <c r="AD356" i="3" s="1"/>
  <c r="AE356" i="3" s="1"/>
  <c r="F358" i="3"/>
  <c r="G358" i="3" s="1"/>
  <c r="H358" i="3" s="1"/>
  <c r="I358" i="3" s="1"/>
  <c r="J358" i="3" s="1"/>
  <c r="K358" i="3" s="1"/>
  <c r="L358" i="3" s="1"/>
  <c r="M358" i="3" s="1"/>
  <c r="N358" i="3" s="1"/>
  <c r="O358" i="3" s="1"/>
  <c r="P358" i="3" s="1"/>
  <c r="Q358" i="3" s="1"/>
  <c r="R358" i="3" s="1"/>
  <c r="S358" i="3" s="1"/>
  <c r="T358" i="3" s="1"/>
  <c r="U358" i="3" s="1"/>
  <c r="V358" i="3" s="1"/>
  <c r="W358" i="3" s="1"/>
  <c r="X358" i="3" s="1"/>
  <c r="Y358" i="3" s="1"/>
  <c r="Z358" i="3" s="1"/>
  <c r="AA358" i="3" s="1"/>
  <c r="AB358" i="3" s="1"/>
  <c r="AC358" i="3" s="1"/>
  <c r="AD358" i="3" s="1"/>
  <c r="AE358" i="3" s="1"/>
  <c r="AF358" i="3" s="1"/>
  <c r="AG358" i="3" s="1"/>
  <c r="AH358" i="3" s="1"/>
  <c r="AI358" i="3" s="1"/>
  <c r="F313" i="4"/>
  <c r="G313" i="4" s="1"/>
  <c r="H313" i="4" s="1"/>
  <c r="I313" i="4" s="1"/>
  <c r="J313" i="4" s="1"/>
  <c r="AJ1193" i="1"/>
  <c r="AK1191" i="1" s="1"/>
  <c r="AJ524" i="4"/>
  <c r="AK27" i="4"/>
  <c r="AJ523" i="4"/>
  <c r="AK521" i="4" s="1"/>
  <c r="AK26" i="4"/>
  <c r="AJ522" i="4"/>
  <c r="AJ586" i="3"/>
  <c r="AJ584" i="3"/>
  <c r="AK959" i="1"/>
  <c r="AJ1192" i="1"/>
  <c r="AB309" i="4"/>
  <c r="AC309" i="4"/>
  <c r="AD309" i="4" s="1"/>
  <c r="AE309" i="4" s="1"/>
  <c r="F245" i="4"/>
  <c r="G245" i="4" s="1"/>
  <c r="H245" i="4" s="1"/>
  <c r="I245" i="4" s="1"/>
  <c r="J245" i="4" s="1"/>
  <c r="K245" i="4" s="1"/>
  <c r="L245" i="4" s="1"/>
  <c r="M245" i="4" s="1"/>
  <c r="N245" i="4" s="1"/>
  <c r="V341" i="4"/>
  <c r="W341" i="4" s="1"/>
  <c r="X341" i="4" s="1"/>
  <c r="Y341" i="4" s="1"/>
  <c r="Z341" i="4" s="1"/>
  <c r="AA341" i="4" s="1"/>
  <c r="AB341" i="4" s="1"/>
  <c r="AC341" i="4" s="1"/>
  <c r="AD341" i="4" s="1"/>
  <c r="AE341" i="4" s="1"/>
  <c r="AF341" i="4" s="1"/>
  <c r="AG341" i="4" s="1"/>
  <c r="AH341" i="4" s="1"/>
  <c r="AI341" i="4" s="1"/>
  <c r="F101" i="4"/>
  <c r="G101" i="4" s="1"/>
  <c r="H101" i="4" s="1"/>
  <c r="I101" i="4" s="1"/>
  <c r="J101" i="4" s="1"/>
  <c r="K101" i="4" s="1"/>
  <c r="L101" i="4" s="1"/>
  <c r="M101" i="4" s="1"/>
  <c r="N101" i="4" s="1"/>
  <c r="O101" i="4" s="1"/>
  <c r="P101" i="4" s="1"/>
  <c r="Q101" i="4" s="1"/>
  <c r="R101" i="4" s="1"/>
  <c r="S101" i="4" s="1"/>
  <c r="T101" i="4" s="1"/>
  <c r="U101" i="4" s="1"/>
  <c r="V101" i="4" s="1"/>
  <c r="W101" i="4" s="1"/>
  <c r="X101" i="4" s="1"/>
  <c r="Y101" i="4" s="1"/>
  <c r="Z101" i="4" s="1"/>
  <c r="AA101" i="4" s="1"/>
  <c r="AB101" i="4" s="1"/>
  <c r="AC101" i="4" s="1"/>
  <c r="AD101" i="4" s="1"/>
  <c r="AE101" i="4" s="1"/>
  <c r="AG308" i="4"/>
  <c r="AG306" i="4"/>
  <c r="AH306" i="4"/>
  <c r="AH308" i="4"/>
  <c r="AI306" i="4"/>
  <c r="AI308" i="4"/>
  <c r="F261" i="4"/>
  <c r="G261" i="4" s="1"/>
  <c r="H261" i="4" s="1"/>
  <c r="I261" i="4" s="1"/>
  <c r="J261" i="4" s="1"/>
  <c r="K261" i="4" s="1"/>
  <c r="L261" i="4" s="1"/>
  <c r="M261" i="4" s="1"/>
  <c r="N261" i="4" s="1"/>
  <c r="O261" i="4" s="1"/>
  <c r="P261" i="4" s="1"/>
  <c r="Q261" i="4" s="1"/>
  <c r="R261" i="4" s="1"/>
  <c r="S261" i="4" s="1"/>
  <c r="T261" i="4" s="1"/>
  <c r="U261" i="4" s="1"/>
  <c r="V261" i="4" s="1"/>
  <c r="W261" i="4" s="1"/>
  <c r="X261" i="4" s="1"/>
  <c r="Y261" i="4" s="1"/>
  <c r="Z261" i="4" s="1"/>
  <c r="AA261" i="4" s="1"/>
  <c r="AB261" i="4" s="1"/>
  <c r="AC261" i="4" s="1"/>
  <c r="AD261" i="4" s="1"/>
  <c r="AE261" i="4" s="1"/>
  <c r="AF261" i="4" s="1"/>
  <c r="E311" i="4"/>
  <c r="F311" i="4" s="1"/>
  <c r="G311" i="4" s="1"/>
  <c r="H311" i="4" s="1"/>
  <c r="I311" i="4" s="1"/>
  <c r="J311" i="4" s="1"/>
  <c r="K311" i="4" s="1"/>
  <c r="L311" i="4" s="1"/>
  <c r="M311" i="4" s="1"/>
  <c r="N311" i="4" s="1"/>
  <c r="E309" i="4"/>
  <c r="E22" i="6"/>
  <c r="F22" i="6" s="1"/>
  <c r="G22" i="6" s="1"/>
  <c r="H22" i="6" s="1"/>
  <c r="I22" i="6" s="1"/>
  <c r="J22" i="6" s="1"/>
  <c r="K22" i="6" s="1"/>
  <c r="L22" i="6" s="1"/>
  <c r="M22" i="6" s="1"/>
  <c r="N22" i="6" s="1"/>
  <c r="O22" i="6" s="1"/>
  <c r="P22" i="6" s="1"/>
  <c r="Q22" i="6" s="1"/>
  <c r="R22" i="6" s="1"/>
  <c r="S22" i="6" s="1"/>
  <c r="T22" i="6" s="1"/>
  <c r="U22" i="6" s="1"/>
  <c r="V22" i="6" s="1"/>
  <c r="W22" i="6" s="1"/>
  <c r="X22" i="6" s="1"/>
  <c r="Y22" i="6" s="1"/>
  <c r="Z22" i="6" s="1"/>
  <c r="AA22" i="6" s="1"/>
  <c r="AB22" i="6" s="1"/>
  <c r="AC22" i="6" s="1"/>
  <c r="AD22" i="6" s="1"/>
  <c r="AE22" i="6" s="1"/>
  <c r="AF22" i="6" s="1"/>
  <c r="AG22" i="6" s="1"/>
  <c r="AH22" i="6" s="1"/>
  <c r="AI22" i="6" s="1"/>
  <c r="E19" i="6"/>
  <c r="F19" i="6" s="1"/>
  <c r="G19" i="6" s="1"/>
  <c r="H19" i="6" s="1"/>
  <c r="I19" i="6" s="1"/>
  <c r="J19" i="6" s="1"/>
  <c r="K19" i="6" s="1"/>
  <c r="L19" i="6" s="1"/>
  <c r="M19" i="6" s="1"/>
  <c r="N19" i="6" s="1"/>
  <c r="O19" i="6" s="1"/>
  <c r="P19" i="6" s="1"/>
  <c r="Q19" i="6" s="1"/>
  <c r="R19" i="6" s="1"/>
  <c r="S19" i="6" s="1"/>
  <c r="T19" i="6" s="1"/>
  <c r="U19" i="6" s="1"/>
  <c r="V19" i="6" s="1"/>
  <c r="W19" i="6" s="1"/>
  <c r="X19" i="6" s="1"/>
  <c r="Y19" i="6" s="1"/>
  <c r="Z19" i="6" s="1"/>
  <c r="AA19" i="6" s="1"/>
  <c r="AB19" i="6" s="1"/>
  <c r="AC19" i="6" s="1"/>
  <c r="AD19" i="6" s="1"/>
  <c r="AE19" i="6" s="1"/>
  <c r="AF19" i="6" s="1"/>
  <c r="AG19" i="6" s="1"/>
  <c r="AH19" i="6" s="1"/>
  <c r="AI19" i="6" s="1"/>
  <c r="G19" i="1"/>
  <c r="H19" i="1" s="1"/>
  <c r="I19" i="1" s="1"/>
  <c r="J19" i="1" s="1"/>
  <c r="K19" i="1" s="1"/>
  <c r="L19" i="1" s="1"/>
  <c r="M19" i="1" s="1"/>
  <c r="E308" i="4"/>
  <c r="F308" i="4" s="1"/>
  <c r="G308" i="4" s="1"/>
  <c r="H308" i="4" s="1"/>
  <c r="I308" i="4" s="1"/>
  <c r="J308" i="4" s="1"/>
  <c r="K308" i="4" s="1"/>
  <c r="L308" i="4" s="1"/>
  <c r="M308" i="4" s="1"/>
  <c r="N308" i="4" s="1"/>
  <c r="O308" i="4" s="1"/>
  <c r="P308" i="4" s="1"/>
  <c r="Q308" i="4" s="1"/>
  <c r="R308" i="4" s="1"/>
  <c r="S308" i="4" s="1"/>
  <c r="T308" i="4" s="1"/>
  <c r="U308" i="4" s="1"/>
  <c r="V308" i="4" s="1"/>
  <c r="W308" i="4" s="1"/>
  <c r="X308" i="4" s="1"/>
  <c r="Y308" i="4" s="1"/>
  <c r="Z308" i="4" s="1"/>
  <c r="AA308" i="4" s="1"/>
  <c r="AB308" i="4" s="1"/>
  <c r="AC308" i="4" s="1"/>
  <c r="AD308" i="4" s="1"/>
  <c r="AE308" i="4" s="1"/>
  <c r="AF308" i="4" s="1"/>
  <c r="E306" i="4"/>
  <c r="F306" i="4" s="1"/>
  <c r="G306" i="4" s="1"/>
  <c r="H306" i="4" s="1"/>
  <c r="I306" i="4" s="1"/>
  <c r="J306" i="4" s="1"/>
  <c r="K306" i="4" s="1"/>
  <c r="L306" i="4" s="1"/>
  <c r="M306" i="4" s="1"/>
  <c r="N306" i="4" s="1"/>
  <c r="O306" i="4" s="1"/>
  <c r="P306" i="4" s="1"/>
  <c r="Q306" i="4" s="1"/>
  <c r="R306" i="4" s="1"/>
  <c r="S306" i="4" s="1"/>
  <c r="T306" i="4" s="1"/>
  <c r="U306" i="4" s="1"/>
  <c r="V306" i="4" s="1"/>
  <c r="W306" i="4" s="1"/>
  <c r="X306" i="4" s="1"/>
  <c r="Y306" i="4" s="1"/>
  <c r="Z306" i="4" s="1"/>
  <c r="AA306" i="4" s="1"/>
  <c r="AB306" i="4" s="1"/>
  <c r="AC306" i="4" s="1"/>
  <c r="AD306" i="4" s="1"/>
  <c r="AE306" i="4" s="1"/>
  <c r="AF306" i="4" s="1"/>
  <c r="AK35" i="2"/>
  <c r="AJ79" i="2"/>
  <c r="AK77" i="2" s="1"/>
  <c r="AI503" i="4"/>
  <c r="AI498" i="4"/>
  <c r="L420" i="4"/>
  <c r="L423" i="4"/>
  <c r="L418" i="4"/>
  <c r="AB420" i="4"/>
  <c r="AB423" i="4"/>
  <c r="AB418" i="4"/>
  <c r="I436" i="4"/>
  <c r="I439" i="4"/>
  <c r="I434" i="4"/>
  <c r="Y436" i="4"/>
  <c r="Y439" i="4"/>
  <c r="Y434" i="4"/>
  <c r="T455" i="4"/>
  <c r="T450" i="4"/>
  <c r="T452" i="4"/>
  <c r="M420" i="4"/>
  <c r="M423" i="4"/>
  <c r="M418" i="4"/>
  <c r="AD418" i="4"/>
  <c r="AD420" i="4"/>
  <c r="AD423" i="4"/>
  <c r="J436" i="4"/>
  <c r="J439" i="4"/>
  <c r="J434" i="4"/>
  <c r="Z436" i="4"/>
  <c r="Z439" i="4"/>
  <c r="Z434" i="4"/>
  <c r="E455" i="4"/>
  <c r="E452" i="4"/>
  <c r="E450" i="4"/>
  <c r="U452" i="4"/>
  <c r="U455" i="4"/>
  <c r="U450" i="4"/>
  <c r="N418" i="4"/>
  <c r="N420" i="4"/>
  <c r="N423" i="4"/>
  <c r="AE418" i="4"/>
  <c r="AE420" i="4"/>
  <c r="AE423" i="4"/>
  <c r="K434" i="4"/>
  <c r="K436" i="4"/>
  <c r="K439" i="4"/>
  <c r="AA434" i="4"/>
  <c r="AA436" i="4"/>
  <c r="AA439" i="4"/>
  <c r="F452" i="4"/>
  <c r="F455" i="4"/>
  <c r="F450" i="4"/>
  <c r="V452" i="4"/>
  <c r="V455" i="4"/>
  <c r="V450" i="4"/>
  <c r="AI468" i="4"/>
  <c r="AI466" i="4"/>
  <c r="V420" i="4"/>
  <c r="V423" i="4"/>
  <c r="V418" i="4"/>
  <c r="AI434" i="4"/>
  <c r="AI436" i="4"/>
  <c r="AI439" i="4"/>
  <c r="AE452" i="4"/>
  <c r="AE455" i="4"/>
  <c r="AE450" i="4"/>
  <c r="Z423" i="4"/>
  <c r="Z418" i="4"/>
  <c r="Z420" i="4"/>
  <c r="G439" i="4"/>
  <c r="G434" i="4"/>
  <c r="G436" i="4"/>
  <c r="AI455" i="4"/>
  <c r="AI450" i="4"/>
  <c r="AI452" i="4"/>
  <c r="K423" i="4"/>
  <c r="K420" i="4"/>
  <c r="K418" i="4"/>
  <c r="X434" i="4"/>
  <c r="X439" i="4"/>
  <c r="X436" i="4"/>
  <c r="O418" i="4"/>
  <c r="O420" i="4"/>
  <c r="O423" i="4"/>
  <c r="AF418" i="4"/>
  <c r="AF420" i="4"/>
  <c r="AF423" i="4"/>
  <c r="L434" i="4"/>
  <c r="L436" i="4"/>
  <c r="L439" i="4"/>
  <c r="AB434" i="4"/>
  <c r="AB436" i="4"/>
  <c r="AB439" i="4"/>
  <c r="G450" i="4"/>
  <c r="G452" i="4"/>
  <c r="G455" i="4"/>
  <c r="W450" i="4"/>
  <c r="W452" i="4"/>
  <c r="W455" i="4"/>
  <c r="P418" i="4"/>
  <c r="P420" i="4"/>
  <c r="P423" i="4"/>
  <c r="AG418" i="4"/>
  <c r="AG420" i="4"/>
  <c r="AG423" i="4"/>
  <c r="M434" i="4"/>
  <c r="M436" i="4"/>
  <c r="M439" i="4"/>
  <c r="AC434" i="4"/>
  <c r="AC436" i="4"/>
  <c r="AC439" i="4"/>
  <c r="H450" i="4"/>
  <c r="H452" i="4"/>
  <c r="H455" i="4"/>
  <c r="X450" i="4"/>
  <c r="X452" i="4"/>
  <c r="X455" i="4"/>
  <c r="W420" i="4"/>
  <c r="W423" i="4"/>
  <c r="W418" i="4"/>
  <c r="S455" i="4"/>
  <c r="S450" i="4"/>
  <c r="S452" i="4"/>
  <c r="Q418" i="4"/>
  <c r="Q420" i="4"/>
  <c r="Q423" i="4"/>
  <c r="AH418" i="4"/>
  <c r="AH420" i="4"/>
  <c r="AH423" i="4"/>
  <c r="N434" i="4"/>
  <c r="N436" i="4"/>
  <c r="N439" i="4"/>
  <c r="AD434" i="4"/>
  <c r="AD436" i="4"/>
  <c r="AD439" i="4"/>
  <c r="I450" i="4"/>
  <c r="I452" i="4"/>
  <c r="I455" i="4"/>
  <c r="Y450" i="4"/>
  <c r="Y452" i="4"/>
  <c r="Y455" i="4"/>
  <c r="T436" i="4"/>
  <c r="T439" i="4"/>
  <c r="T434" i="4"/>
  <c r="F434" i="4"/>
  <c r="F439" i="4"/>
  <c r="F436" i="4"/>
  <c r="J423" i="4"/>
  <c r="J418" i="4"/>
  <c r="J420" i="4"/>
  <c r="W439" i="4"/>
  <c r="W434" i="4"/>
  <c r="W436" i="4"/>
  <c r="H439" i="4"/>
  <c r="H434" i="4"/>
  <c r="H436" i="4"/>
  <c r="R418" i="4"/>
  <c r="R420" i="4"/>
  <c r="R423" i="4"/>
  <c r="AI418" i="4"/>
  <c r="AI420" i="4"/>
  <c r="AI423" i="4"/>
  <c r="O434" i="4"/>
  <c r="O436" i="4"/>
  <c r="O439" i="4"/>
  <c r="AE434" i="4"/>
  <c r="AE436" i="4"/>
  <c r="AE439" i="4"/>
  <c r="J450" i="4"/>
  <c r="J452" i="4"/>
  <c r="J455" i="4"/>
  <c r="Z450" i="4"/>
  <c r="Z452" i="4"/>
  <c r="Z455" i="4"/>
  <c r="F420" i="4"/>
  <c r="F418" i="4"/>
  <c r="F423" i="4"/>
  <c r="N455" i="4"/>
  <c r="N450" i="4"/>
  <c r="N452" i="4"/>
  <c r="U434" i="4"/>
  <c r="U436" i="4"/>
  <c r="U439" i="4"/>
  <c r="P452" i="4"/>
  <c r="P455" i="4"/>
  <c r="P450" i="4"/>
  <c r="V434" i="4"/>
  <c r="V436" i="4"/>
  <c r="V439" i="4"/>
  <c r="AH450" i="4"/>
  <c r="AH452" i="4"/>
  <c r="AH455" i="4"/>
  <c r="AA423" i="4"/>
  <c r="AA418" i="4"/>
  <c r="AA420" i="4"/>
  <c r="S418" i="4"/>
  <c r="S420" i="4"/>
  <c r="S423" i="4"/>
  <c r="P434" i="4"/>
  <c r="P436" i="4"/>
  <c r="P439" i="4"/>
  <c r="AF434" i="4"/>
  <c r="AF436" i="4"/>
  <c r="AF439" i="4"/>
  <c r="K450" i="4"/>
  <c r="K452" i="4"/>
  <c r="K455" i="4"/>
  <c r="AA450" i="4"/>
  <c r="AA452" i="4"/>
  <c r="AA455" i="4"/>
  <c r="S436" i="4"/>
  <c r="S439" i="4"/>
  <c r="S434" i="4"/>
  <c r="O452" i="4"/>
  <c r="O455" i="4"/>
  <c r="O450" i="4"/>
  <c r="X420" i="4"/>
  <c r="X418" i="4"/>
  <c r="X423" i="4"/>
  <c r="E434" i="4"/>
  <c r="E436" i="4"/>
  <c r="E439" i="4"/>
  <c r="AG450" i="4"/>
  <c r="AG452" i="4"/>
  <c r="AG455" i="4"/>
  <c r="I420" i="4"/>
  <c r="I418" i="4"/>
  <c r="I423" i="4"/>
  <c r="T423" i="4"/>
  <c r="T418" i="4"/>
  <c r="T420" i="4"/>
  <c r="Q439" i="4"/>
  <c r="Q434" i="4"/>
  <c r="Q436" i="4"/>
  <c r="AG439" i="4"/>
  <c r="AG434" i="4"/>
  <c r="AG436" i="4"/>
  <c r="L450" i="4"/>
  <c r="L452" i="4"/>
  <c r="L455" i="4"/>
  <c r="AB450" i="4"/>
  <c r="AB452" i="4"/>
  <c r="AB455" i="4"/>
  <c r="G423" i="4"/>
  <c r="G420" i="4"/>
  <c r="G418" i="4"/>
  <c r="AF452" i="4"/>
  <c r="AF450" i="4"/>
  <c r="AF455" i="4"/>
  <c r="H418" i="4"/>
  <c r="H420" i="4"/>
  <c r="H423" i="4"/>
  <c r="Y418" i="4"/>
  <c r="Y420" i="4"/>
  <c r="Y423" i="4"/>
  <c r="Q450" i="4"/>
  <c r="Q452" i="4"/>
  <c r="Q455" i="4"/>
  <c r="R450" i="4"/>
  <c r="R452" i="4"/>
  <c r="R455" i="4"/>
  <c r="E423" i="4"/>
  <c r="E420" i="4"/>
  <c r="E418" i="4"/>
  <c r="U423" i="4"/>
  <c r="U418" i="4"/>
  <c r="U420" i="4"/>
  <c r="R439" i="4"/>
  <c r="R434" i="4"/>
  <c r="R436" i="4"/>
  <c r="AH439" i="4"/>
  <c r="AH434" i="4"/>
  <c r="AH436" i="4"/>
  <c r="M455" i="4"/>
  <c r="M450" i="4"/>
  <c r="M452" i="4"/>
  <c r="AC455" i="4"/>
  <c r="AC450" i="4"/>
  <c r="AC452" i="4"/>
  <c r="F388" i="4"/>
  <c r="G388" i="4" s="1"/>
  <c r="H388" i="4" s="1"/>
  <c r="I388" i="4" s="1"/>
  <c r="J388" i="4" s="1"/>
  <c r="K388" i="4" s="1"/>
  <c r="L388" i="4" s="1"/>
  <c r="M388" i="4" s="1"/>
  <c r="N388" i="4" s="1"/>
  <c r="O388" i="4" s="1"/>
  <c r="P388" i="4" s="1"/>
  <c r="Q388" i="4" s="1"/>
  <c r="R388" i="4" s="1"/>
  <c r="S388" i="4" s="1"/>
  <c r="T388" i="4" s="1"/>
  <c r="U388" i="4" s="1"/>
  <c r="V388" i="4" s="1"/>
  <c r="W388" i="4" s="1"/>
  <c r="X388" i="4" s="1"/>
  <c r="Y388" i="4" s="1"/>
  <c r="Z388" i="4" s="1"/>
  <c r="AA388" i="4" s="1"/>
  <c r="AB388" i="4" s="1"/>
  <c r="AC388" i="4" s="1"/>
  <c r="AD388" i="4" s="1"/>
  <c r="AE388" i="4" s="1"/>
  <c r="AF388" i="4" s="1"/>
  <c r="AG388" i="4" s="1"/>
  <c r="AH388" i="4" s="1"/>
  <c r="AI388" i="4" s="1"/>
  <c r="M324" i="4"/>
  <c r="M322" i="4"/>
  <c r="AC324" i="4"/>
  <c r="AC322" i="4"/>
  <c r="N322" i="4"/>
  <c r="N324" i="4"/>
  <c r="AD324" i="4"/>
  <c r="AD322" i="4"/>
  <c r="O322" i="4"/>
  <c r="O324" i="4"/>
  <c r="AE322" i="4"/>
  <c r="AE324" i="4"/>
  <c r="K324" i="4"/>
  <c r="K322" i="4"/>
  <c r="L324" i="4"/>
  <c r="L322" i="4"/>
  <c r="P324" i="4"/>
  <c r="P322" i="4"/>
  <c r="AF324" i="4"/>
  <c r="AF322" i="4"/>
  <c r="I322" i="4"/>
  <c r="I324" i="4"/>
  <c r="Q324" i="4"/>
  <c r="Q322" i="4"/>
  <c r="AG324" i="4"/>
  <c r="AG322" i="4"/>
  <c r="R322" i="4"/>
  <c r="R324" i="4"/>
  <c r="AH322" i="4"/>
  <c r="AH324" i="4"/>
  <c r="H322" i="4"/>
  <c r="H324" i="4"/>
  <c r="Z324" i="4"/>
  <c r="Z322" i="4"/>
  <c r="S322" i="4"/>
  <c r="S324" i="4"/>
  <c r="AI322" i="4"/>
  <c r="AI324" i="4"/>
  <c r="W324" i="4"/>
  <c r="W322" i="4"/>
  <c r="J324" i="4"/>
  <c r="J322" i="4"/>
  <c r="AA324" i="4"/>
  <c r="AA322" i="4"/>
  <c r="T322" i="4"/>
  <c r="T324" i="4"/>
  <c r="E322" i="4"/>
  <c r="E324" i="4"/>
  <c r="U322" i="4"/>
  <c r="U324" i="4"/>
  <c r="G324" i="4"/>
  <c r="G322" i="4"/>
  <c r="X322" i="4"/>
  <c r="X324" i="4"/>
  <c r="Y322" i="4"/>
  <c r="Y324" i="4"/>
  <c r="AB322" i="4"/>
  <c r="AB324" i="4"/>
  <c r="F322" i="4"/>
  <c r="F324" i="4"/>
  <c r="V324" i="4"/>
  <c r="V322" i="4"/>
  <c r="L292" i="4"/>
  <c r="L290" i="4"/>
  <c r="L295" i="4"/>
  <c r="AD290" i="4"/>
  <c r="AD295" i="4"/>
  <c r="AD292" i="4"/>
  <c r="M292" i="4"/>
  <c r="M290" i="4"/>
  <c r="M295" i="4"/>
  <c r="AE290" i="4"/>
  <c r="AE292" i="4"/>
  <c r="AE295" i="4"/>
  <c r="AH292" i="4"/>
  <c r="AH295" i="4"/>
  <c r="AH290" i="4"/>
  <c r="R295" i="4"/>
  <c r="R290" i="4"/>
  <c r="R292" i="4"/>
  <c r="P295" i="4"/>
  <c r="P292" i="4"/>
  <c r="P290" i="4"/>
  <c r="Q290" i="4"/>
  <c r="Q292" i="4"/>
  <c r="Q295" i="4"/>
  <c r="U295" i="4"/>
  <c r="U290" i="4"/>
  <c r="U292" i="4"/>
  <c r="AI290" i="4"/>
  <c r="AI295" i="4"/>
  <c r="AI292" i="4"/>
  <c r="V292" i="4"/>
  <c r="V295" i="4"/>
  <c r="V290" i="4"/>
  <c r="AG290" i="4"/>
  <c r="AG292" i="4"/>
  <c r="AG295" i="4"/>
  <c r="X290" i="4"/>
  <c r="X292" i="4"/>
  <c r="X295" i="4"/>
  <c r="G292" i="4"/>
  <c r="G295" i="4"/>
  <c r="G290" i="4"/>
  <c r="Y290" i="4"/>
  <c r="Y292" i="4"/>
  <c r="Y295" i="4"/>
  <c r="W292" i="4"/>
  <c r="W290" i="4"/>
  <c r="W295" i="4"/>
  <c r="H290" i="4"/>
  <c r="H292" i="4"/>
  <c r="H295" i="4"/>
  <c r="Z290" i="4"/>
  <c r="Z295" i="4"/>
  <c r="Z292" i="4"/>
  <c r="I290" i="4"/>
  <c r="I292" i="4"/>
  <c r="I295" i="4"/>
  <c r="AA295" i="4"/>
  <c r="AA290" i="4"/>
  <c r="AA292" i="4"/>
  <c r="AF295" i="4"/>
  <c r="AF292" i="4"/>
  <c r="AF290" i="4"/>
  <c r="O292" i="4"/>
  <c r="O295" i="4"/>
  <c r="O290" i="4"/>
  <c r="F292" i="4"/>
  <c r="F290" i="4"/>
  <c r="F295" i="4"/>
  <c r="J295" i="4"/>
  <c r="J290" i="4"/>
  <c r="J292" i="4"/>
  <c r="AB292" i="4"/>
  <c r="AB290" i="4"/>
  <c r="AB295" i="4"/>
  <c r="N290" i="4"/>
  <c r="N295" i="4"/>
  <c r="N292" i="4"/>
  <c r="E295" i="4"/>
  <c r="E292" i="4"/>
  <c r="E290" i="4"/>
  <c r="K295" i="4"/>
  <c r="K290" i="4"/>
  <c r="K292" i="4"/>
  <c r="AC292" i="4"/>
  <c r="AC295" i="4"/>
  <c r="AC290" i="4"/>
  <c r="O178" i="4"/>
  <c r="O180" i="4"/>
  <c r="O183" i="4"/>
  <c r="Y196" i="4"/>
  <c r="Y199" i="4"/>
  <c r="Y194" i="4"/>
  <c r="P178" i="4"/>
  <c r="P180" i="4"/>
  <c r="P183" i="4"/>
  <c r="AF178" i="4"/>
  <c r="AF180" i="4"/>
  <c r="AF183" i="4"/>
  <c r="J194" i="4"/>
  <c r="J196" i="4"/>
  <c r="J199" i="4"/>
  <c r="Z196" i="4"/>
  <c r="Z199" i="4"/>
  <c r="Z194" i="4"/>
  <c r="Q178" i="4"/>
  <c r="Q180" i="4"/>
  <c r="Q183" i="4"/>
  <c r="AG178" i="4"/>
  <c r="AG180" i="4"/>
  <c r="AG183" i="4"/>
  <c r="K194" i="4"/>
  <c r="K196" i="4"/>
  <c r="K199" i="4"/>
  <c r="AA194" i="4"/>
  <c r="AA196" i="4"/>
  <c r="AA199" i="4"/>
  <c r="AE178" i="4"/>
  <c r="AE180" i="4"/>
  <c r="AE183" i="4"/>
  <c r="I196" i="4"/>
  <c r="I199" i="4"/>
  <c r="I194" i="4"/>
  <c r="R178" i="4"/>
  <c r="R180" i="4"/>
  <c r="R183" i="4"/>
  <c r="AH178" i="4"/>
  <c r="AH180" i="4"/>
  <c r="AH183" i="4"/>
  <c r="L194" i="4"/>
  <c r="L196" i="4"/>
  <c r="L199" i="4"/>
  <c r="AB194" i="4"/>
  <c r="AB196" i="4"/>
  <c r="AB199" i="4"/>
  <c r="J183" i="4"/>
  <c r="J178" i="4"/>
  <c r="J180" i="4"/>
  <c r="Z183" i="4"/>
  <c r="Z180" i="4"/>
  <c r="Z178" i="4"/>
  <c r="K178" i="4"/>
  <c r="K183" i="4"/>
  <c r="K180" i="4"/>
  <c r="E199" i="4"/>
  <c r="E196" i="4"/>
  <c r="E194" i="4"/>
  <c r="L180" i="4"/>
  <c r="L178" i="4"/>
  <c r="L183" i="4"/>
  <c r="V196" i="4"/>
  <c r="V199" i="4"/>
  <c r="V194" i="4"/>
  <c r="G199" i="4"/>
  <c r="G196" i="4"/>
  <c r="G194" i="4"/>
  <c r="T178" i="4"/>
  <c r="T180" i="4"/>
  <c r="T183" i="4"/>
  <c r="N194" i="4"/>
  <c r="N196" i="4"/>
  <c r="N199" i="4"/>
  <c r="AD194" i="4"/>
  <c r="AD196" i="4"/>
  <c r="AD199" i="4"/>
  <c r="E183" i="4"/>
  <c r="E180" i="4"/>
  <c r="E178" i="4"/>
  <c r="U180" i="4"/>
  <c r="U178" i="4"/>
  <c r="U183" i="4"/>
  <c r="O194" i="4"/>
  <c r="O196" i="4"/>
  <c r="O199" i="4"/>
  <c r="AE194" i="4"/>
  <c r="AE196" i="4"/>
  <c r="AE199" i="4"/>
  <c r="AA183" i="4"/>
  <c r="AA180" i="4"/>
  <c r="AA178" i="4"/>
  <c r="AB180" i="4"/>
  <c r="AB178" i="4"/>
  <c r="AB183" i="4"/>
  <c r="AC178" i="4"/>
  <c r="AC180" i="4"/>
  <c r="AC183" i="4"/>
  <c r="F178" i="4"/>
  <c r="F180" i="4"/>
  <c r="F183" i="4"/>
  <c r="V178" i="4"/>
  <c r="V180" i="4"/>
  <c r="V183" i="4"/>
  <c r="P199" i="4"/>
  <c r="P194" i="4"/>
  <c r="P196" i="4"/>
  <c r="AF199" i="4"/>
  <c r="AF194" i="4"/>
  <c r="AF196" i="4"/>
  <c r="T199" i="4"/>
  <c r="T194" i="4"/>
  <c r="T196" i="4"/>
  <c r="U194" i="4"/>
  <c r="U196" i="4"/>
  <c r="U199" i="4"/>
  <c r="F196" i="4"/>
  <c r="F199" i="4"/>
  <c r="F194" i="4"/>
  <c r="AI183" i="4"/>
  <c r="AI178" i="4"/>
  <c r="AI180" i="4"/>
  <c r="G178" i="4"/>
  <c r="G183" i="4"/>
  <c r="G180" i="4"/>
  <c r="W178" i="4"/>
  <c r="W180" i="4"/>
  <c r="W183" i="4"/>
  <c r="Q194" i="4"/>
  <c r="Q196" i="4"/>
  <c r="Q199" i="4"/>
  <c r="AG194" i="4"/>
  <c r="AG196" i="4"/>
  <c r="AG199" i="4"/>
  <c r="H199" i="4"/>
  <c r="H194" i="4"/>
  <c r="H196" i="4"/>
  <c r="S178" i="4"/>
  <c r="S183" i="4"/>
  <c r="S180" i="4"/>
  <c r="AC194" i="4"/>
  <c r="AC196" i="4"/>
  <c r="AC199" i="4"/>
  <c r="H183" i="4"/>
  <c r="H178" i="4"/>
  <c r="H180" i="4"/>
  <c r="X180" i="4"/>
  <c r="X183" i="4"/>
  <c r="X178" i="4"/>
  <c r="R196" i="4"/>
  <c r="R194" i="4"/>
  <c r="R199" i="4"/>
  <c r="AH196" i="4"/>
  <c r="AH194" i="4"/>
  <c r="AH199" i="4"/>
  <c r="M180" i="4"/>
  <c r="M178" i="4"/>
  <c r="M183" i="4"/>
  <c r="W199" i="4"/>
  <c r="W196" i="4"/>
  <c r="W194" i="4"/>
  <c r="N178" i="4"/>
  <c r="N180" i="4"/>
  <c r="N183" i="4"/>
  <c r="AD178" i="4"/>
  <c r="AD180" i="4"/>
  <c r="AD183" i="4"/>
  <c r="X199" i="4"/>
  <c r="X194" i="4"/>
  <c r="X196" i="4"/>
  <c r="M194" i="4"/>
  <c r="M196" i="4"/>
  <c r="M199" i="4"/>
  <c r="I180" i="4"/>
  <c r="I183" i="4"/>
  <c r="I178" i="4"/>
  <c r="Y180" i="4"/>
  <c r="Y183" i="4"/>
  <c r="Y178" i="4"/>
  <c r="S194" i="4"/>
  <c r="S196" i="4"/>
  <c r="S199" i="4"/>
  <c r="AI194" i="4"/>
  <c r="AI196" i="4"/>
  <c r="AI199" i="4"/>
  <c r="P114" i="4"/>
  <c r="P116" i="4"/>
  <c r="P119" i="4"/>
  <c r="AF114" i="4"/>
  <c r="AF116" i="4"/>
  <c r="AF119" i="4"/>
  <c r="Q114" i="4"/>
  <c r="Q116" i="4"/>
  <c r="Q119" i="4"/>
  <c r="AG114" i="4"/>
  <c r="AG116" i="4"/>
  <c r="AG119" i="4"/>
  <c r="AH114" i="4"/>
  <c r="AH116" i="4"/>
  <c r="AH119" i="4"/>
  <c r="S114" i="4"/>
  <c r="S116" i="4"/>
  <c r="S119" i="4"/>
  <c r="AI114" i="4"/>
  <c r="AI116" i="4"/>
  <c r="AI119" i="4"/>
  <c r="T114" i="4"/>
  <c r="T119" i="4"/>
  <c r="T116" i="4"/>
  <c r="E119" i="4"/>
  <c r="E116" i="4"/>
  <c r="E114" i="4"/>
  <c r="U119" i="4"/>
  <c r="U114" i="4"/>
  <c r="U116" i="4"/>
  <c r="H114" i="4"/>
  <c r="H116" i="4"/>
  <c r="H119" i="4"/>
  <c r="X114" i="4"/>
  <c r="X116" i="4"/>
  <c r="X119" i="4"/>
  <c r="I114" i="4"/>
  <c r="I119" i="4"/>
  <c r="I116" i="4"/>
  <c r="Y114" i="4"/>
  <c r="Y116" i="4"/>
  <c r="Y119" i="4"/>
  <c r="J119" i="4"/>
  <c r="J114" i="4"/>
  <c r="J116" i="4"/>
  <c r="Z114" i="4"/>
  <c r="Z116" i="4"/>
  <c r="Z119" i="4"/>
  <c r="K116" i="4"/>
  <c r="K119" i="4"/>
  <c r="K114" i="4"/>
  <c r="AA119" i="4"/>
  <c r="AA116" i="4"/>
  <c r="AA114" i="4"/>
  <c r="G116" i="4"/>
  <c r="G114" i="4"/>
  <c r="G119" i="4"/>
  <c r="L119" i="4"/>
  <c r="L116" i="4"/>
  <c r="L114" i="4"/>
  <c r="AB119" i="4"/>
  <c r="AB116" i="4"/>
  <c r="AB114" i="4"/>
  <c r="R114" i="4"/>
  <c r="R116" i="4"/>
  <c r="R119" i="4"/>
  <c r="M119" i="4"/>
  <c r="M114" i="4"/>
  <c r="M116" i="4"/>
  <c r="AC116" i="4"/>
  <c r="AC119" i="4"/>
  <c r="AC114" i="4"/>
  <c r="F116" i="4"/>
  <c r="F114" i="4"/>
  <c r="F119" i="4"/>
  <c r="N116" i="4"/>
  <c r="N119" i="4"/>
  <c r="N114" i="4"/>
  <c r="AD116" i="4"/>
  <c r="AD119" i="4"/>
  <c r="AD114" i="4"/>
  <c r="V116" i="4"/>
  <c r="V114" i="4"/>
  <c r="V119" i="4"/>
  <c r="W116" i="4"/>
  <c r="W114" i="4"/>
  <c r="W119" i="4"/>
  <c r="O116" i="4"/>
  <c r="O119" i="4"/>
  <c r="O114" i="4"/>
  <c r="AE116" i="4"/>
  <c r="AE114" i="4"/>
  <c r="AE119" i="4"/>
  <c r="H68" i="4"/>
  <c r="H66" i="4"/>
  <c r="H71" i="4"/>
  <c r="AB52" i="4"/>
  <c r="AB55" i="4"/>
  <c r="AB50" i="4"/>
  <c r="F84" i="4"/>
  <c r="F87" i="4"/>
  <c r="F82" i="4"/>
  <c r="M50" i="4"/>
  <c r="M52" i="4"/>
  <c r="M55" i="4"/>
  <c r="W82" i="4"/>
  <c r="W84" i="4"/>
  <c r="W87" i="4"/>
  <c r="AB66" i="4"/>
  <c r="AB68" i="4"/>
  <c r="AB71" i="4"/>
  <c r="P50" i="4"/>
  <c r="P52" i="4"/>
  <c r="P55" i="4"/>
  <c r="AF50" i="4"/>
  <c r="AF52" i="4"/>
  <c r="AF55" i="4"/>
  <c r="M66" i="4"/>
  <c r="M68" i="4"/>
  <c r="M71" i="4"/>
  <c r="AC66" i="4"/>
  <c r="AC68" i="4"/>
  <c r="AC71" i="4"/>
  <c r="J82" i="4"/>
  <c r="J84" i="4"/>
  <c r="J87" i="4"/>
  <c r="Z82" i="4"/>
  <c r="Z84" i="4"/>
  <c r="Z87" i="4"/>
  <c r="X68" i="4"/>
  <c r="X71" i="4"/>
  <c r="X66" i="4"/>
  <c r="Y68" i="4"/>
  <c r="Y71" i="4"/>
  <c r="Y66" i="4"/>
  <c r="AC50" i="4"/>
  <c r="AC52" i="4"/>
  <c r="AC55" i="4"/>
  <c r="AD50" i="4"/>
  <c r="AD52" i="4"/>
  <c r="AD55" i="4"/>
  <c r="X82" i="4"/>
  <c r="X84" i="4"/>
  <c r="X87" i="4"/>
  <c r="Y82" i="4"/>
  <c r="Y84" i="4"/>
  <c r="Y87" i="4"/>
  <c r="Q50" i="4"/>
  <c r="Q52" i="4"/>
  <c r="Q55" i="4"/>
  <c r="AG50" i="4"/>
  <c r="AG52" i="4"/>
  <c r="AG55" i="4"/>
  <c r="N66" i="4"/>
  <c r="N68" i="4"/>
  <c r="N71" i="4"/>
  <c r="AD66" i="4"/>
  <c r="AD68" i="4"/>
  <c r="AD71" i="4"/>
  <c r="K82" i="4"/>
  <c r="K84" i="4"/>
  <c r="K87" i="4"/>
  <c r="AA82" i="4"/>
  <c r="AA84" i="4"/>
  <c r="AA87" i="4"/>
  <c r="R55" i="4"/>
  <c r="R50" i="4"/>
  <c r="R52" i="4"/>
  <c r="AH50" i="4"/>
  <c r="AH55" i="4"/>
  <c r="AH52" i="4"/>
  <c r="O71" i="4"/>
  <c r="O66" i="4"/>
  <c r="O68" i="4"/>
  <c r="AE66" i="4"/>
  <c r="AE71" i="4"/>
  <c r="AE68" i="4"/>
  <c r="L87" i="4"/>
  <c r="L82" i="4"/>
  <c r="L84" i="4"/>
  <c r="AB87" i="4"/>
  <c r="AB82" i="4"/>
  <c r="AB84" i="4"/>
  <c r="S55" i="4"/>
  <c r="S50" i="4"/>
  <c r="S52" i="4"/>
  <c r="AI55" i="4"/>
  <c r="AI50" i="4"/>
  <c r="AI52" i="4"/>
  <c r="P71" i="4"/>
  <c r="P66" i="4"/>
  <c r="P68" i="4"/>
  <c r="AF71" i="4"/>
  <c r="AF66" i="4"/>
  <c r="AF68" i="4"/>
  <c r="M87" i="4"/>
  <c r="M82" i="4"/>
  <c r="M84" i="4"/>
  <c r="AC87" i="4"/>
  <c r="AC82" i="4"/>
  <c r="AC84" i="4"/>
  <c r="T52" i="4"/>
  <c r="T55" i="4"/>
  <c r="T50" i="4"/>
  <c r="Q68" i="4"/>
  <c r="Q71" i="4"/>
  <c r="Q66" i="4"/>
  <c r="AG68" i="4"/>
  <c r="AG71" i="4"/>
  <c r="AG66" i="4"/>
  <c r="N87" i="4"/>
  <c r="N84" i="4"/>
  <c r="N82" i="4"/>
  <c r="AD87" i="4"/>
  <c r="AD84" i="4"/>
  <c r="AD82" i="4"/>
  <c r="K66" i="4"/>
  <c r="K68" i="4"/>
  <c r="K71" i="4"/>
  <c r="O50" i="4"/>
  <c r="O52" i="4"/>
  <c r="O55" i="4"/>
  <c r="E50" i="4"/>
  <c r="E55" i="4"/>
  <c r="E52" i="4"/>
  <c r="U52" i="4"/>
  <c r="U55" i="4"/>
  <c r="U50" i="4"/>
  <c r="R68" i="4"/>
  <c r="R66" i="4"/>
  <c r="R71" i="4"/>
  <c r="AH71" i="4"/>
  <c r="AH68" i="4"/>
  <c r="AH66" i="4"/>
  <c r="O87" i="4"/>
  <c r="O84" i="4"/>
  <c r="O82" i="4"/>
  <c r="AE84" i="4"/>
  <c r="AE87" i="4"/>
  <c r="AE82" i="4"/>
  <c r="U84" i="4"/>
  <c r="U87" i="4"/>
  <c r="U82" i="4"/>
  <c r="J66" i="4"/>
  <c r="J68" i="4"/>
  <c r="J71" i="4"/>
  <c r="L66" i="4"/>
  <c r="L68" i="4"/>
  <c r="L71" i="4"/>
  <c r="F55" i="4"/>
  <c r="F50" i="4"/>
  <c r="F52" i="4"/>
  <c r="V50" i="4"/>
  <c r="V55" i="4"/>
  <c r="V52" i="4"/>
  <c r="S66" i="4"/>
  <c r="S68" i="4"/>
  <c r="S71" i="4"/>
  <c r="AI66" i="4"/>
  <c r="AI71" i="4"/>
  <c r="AI68" i="4"/>
  <c r="P82" i="4"/>
  <c r="P87" i="4"/>
  <c r="P84" i="4"/>
  <c r="AF82" i="4"/>
  <c r="AF84" i="4"/>
  <c r="AF87" i="4"/>
  <c r="G52" i="4"/>
  <c r="G50" i="4"/>
  <c r="G55" i="4"/>
  <c r="W50" i="4"/>
  <c r="W55" i="4"/>
  <c r="W52" i="4"/>
  <c r="T68" i="4"/>
  <c r="T71" i="4"/>
  <c r="T66" i="4"/>
  <c r="Q82" i="4"/>
  <c r="Q87" i="4"/>
  <c r="Q84" i="4"/>
  <c r="AG87" i="4"/>
  <c r="AG84" i="4"/>
  <c r="AG82" i="4"/>
  <c r="H55" i="4"/>
  <c r="H50" i="4"/>
  <c r="H52" i="4"/>
  <c r="X50" i="4"/>
  <c r="X55" i="4"/>
  <c r="X52" i="4"/>
  <c r="E68" i="4"/>
  <c r="E66" i="4"/>
  <c r="E71" i="4"/>
  <c r="U68" i="4"/>
  <c r="U66" i="4"/>
  <c r="U71" i="4"/>
  <c r="R84" i="4"/>
  <c r="R87" i="4"/>
  <c r="R82" i="4"/>
  <c r="AH84" i="4"/>
  <c r="AH87" i="4"/>
  <c r="AH82" i="4"/>
  <c r="K52" i="4"/>
  <c r="K55" i="4"/>
  <c r="K50" i="4"/>
  <c r="L50" i="4"/>
  <c r="L52" i="4"/>
  <c r="L55" i="4"/>
  <c r="I68" i="4"/>
  <c r="I71" i="4"/>
  <c r="I66" i="4"/>
  <c r="V84" i="4"/>
  <c r="V82" i="4"/>
  <c r="V87" i="4"/>
  <c r="Z66" i="4"/>
  <c r="Z68" i="4"/>
  <c r="Z71" i="4"/>
  <c r="AA66" i="4"/>
  <c r="AA68" i="4"/>
  <c r="AA71" i="4"/>
  <c r="I55" i="4"/>
  <c r="I50" i="4"/>
  <c r="I52" i="4"/>
  <c r="Y55" i="4"/>
  <c r="Y50" i="4"/>
  <c r="Y52" i="4"/>
  <c r="F71" i="4"/>
  <c r="F68" i="4"/>
  <c r="F66" i="4"/>
  <c r="V71" i="4"/>
  <c r="V68" i="4"/>
  <c r="V66" i="4"/>
  <c r="S87" i="4"/>
  <c r="S84" i="4"/>
  <c r="S82" i="4"/>
  <c r="AI87" i="4"/>
  <c r="AI84" i="4"/>
  <c r="AI82" i="4"/>
  <c r="AA52" i="4"/>
  <c r="AA50" i="4"/>
  <c r="AA55" i="4"/>
  <c r="E84" i="4"/>
  <c r="E87" i="4"/>
  <c r="E82" i="4"/>
  <c r="G82" i="4"/>
  <c r="G84" i="4"/>
  <c r="G87" i="4"/>
  <c r="N50" i="4"/>
  <c r="N52" i="4"/>
  <c r="N55" i="4"/>
  <c r="H82" i="4"/>
  <c r="H84" i="4"/>
  <c r="H87" i="4"/>
  <c r="AE50" i="4"/>
  <c r="AE52" i="4"/>
  <c r="AE55" i="4"/>
  <c r="I82" i="4"/>
  <c r="I84" i="4"/>
  <c r="I87" i="4"/>
  <c r="J55" i="4"/>
  <c r="J50" i="4"/>
  <c r="J52" i="4"/>
  <c r="Z55" i="4"/>
  <c r="Z52" i="4"/>
  <c r="Z50" i="4"/>
  <c r="G71" i="4"/>
  <c r="G68" i="4"/>
  <c r="G66" i="4"/>
  <c r="W68" i="4"/>
  <c r="W71" i="4"/>
  <c r="W66" i="4"/>
  <c r="T87" i="4"/>
  <c r="T82" i="4"/>
  <c r="T84" i="4"/>
  <c r="AA52" i="2"/>
  <c r="AD52" i="2"/>
  <c r="AO93" i="6"/>
  <c r="AJ520" i="4"/>
  <c r="C4" i="11" s="1"/>
  <c r="AK23" i="3"/>
  <c r="H3" i="13" s="1"/>
  <c r="K3" i="13" s="1"/>
  <c r="L3" i="13" s="1"/>
  <c r="AK23" i="2"/>
  <c r="H62" i="13" s="1"/>
  <c r="K62" i="13" s="1"/>
  <c r="L62" i="13" s="1"/>
  <c r="AJ80" i="2"/>
  <c r="AK78" i="2" s="1"/>
  <c r="AK93" i="6"/>
  <c r="H87" i="13" s="1"/>
  <c r="K87" i="13" s="1"/>
  <c r="L87" i="13" s="1"/>
  <c r="AJ178" i="6"/>
  <c r="AK177" i="6" s="1"/>
  <c r="G182" i="1"/>
  <c r="H182" i="1" s="1"/>
  <c r="I182" i="1" s="1"/>
  <c r="J182" i="1" s="1"/>
  <c r="K182" i="1" s="1"/>
  <c r="L182" i="1" s="1"/>
  <c r="F373" i="1"/>
  <c r="E481" i="3"/>
  <c r="F481" i="3" s="1"/>
  <c r="G481" i="3" s="1"/>
  <c r="H481" i="3" s="1"/>
  <c r="I481" i="3" s="1"/>
  <c r="J481" i="3" s="1"/>
  <c r="K481" i="3" s="1"/>
  <c r="L481" i="3" s="1"/>
  <c r="M481" i="3" s="1"/>
  <c r="N481" i="3" s="1"/>
  <c r="O481" i="3" s="1"/>
  <c r="P481" i="3" s="1"/>
  <c r="Q481" i="3" s="1"/>
  <c r="R481" i="3" s="1"/>
  <c r="S481" i="3" s="1"/>
  <c r="T481" i="3" s="1"/>
  <c r="U481" i="3" s="1"/>
  <c r="V481" i="3" s="1"/>
  <c r="W481" i="3" s="1"/>
  <c r="X481" i="3" s="1"/>
  <c r="Y481" i="3" s="1"/>
  <c r="Z481" i="3" s="1"/>
  <c r="AA481" i="3" s="1"/>
  <c r="AB481" i="3" s="1"/>
  <c r="AC481" i="3" s="1"/>
  <c r="AD481" i="3" s="1"/>
  <c r="AE481" i="3" s="1"/>
  <c r="AF481" i="3" s="1"/>
  <c r="AG481" i="3" s="1"/>
  <c r="AH481" i="3" s="1"/>
  <c r="AI481" i="3" s="1"/>
  <c r="AE556" i="3"/>
  <c r="AD556" i="3"/>
  <c r="AH556" i="3" s="1"/>
  <c r="AI556" i="3" s="1"/>
  <c r="E470" i="3"/>
  <c r="F470" i="3" s="1"/>
  <c r="G470" i="3" s="1"/>
  <c r="H470" i="3" s="1"/>
  <c r="I470" i="3" s="1"/>
  <c r="J470" i="3" s="1"/>
  <c r="K470" i="3" s="1"/>
  <c r="L470" i="3" s="1"/>
  <c r="M470" i="3" s="1"/>
  <c r="N470" i="3" s="1"/>
  <c r="O470" i="3" s="1"/>
  <c r="P470" i="3" s="1"/>
  <c r="Q470" i="3" s="1"/>
  <c r="R470" i="3" s="1"/>
  <c r="S470" i="3" s="1"/>
  <c r="T470" i="3" s="1"/>
  <c r="U470" i="3" s="1"/>
  <c r="V470" i="3" s="1"/>
  <c r="W470" i="3" s="1"/>
  <c r="X470" i="3" s="1"/>
  <c r="Y470" i="3" s="1"/>
  <c r="Z470" i="3" s="1"/>
  <c r="AA470" i="3" s="1"/>
  <c r="AB470" i="3" s="1"/>
  <c r="AC470" i="3" s="1"/>
  <c r="AD470" i="3" s="1"/>
  <c r="AE470" i="3" s="1"/>
  <c r="AF470" i="3" s="1"/>
  <c r="AG470" i="3" s="1"/>
  <c r="AH470" i="3" s="1"/>
  <c r="AI470" i="3" s="1"/>
  <c r="E467" i="3"/>
  <c r="F467" i="3" s="1"/>
  <c r="G467" i="3" s="1"/>
  <c r="H467" i="3" s="1"/>
  <c r="I467" i="3" s="1"/>
  <c r="J467" i="3" s="1"/>
  <c r="K467" i="3" s="1"/>
  <c r="L467" i="3" s="1"/>
  <c r="M467" i="3" s="1"/>
  <c r="N467" i="3" s="1"/>
  <c r="O467" i="3" s="1"/>
  <c r="P467" i="3" s="1"/>
  <c r="Q467" i="3" s="1"/>
  <c r="R467" i="3" s="1"/>
  <c r="S467" i="3" s="1"/>
  <c r="T467" i="3" s="1"/>
  <c r="U467" i="3" s="1"/>
  <c r="V467" i="3" s="1"/>
  <c r="W467" i="3" s="1"/>
  <c r="X467" i="3" s="1"/>
  <c r="Y467" i="3" s="1"/>
  <c r="Z467" i="3" s="1"/>
  <c r="AA467" i="3" s="1"/>
  <c r="AB467" i="3" s="1"/>
  <c r="AC467" i="3" s="1"/>
  <c r="AD467" i="3" s="1"/>
  <c r="AE467" i="3" s="1"/>
  <c r="AF467" i="3" s="1"/>
  <c r="AG467" i="3" s="1"/>
  <c r="AH467" i="3" s="1"/>
  <c r="AI467" i="3" s="1"/>
  <c r="F92" i="3"/>
  <c r="G92" i="3" s="1"/>
  <c r="H92" i="3" s="1"/>
  <c r="I92" i="3" s="1"/>
  <c r="J92" i="3" s="1"/>
  <c r="K92" i="3" s="1"/>
  <c r="L92" i="3" s="1"/>
  <c r="M92" i="3" s="1"/>
  <c r="N92" i="3" s="1"/>
  <c r="O92" i="3" s="1"/>
  <c r="P92" i="3" s="1"/>
  <c r="Q92" i="3" s="1"/>
  <c r="R92" i="3" s="1"/>
  <c r="S92" i="3" s="1"/>
  <c r="T92" i="3" s="1"/>
  <c r="U92" i="3" s="1"/>
  <c r="V92" i="3" s="1"/>
  <c r="W92" i="3" s="1"/>
  <c r="X92" i="3" s="1"/>
  <c r="Y92" i="3" s="1"/>
  <c r="Z92" i="3" s="1"/>
  <c r="AA92" i="3" s="1"/>
  <c r="AB92" i="3" s="1"/>
  <c r="AC92" i="3" s="1"/>
  <c r="AD92" i="3" s="1"/>
  <c r="AE92" i="3" s="1"/>
  <c r="AF92" i="3" s="1"/>
  <c r="AG92" i="3" s="1"/>
  <c r="AH92" i="3" s="1"/>
  <c r="AI92" i="3" s="1"/>
  <c r="AJ1191" i="1"/>
  <c r="E863" i="1"/>
  <c r="F863" i="1" s="1"/>
  <c r="G863" i="1" s="1"/>
  <c r="H863" i="1" s="1"/>
  <c r="I863" i="1" s="1"/>
  <c r="J863" i="1" s="1"/>
  <c r="K863" i="1" s="1"/>
  <c r="L863" i="1" s="1"/>
  <c r="M863" i="1" s="1"/>
  <c r="N863" i="1" s="1"/>
  <c r="O863" i="1" s="1"/>
  <c r="P863" i="1" s="1"/>
  <c r="Q863" i="1" s="1"/>
  <c r="R863" i="1" s="1"/>
  <c r="S863" i="1" s="1"/>
  <c r="T863" i="1" s="1"/>
  <c r="U863" i="1" s="1"/>
  <c r="V863" i="1" s="1"/>
  <c r="W863" i="1" s="1"/>
  <c r="X863" i="1" s="1"/>
  <c r="Y863" i="1" s="1"/>
  <c r="Z863" i="1" s="1"/>
  <c r="AA863" i="1" s="1"/>
  <c r="AB863" i="1" s="1"/>
  <c r="AC863" i="1" s="1"/>
  <c r="AD863" i="1" s="1"/>
  <c r="AE863" i="1" s="1"/>
  <c r="AF863" i="1" s="1"/>
  <c r="AG863" i="1" s="1"/>
  <c r="AH863" i="1" s="1"/>
  <c r="AI863" i="1" s="1"/>
  <c r="E861" i="1"/>
  <c r="F861" i="1" s="1"/>
  <c r="G861" i="1" s="1"/>
  <c r="H861" i="1" s="1"/>
  <c r="I861" i="1" s="1"/>
  <c r="J861" i="1" s="1"/>
  <c r="K861" i="1" s="1"/>
  <c r="L861" i="1" s="1"/>
  <c r="M861" i="1" s="1"/>
  <c r="N861" i="1" s="1"/>
  <c r="O861" i="1" s="1"/>
  <c r="P861" i="1" s="1"/>
  <c r="Q861" i="1" s="1"/>
  <c r="R861" i="1" s="1"/>
  <c r="S861" i="1" s="1"/>
  <c r="T861" i="1" s="1"/>
  <c r="U861" i="1" s="1"/>
  <c r="V861" i="1" s="1"/>
  <c r="W861" i="1" s="1"/>
  <c r="X861" i="1" s="1"/>
  <c r="Y861" i="1" s="1"/>
  <c r="Z861" i="1" s="1"/>
  <c r="AA861" i="1" s="1"/>
  <c r="AB861" i="1" s="1"/>
  <c r="AC861" i="1" s="1"/>
  <c r="AD861" i="1" s="1"/>
  <c r="AE861" i="1" s="1"/>
  <c r="AF861" i="1" s="1"/>
  <c r="AG861" i="1" s="1"/>
  <c r="AH861" i="1" s="1"/>
  <c r="AI861" i="1" s="1"/>
  <c r="E850" i="1"/>
  <c r="F850" i="1" s="1"/>
  <c r="G850" i="1" s="1"/>
  <c r="H850" i="1" s="1"/>
  <c r="I850" i="1" s="1"/>
  <c r="J850" i="1" s="1"/>
  <c r="K850" i="1" s="1"/>
  <c r="L850" i="1" s="1"/>
  <c r="M850" i="1" s="1"/>
  <c r="N850" i="1" s="1"/>
  <c r="O850" i="1" s="1"/>
  <c r="P850" i="1" s="1"/>
  <c r="Q850" i="1" s="1"/>
  <c r="R850" i="1" s="1"/>
  <c r="S850" i="1" s="1"/>
  <c r="T850" i="1" s="1"/>
  <c r="U850" i="1" s="1"/>
  <c r="V850" i="1" s="1"/>
  <c r="W850" i="1" s="1"/>
  <c r="X850" i="1" s="1"/>
  <c r="Y850" i="1" s="1"/>
  <c r="Z850" i="1" s="1"/>
  <c r="AA850" i="1" s="1"/>
  <c r="AB850" i="1" s="1"/>
  <c r="AC850" i="1" s="1"/>
  <c r="AD850" i="1" s="1"/>
  <c r="AE850" i="1" s="1"/>
  <c r="AF850" i="1" s="1"/>
  <c r="AG850" i="1" s="1"/>
  <c r="AH850" i="1" s="1"/>
  <c r="AI850" i="1" s="1"/>
  <c r="E847" i="1"/>
  <c r="F847" i="1" s="1"/>
  <c r="G847" i="1" s="1"/>
  <c r="H847" i="1" s="1"/>
  <c r="I847" i="1" s="1"/>
  <c r="J847" i="1" s="1"/>
  <c r="K847" i="1" s="1"/>
  <c r="L847" i="1" s="1"/>
  <c r="M847" i="1" s="1"/>
  <c r="N847" i="1" s="1"/>
  <c r="O847" i="1" s="1"/>
  <c r="P847" i="1" s="1"/>
  <c r="Q847" i="1" s="1"/>
  <c r="R847" i="1" s="1"/>
  <c r="S847" i="1" s="1"/>
  <c r="T847" i="1" s="1"/>
  <c r="U847" i="1" s="1"/>
  <c r="V847" i="1" s="1"/>
  <c r="W847" i="1" s="1"/>
  <c r="X847" i="1" s="1"/>
  <c r="Y847" i="1" s="1"/>
  <c r="Z847" i="1" s="1"/>
  <c r="AA847" i="1" s="1"/>
  <c r="AB847" i="1" s="1"/>
  <c r="AC847" i="1" s="1"/>
  <c r="AD847" i="1" s="1"/>
  <c r="AE847" i="1" s="1"/>
  <c r="AF847" i="1" s="1"/>
  <c r="AG847" i="1" s="1"/>
  <c r="AH847" i="1" s="1"/>
  <c r="AI847" i="1" s="1"/>
  <c r="E673" i="1"/>
  <c r="F673" i="1" s="1"/>
  <c r="G673" i="1" s="1"/>
  <c r="H673" i="1" s="1"/>
  <c r="I673" i="1" s="1"/>
  <c r="J673" i="1" s="1"/>
  <c r="K673" i="1" s="1"/>
  <c r="L673" i="1" s="1"/>
  <c r="M673" i="1" s="1"/>
  <c r="N673" i="1" s="1"/>
  <c r="O673" i="1" s="1"/>
  <c r="P673" i="1" s="1"/>
  <c r="Q673" i="1" s="1"/>
  <c r="R673" i="1" s="1"/>
  <c r="S673" i="1" s="1"/>
  <c r="T673" i="1" s="1"/>
  <c r="U673" i="1" s="1"/>
  <c r="V673" i="1" s="1"/>
  <c r="W673" i="1" s="1"/>
  <c r="X673" i="1" s="1"/>
  <c r="Y673" i="1" s="1"/>
  <c r="Z673" i="1" s="1"/>
  <c r="AA673" i="1" s="1"/>
  <c r="AB673" i="1" s="1"/>
  <c r="AC673" i="1" s="1"/>
  <c r="AD673" i="1" s="1"/>
  <c r="AE673" i="1" s="1"/>
  <c r="AF673" i="1" s="1"/>
  <c r="AG673" i="1" s="1"/>
  <c r="AH673" i="1" s="1"/>
  <c r="AI673" i="1" s="1"/>
  <c r="E671" i="1"/>
  <c r="F671" i="1" s="1"/>
  <c r="G671" i="1" s="1"/>
  <c r="H671" i="1" s="1"/>
  <c r="I671" i="1" s="1"/>
  <c r="J671" i="1" s="1"/>
  <c r="K671" i="1" s="1"/>
  <c r="L671" i="1" s="1"/>
  <c r="M671" i="1" s="1"/>
  <c r="N671" i="1" s="1"/>
  <c r="O671" i="1" s="1"/>
  <c r="P671" i="1" s="1"/>
  <c r="Q671" i="1" s="1"/>
  <c r="R671" i="1" s="1"/>
  <c r="S671" i="1" s="1"/>
  <c r="T671" i="1" s="1"/>
  <c r="U671" i="1" s="1"/>
  <c r="V671" i="1" s="1"/>
  <c r="W671" i="1" s="1"/>
  <c r="X671" i="1" s="1"/>
  <c r="Y671" i="1" s="1"/>
  <c r="Z671" i="1" s="1"/>
  <c r="AA671" i="1" s="1"/>
  <c r="AB671" i="1" s="1"/>
  <c r="AC671" i="1" s="1"/>
  <c r="AD671" i="1" s="1"/>
  <c r="AE671" i="1" s="1"/>
  <c r="AF671" i="1" s="1"/>
  <c r="AG671" i="1" s="1"/>
  <c r="AH671" i="1" s="1"/>
  <c r="AI671" i="1" s="1"/>
  <c r="E646" i="1"/>
  <c r="F646" i="1" s="1"/>
  <c r="G646" i="1" s="1"/>
  <c r="H646" i="1" s="1"/>
  <c r="I646" i="1" s="1"/>
  <c r="J646" i="1" s="1"/>
  <c r="K646" i="1" s="1"/>
  <c r="L646" i="1" s="1"/>
  <c r="M646" i="1" s="1"/>
  <c r="N646" i="1" s="1"/>
  <c r="O646" i="1" s="1"/>
  <c r="P646" i="1" s="1"/>
  <c r="Q646" i="1" s="1"/>
  <c r="R646" i="1" s="1"/>
  <c r="S646" i="1" s="1"/>
  <c r="T646" i="1" s="1"/>
  <c r="U646" i="1" s="1"/>
  <c r="V646" i="1" s="1"/>
  <c r="W646" i="1" s="1"/>
  <c r="X646" i="1" s="1"/>
  <c r="Y646" i="1" s="1"/>
  <c r="Z646" i="1" s="1"/>
  <c r="AA646" i="1" s="1"/>
  <c r="AB646" i="1" s="1"/>
  <c r="AC646" i="1" s="1"/>
  <c r="AD646" i="1" s="1"/>
  <c r="AE646" i="1" s="1"/>
  <c r="AF646" i="1" s="1"/>
  <c r="AG646" i="1" s="1"/>
  <c r="AH646" i="1" s="1"/>
  <c r="AI646" i="1" s="1"/>
  <c r="E643" i="1"/>
  <c r="F643" i="1" s="1"/>
  <c r="G643" i="1" s="1"/>
  <c r="H643" i="1" s="1"/>
  <c r="I643" i="1" s="1"/>
  <c r="J643" i="1" s="1"/>
  <c r="K643" i="1" s="1"/>
  <c r="L643" i="1" s="1"/>
  <c r="M643" i="1" s="1"/>
  <c r="N643" i="1" s="1"/>
  <c r="O643" i="1" s="1"/>
  <c r="P643" i="1" s="1"/>
  <c r="Q643" i="1" s="1"/>
  <c r="R643" i="1" s="1"/>
  <c r="S643" i="1" s="1"/>
  <c r="T643" i="1" s="1"/>
  <c r="U643" i="1" s="1"/>
  <c r="V643" i="1" s="1"/>
  <c r="W643" i="1" s="1"/>
  <c r="X643" i="1" s="1"/>
  <c r="Y643" i="1" s="1"/>
  <c r="Z643" i="1" s="1"/>
  <c r="AA643" i="1" s="1"/>
  <c r="AB643" i="1" s="1"/>
  <c r="AC643" i="1" s="1"/>
  <c r="AD643" i="1" s="1"/>
  <c r="AE643" i="1" s="1"/>
  <c r="AF643" i="1" s="1"/>
  <c r="AG643" i="1" s="1"/>
  <c r="AH643" i="1" s="1"/>
  <c r="AI643" i="1" s="1"/>
  <c r="E416" i="1"/>
  <c r="F416" i="1" s="1"/>
  <c r="G416" i="1" s="1"/>
  <c r="H416" i="1" s="1"/>
  <c r="I416" i="1" s="1"/>
  <c r="J416" i="1" s="1"/>
  <c r="K416" i="1" s="1"/>
  <c r="L416" i="1" s="1"/>
  <c r="M416" i="1" s="1"/>
  <c r="N416" i="1" s="1"/>
  <c r="O416" i="1" s="1"/>
  <c r="P416" i="1" s="1"/>
  <c r="Q416" i="1" s="1"/>
  <c r="R416" i="1" s="1"/>
  <c r="S416" i="1" s="1"/>
  <c r="T416" i="1" s="1"/>
  <c r="U416" i="1" s="1"/>
  <c r="V416" i="1" s="1"/>
  <c r="W416" i="1" s="1"/>
  <c r="X416" i="1" s="1"/>
  <c r="Y416" i="1" s="1"/>
  <c r="Z416" i="1" s="1"/>
  <c r="E413" i="1"/>
  <c r="F413" i="1" s="1"/>
  <c r="G413" i="1" s="1"/>
  <c r="H413" i="1" s="1"/>
  <c r="I413" i="1" s="1"/>
  <c r="J413" i="1" s="1"/>
  <c r="K413" i="1" s="1"/>
  <c r="L413" i="1" s="1"/>
  <c r="M413" i="1" s="1"/>
  <c r="N413" i="1" s="1"/>
  <c r="O413" i="1" s="1"/>
  <c r="P413" i="1" s="1"/>
  <c r="Q413" i="1" s="1"/>
  <c r="R413" i="1" s="1"/>
  <c r="S413" i="1" s="1"/>
  <c r="T413" i="1" s="1"/>
  <c r="U413" i="1" s="1"/>
  <c r="V413" i="1" s="1"/>
  <c r="W413" i="1" s="1"/>
  <c r="X413" i="1" s="1"/>
  <c r="Y413" i="1" s="1"/>
  <c r="Z413" i="1" s="1"/>
  <c r="E402" i="1"/>
  <c r="F402" i="1" s="1"/>
  <c r="G402" i="1" s="1"/>
  <c r="H402" i="1" s="1"/>
  <c r="I402" i="1" s="1"/>
  <c r="J402" i="1" s="1"/>
  <c r="K402" i="1" s="1"/>
  <c r="L402" i="1" s="1"/>
  <c r="M402" i="1" s="1"/>
  <c r="N402" i="1" s="1"/>
  <c r="O402" i="1" s="1"/>
  <c r="P402" i="1" s="1"/>
  <c r="Q402" i="1" s="1"/>
  <c r="R402" i="1" s="1"/>
  <c r="S402" i="1" s="1"/>
  <c r="T402" i="1" s="1"/>
  <c r="U402" i="1" s="1"/>
  <c r="V402" i="1" s="1"/>
  <c r="W402" i="1" s="1"/>
  <c r="X402" i="1" s="1"/>
  <c r="Y402" i="1" s="1"/>
  <c r="Z402" i="1" s="1"/>
  <c r="E399" i="1"/>
  <c r="F399" i="1" s="1"/>
  <c r="G399" i="1" s="1"/>
  <c r="H399" i="1" s="1"/>
  <c r="I399" i="1" s="1"/>
  <c r="J399" i="1" s="1"/>
  <c r="K399" i="1" s="1"/>
  <c r="L399" i="1" s="1"/>
  <c r="M399" i="1" s="1"/>
  <c r="N399" i="1" s="1"/>
  <c r="O399" i="1" s="1"/>
  <c r="P399" i="1" s="1"/>
  <c r="Q399" i="1" s="1"/>
  <c r="R399" i="1" s="1"/>
  <c r="S399" i="1" s="1"/>
  <c r="T399" i="1" s="1"/>
  <c r="U399" i="1" s="1"/>
  <c r="V399" i="1" s="1"/>
  <c r="W399" i="1" s="1"/>
  <c r="X399" i="1" s="1"/>
  <c r="Y399" i="1" s="1"/>
  <c r="Z399" i="1" s="1"/>
  <c r="O685" i="1"/>
  <c r="P685" i="1"/>
  <c r="Q685" i="1"/>
  <c r="R685" i="1" s="1"/>
  <c r="S685" i="1" s="1"/>
  <c r="T685" i="1" s="1"/>
  <c r="U685" i="1" s="1"/>
  <c r="V685" i="1" s="1"/>
  <c r="W685" i="1" s="1"/>
  <c r="X685" i="1" s="1"/>
  <c r="Y685" i="1" s="1"/>
  <c r="Z685" i="1" s="1"/>
  <c r="F134" i="6"/>
  <c r="G134" i="6" s="1"/>
  <c r="H134" i="6" s="1"/>
  <c r="I134" i="6" s="1"/>
  <c r="J134" i="6" s="1"/>
  <c r="K134" i="6" s="1"/>
  <c r="L134" i="6" s="1"/>
  <c r="M134" i="6" s="1"/>
  <c r="N134" i="6" s="1"/>
  <c r="O134" i="6" s="1"/>
  <c r="P134" i="6" s="1"/>
  <c r="Q134" i="6" s="1"/>
  <c r="R134" i="6" s="1"/>
  <c r="S134" i="6" s="1"/>
  <c r="T134" i="6" s="1"/>
  <c r="U134" i="6" s="1"/>
  <c r="V134" i="6" s="1"/>
  <c r="W134" i="6" s="1"/>
  <c r="X134" i="6" s="1"/>
  <c r="Y134" i="6" s="1"/>
  <c r="Z134" i="6" s="1"/>
  <c r="AA134" i="6" s="1"/>
  <c r="AB134" i="6" s="1"/>
  <c r="AC134" i="6" s="1"/>
  <c r="AD134" i="6" s="1"/>
  <c r="AE134" i="6" s="1"/>
  <c r="AF134" i="6" s="1"/>
  <c r="AG134" i="6" s="1"/>
  <c r="AH134" i="6" s="1"/>
  <c r="AI134" i="6" s="1"/>
  <c r="AK24" i="4"/>
  <c r="H31" i="13" s="1"/>
  <c r="K31" i="13" s="1"/>
  <c r="L31" i="13" s="1"/>
  <c r="W658" i="1"/>
  <c r="X658" i="1" s="1"/>
  <c r="Y658" i="1" s="1"/>
  <c r="Z658" i="1" s="1"/>
  <c r="W414" i="1"/>
  <c r="X414" i="1" s="1"/>
  <c r="Y414" i="1" s="1"/>
  <c r="W400" i="1"/>
  <c r="X400" i="1"/>
  <c r="Y400" i="1" s="1"/>
  <c r="AK9" i="3"/>
  <c r="H2" i="13" s="1"/>
  <c r="K2" i="13" s="1"/>
  <c r="L2" i="13" s="1"/>
  <c r="AK9" i="6"/>
  <c r="G414" i="1"/>
  <c r="H414" i="1" s="1"/>
  <c r="I414" i="1" s="1"/>
  <c r="J414" i="1" s="1"/>
  <c r="K414" i="1" s="1"/>
  <c r="L414" i="1" s="1"/>
  <c r="M414" i="1" s="1"/>
  <c r="N414" i="1" s="1"/>
  <c r="O414" i="1" s="1"/>
  <c r="P414" i="1" s="1"/>
  <c r="Q414" i="1" s="1"/>
  <c r="R414" i="1" s="1"/>
  <c r="G400" i="1"/>
  <c r="H400" i="1" s="1"/>
  <c r="I400" i="1" s="1"/>
  <c r="J400" i="1" s="1"/>
  <c r="K400" i="1" s="1"/>
  <c r="L400" i="1" s="1"/>
  <c r="M400" i="1" s="1"/>
  <c r="N400" i="1" s="1"/>
  <c r="O400" i="1" s="1"/>
  <c r="P400" i="1" s="1"/>
  <c r="Q400" i="1" s="1"/>
  <c r="R400" i="1" s="1"/>
  <c r="G685" i="1"/>
  <c r="H685" i="1" s="1"/>
  <c r="I685" i="1" s="1"/>
  <c r="J685" i="1" s="1"/>
  <c r="K685" i="1" s="1"/>
  <c r="L685" i="1" s="1"/>
  <c r="M685" i="1" s="1"/>
  <c r="AK13" i="2"/>
  <c r="AK9" i="2"/>
  <c r="H61" i="13" s="1"/>
  <c r="K61" i="13" s="1"/>
  <c r="L61" i="13" s="1"/>
  <c r="AK12" i="2"/>
  <c r="AJ82" i="2"/>
  <c r="AK80" i="2" s="1"/>
  <c r="AK11" i="2"/>
  <c r="AJ81" i="2"/>
  <c r="AF21" i="4"/>
  <c r="S69" i="4"/>
  <c r="AA69" i="4"/>
  <c r="P85" i="4"/>
  <c r="X85" i="4"/>
  <c r="AG101" i="4"/>
  <c r="AG165" i="4"/>
  <c r="O197" i="4"/>
  <c r="W197" i="4"/>
  <c r="AH213" i="4"/>
  <c r="AG277" i="4"/>
  <c r="AE325" i="4"/>
  <c r="E437" i="4"/>
  <c r="AG453" i="4"/>
  <c r="AB501" i="4"/>
  <c r="H514" i="4"/>
  <c r="H519" i="4"/>
  <c r="H516" i="4"/>
  <c r="P514" i="4"/>
  <c r="P516" i="4"/>
  <c r="P519" i="4"/>
  <c r="X514" i="4"/>
  <c r="X519" i="4"/>
  <c r="X516" i="4"/>
  <c r="AF514" i="4"/>
  <c r="AF519" i="4"/>
  <c r="AF516" i="4"/>
  <c r="AH453" i="4"/>
  <c r="AC501" i="4"/>
  <c r="I514" i="4"/>
  <c r="I516" i="4"/>
  <c r="I519" i="4"/>
  <c r="Q514" i="4"/>
  <c r="Q516" i="4"/>
  <c r="Q519" i="4"/>
  <c r="Y514" i="4"/>
  <c r="Y516" i="4"/>
  <c r="Y519" i="4"/>
  <c r="AG514" i="4"/>
  <c r="AG516" i="4"/>
  <c r="AG519" i="4"/>
  <c r="X197" i="4"/>
  <c r="AH277" i="4"/>
  <c r="E293" i="4"/>
  <c r="AF325" i="4"/>
  <c r="AH373" i="4"/>
  <c r="AH21" i="4"/>
  <c r="U69" i="4"/>
  <c r="AC69" i="4"/>
  <c r="J85" i="4"/>
  <c r="R85" i="4"/>
  <c r="AF149" i="4"/>
  <c r="Q197" i="4"/>
  <c r="Y197" i="4"/>
  <c r="AG245" i="4"/>
  <c r="AG325" i="4"/>
  <c r="AD501" i="4"/>
  <c r="J514" i="4"/>
  <c r="J516" i="4"/>
  <c r="J519" i="4"/>
  <c r="R514" i="4"/>
  <c r="R516" i="4"/>
  <c r="R519" i="4"/>
  <c r="Z514" i="4"/>
  <c r="Z516" i="4"/>
  <c r="Z519" i="4"/>
  <c r="AH514" i="4"/>
  <c r="AH516" i="4"/>
  <c r="AH519" i="4"/>
  <c r="AG21" i="4"/>
  <c r="Q85" i="4"/>
  <c r="AF245" i="4"/>
  <c r="AD69" i="4"/>
  <c r="K85" i="4"/>
  <c r="S85" i="4"/>
  <c r="AG149" i="4"/>
  <c r="R197" i="4"/>
  <c r="AH245" i="4"/>
  <c r="AH325" i="4"/>
  <c r="AE501" i="4"/>
  <c r="K514" i="4"/>
  <c r="K516" i="4"/>
  <c r="K519" i="4"/>
  <c r="S514" i="4"/>
  <c r="S516" i="4"/>
  <c r="S519" i="4"/>
  <c r="AA514" i="4"/>
  <c r="AA516" i="4"/>
  <c r="AA519" i="4"/>
  <c r="AI514" i="4"/>
  <c r="AI516" i="4"/>
  <c r="AI519" i="4"/>
  <c r="AB453" i="4"/>
  <c r="AF501" i="4"/>
  <c r="L516" i="4"/>
  <c r="L519" i="4"/>
  <c r="L514" i="4"/>
  <c r="T516" i="4"/>
  <c r="T519" i="4"/>
  <c r="T514" i="4"/>
  <c r="AB516" i="4"/>
  <c r="AB519" i="4"/>
  <c r="AB514" i="4"/>
  <c r="T69" i="4"/>
  <c r="Y85" i="4"/>
  <c r="AH101" i="4"/>
  <c r="AI101" i="4" s="1"/>
  <c r="W69" i="4"/>
  <c r="AF37" i="4"/>
  <c r="X69" i="4"/>
  <c r="AF69" i="4"/>
  <c r="M85" i="4"/>
  <c r="U85" i="4"/>
  <c r="AH181" i="4"/>
  <c r="T197" i="4"/>
  <c r="AG261" i="4"/>
  <c r="AB325" i="4"/>
  <c r="AC453" i="4"/>
  <c r="AD453" i="4" s="1"/>
  <c r="AG501" i="4"/>
  <c r="E514" i="4"/>
  <c r="E519" i="4"/>
  <c r="E516" i="4"/>
  <c r="M514" i="4"/>
  <c r="M519" i="4"/>
  <c r="M516" i="4"/>
  <c r="U514" i="4"/>
  <c r="U519" i="4"/>
  <c r="U516" i="4"/>
  <c r="AC514" i="4"/>
  <c r="AC519" i="4"/>
  <c r="AC516" i="4"/>
  <c r="AB69" i="4"/>
  <c r="P197" i="4"/>
  <c r="G69" i="4"/>
  <c r="AE69" i="4"/>
  <c r="L85" i="4"/>
  <c r="AH149" i="4"/>
  <c r="AG37" i="4"/>
  <c r="Y69" i="4"/>
  <c r="AG69" i="4"/>
  <c r="N85" i="4"/>
  <c r="V85" i="4"/>
  <c r="E197" i="4"/>
  <c r="M197" i="4"/>
  <c r="U197" i="4"/>
  <c r="AF213" i="4"/>
  <c r="AH261" i="4"/>
  <c r="AC325" i="4"/>
  <c r="AH501" i="4"/>
  <c r="F516" i="4"/>
  <c r="F514" i="4"/>
  <c r="F519" i="4"/>
  <c r="N516" i="4"/>
  <c r="N514" i="4"/>
  <c r="N519" i="4"/>
  <c r="V516" i="4"/>
  <c r="V514" i="4"/>
  <c r="V519" i="4"/>
  <c r="AD516" i="4"/>
  <c r="AD514" i="4"/>
  <c r="AD519" i="4"/>
  <c r="T85" i="4"/>
  <c r="S197" i="4"/>
  <c r="AE21" i="4"/>
  <c r="AH37" i="4"/>
  <c r="R69" i="4"/>
  <c r="Z69" i="4"/>
  <c r="AH69" i="4"/>
  <c r="O85" i="4"/>
  <c r="W85" i="4"/>
  <c r="AF101" i="4"/>
  <c r="AF165" i="4"/>
  <c r="N197" i="4"/>
  <c r="V197" i="4"/>
  <c r="AG213" i="4"/>
  <c r="AF277" i="4"/>
  <c r="AD325" i="4"/>
  <c r="AF373" i="4"/>
  <c r="AG373" i="4" s="1"/>
  <c r="G519" i="4"/>
  <c r="G514" i="4"/>
  <c r="G516" i="4"/>
  <c r="O519" i="4"/>
  <c r="O516" i="4"/>
  <c r="O514" i="4"/>
  <c r="W519" i="4"/>
  <c r="W514" i="4"/>
  <c r="W516" i="4"/>
  <c r="AE519" i="4"/>
  <c r="AE516" i="4"/>
  <c r="AE514" i="4"/>
  <c r="AK21" i="2"/>
  <c r="F33" i="5"/>
  <c r="G33" i="5" s="1"/>
  <c r="H33" i="5" s="1"/>
  <c r="I33" i="5" s="1"/>
  <c r="J33" i="5" s="1"/>
  <c r="K33" i="5" s="1"/>
  <c r="L33" i="5" s="1"/>
  <c r="M33" i="5" s="1"/>
  <c r="N33" i="5" s="1"/>
  <c r="O33" i="5" s="1"/>
  <c r="P33" i="5" s="1"/>
  <c r="Q33" i="5" s="1"/>
  <c r="R33" i="5" s="1"/>
  <c r="S33" i="5" s="1"/>
  <c r="T33" i="5" s="1"/>
  <c r="U33" i="5" s="1"/>
  <c r="V33" i="5" s="1"/>
  <c r="W33" i="5" s="1"/>
  <c r="X33" i="5" s="1"/>
  <c r="Y33" i="5" s="1"/>
  <c r="Z33" i="5" s="1"/>
  <c r="AA33" i="5" s="1"/>
  <c r="AB33" i="5" s="1"/>
  <c r="AC33" i="5" s="1"/>
  <c r="AD33" i="5" s="1"/>
  <c r="AE33" i="5" s="1"/>
  <c r="AF33" i="5" s="1"/>
  <c r="AG33" i="5" s="1"/>
  <c r="AH33" i="5" s="1"/>
  <c r="F133" i="4"/>
  <c r="G133" i="4" s="1"/>
  <c r="H133" i="4" s="1"/>
  <c r="I133" i="4" s="1"/>
  <c r="J133" i="4" s="1"/>
  <c r="K133" i="4" s="1"/>
  <c r="L133" i="4" s="1"/>
  <c r="M133" i="4" s="1"/>
  <c r="N133" i="4" s="1"/>
  <c r="O133" i="4" s="1"/>
  <c r="P133" i="4" s="1"/>
  <c r="Q133" i="4" s="1"/>
  <c r="R133" i="4" s="1"/>
  <c r="S133" i="4" s="1"/>
  <c r="T133" i="4" s="1"/>
  <c r="U133" i="4" s="1"/>
  <c r="V133" i="4" s="1"/>
  <c r="W133" i="4" s="1"/>
  <c r="X133" i="4" s="1"/>
  <c r="Y133" i="4" s="1"/>
  <c r="Z133" i="4" s="1"/>
  <c r="AA133" i="4" s="1"/>
  <c r="AB133" i="4" s="1"/>
  <c r="AC133" i="4" s="1"/>
  <c r="AD133" i="4" s="1"/>
  <c r="AE133" i="4" s="1"/>
  <c r="F373" i="4"/>
  <c r="G373" i="4" s="1"/>
  <c r="H373" i="4" s="1"/>
  <c r="I373" i="4" s="1"/>
  <c r="J373" i="4" s="1"/>
  <c r="K373" i="4" s="1"/>
  <c r="L373" i="4" s="1"/>
  <c r="M373" i="4" s="1"/>
  <c r="N373" i="4" s="1"/>
  <c r="O373" i="4" s="1"/>
  <c r="P373" i="4" s="1"/>
  <c r="Q373" i="4" s="1"/>
  <c r="R373" i="4" s="1"/>
  <c r="S373" i="4" s="1"/>
  <c r="T373" i="4" s="1"/>
  <c r="U373" i="4" s="1"/>
  <c r="V373" i="4" s="1"/>
  <c r="W373" i="4" s="1"/>
  <c r="X373" i="4" s="1"/>
  <c r="Y373" i="4" s="1"/>
  <c r="Z373" i="4" s="1"/>
  <c r="AA373" i="4" s="1"/>
  <c r="AB373" i="4" s="1"/>
  <c r="AC373" i="4" s="1"/>
  <c r="AD373" i="4" s="1"/>
  <c r="AE373" i="4" s="1"/>
  <c r="F34" i="3"/>
  <c r="G34" i="3" s="1"/>
  <c r="H34" i="3" s="1"/>
  <c r="I34" i="3" s="1"/>
  <c r="J34" i="3" s="1"/>
  <c r="K34" i="3" s="1"/>
  <c r="L34" i="3" s="1"/>
  <c r="M34" i="3" s="1"/>
  <c r="N34" i="3" s="1"/>
  <c r="O34" i="3" s="1"/>
  <c r="P34" i="3" s="1"/>
  <c r="Q34" i="3" s="1"/>
  <c r="R34" i="3" s="1"/>
  <c r="S34" i="3" s="1"/>
  <c r="T34" i="3" s="1"/>
  <c r="U34" i="3" s="1"/>
  <c r="V34" i="3" s="1"/>
  <c r="W34" i="3" s="1"/>
  <c r="X34" i="3" s="1"/>
  <c r="Y34" i="3" s="1"/>
  <c r="Z34" i="3" s="1"/>
  <c r="AA34" i="3" s="1"/>
  <c r="AB34" i="3" s="1"/>
  <c r="AC34" i="3" s="1"/>
  <c r="AD34" i="3" s="1"/>
  <c r="AE34" i="3" s="1"/>
  <c r="F552" i="3"/>
  <c r="G552" i="3" s="1"/>
  <c r="H552" i="3" s="1"/>
  <c r="I552" i="3" s="1"/>
  <c r="J552" i="3" s="1"/>
  <c r="K552" i="3" s="1"/>
  <c r="L552" i="3" s="1"/>
  <c r="M552" i="3" s="1"/>
  <c r="N552" i="3" s="1"/>
  <c r="O552" i="3" s="1"/>
  <c r="P552" i="3" s="1"/>
  <c r="Q552" i="3" s="1"/>
  <c r="R552" i="3" s="1"/>
  <c r="S552" i="3" s="1"/>
  <c r="T552" i="3" s="1"/>
  <c r="U552" i="3" s="1"/>
  <c r="V552" i="3" s="1"/>
  <c r="W552" i="3" s="1"/>
  <c r="X552" i="3" s="1"/>
  <c r="Y552" i="3" s="1"/>
  <c r="Z552" i="3" s="1"/>
  <c r="AA552" i="3" s="1"/>
  <c r="AB552" i="3" s="1"/>
  <c r="AC552" i="3" s="1"/>
  <c r="AD552" i="3" s="1"/>
  <c r="AE552" i="3" s="1"/>
  <c r="E22" i="2"/>
  <c r="F22" i="2" s="1"/>
  <c r="G22" i="2" s="1"/>
  <c r="H22" i="2" s="1"/>
  <c r="I22" i="2" s="1"/>
  <c r="J22" i="2" s="1"/>
  <c r="K22" i="2" s="1"/>
  <c r="L22" i="2" s="1"/>
  <c r="M22" i="2" s="1"/>
  <c r="N22" i="2" s="1"/>
  <c r="F19" i="2"/>
  <c r="G19" i="2" s="1"/>
  <c r="H19" i="2" s="1"/>
  <c r="I19" i="2" s="1"/>
  <c r="J19" i="2" s="1"/>
  <c r="K19" i="2" s="1"/>
  <c r="L19" i="2" s="1"/>
  <c r="M19" i="2" s="1"/>
  <c r="N19" i="2" s="1"/>
  <c r="AJ641" i="1"/>
  <c r="G373" i="1"/>
  <c r="H373" i="1" s="1"/>
  <c r="I373" i="1" s="1"/>
  <c r="J373" i="1" s="1"/>
  <c r="K373" i="1" s="1"/>
  <c r="L373" i="1" s="1"/>
  <c r="M373" i="1" s="1"/>
  <c r="N373" i="1" s="1"/>
  <c r="O373" i="1" s="1"/>
  <c r="P373" i="1" s="1"/>
  <c r="Q373" i="1" s="1"/>
  <c r="R373" i="1" s="1"/>
  <c r="S373" i="1" s="1"/>
  <c r="T373" i="1" s="1"/>
  <c r="U373" i="1" s="1"/>
  <c r="V373" i="1" s="1"/>
  <c r="F1092" i="1"/>
  <c r="G1092" i="1" s="1"/>
  <c r="H1092" i="1" s="1"/>
  <c r="I1092" i="1" s="1"/>
  <c r="J1092" i="1" s="1"/>
  <c r="K1092" i="1" s="1"/>
  <c r="L1092" i="1" s="1"/>
  <c r="M1092" i="1" s="1"/>
  <c r="N1092" i="1" s="1"/>
  <c r="O1092" i="1" s="1"/>
  <c r="P1092" i="1" s="1"/>
  <c r="Q1092" i="1" s="1"/>
  <c r="R1092" i="1" s="1"/>
  <c r="S1092" i="1" s="1"/>
  <c r="T1092" i="1" s="1"/>
  <c r="U1092" i="1" s="1"/>
  <c r="V1092" i="1" s="1"/>
  <c r="E1094" i="1"/>
  <c r="F1094" i="1" s="1"/>
  <c r="G1094" i="1" s="1"/>
  <c r="H1094" i="1" s="1"/>
  <c r="I1094" i="1" s="1"/>
  <c r="J1094" i="1" s="1"/>
  <c r="K1094" i="1" s="1"/>
  <c r="L1094" i="1" s="1"/>
  <c r="M1094" i="1" s="1"/>
  <c r="N1094" i="1" s="1"/>
  <c r="O1094" i="1" s="1"/>
  <c r="P1094" i="1" s="1"/>
  <c r="Q1094" i="1" s="1"/>
  <c r="R1094" i="1" s="1"/>
  <c r="S1094" i="1" s="1"/>
  <c r="T1094" i="1" s="1"/>
  <c r="U1094" i="1" s="1"/>
  <c r="V1094" i="1" s="1"/>
  <c r="W1094" i="1" s="1"/>
  <c r="X1094" i="1" s="1"/>
  <c r="Y1094" i="1" s="1"/>
  <c r="Z1094" i="1" s="1"/>
  <c r="AA1094" i="1" s="1"/>
  <c r="AB1094" i="1" s="1"/>
  <c r="AC1094" i="1" s="1"/>
  <c r="AD1094" i="1" s="1"/>
  <c r="AE1094" i="1" s="1"/>
  <c r="AF1094" i="1" s="1"/>
  <c r="AG1094" i="1" s="1"/>
  <c r="AH1094" i="1" s="1"/>
  <c r="AI1094" i="1" s="1"/>
  <c r="E1080" i="1"/>
  <c r="F1080" i="1" s="1"/>
  <c r="G1080" i="1" s="1"/>
  <c r="H1080" i="1" s="1"/>
  <c r="I1080" i="1" s="1"/>
  <c r="J1080" i="1" s="1"/>
  <c r="K1080" i="1" s="1"/>
  <c r="L1080" i="1" s="1"/>
  <c r="M1080" i="1" s="1"/>
  <c r="N1080" i="1" s="1"/>
  <c r="O1080" i="1" s="1"/>
  <c r="P1080" i="1" s="1"/>
  <c r="Q1080" i="1" s="1"/>
  <c r="R1080" i="1" s="1"/>
  <c r="S1080" i="1" s="1"/>
  <c r="T1080" i="1" s="1"/>
  <c r="U1080" i="1" s="1"/>
  <c r="V1080" i="1" s="1"/>
  <c r="W1080" i="1" s="1"/>
  <c r="X1080" i="1" s="1"/>
  <c r="Y1080" i="1" s="1"/>
  <c r="Z1080" i="1" s="1"/>
  <c r="AA1080" i="1" s="1"/>
  <c r="AB1080" i="1" s="1"/>
  <c r="AC1080" i="1" s="1"/>
  <c r="AD1080" i="1" s="1"/>
  <c r="AE1080" i="1" s="1"/>
  <c r="AF1080" i="1" s="1"/>
  <c r="AG1080" i="1" s="1"/>
  <c r="AH1080" i="1" s="1"/>
  <c r="AI1080" i="1" s="1"/>
  <c r="E211" i="1"/>
  <c r="E224" i="1" s="1"/>
  <c r="E208" i="1"/>
  <c r="F208" i="1" s="1"/>
  <c r="G208" i="1" s="1"/>
  <c r="H208" i="1" s="1"/>
  <c r="I208" i="1" s="1"/>
  <c r="J208" i="1" s="1"/>
  <c r="K208" i="1" s="1"/>
  <c r="L208" i="1" s="1"/>
  <c r="M208" i="1" s="1"/>
  <c r="N208" i="1" s="1"/>
  <c r="O208" i="1" s="1"/>
  <c r="P208" i="1" s="1"/>
  <c r="Q208" i="1" s="1"/>
  <c r="R208" i="1" s="1"/>
  <c r="S208" i="1" s="1"/>
  <c r="T208" i="1" s="1"/>
  <c r="U208" i="1" s="1"/>
  <c r="V208" i="1" s="1"/>
  <c r="W208" i="1" s="1"/>
  <c r="X208" i="1" s="1"/>
  <c r="Y208" i="1" s="1"/>
  <c r="Z208" i="1" s="1"/>
  <c r="AA208" i="1" s="1"/>
  <c r="AB208" i="1" s="1"/>
  <c r="AC208" i="1" s="1"/>
  <c r="AD208" i="1" s="1"/>
  <c r="AE208" i="1" s="1"/>
  <c r="AF208" i="1" s="1"/>
  <c r="AG208" i="1" s="1"/>
  <c r="AH208" i="1" s="1"/>
  <c r="AI208" i="1" s="1"/>
  <c r="F146" i="6"/>
  <c r="G146" i="6" s="1"/>
  <c r="H146" i="6" s="1"/>
  <c r="I146" i="6" s="1"/>
  <c r="J146" i="6" s="1"/>
  <c r="K146" i="6" s="1"/>
  <c r="L146" i="6" s="1"/>
  <c r="M146" i="6" s="1"/>
  <c r="N146" i="6" s="1"/>
  <c r="O146" i="6" s="1"/>
  <c r="P146" i="6" s="1"/>
  <c r="Q146" i="6" s="1"/>
  <c r="R146" i="6" s="1"/>
  <c r="S146" i="6" s="1"/>
  <c r="T146" i="6" s="1"/>
  <c r="U146" i="6" s="1"/>
  <c r="V146" i="6" s="1"/>
  <c r="W146" i="6" s="1"/>
  <c r="X146" i="6" s="1"/>
  <c r="Y146" i="6" s="1"/>
  <c r="Z146" i="6" s="1"/>
  <c r="AA146" i="6" s="1"/>
  <c r="AB146" i="6" s="1"/>
  <c r="AC146" i="6" s="1"/>
  <c r="AD146" i="6" s="1"/>
  <c r="AE146" i="6" s="1"/>
  <c r="E76" i="6"/>
  <c r="E78" i="6"/>
  <c r="F78" i="6" s="1"/>
  <c r="G78" i="6" s="1"/>
  <c r="H78" i="6" s="1"/>
  <c r="I78" i="6" s="1"/>
  <c r="J78" i="6" s="1"/>
  <c r="K78" i="6" s="1"/>
  <c r="L78" i="6" s="1"/>
  <c r="M78" i="6" s="1"/>
  <c r="N78" i="6" s="1"/>
  <c r="O78" i="6" s="1"/>
  <c r="P78" i="6" s="1"/>
  <c r="Q78" i="6" s="1"/>
  <c r="R78" i="6" s="1"/>
  <c r="S78" i="6" s="1"/>
  <c r="F132" i="6"/>
  <c r="G132" i="6" s="1"/>
  <c r="H132" i="6" s="1"/>
  <c r="I132" i="6" s="1"/>
  <c r="J132" i="6" s="1"/>
  <c r="K132" i="6" s="1"/>
  <c r="L132" i="6" s="1"/>
  <c r="M132" i="6" s="1"/>
  <c r="N132" i="6" s="1"/>
  <c r="O132" i="6" s="1"/>
  <c r="P132" i="6" s="1"/>
  <c r="Q132" i="6" s="1"/>
  <c r="R132" i="6" s="1"/>
  <c r="S132" i="6" s="1"/>
  <c r="T132" i="6" s="1"/>
  <c r="U132" i="6" s="1"/>
  <c r="V132" i="6" s="1"/>
  <c r="W132" i="6" s="1"/>
  <c r="X132" i="6" s="1"/>
  <c r="Y132" i="6" s="1"/>
  <c r="Z132" i="6" s="1"/>
  <c r="AA132" i="6" s="1"/>
  <c r="AB132" i="6" s="1"/>
  <c r="AC132" i="6" s="1"/>
  <c r="AD132" i="6" s="1"/>
  <c r="AE132" i="6" s="1"/>
  <c r="F20" i="6"/>
  <c r="G20" i="6" s="1"/>
  <c r="H20" i="6" s="1"/>
  <c r="I20" i="6" s="1"/>
  <c r="J20" i="6" s="1"/>
  <c r="K20" i="6" s="1"/>
  <c r="L20" i="6" s="1"/>
  <c r="M20" i="6" s="1"/>
  <c r="N20" i="6" s="1"/>
  <c r="O20" i="6" s="1"/>
  <c r="P20" i="6" s="1"/>
  <c r="Q20" i="6" s="1"/>
  <c r="R20" i="6" s="1"/>
  <c r="S20" i="6" s="1"/>
  <c r="T20" i="6" s="1"/>
  <c r="U20" i="6" s="1"/>
  <c r="V20" i="6" s="1"/>
  <c r="W20" i="6" s="1"/>
  <c r="X20" i="6" s="1"/>
  <c r="Y20" i="6" s="1"/>
  <c r="Z20" i="6" s="1"/>
  <c r="AA20" i="6" s="1"/>
  <c r="AB20" i="6" s="1"/>
  <c r="AC20" i="6" s="1"/>
  <c r="AD20" i="6" s="1"/>
  <c r="AE20" i="6" s="1"/>
  <c r="F104" i="6"/>
  <c r="G104" i="6" s="1"/>
  <c r="H104" i="6" s="1"/>
  <c r="I104" i="6" s="1"/>
  <c r="J104" i="6" s="1"/>
  <c r="K104" i="6" s="1"/>
  <c r="L104" i="6" s="1"/>
  <c r="M104" i="6" s="1"/>
  <c r="N104" i="6" s="1"/>
  <c r="O104" i="6" s="1"/>
  <c r="P104" i="6" s="1"/>
  <c r="Q104" i="6" s="1"/>
  <c r="R104" i="6" s="1"/>
  <c r="S104" i="6" s="1"/>
  <c r="T104" i="6" s="1"/>
  <c r="U104" i="6" s="1"/>
  <c r="V104" i="6" s="1"/>
  <c r="W104" i="6" s="1"/>
  <c r="X104" i="6" s="1"/>
  <c r="Y104" i="6" s="1"/>
  <c r="Z104" i="6" s="1"/>
  <c r="AA104" i="6" s="1"/>
  <c r="AB104" i="6" s="1"/>
  <c r="AC104" i="6" s="1"/>
  <c r="AD104" i="6" s="1"/>
  <c r="AE104" i="6" s="1"/>
  <c r="AU591" i="3"/>
  <c r="AT591" i="3"/>
  <c r="V136" i="6"/>
  <c r="W136" i="6" s="1"/>
  <c r="X136" i="6" s="1"/>
  <c r="Y136" i="6" s="1"/>
  <c r="Z136" i="6" s="1"/>
  <c r="AA136" i="6" s="1"/>
  <c r="AB136" i="6" s="1"/>
  <c r="AC136" i="6" s="1"/>
  <c r="AD136" i="6" s="1"/>
  <c r="AE136" i="6" s="1"/>
  <c r="AF136" i="6" s="1"/>
  <c r="AG136" i="6" s="1"/>
  <c r="AH136" i="6" s="1"/>
  <c r="AI136" i="6" s="1"/>
  <c r="G8" i="6"/>
  <c r="H8" i="6" s="1"/>
  <c r="I8" i="6" s="1"/>
  <c r="J8" i="6" s="1"/>
  <c r="K8" i="6" s="1"/>
  <c r="L8" i="6" s="1"/>
  <c r="M8" i="6" s="1"/>
  <c r="N8" i="6" s="1"/>
  <c r="O8" i="6" s="1"/>
  <c r="P8" i="6" s="1"/>
  <c r="Q8" i="6" s="1"/>
  <c r="R8" i="6" s="1"/>
  <c r="S8" i="6" s="1"/>
  <c r="T8" i="6" s="1"/>
  <c r="U8" i="6" s="1"/>
  <c r="V8" i="6" s="1"/>
  <c r="W8" i="6" s="1"/>
  <c r="X8" i="6" s="1"/>
  <c r="Y8" i="6" s="1"/>
  <c r="Z8" i="6" s="1"/>
  <c r="AA8" i="6" s="1"/>
  <c r="AB8" i="6" s="1"/>
  <c r="AC8" i="6" s="1"/>
  <c r="AD8" i="6" s="1"/>
  <c r="AE8" i="6" s="1"/>
  <c r="AF8" i="6" s="1"/>
  <c r="AG8" i="6" s="1"/>
  <c r="AH8" i="6" s="1"/>
  <c r="AI8" i="6" s="1"/>
  <c r="F293" i="4"/>
  <c r="F37" i="4"/>
  <c r="G37" i="4" s="1"/>
  <c r="H37" i="4" s="1"/>
  <c r="I37" i="4" s="1"/>
  <c r="J37" i="4" s="1"/>
  <c r="K37" i="4" s="1"/>
  <c r="L37" i="4" s="1"/>
  <c r="M37" i="4" s="1"/>
  <c r="N37" i="4" s="1"/>
  <c r="O37" i="4" s="1"/>
  <c r="P37" i="4" s="1"/>
  <c r="Q37" i="4" s="1"/>
  <c r="R37" i="4" s="1"/>
  <c r="S37" i="4" s="1"/>
  <c r="T37" i="4" s="1"/>
  <c r="U37" i="4" s="1"/>
  <c r="V37" i="4" s="1"/>
  <c r="W37" i="4" s="1"/>
  <c r="X37" i="4" s="1"/>
  <c r="Y37" i="4" s="1"/>
  <c r="Z37" i="4" s="1"/>
  <c r="AA37" i="4" s="1"/>
  <c r="AB37" i="4" s="1"/>
  <c r="AC37" i="4" s="1"/>
  <c r="AD37" i="4" s="1"/>
  <c r="AE37" i="4" s="1"/>
  <c r="AE277" i="4"/>
  <c r="F468" i="3"/>
  <c r="G468" i="3" s="1"/>
  <c r="H468" i="3" s="1"/>
  <c r="I468" i="3" s="1"/>
  <c r="J468" i="3" s="1"/>
  <c r="K468" i="3" s="1"/>
  <c r="L468" i="3" s="1"/>
  <c r="M468" i="3" s="1"/>
  <c r="N468" i="3" s="1"/>
  <c r="O468" i="3" s="1"/>
  <c r="P468" i="3" s="1"/>
  <c r="Q468" i="3" s="1"/>
  <c r="R468" i="3" s="1"/>
  <c r="S468" i="3" s="1"/>
  <c r="T468" i="3" s="1"/>
  <c r="U468" i="3" s="1"/>
  <c r="V468" i="3" s="1"/>
  <c r="W468" i="3" s="1"/>
  <c r="X468" i="3" s="1"/>
  <c r="Y468" i="3" s="1"/>
  <c r="Z468" i="3" s="1"/>
  <c r="AA468" i="3" s="1"/>
  <c r="AB468" i="3" s="1"/>
  <c r="AC468" i="3" s="1"/>
  <c r="AD468" i="3" s="1"/>
  <c r="AE468" i="3" s="1"/>
  <c r="E496" i="3"/>
  <c r="E498" i="3"/>
  <c r="F498" i="3" s="1"/>
  <c r="G498" i="3" s="1"/>
  <c r="H498" i="3" s="1"/>
  <c r="I498" i="3" s="1"/>
  <c r="J498" i="3" s="1"/>
  <c r="K498" i="3" s="1"/>
  <c r="L498" i="3" s="1"/>
  <c r="M498" i="3" s="1"/>
  <c r="N498" i="3" s="1"/>
  <c r="O498" i="3" s="1"/>
  <c r="P498" i="3" s="1"/>
  <c r="Q498" i="3" s="1"/>
  <c r="R498" i="3" s="1"/>
  <c r="S498" i="3" s="1"/>
  <c r="T498" i="3" s="1"/>
  <c r="U498" i="3" s="1"/>
  <c r="V498" i="3" s="1"/>
  <c r="W498" i="3" s="1"/>
  <c r="X498" i="3" s="1"/>
  <c r="Y498" i="3" s="1"/>
  <c r="Z498" i="3" s="1"/>
  <c r="AA498" i="3" s="1"/>
  <c r="AB498" i="3" s="1"/>
  <c r="AC498" i="3" s="1"/>
  <c r="AD498" i="3" s="1"/>
  <c r="AE498" i="3" s="1"/>
  <c r="AF498" i="3" s="1"/>
  <c r="AG498" i="3" s="1"/>
  <c r="AH498" i="3" s="1"/>
  <c r="AI498" i="3" s="1"/>
  <c r="AE244" i="3"/>
  <c r="F482" i="3"/>
  <c r="G482" i="3" s="1"/>
  <c r="H482" i="3" s="1"/>
  <c r="I482" i="3" s="1"/>
  <c r="J482" i="3" s="1"/>
  <c r="K482" i="3" s="1"/>
  <c r="L482" i="3" s="1"/>
  <c r="M482" i="3" s="1"/>
  <c r="N482" i="3" s="1"/>
  <c r="O482" i="3" s="1"/>
  <c r="P482" i="3" s="1"/>
  <c r="Q482" i="3" s="1"/>
  <c r="R482" i="3" s="1"/>
  <c r="S482" i="3" s="1"/>
  <c r="T482" i="3" s="1"/>
  <c r="U482" i="3" s="1"/>
  <c r="V482" i="3" s="1"/>
  <c r="W482" i="3" s="1"/>
  <c r="X482" i="3" s="1"/>
  <c r="Y482" i="3" s="1"/>
  <c r="Z482" i="3" s="1"/>
  <c r="AA482" i="3" s="1"/>
  <c r="AB482" i="3" s="1"/>
  <c r="AC482" i="3" s="1"/>
  <c r="AD482" i="3" s="1"/>
  <c r="AE482" i="3" s="1"/>
  <c r="F580" i="3"/>
  <c r="G580" i="3" s="1"/>
  <c r="H580" i="3" s="1"/>
  <c r="I580" i="3" s="1"/>
  <c r="J580" i="3" s="1"/>
  <c r="K580" i="3" s="1"/>
  <c r="L580" i="3" s="1"/>
  <c r="M580" i="3" s="1"/>
  <c r="N580" i="3" s="1"/>
  <c r="O580" i="3" s="1"/>
  <c r="P580" i="3" s="1"/>
  <c r="Q580" i="3" s="1"/>
  <c r="R580" i="3" s="1"/>
  <c r="S580" i="3" s="1"/>
  <c r="T580" i="3" s="1"/>
  <c r="U580" i="3" s="1"/>
  <c r="V580" i="3" s="1"/>
  <c r="W580" i="3" s="1"/>
  <c r="X580" i="3" s="1"/>
  <c r="Y580" i="3" s="1"/>
  <c r="Z580" i="3" s="1"/>
  <c r="AA580" i="3" s="1"/>
  <c r="AB580" i="3" s="1"/>
  <c r="AC580" i="3" s="1"/>
  <c r="AD580" i="3" s="1"/>
  <c r="AE580" i="3" s="1"/>
  <c r="G118" i="6"/>
  <c r="H118" i="6" s="1"/>
  <c r="I118" i="6" s="1"/>
  <c r="J118" i="6" s="1"/>
  <c r="K118" i="6" s="1"/>
  <c r="L118" i="6" s="1"/>
  <c r="M118" i="6" s="1"/>
  <c r="N118" i="6" s="1"/>
  <c r="O118" i="6" s="1"/>
  <c r="P118" i="6" s="1"/>
  <c r="Q118" i="6" s="1"/>
  <c r="R118" i="6" s="1"/>
  <c r="S118" i="6" s="1"/>
  <c r="T118" i="6" s="1"/>
  <c r="U118" i="6" s="1"/>
  <c r="V118" i="6" s="1"/>
  <c r="W118" i="6" s="1"/>
  <c r="X118" i="6" s="1"/>
  <c r="Y118" i="6" s="1"/>
  <c r="Z118" i="6" s="1"/>
  <c r="AA118" i="6" s="1"/>
  <c r="AB118" i="6" s="1"/>
  <c r="AC118" i="6" s="1"/>
  <c r="AD118" i="6" s="1"/>
  <c r="AE118" i="6" s="1"/>
  <c r="U122" i="6"/>
  <c r="V122" i="6" s="1"/>
  <c r="W122" i="6" s="1"/>
  <c r="X122" i="6" s="1"/>
  <c r="Y122" i="6" s="1"/>
  <c r="Z122" i="6" s="1"/>
  <c r="AA122" i="6" s="1"/>
  <c r="AB122" i="6" s="1"/>
  <c r="AC122" i="6" s="1"/>
  <c r="AD122" i="6" s="1"/>
  <c r="AE122" i="6" s="1"/>
  <c r="AF122" i="6" s="1"/>
  <c r="AG122" i="6" s="1"/>
  <c r="AH122" i="6" s="1"/>
  <c r="AI122" i="6" s="1"/>
  <c r="E48" i="2"/>
  <c r="E47" i="2"/>
  <c r="F47" i="2" s="1"/>
  <c r="G47" i="2" s="1"/>
  <c r="H47" i="2" s="1"/>
  <c r="I47" i="2" s="1"/>
  <c r="J47" i="2" s="1"/>
  <c r="K47" i="2" s="1"/>
  <c r="L47" i="2" s="1"/>
  <c r="M47" i="2" s="1"/>
  <c r="N47" i="2" s="1"/>
  <c r="F50" i="2"/>
  <c r="G50" i="2" s="1"/>
  <c r="H50" i="2" s="1"/>
  <c r="I50" i="2" s="1"/>
  <c r="J50" i="2" s="1"/>
  <c r="K50" i="2" s="1"/>
  <c r="L50" i="2" s="1"/>
  <c r="M50" i="2" s="1"/>
  <c r="N50" i="2" s="1"/>
  <c r="F848" i="1"/>
  <c r="G848" i="1" s="1"/>
  <c r="H848" i="1" s="1"/>
  <c r="I848" i="1" s="1"/>
  <c r="J848" i="1" s="1"/>
  <c r="K848" i="1" s="1"/>
  <c r="L848" i="1" s="1"/>
  <c r="M848" i="1" s="1"/>
  <c r="N848" i="1" s="1"/>
  <c r="O848" i="1" s="1"/>
  <c r="P848" i="1" s="1"/>
  <c r="Q848" i="1" s="1"/>
  <c r="R848" i="1" s="1"/>
  <c r="S848" i="1" s="1"/>
  <c r="T848" i="1" s="1"/>
  <c r="U848" i="1" s="1"/>
  <c r="V848" i="1" s="1"/>
  <c r="W848" i="1" s="1"/>
  <c r="X848" i="1" s="1"/>
  <c r="Y848" i="1" s="1"/>
  <c r="Z848" i="1" s="1"/>
  <c r="AA848" i="1" s="1"/>
  <c r="AB848" i="1" s="1"/>
  <c r="AC848" i="1" s="1"/>
  <c r="AD848" i="1" s="1"/>
  <c r="AE848" i="1" s="1"/>
  <c r="Z359" i="1"/>
  <c r="AA359" i="1" s="1"/>
  <c r="AB359" i="1" s="1"/>
  <c r="AC359" i="1" s="1"/>
  <c r="AD359" i="1" s="1"/>
  <c r="AE359" i="1" s="1"/>
  <c r="W359" i="1"/>
  <c r="X359" i="1" s="1"/>
  <c r="Y359" i="1" s="1"/>
  <c r="E1119" i="1"/>
  <c r="F1119" i="1" s="1"/>
  <c r="G1119" i="1" s="1"/>
  <c r="H1119" i="1" s="1"/>
  <c r="I1119" i="1" s="1"/>
  <c r="J1119" i="1" s="1"/>
  <c r="K1119" i="1" s="1"/>
  <c r="L1119" i="1" s="1"/>
  <c r="M1119" i="1" s="1"/>
  <c r="N1119" i="1" s="1"/>
  <c r="O1119" i="1" s="1"/>
  <c r="P1119" i="1" s="1"/>
  <c r="Q1119" i="1" s="1"/>
  <c r="R1119" i="1" s="1"/>
  <c r="S1119" i="1" s="1"/>
  <c r="T1119" i="1" s="1"/>
  <c r="U1119" i="1" s="1"/>
  <c r="V1119" i="1" s="1"/>
  <c r="W1119" i="1" s="1"/>
  <c r="X1119" i="1" s="1"/>
  <c r="Y1119" i="1" s="1"/>
  <c r="Z1119" i="1" s="1"/>
  <c r="AA1119" i="1" s="1"/>
  <c r="AB1119" i="1" s="1"/>
  <c r="AC1119" i="1" s="1"/>
  <c r="AD1119" i="1" s="1"/>
  <c r="AE1119" i="1" s="1"/>
  <c r="AF1119" i="1" s="1"/>
  <c r="AG1119" i="1" s="1"/>
  <c r="AH1119" i="1" s="1"/>
  <c r="AI1119" i="1" s="1"/>
  <c r="E1120" i="1"/>
  <c r="F1120" i="1" s="1"/>
  <c r="G1120" i="1" s="1"/>
  <c r="H1120" i="1" s="1"/>
  <c r="I1120" i="1" s="1"/>
  <c r="J1120" i="1" s="1"/>
  <c r="K1120" i="1" s="1"/>
  <c r="L1120" i="1" s="1"/>
  <c r="M1120" i="1" s="1"/>
  <c r="N1120" i="1" s="1"/>
  <c r="O1120" i="1" s="1"/>
  <c r="P1120" i="1" s="1"/>
  <c r="Q1120" i="1" s="1"/>
  <c r="R1120" i="1" s="1"/>
  <c r="S1120" i="1" s="1"/>
  <c r="T1120" i="1" s="1"/>
  <c r="U1120" i="1" s="1"/>
  <c r="V1120" i="1" s="1"/>
  <c r="W1120" i="1" s="1"/>
  <c r="X1120" i="1" s="1"/>
  <c r="Y1120" i="1" s="1"/>
  <c r="Z1120" i="1" s="1"/>
  <c r="AA1120" i="1" s="1"/>
  <c r="AB1120" i="1" s="1"/>
  <c r="AC1120" i="1" s="1"/>
  <c r="AD1120" i="1" s="1"/>
  <c r="AE1120" i="1" s="1"/>
  <c r="AL801" i="1"/>
  <c r="AM799" i="1" s="1"/>
  <c r="AL802" i="1"/>
  <c r="AM800" i="1" s="1"/>
  <c r="AL829" i="1"/>
  <c r="AM827" i="1" s="1"/>
  <c r="AL830" i="1"/>
  <c r="AM828" i="1" s="1"/>
  <c r="AJ54" i="5"/>
  <c r="AK52" i="5" s="1"/>
  <c r="E36" i="6"/>
  <c r="F36" i="6" s="1"/>
  <c r="G36" i="6" s="1"/>
  <c r="H36" i="6" s="1"/>
  <c r="I36" i="6" s="1"/>
  <c r="J36" i="6" s="1"/>
  <c r="K36" i="6" s="1"/>
  <c r="L36" i="6" s="1"/>
  <c r="M36" i="6" s="1"/>
  <c r="N36" i="6" s="1"/>
  <c r="O36" i="6" s="1"/>
  <c r="P36" i="6" s="1"/>
  <c r="Q36" i="6" s="1"/>
  <c r="R36" i="6" s="1"/>
  <c r="S36" i="6" s="1"/>
  <c r="T36" i="6" s="1"/>
  <c r="U36" i="6" s="1"/>
  <c r="V36" i="6" s="1"/>
  <c r="W36" i="6" s="1"/>
  <c r="X36" i="6" s="1"/>
  <c r="Y36" i="6" s="1"/>
  <c r="Z36" i="6" s="1"/>
  <c r="AA36" i="6" s="1"/>
  <c r="AB36" i="6" s="1"/>
  <c r="AC36" i="6" s="1"/>
  <c r="AD36" i="6" s="1"/>
  <c r="AE36" i="6" s="1"/>
  <c r="E34" i="6"/>
  <c r="F34" i="6" s="1"/>
  <c r="G34" i="6" s="1"/>
  <c r="H34" i="6" s="1"/>
  <c r="I34" i="6" s="1"/>
  <c r="J34" i="6" s="1"/>
  <c r="K34" i="6" s="1"/>
  <c r="L34" i="6" s="1"/>
  <c r="M34" i="6" s="1"/>
  <c r="N34" i="6" s="1"/>
  <c r="O34" i="6" s="1"/>
  <c r="P34" i="6" s="1"/>
  <c r="Q34" i="6" s="1"/>
  <c r="R34" i="6" s="1"/>
  <c r="S34" i="6" s="1"/>
  <c r="T34" i="6" s="1"/>
  <c r="U34" i="6" s="1"/>
  <c r="V34" i="6" s="1"/>
  <c r="W34" i="6" s="1"/>
  <c r="X34" i="6" s="1"/>
  <c r="Y34" i="6" s="1"/>
  <c r="Z34" i="6" s="1"/>
  <c r="AA34" i="6" s="1"/>
  <c r="AB34" i="6" s="1"/>
  <c r="AC34" i="6" s="1"/>
  <c r="AD34" i="6" s="1"/>
  <c r="AE34" i="6" s="1"/>
  <c r="F76" i="6"/>
  <c r="G76" i="6" s="1"/>
  <c r="H76" i="6" s="1"/>
  <c r="I76" i="6" s="1"/>
  <c r="J76" i="6" s="1"/>
  <c r="K76" i="6" s="1"/>
  <c r="L76" i="6" s="1"/>
  <c r="M76" i="6" s="1"/>
  <c r="N76" i="6" s="1"/>
  <c r="O76" i="6" s="1"/>
  <c r="P76" i="6" s="1"/>
  <c r="Q76" i="6" s="1"/>
  <c r="R76" i="6" s="1"/>
  <c r="S76" i="6" s="1"/>
  <c r="T76" i="6" s="1"/>
  <c r="U76" i="6" s="1"/>
  <c r="V76" i="6" s="1"/>
  <c r="W76" i="6" s="1"/>
  <c r="X76" i="6" s="1"/>
  <c r="Y76" i="6" s="1"/>
  <c r="Z76" i="6" s="1"/>
  <c r="AA76" i="6" s="1"/>
  <c r="AB76" i="6" s="1"/>
  <c r="AC76" i="6" s="1"/>
  <c r="AD76" i="6" s="1"/>
  <c r="AE76" i="6" s="1"/>
  <c r="AK23" i="6"/>
  <c r="H82" i="13" s="1"/>
  <c r="K82" i="13" s="1"/>
  <c r="L82" i="13" s="1"/>
  <c r="F250" i="1"/>
  <c r="F209" i="1"/>
  <c r="G209" i="1" s="1"/>
  <c r="H209" i="1" s="1"/>
  <c r="I209" i="1" s="1"/>
  <c r="J209" i="1" s="1"/>
  <c r="K209" i="1" s="1"/>
  <c r="L209" i="1" s="1"/>
  <c r="M209" i="1" s="1"/>
  <c r="N209" i="1" s="1"/>
  <c r="O209" i="1" s="1"/>
  <c r="P209" i="1" s="1"/>
  <c r="Q209" i="1" s="1"/>
  <c r="R209" i="1" s="1"/>
  <c r="S209" i="1" s="1"/>
  <c r="T209" i="1" s="1"/>
  <c r="U209" i="1" s="1"/>
  <c r="V209" i="1" s="1"/>
  <c r="W209" i="1" s="1"/>
  <c r="X209" i="1" s="1"/>
  <c r="Y209" i="1" s="1"/>
  <c r="Z209" i="1" s="1"/>
  <c r="AA209" i="1" s="1"/>
  <c r="AB209" i="1" s="1"/>
  <c r="AC209" i="1" s="1"/>
  <c r="AD209" i="1" s="1"/>
  <c r="AE209" i="1" s="1"/>
  <c r="G236" i="1"/>
  <c r="H236" i="1" s="1"/>
  <c r="I236" i="1" s="1"/>
  <c r="J236" i="1" s="1"/>
  <c r="K236" i="1" s="1"/>
  <c r="L236" i="1" s="1"/>
  <c r="M236" i="1" s="1"/>
  <c r="N236" i="1" s="1"/>
  <c r="O236" i="1" s="1"/>
  <c r="P236" i="1" s="1"/>
  <c r="Q236" i="1" s="1"/>
  <c r="R236" i="1" s="1"/>
  <c r="S236" i="1" s="1"/>
  <c r="T236" i="1" s="1"/>
  <c r="U236" i="1" s="1"/>
  <c r="V236" i="1" s="1"/>
  <c r="W236" i="1" s="1"/>
  <c r="X236" i="1" s="1"/>
  <c r="Y236" i="1" s="1"/>
  <c r="Z236" i="1" s="1"/>
  <c r="AA236" i="1" s="1"/>
  <c r="AB236" i="1" s="1"/>
  <c r="AC236" i="1" s="1"/>
  <c r="AD236" i="1" s="1"/>
  <c r="AE236" i="1" s="1"/>
  <c r="G250" i="1"/>
  <c r="H250" i="1" s="1"/>
  <c r="I250" i="1" s="1"/>
  <c r="J250" i="1" s="1"/>
  <c r="K250" i="1" s="1"/>
  <c r="L250" i="1" s="1"/>
  <c r="M250" i="1" s="1"/>
  <c r="N250" i="1" s="1"/>
  <c r="O250" i="1" s="1"/>
  <c r="P250" i="1" s="1"/>
  <c r="Q250" i="1" s="1"/>
  <c r="R250" i="1" s="1"/>
  <c r="S250" i="1" s="1"/>
  <c r="T250" i="1" s="1"/>
  <c r="U250" i="1" s="1"/>
  <c r="V250" i="1" s="1"/>
  <c r="W250" i="1" s="1"/>
  <c r="X250" i="1" s="1"/>
  <c r="Y250" i="1" s="1"/>
  <c r="Z250" i="1" s="1"/>
  <c r="AA250" i="1" s="1"/>
  <c r="AB250" i="1" s="1"/>
  <c r="AC250" i="1" s="1"/>
  <c r="AD250" i="1" s="1"/>
  <c r="AE250" i="1" s="1"/>
  <c r="F160" i="6"/>
  <c r="G160" i="6" s="1"/>
  <c r="H160" i="6" s="1"/>
  <c r="F62" i="6"/>
  <c r="F48" i="6"/>
  <c r="F469" i="4"/>
  <c r="G469" i="4" s="1"/>
  <c r="H469" i="4" s="1"/>
  <c r="I469" i="4" s="1"/>
  <c r="J469" i="4" s="1"/>
  <c r="K469" i="4" s="1"/>
  <c r="L469" i="4" s="1"/>
  <c r="M469" i="4" s="1"/>
  <c r="N469" i="4" s="1"/>
  <c r="O469" i="4" s="1"/>
  <c r="P469" i="4" s="1"/>
  <c r="Q469" i="4" s="1"/>
  <c r="R469" i="4" s="1"/>
  <c r="S469" i="4" s="1"/>
  <c r="T469" i="4" s="1"/>
  <c r="U469" i="4" s="1"/>
  <c r="V469" i="4" s="1"/>
  <c r="W469" i="4" s="1"/>
  <c r="X469" i="4" s="1"/>
  <c r="Y469" i="4" s="1"/>
  <c r="Z469" i="4" s="1"/>
  <c r="AA469" i="4" s="1"/>
  <c r="AB469" i="4" s="1"/>
  <c r="AC469" i="4" s="1"/>
  <c r="AD469" i="4" s="1"/>
  <c r="AE469" i="4" s="1"/>
  <c r="E325" i="4"/>
  <c r="F325" i="4" s="1"/>
  <c r="G325" i="4" s="1"/>
  <c r="H325" i="4" s="1"/>
  <c r="I325" i="4" s="1"/>
  <c r="J325" i="4" s="1"/>
  <c r="E21" i="4"/>
  <c r="E69" i="4"/>
  <c r="F69" i="4"/>
  <c r="F426" i="3"/>
  <c r="G426" i="3" s="1"/>
  <c r="H426" i="3" s="1"/>
  <c r="I426" i="3" s="1"/>
  <c r="J426" i="3" s="1"/>
  <c r="K426" i="3" s="1"/>
  <c r="L426" i="3" s="1"/>
  <c r="M426" i="3" s="1"/>
  <c r="N426" i="3" s="1"/>
  <c r="O426" i="3" s="1"/>
  <c r="P426" i="3" s="1"/>
  <c r="Q426" i="3" s="1"/>
  <c r="R426" i="3" s="1"/>
  <c r="S426" i="3" s="1"/>
  <c r="T426" i="3" s="1"/>
  <c r="U426" i="3" s="1"/>
  <c r="V426" i="3" s="1"/>
  <c r="F90" i="3"/>
  <c r="G90" i="3" s="1"/>
  <c r="H90" i="3" s="1"/>
  <c r="I90" i="3" s="1"/>
  <c r="J90" i="3" s="1"/>
  <c r="K90" i="3" s="1"/>
  <c r="L90" i="3" s="1"/>
  <c r="M90" i="3" s="1"/>
  <c r="N90" i="3" s="1"/>
  <c r="O90" i="3" s="1"/>
  <c r="P90" i="3" s="1"/>
  <c r="Q90" i="3" s="1"/>
  <c r="R90" i="3" s="1"/>
  <c r="S90" i="3" s="1"/>
  <c r="T90" i="3" s="1"/>
  <c r="U90" i="3" s="1"/>
  <c r="V90" i="3" s="1"/>
  <c r="W90" i="3" s="1"/>
  <c r="X90" i="3" s="1"/>
  <c r="Y90" i="3" s="1"/>
  <c r="Z90" i="3" s="1"/>
  <c r="AA90" i="3" s="1"/>
  <c r="AB90" i="3" s="1"/>
  <c r="AC90" i="3" s="1"/>
  <c r="AD90" i="3" s="1"/>
  <c r="AE90" i="3" s="1"/>
  <c r="F20" i="3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F437" i="4"/>
  <c r="F309" i="4"/>
  <c r="G309" i="4" s="1"/>
  <c r="H309" i="4" s="1"/>
  <c r="I309" i="4" s="1"/>
  <c r="J309" i="4" s="1"/>
  <c r="K309" i="4" s="1"/>
  <c r="L309" i="4" s="1"/>
  <c r="M309" i="4" s="1"/>
  <c r="N309" i="4" s="1"/>
  <c r="O309" i="4" s="1"/>
  <c r="P309" i="4" s="1"/>
  <c r="Q309" i="4" s="1"/>
  <c r="R309" i="4" s="1"/>
  <c r="S309" i="4" s="1"/>
  <c r="T309" i="4" s="1"/>
  <c r="U309" i="4" s="1"/>
  <c r="V309" i="4" s="1"/>
  <c r="W309" i="4" s="1"/>
  <c r="X309" i="4" s="1"/>
  <c r="Y309" i="4" s="1"/>
  <c r="Z309" i="4" s="1"/>
  <c r="E117" i="4"/>
  <c r="F117" i="4" s="1"/>
  <c r="F566" i="3"/>
  <c r="G566" i="3" s="1"/>
  <c r="H566" i="3" s="1"/>
  <c r="I566" i="3" s="1"/>
  <c r="J566" i="3" s="1"/>
  <c r="K566" i="3" s="1"/>
  <c r="L566" i="3" s="1"/>
  <c r="M566" i="3" s="1"/>
  <c r="N566" i="3" s="1"/>
  <c r="O566" i="3" s="1"/>
  <c r="P566" i="3" s="1"/>
  <c r="Q566" i="3" s="1"/>
  <c r="R566" i="3" s="1"/>
  <c r="S566" i="3" s="1"/>
  <c r="T566" i="3" s="1"/>
  <c r="U566" i="3" s="1"/>
  <c r="V566" i="3" s="1"/>
  <c r="F538" i="3"/>
  <c r="F524" i="3"/>
  <c r="E509" i="3"/>
  <c r="F509" i="3" s="1"/>
  <c r="G509" i="3" s="1"/>
  <c r="H509" i="3" s="1"/>
  <c r="I509" i="3" s="1"/>
  <c r="J509" i="3" s="1"/>
  <c r="K509" i="3" s="1"/>
  <c r="L509" i="3" s="1"/>
  <c r="M509" i="3" s="1"/>
  <c r="N509" i="3" s="1"/>
  <c r="O509" i="3" s="1"/>
  <c r="P509" i="3" s="1"/>
  <c r="Q509" i="3" s="1"/>
  <c r="R509" i="3" s="1"/>
  <c r="S509" i="3" s="1"/>
  <c r="T509" i="3" s="1"/>
  <c r="U509" i="3" s="1"/>
  <c r="V509" i="3" s="1"/>
  <c r="W509" i="3" s="1"/>
  <c r="X509" i="3" s="1"/>
  <c r="Y509" i="3" s="1"/>
  <c r="Z509" i="3" s="1"/>
  <c r="AA509" i="3" s="1"/>
  <c r="AB509" i="3" s="1"/>
  <c r="AC509" i="3" s="1"/>
  <c r="AD509" i="3" s="1"/>
  <c r="AE509" i="3" s="1"/>
  <c r="AF509" i="3" s="1"/>
  <c r="AG509" i="3" s="1"/>
  <c r="AH509" i="3" s="1"/>
  <c r="AI509" i="3" s="1"/>
  <c r="E510" i="3"/>
  <c r="F510" i="3" s="1"/>
  <c r="F496" i="3"/>
  <c r="G496" i="3" s="1"/>
  <c r="H496" i="3" s="1"/>
  <c r="I496" i="3" s="1"/>
  <c r="J496" i="3" s="1"/>
  <c r="K496" i="3" s="1"/>
  <c r="L496" i="3" s="1"/>
  <c r="M496" i="3" s="1"/>
  <c r="N496" i="3" s="1"/>
  <c r="O496" i="3" s="1"/>
  <c r="P496" i="3" s="1"/>
  <c r="Q496" i="3" s="1"/>
  <c r="R496" i="3" s="1"/>
  <c r="S496" i="3" s="1"/>
  <c r="T496" i="3" s="1"/>
  <c r="U496" i="3" s="1"/>
  <c r="V496" i="3" s="1"/>
  <c r="W496" i="3" s="1"/>
  <c r="X496" i="3" s="1"/>
  <c r="Y496" i="3" s="1"/>
  <c r="Z496" i="3" s="1"/>
  <c r="AA496" i="3" s="1"/>
  <c r="AB496" i="3" s="1"/>
  <c r="AC496" i="3" s="1"/>
  <c r="AD496" i="3" s="1"/>
  <c r="AE496" i="3" s="1"/>
  <c r="E456" i="3"/>
  <c r="F456" i="3" s="1"/>
  <c r="G456" i="3" s="1"/>
  <c r="H456" i="3" s="1"/>
  <c r="I456" i="3" s="1"/>
  <c r="J456" i="3" s="1"/>
  <c r="K456" i="3" s="1"/>
  <c r="L456" i="3" s="1"/>
  <c r="M456" i="3" s="1"/>
  <c r="N456" i="3" s="1"/>
  <c r="O456" i="3" s="1"/>
  <c r="P456" i="3" s="1"/>
  <c r="Q456" i="3" s="1"/>
  <c r="R456" i="3" s="1"/>
  <c r="S456" i="3" s="1"/>
  <c r="T456" i="3" s="1"/>
  <c r="U456" i="3" s="1"/>
  <c r="V456" i="3" s="1"/>
  <c r="W456" i="3" s="1"/>
  <c r="X456" i="3" s="1"/>
  <c r="Y456" i="3" s="1"/>
  <c r="Z456" i="3" s="1"/>
  <c r="AA456" i="3" s="1"/>
  <c r="AB456" i="3" s="1"/>
  <c r="AC456" i="3" s="1"/>
  <c r="AD456" i="3" s="1"/>
  <c r="AE456" i="3" s="1"/>
  <c r="AF456" i="3" s="1"/>
  <c r="AG456" i="3" s="1"/>
  <c r="AH456" i="3" s="1"/>
  <c r="AI456" i="3" s="1"/>
  <c r="E454" i="3"/>
  <c r="F454" i="3" s="1"/>
  <c r="E442" i="3"/>
  <c r="F442" i="3" s="1"/>
  <c r="G442" i="3" s="1"/>
  <c r="H442" i="3" s="1"/>
  <c r="I442" i="3" s="1"/>
  <c r="J442" i="3" s="1"/>
  <c r="K442" i="3" s="1"/>
  <c r="L442" i="3" s="1"/>
  <c r="M442" i="3" s="1"/>
  <c r="N442" i="3" s="1"/>
  <c r="O442" i="3" s="1"/>
  <c r="P442" i="3" s="1"/>
  <c r="Q442" i="3" s="1"/>
  <c r="R442" i="3" s="1"/>
  <c r="S442" i="3" s="1"/>
  <c r="T442" i="3" s="1"/>
  <c r="U442" i="3" s="1"/>
  <c r="V442" i="3" s="1"/>
  <c r="W442" i="3" s="1"/>
  <c r="X442" i="3" s="1"/>
  <c r="Y442" i="3" s="1"/>
  <c r="Z442" i="3" s="1"/>
  <c r="AA442" i="3" s="1"/>
  <c r="AB442" i="3" s="1"/>
  <c r="AC442" i="3" s="1"/>
  <c r="AD442" i="3" s="1"/>
  <c r="AE442" i="3" s="1"/>
  <c r="AF442" i="3" s="1"/>
  <c r="AG442" i="3" s="1"/>
  <c r="AH442" i="3" s="1"/>
  <c r="AI442" i="3" s="1"/>
  <c r="E440" i="3"/>
  <c r="F440" i="3" s="1"/>
  <c r="E400" i="3"/>
  <c r="F400" i="3" s="1"/>
  <c r="G400" i="3" s="1"/>
  <c r="H400" i="3" s="1"/>
  <c r="I400" i="3" s="1"/>
  <c r="J400" i="3" s="1"/>
  <c r="K400" i="3" s="1"/>
  <c r="L400" i="3" s="1"/>
  <c r="M400" i="3" s="1"/>
  <c r="N400" i="3" s="1"/>
  <c r="O400" i="3" s="1"/>
  <c r="P400" i="3" s="1"/>
  <c r="Q400" i="3" s="1"/>
  <c r="R400" i="3" s="1"/>
  <c r="S400" i="3" s="1"/>
  <c r="T400" i="3" s="1"/>
  <c r="U400" i="3" s="1"/>
  <c r="V400" i="3" s="1"/>
  <c r="W400" i="3" s="1"/>
  <c r="X400" i="3" s="1"/>
  <c r="Y400" i="3" s="1"/>
  <c r="Z400" i="3" s="1"/>
  <c r="AA400" i="3" s="1"/>
  <c r="AB400" i="3" s="1"/>
  <c r="AC400" i="3" s="1"/>
  <c r="AD400" i="3" s="1"/>
  <c r="AE400" i="3" s="1"/>
  <c r="AF400" i="3" s="1"/>
  <c r="AG400" i="3" s="1"/>
  <c r="AH400" i="3" s="1"/>
  <c r="AI400" i="3" s="1"/>
  <c r="E398" i="3"/>
  <c r="F398" i="3" s="1"/>
  <c r="E386" i="3"/>
  <c r="F386" i="3" s="1"/>
  <c r="G386" i="3" s="1"/>
  <c r="H386" i="3" s="1"/>
  <c r="I386" i="3" s="1"/>
  <c r="J386" i="3" s="1"/>
  <c r="K386" i="3" s="1"/>
  <c r="L386" i="3" s="1"/>
  <c r="M386" i="3" s="1"/>
  <c r="N386" i="3" s="1"/>
  <c r="O386" i="3" s="1"/>
  <c r="P386" i="3" s="1"/>
  <c r="Q386" i="3" s="1"/>
  <c r="R386" i="3" s="1"/>
  <c r="S386" i="3" s="1"/>
  <c r="T386" i="3" s="1"/>
  <c r="U386" i="3" s="1"/>
  <c r="V386" i="3" s="1"/>
  <c r="W386" i="3" s="1"/>
  <c r="X386" i="3" s="1"/>
  <c r="Y386" i="3" s="1"/>
  <c r="Z386" i="3" s="1"/>
  <c r="AA386" i="3" s="1"/>
  <c r="AB386" i="3" s="1"/>
  <c r="AC386" i="3" s="1"/>
  <c r="AD386" i="3" s="1"/>
  <c r="AE386" i="3" s="1"/>
  <c r="AF386" i="3" s="1"/>
  <c r="AG386" i="3" s="1"/>
  <c r="AH386" i="3" s="1"/>
  <c r="AI386" i="3" s="1"/>
  <c r="E384" i="3"/>
  <c r="F384" i="3" s="1"/>
  <c r="F370" i="3"/>
  <c r="E330" i="3"/>
  <c r="F330" i="3" s="1"/>
  <c r="G330" i="3" s="1"/>
  <c r="H330" i="3" s="1"/>
  <c r="I330" i="3" s="1"/>
  <c r="J330" i="3" s="1"/>
  <c r="K330" i="3" s="1"/>
  <c r="L330" i="3" s="1"/>
  <c r="M330" i="3" s="1"/>
  <c r="N330" i="3" s="1"/>
  <c r="O330" i="3" s="1"/>
  <c r="P330" i="3" s="1"/>
  <c r="Q330" i="3" s="1"/>
  <c r="R330" i="3" s="1"/>
  <c r="S330" i="3" s="1"/>
  <c r="T330" i="3" s="1"/>
  <c r="U330" i="3" s="1"/>
  <c r="V330" i="3" s="1"/>
  <c r="W330" i="3" s="1"/>
  <c r="X330" i="3" s="1"/>
  <c r="Y330" i="3" s="1"/>
  <c r="Z330" i="3" s="1"/>
  <c r="AA330" i="3" s="1"/>
  <c r="AB330" i="3" s="1"/>
  <c r="AC330" i="3" s="1"/>
  <c r="AD330" i="3" s="1"/>
  <c r="AE330" i="3" s="1"/>
  <c r="AF330" i="3" s="1"/>
  <c r="AG330" i="3" s="1"/>
  <c r="AH330" i="3" s="1"/>
  <c r="AI330" i="3" s="1"/>
  <c r="E328" i="3"/>
  <c r="F328" i="3" s="1"/>
  <c r="E288" i="3"/>
  <c r="F288" i="3" s="1"/>
  <c r="G288" i="3" s="1"/>
  <c r="H288" i="3" s="1"/>
  <c r="I288" i="3" s="1"/>
  <c r="J288" i="3" s="1"/>
  <c r="K288" i="3" s="1"/>
  <c r="L288" i="3" s="1"/>
  <c r="M288" i="3" s="1"/>
  <c r="N288" i="3" s="1"/>
  <c r="O288" i="3" s="1"/>
  <c r="P288" i="3" s="1"/>
  <c r="Q288" i="3" s="1"/>
  <c r="R288" i="3" s="1"/>
  <c r="S288" i="3" s="1"/>
  <c r="T288" i="3" s="1"/>
  <c r="U288" i="3" s="1"/>
  <c r="V288" i="3" s="1"/>
  <c r="W288" i="3" s="1"/>
  <c r="X288" i="3" s="1"/>
  <c r="Y288" i="3" s="1"/>
  <c r="Z288" i="3" s="1"/>
  <c r="AA288" i="3" s="1"/>
  <c r="AB288" i="3" s="1"/>
  <c r="AC288" i="3" s="1"/>
  <c r="AD288" i="3" s="1"/>
  <c r="AE288" i="3" s="1"/>
  <c r="AF288" i="3" s="1"/>
  <c r="AG288" i="3" s="1"/>
  <c r="AH288" i="3" s="1"/>
  <c r="AI288" i="3" s="1"/>
  <c r="E286" i="3"/>
  <c r="F286" i="3" s="1"/>
  <c r="F258" i="3"/>
  <c r="E204" i="3"/>
  <c r="F204" i="3" s="1"/>
  <c r="G204" i="3" s="1"/>
  <c r="H204" i="3" s="1"/>
  <c r="I204" i="3" s="1"/>
  <c r="J204" i="3" s="1"/>
  <c r="K204" i="3" s="1"/>
  <c r="L204" i="3" s="1"/>
  <c r="M204" i="3" s="1"/>
  <c r="N204" i="3" s="1"/>
  <c r="O204" i="3" s="1"/>
  <c r="P204" i="3" s="1"/>
  <c r="Q204" i="3" s="1"/>
  <c r="R204" i="3" s="1"/>
  <c r="S204" i="3" s="1"/>
  <c r="T204" i="3" s="1"/>
  <c r="U204" i="3" s="1"/>
  <c r="V204" i="3" s="1"/>
  <c r="W204" i="3" s="1"/>
  <c r="X204" i="3" s="1"/>
  <c r="Y204" i="3" s="1"/>
  <c r="Z204" i="3" s="1"/>
  <c r="AA204" i="3" s="1"/>
  <c r="AB204" i="3" s="1"/>
  <c r="AC204" i="3" s="1"/>
  <c r="AD204" i="3" s="1"/>
  <c r="AE204" i="3" s="1"/>
  <c r="AF204" i="3" s="1"/>
  <c r="AG204" i="3" s="1"/>
  <c r="AH204" i="3" s="1"/>
  <c r="AI204" i="3" s="1"/>
  <c r="E202" i="3"/>
  <c r="F202" i="3" s="1"/>
  <c r="F188" i="3"/>
  <c r="E134" i="3"/>
  <c r="F134" i="3" s="1"/>
  <c r="G134" i="3" s="1"/>
  <c r="H134" i="3" s="1"/>
  <c r="I134" i="3" s="1"/>
  <c r="J134" i="3" s="1"/>
  <c r="K134" i="3" s="1"/>
  <c r="L134" i="3" s="1"/>
  <c r="M134" i="3" s="1"/>
  <c r="N134" i="3" s="1"/>
  <c r="O134" i="3" s="1"/>
  <c r="P134" i="3" s="1"/>
  <c r="Q134" i="3" s="1"/>
  <c r="R134" i="3" s="1"/>
  <c r="S134" i="3" s="1"/>
  <c r="T134" i="3" s="1"/>
  <c r="U134" i="3" s="1"/>
  <c r="V134" i="3" s="1"/>
  <c r="W134" i="3" s="1"/>
  <c r="X134" i="3" s="1"/>
  <c r="Y134" i="3" s="1"/>
  <c r="Z134" i="3" s="1"/>
  <c r="AA134" i="3" s="1"/>
  <c r="AB134" i="3" s="1"/>
  <c r="AC134" i="3" s="1"/>
  <c r="AD134" i="3" s="1"/>
  <c r="AE134" i="3" s="1"/>
  <c r="AF134" i="3" s="1"/>
  <c r="AG134" i="3" s="1"/>
  <c r="AH134" i="3" s="1"/>
  <c r="AI134" i="3" s="1"/>
  <c r="E132" i="3"/>
  <c r="F132" i="3" s="1"/>
  <c r="F118" i="6"/>
  <c r="AK54" i="2"/>
  <c r="AK51" i="2"/>
  <c r="AK55" i="2"/>
  <c r="AK53" i="2"/>
  <c r="AJ181" i="6"/>
  <c r="AK163" i="6"/>
  <c r="H90" i="13" s="1"/>
  <c r="K90" i="13" s="1"/>
  <c r="L90" i="13" s="1"/>
  <c r="AO135" i="6"/>
  <c r="AJ179" i="6"/>
  <c r="AJ180" i="6"/>
  <c r="AK569" i="3"/>
  <c r="AO569" i="3"/>
  <c r="AJ587" i="3"/>
  <c r="AK490" i="4"/>
  <c r="AK491" i="4"/>
  <c r="AK488" i="4"/>
  <c r="H60" i="13" s="1"/>
  <c r="K60" i="13" s="1"/>
  <c r="L60" i="13" s="1"/>
  <c r="AK492" i="4"/>
  <c r="AJ50" i="5"/>
  <c r="AK48" i="5" s="1"/>
  <c r="AK8" i="5"/>
  <c r="AJ51" i="5"/>
  <c r="AK50" i="5" s="1"/>
  <c r="AK24" i="5"/>
  <c r="AJ52" i="5"/>
  <c r="AK25" i="5"/>
  <c r="AJ53" i="5"/>
  <c r="AK51" i="5" s="1"/>
  <c r="AK34" i="5"/>
  <c r="AO40" i="4"/>
  <c r="AK38" i="4"/>
  <c r="AO72" i="4"/>
  <c r="AK70" i="4"/>
  <c r="AD153" i="4"/>
  <c r="AE153" i="4" s="1"/>
  <c r="AF153" i="4" s="1"/>
  <c r="AG153" i="4" s="1"/>
  <c r="AH153" i="4" s="1"/>
  <c r="AI153" i="4" s="1"/>
  <c r="F579" i="3"/>
  <c r="G579" i="3" s="1"/>
  <c r="H579" i="3" s="1"/>
  <c r="I579" i="3" s="1"/>
  <c r="J579" i="3" s="1"/>
  <c r="K579" i="3" s="1"/>
  <c r="L579" i="3" s="1"/>
  <c r="M579" i="3" s="1"/>
  <c r="N579" i="3" s="1"/>
  <c r="O579" i="3" s="1"/>
  <c r="P579" i="3" s="1"/>
  <c r="Q579" i="3" s="1"/>
  <c r="R579" i="3" s="1"/>
  <c r="S579" i="3" s="1"/>
  <c r="T579" i="3" s="1"/>
  <c r="U579" i="3" s="1"/>
  <c r="V579" i="3" s="1"/>
  <c r="W579" i="3" s="1"/>
  <c r="X579" i="3" s="1"/>
  <c r="Y579" i="3" s="1"/>
  <c r="Z579" i="3" s="1"/>
  <c r="AA579" i="3" s="1"/>
  <c r="AB579" i="3" s="1"/>
  <c r="AC579" i="3" s="1"/>
  <c r="AD579" i="3" s="1"/>
  <c r="AE579" i="3" s="1"/>
  <c r="AF579" i="3" s="1"/>
  <c r="AG579" i="3" s="1"/>
  <c r="AH579" i="3" s="1"/>
  <c r="AI579" i="3" s="1"/>
  <c r="AR591" i="3"/>
  <c r="AK26" i="5"/>
  <c r="AO488" i="4"/>
  <c r="AK486" i="4"/>
  <c r="AO424" i="4"/>
  <c r="AK422" i="4"/>
  <c r="AO440" i="4"/>
  <c r="AK438" i="4"/>
  <c r="AK444" i="4"/>
  <c r="AK412" i="4"/>
  <c r="AO376" i="4"/>
  <c r="AK374" i="4"/>
  <c r="AK364" i="4"/>
  <c r="AO328" i="4"/>
  <c r="AK326" i="4"/>
  <c r="AO280" i="4"/>
  <c r="AK278" i="4"/>
  <c r="AK316" i="4"/>
  <c r="AO296" i="4"/>
  <c r="AK294" i="4"/>
  <c r="AK300" i="4"/>
  <c r="AK268" i="4"/>
  <c r="AK236" i="4"/>
  <c r="AO184" i="4"/>
  <c r="AK182" i="4"/>
  <c r="AO168" i="4"/>
  <c r="AK166" i="4"/>
  <c r="AK140" i="4"/>
  <c r="AO104" i="4"/>
  <c r="AK102" i="4"/>
  <c r="AK76" i="4"/>
  <c r="AK28" i="4"/>
  <c r="AK485" i="3"/>
  <c r="AK457" i="3"/>
  <c r="H16" i="13" s="1"/>
  <c r="K16" i="13" s="1"/>
  <c r="L16" i="13" s="1"/>
  <c r="AK331" i="3"/>
  <c r="H11" i="13" s="1"/>
  <c r="K11" i="13" s="1"/>
  <c r="L11" i="13" s="1"/>
  <c r="E120" i="3"/>
  <c r="F120" i="3" s="1"/>
  <c r="G120" i="3" s="1"/>
  <c r="H120" i="3" s="1"/>
  <c r="I120" i="3" s="1"/>
  <c r="J120" i="3" s="1"/>
  <c r="K120" i="3" s="1"/>
  <c r="L120" i="3" s="1"/>
  <c r="M120" i="3" s="1"/>
  <c r="N120" i="3" s="1"/>
  <c r="O120" i="3" s="1"/>
  <c r="P120" i="3" s="1"/>
  <c r="Q120" i="3" s="1"/>
  <c r="R120" i="3" s="1"/>
  <c r="S120" i="3" s="1"/>
  <c r="T120" i="3" s="1"/>
  <c r="U120" i="3" s="1"/>
  <c r="V120" i="3" s="1"/>
  <c r="W120" i="3" s="1"/>
  <c r="X120" i="3" s="1"/>
  <c r="Y120" i="3" s="1"/>
  <c r="Z120" i="3" s="1"/>
  <c r="AA120" i="3" s="1"/>
  <c r="AB120" i="3" s="1"/>
  <c r="AC120" i="3" s="1"/>
  <c r="AD120" i="3" s="1"/>
  <c r="AE120" i="3" s="1"/>
  <c r="AF120" i="3" s="1"/>
  <c r="AG120" i="3" s="1"/>
  <c r="AH120" i="3" s="1"/>
  <c r="AI120" i="3" s="1"/>
  <c r="E118" i="3"/>
  <c r="F118" i="3" s="1"/>
  <c r="E78" i="3"/>
  <c r="F78" i="3" s="1"/>
  <c r="G78" i="3" s="1"/>
  <c r="H78" i="3" s="1"/>
  <c r="I78" i="3" s="1"/>
  <c r="J78" i="3" s="1"/>
  <c r="K78" i="3" s="1"/>
  <c r="L78" i="3" s="1"/>
  <c r="M78" i="3" s="1"/>
  <c r="N78" i="3" s="1"/>
  <c r="O78" i="3" s="1"/>
  <c r="P78" i="3" s="1"/>
  <c r="Q78" i="3" s="1"/>
  <c r="R78" i="3" s="1"/>
  <c r="S78" i="3" s="1"/>
  <c r="T78" i="3" s="1"/>
  <c r="U78" i="3" s="1"/>
  <c r="V78" i="3" s="1"/>
  <c r="W78" i="3" s="1"/>
  <c r="X78" i="3" s="1"/>
  <c r="Y78" i="3" s="1"/>
  <c r="Z78" i="3" s="1"/>
  <c r="AA78" i="3" s="1"/>
  <c r="AB78" i="3" s="1"/>
  <c r="AC78" i="3" s="1"/>
  <c r="AD78" i="3" s="1"/>
  <c r="AE78" i="3" s="1"/>
  <c r="AF78" i="3" s="1"/>
  <c r="AG78" i="3" s="1"/>
  <c r="AH78" i="3" s="1"/>
  <c r="AI78" i="3" s="1"/>
  <c r="E76" i="3"/>
  <c r="F76" i="3" s="1"/>
  <c r="E64" i="3"/>
  <c r="F64" i="3" s="1"/>
  <c r="G64" i="3" s="1"/>
  <c r="H64" i="3" s="1"/>
  <c r="I64" i="3" s="1"/>
  <c r="J64" i="3" s="1"/>
  <c r="K64" i="3" s="1"/>
  <c r="L64" i="3" s="1"/>
  <c r="M64" i="3" s="1"/>
  <c r="N64" i="3" s="1"/>
  <c r="O64" i="3" s="1"/>
  <c r="P64" i="3" s="1"/>
  <c r="Q64" i="3" s="1"/>
  <c r="R64" i="3" s="1"/>
  <c r="S64" i="3" s="1"/>
  <c r="T64" i="3" s="1"/>
  <c r="U64" i="3" s="1"/>
  <c r="V64" i="3" s="1"/>
  <c r="W64" i="3" s="1"/>
  <c r="X64" i="3" s="1"/>
  <c r="Y64" i="3" s="1"/>
  <c r="Z64" i="3" s="1"/>
  <c r="AA64" i="3" s="1"/>
  <c r="AB64" i="3" s="1"/>
  <c r="AC64" i="3" s="1"/>
  <c r="AD64" i="3" s="1"/>
  <c r="AE64" i="3" s="1"/>
  <c r="AF64" i="3" s="1"/>
  <c r="AG64" i="3" s="1"/>
  <c r="AH64" i="3" s="1"/>
  <c r="AI64" i="3" s="1"/>
  <c r="E62" i="3"/>
  <c r="F62" i="3" s="1"/>
  <c r="F92" i="6"/>
  <c r="G92" i="6" s="1"/>
  <c r="H92" i="6" s="1"/>
  <c r="I92" i="6" s="1"/>
  <c r="J92" i="6" s="1"/>
  <c r="K92" i="6" s="1"/>
  <c r="L92" i="6" s="1"/>
  <c r="M92" i="6" s="1"/>
  <c r="N92" i="6" s="1"/>
  <c r="O92" i="6" s="1"/>
  <c r="P92" i="6" s="1"/>
  <c r="Q92" i="6" s="1"/>
  <c r="R92" i="6" s="1"/>
  <c r="S92" i="6" s="1"/>
  <c r="T92" i="6" s="1"/>
  <c r="U92" i="6" s="1"/>
  <c r="V92" i="6" s="1"/>
  <c r="W92" i="6" s="1"/>
  <c r="X92" i="6" s="1"/>
  <c r="Y92" i="6" s="1"/>
  <c r="Z92" i="6" s="1"/>
  <c r="AA92" i="6" s="1"/>
  <c r="AC92" i="6" s="1"/>
  <c r="E90" i="6"/>
  <c r="F90" i="6" s="1"/>
  <c r="G90" i="6" s="1"/>
  <c r="H90" i="6" s="1"/>
  <c r="I90" i="6" s="1"/>
  <c r="J90" i="6" s="1"/>
  <c r="K90" i="6" s="1"/>
  <c r="L90" i="6" s="1"/>
  <c r="M90" i="6" s="1"/>
  <c r="N90" i="6" s="1"/>
  <c r="O90" i="6" s="1"/>
  <c r="P90" i="6" s="1"/>
  <c r="Q90" i="6" s="1"/>
  <c r="R90" i="6" s="1"/>
  <c r="S90" i="6" s="1"/>
  <c r="T90" i="6" s="1"/>
  <c r="U90" i="6" s="1"/>
  <c r="V90" i="6" s="1"/>
  <c r="W90" i="6" s="1"/>
  <c r="X90" i="6" s="1"/>
  <c r="Y90" i="6" s="1"/>
  <c r="AO472" i="4"/>
  <c r="AK470" i="4"/>
  <c r="AO408" i="4"/>
  <c r="AK406" i="4"/>
  <c r="AO264" i="4"/>
  <c r="AK262" i="4"/>
  <c r="AO252" i="4"/>
  <c r="AK246" i="4"/>
  <c r="AK118" i="4"/>
  <c r="AO22" i="5"/>
  <c r="AK20" i="5"/>
  <c r="AO9" i="3"/>
  <c r="F85" i="4"/>
  <c r="G85" i="4" s="1"/>
  <c r="H85" i="4" s="1"/>
  <c r="I85" i="4" s="1"/>
  <c r="AO23" i="6"/>
  <c r="F332" i="1"/>
  <c r="G332" i="1" s="1"/>
  <c r="H332" i="1" s="1"/>
  <c r="I332" i="1" s="1"/>
  <c r="J332" i="1" s="1"/>
  <c r="K332" i="1" s="1"/>
  <c r="L332" i="1" s="1"/>
  <c r="M332" i="1" s="1"/>
  <c r="N332" i="1" s="1"/>
  <c r="O332" i="1" s="1"/>
  <c r="F197" i="4"/>
  <c r="G197" i="4" s="1"/>
  <c r="H197" i="4" s="1"/>
  <c r="I197" i="4" s="1"/>
  <c r="J197" i="4" s="1"/>
  <c r="K197" i="4" s="1"/>
  <c r="L197" i="4" s="1"/>
  <c r="K807" i="1"/>
  <c r="F62" i="2"/>
  <c r="F807" i="1"/>
  <c r="E181" i="4"/>
  <c r="F181" i="4" s="1"/>
  <c r="G181" i="4" s="1"/>
  <c r="H181" i="4" s="1"/>
  <c r="I181" i="4" s="1"/>
  <c r="J181" i="4" s="1"/>
  <c r="K181" i="4" s="1"/>
  <c r="L181" i="4" s="1"/>
  <c r="M181" i="4" s="1"/>
  <c r="N181" i="4" s="1"/>
  <c r="O181" i="4" s="1"/>
  <c r="P181" i="4" s="1"/>
  <c r="Q181" i="4" s="1"/>
  <c r="AD472" i="3"/>
  <c r="AH472" i="3" s="1"/>
  <c r="AI472" i="3" s="1"/>
  <c r="AA472" i="3"/>
  <c r="AO9" i="2"/>
  <c r="AB956" i="1"/>
  <c r="AC956" i="1" s="1"/>
  <c r="AD956" i="1" s="1"/>
  <c r="AE956" i="1" s="1"/>
  <c r="AB658" i="1"/>
  <c r="W1092" i="1"/>
  <c r="X1092" i="1" s="1"/>
  <c r="Y1092" i="1" s="1"/>
  <c r="Z1092" i="1" s="1"/>
  <c r="AA1092" i="1" s="1"/>
  <c r="AB1092" i="1" s="1"/>
  <c r="AC1092" i="1" s="1"/>
  <c r="AD1092" i="1" s="1"/>
  <c r="AE1092" i="1" s="1"/>
  <c r="F314" i="3"/>
  <c r="G314" i="3" s="1"/>
  <c r="H314" i="3" s="1"/>
  <c r="I314" i="3" s="1"/>
  <c r="J314" i="3" s="1"/>
  <c r="K314" i="3" s="1"/>
  <c r="L314" i="3" s="1"/>
  <c r="M314" i="3" s="1"/>
  <c r="N314" i="3" s="1"/>
  <c r="O314" i="3" s="1"/>
  <c r="P314" i="3" s="1"/>
  <c r="Q314" i="3" s="1"/>
  <c r="R314" i="3" s="1"/>
  <c r="S314" i="3" s="1"/>
  <c r="T314" i="3" s="1"/>
  <c r="U314" i="3" s="1"/>
  <c r="V314" i="3" s="1"/>
  <c r="W314" i="3" s="1"/>
  <c r="X314" i="3" s="1"/>
  <c r="Y314" i="3" s="1"/>
  <c r="Z314" i="3" s="1"/>
  <c r="AA314" i="3" s="1"/>
  <c r="AB314" i="3" s="1"/>
  <c r="AC314" i="3" s="1"/>
  <c r="AD314" i="3" s="1"/>
  <c r="F34" i="2"/>
  <c r="G34" i="2" s="1"/>
  <c r="H34" i="2" s="1"/>
  <c r="I34" i="2" s="1"/>
  <c r="J34" i="2" s="1"/>
  <c r="K34" i="2" s="1"/>
  <c r="L34" i="2" s="1"/>
  <c r="M34" i="2" s="1"/>
  <c r="N34" i="2" s="1"/>
  <c r="O34" i="2" s="1"/>
  <c r="P34" i="2" s="1"/>
  <c r="Q34" i="2" s="1"/>
  <c r="R34" i="2" s="1"/>
  <c r="S34" i="2" s="1"/>
  <c r="T34" i="2" s="1"/>
  <c r="U34" i="2" s="1"/>
  <c r="V34" i="2" s="1"/>
  <c r="W34" i="2" s="1"/>
  <c r="X34" i="2" s="1"/>
  <c r="Y34" i="2" s="1"/>
  <c r="Z34" i="2" s="1"/>
  <c r="AA34" i="2" s="1"/>
  <c r="AB34" i="2" s="1"/>
  <c r="F1078" i="1"/>
  <c r="G1078" i="1" s="1"/>
  <c r="H1078" i="1" s="1"/>
  <c r="I1078" i="1" s="1"/>
  <c r="J1078" i="1" s="1"/>
  <c r="K1078" i="1" s="1"/>
  <c r="L1078" i="1" s="1"/>
  <c r="M1078" i="1" s="1"/>
  <c r="N1078" i="1" s="1"/>
  <c r="O1078" i="1" s="1"/>
  <c r="P1078" i="1" s="1"/>
  <c r="Q1078" i="1" s="1"/>
  <c r="R1078" i="1" s="1"/>
  <c r="S1078" i="1" s="1"/>
  <c r="T1078" i="1" s="1"/>
  <c r="U1078" i="1" s="1"/>
  <c r="V1078" i="1" s="1"/>
  <c r="W1078" i="1" s="1"/>
  <c r="X1078" i="1" s="1"/>
  <c r="Y1078" i="1" s="1"/>
  <c r="Z1078" i="1" s="1"/>
  <c r="AA1078" i="1" s="1"/>
  <c r="AB1078" i="1" s="1"/>
  <c r="AC1078" i="1" s="1"/>
  <c r="AD1078" i="1" s="1"/>
  <c r="AE1078" i="1" s="1"/>
  <c r="F658" i="1"/>
  <c r="G658" i="1" s="1"/>
  <c r="H658" i="1" s="1"/>
  <c r="I658" i="1" s="1"/>
  <c r="J658" i="1" s="1"/>
  <c r="K658" i="1" s="1"/>
  <c r="L658" i="1" s="1"/>
  <c r="M658" i="1" s="1"/>
  <c r="N658" i="1" s="1"/>
  <c r="O658" i="1" s="1"/>
  <c r="P658" i="1" s="1"/>
  <c r="Q658" i="1" s="1"/>
  <c r="R658" i="1" s="1"/>
  <c r="S658" i="1" s="1"/>
  <c r="F644" i="1"/>
  <c r="G644" i="1" s="1"/>
  <c r="H644" i="1" s="1"/>
  <c r="I644" i="1" s="1"/>
  <c r="J644" i="1" s="1"/>
  <c r="K644" i="1" s="1"/>
  <c r="L644" i="1" s="1"/>
  <c r="M644" i="1" s="1"/>
  <c r="N644" i="1" s="1"/>
  <c r="O644" i="1" s="1"/>
  <c r="P644" i="1" s="1"/>
  <c r="Q644" i="1" s="1"/>
  <c r="R644" i="1" s="1"/>
  <c r="S644" i="1" s="1"/>
  <c r="T644" i="1" s="1"/>
  <c r="U644" i="1" s="1"/>
  <c r="V644" i="1" s="1"/>
  <c r="W644" i="1" s="1"/>
  <c r="X644" i="1" s="1"/>
  <c r="Y644" i="1" s="1"/>
  <c r="Z644" i="1" s="1"/>
  <c r="AA644" i="1" s="1"/>
  <c r="AB644" i="1" s="1"/>
  <c r="AC644" i="1" s="1"/>
  <c r="AD644" i="1" s="1"/>
  <c r="AE644" i="1" s="1"/>
  <c r="F501" i="4"/>
  <c r="G501" i="4" s="1"/>
  <c r="H501" i="4" s="1"/>
  <c r="I501" i="4" s="1"/>
  <c r="J501" i="4" s="1"/>
  <c r="K501" i="4" s="1"/>
  <c r="L501" i="4" s="1"/>
  <c r="M501" i="4" s="1"/>
  <c r="N501" i="4" s="1"/>
  <c r="O501" i="4" s="1"/>
  <c r="P501" i="4" s="1"/>
  <c r="Q501" i="4" s="1"/>
  <c r="R501" i="4" s="1"/>
  <c r="S501" i="4" s="1"/>
  <c r="T501" i="4" s="1"/>
  <c r="U501" i="4" s="1"/>
  <c r="V501" i="4" s="1"/>
  <c r="W501" i="4" s="1"/>
  <c r="X501" i="4" s="1"/>
  <c r="Y501" i="4" s="1"/>
  <c r="Z501" i="4" s="1"/>
  <c r="AA501" i="4" s="1"/>
  <c r="O24" i="2"/>
  <c r="P24" i="2" s="1"/>
  <c r="Q24" i="2" s="1"/>
  <c r="R24" i="2" s="1"/>
  <c r="S24" i="2" s="1"/>
  <c r="T24" i="2" s="1"/>
  <c r="U24" i="2" s="1"/>
  <c r="V24" i="2" s="1"/>
  <c r="W24" i="2" s="1"/>
  <c r="X24" i="2" s="1"/>
  <c r="Y24" i="2" s="1"/>
  <c r="Z24" i="2" s="1"/>
  <c r="AD24" i="2" s="1"/>
  <c r="AH24" i="2" s="1"/>
  <c r="AI24" i="2" s="1"/>
  <c r="E49" i="5"/>
  <c r="F49" i="5" s="1"/>
  <c r="G49" i="5" s="1"/>
  <c r="H49" i="5" s="1"/>
  <c r="I49" i="5" s="1"/>
  <c r="J49" i="5" s="1"/>
  <c r="K49" i="5" s="1"/>
  <c r="L49" i="5" s="1"/>
  <c r="M49" i="5" s="1"/>
  <c r="N49" i="5" s="1"/>
  <c r="O49" i="5" s="1"/>
  <c r="P49" i="5" s="1"/>
  <c r="Q49" i="5" s="1"/>
  <c r="R49" i="5" s="1"/>
  <c r="S49" i="5" s="1"/>
  <c r="T49" i="5" s="1"/>
  <c r="U49" i="5" s="1"/>
  <c r="V49" i="5" s="1"/>
  <c r="W49" i="5" s="1"/>
  <c r="X49" i="5" s="1"/>
  <c r="Y49" i="5" s="1"/>
  <c r="Z49" i="5" s="1"/>
  <c r="AA49" i="5" s="1"/>
  <c r="AB49" i="5" s="1"/>
  <c r="AC49" i="5" s="1"/>
  <c r="AD49" i="5" s="1"/>
  <c r="AE49" i="5" s="1"/>
  <c r="AF49" i="5" s="1"/>
  <c r="AG49" i="5" s="1"/>
  <c r="AH49" i="5" s="1"/>
  <c r="AI49" i="5" s="1"/>
  <c r="E47" i="5"/>
  <c r="F47" i="5" s="1"/>
  <c r="G47" i="5" s="1"/>
  <c r="H47" i="5" s="1"/>
  <c r="I47" i="5" s="1"/>
  <c r="J47" i="5" s="1"/>
  <c r="K47" i="5" s="1"/>
  <c r="L47" i="5" s="1"/>
  <c r="M47" i="5" s="1"/>
  <c r="N47" i="5" s="1"/>
  <c r="O47" i="5" s="1"/>
  <c r="P47" i="5" s="1"/>
  <c r="Q47" i="5" s="1"/>
  <c r="R47" i="5" s="1"/>
  <c r="S47" i="5" s="1"/>
  <c r="T47" i="5" s="1"/>
  <c r="U47" i="5" s="1"/>
  <c r="V47" i="5" s="1"/>
  <c r="W47" i="5" s="1"/>
  <c r="X47" i="5" s="1"/>
  <c r="Y47" i="5" s="1"/>
  <c r="Z47" i="5" s="1"/>
  <c r="AA47" i="5" s="1"/>
  <c r="AB47" i="5" s="1"/>
  <c r="AC47" i="5" s="1"/>
  <c r="AD47" i="5" s="1"/>
  <c r="AE47" i="5" s="1"/>
  <c r="AF47" i="5" s="1"/>
  <c r="AG47" i="5" s="1"/>
  <c r="AH47" i="5" s="1"/>
  <c r="E21" i="5"/>
  <c r="F21" i="5" s="1"/>
  <c r="G21" i="5" s="1"/>
  <c r="H21" i="5" s="1"/>
  <c r="I21" i="5" s="1"/>
  <c r="J21" i="5" s="1"/>
  <c r="K21" i="5" s="1"/>
  <c r="L21" i="5" s="1"/>
  <c r="M21" i="5" s="1"/>
  <c r="N21" i="5" s="1"/>
  <c r="O21" i="5" s="1"/>
  <c r="P21" i="5" s="1"/>
  <c r="Q21" i="5" s="1"/>
  <c r="R21" i="5" s="1"/>
  <c r="S21" i="5" s="1"/>
  <c r="T21" i="5" s="1"/>
  <c r="U21" i="5" s="1"/>
  <c r="V21" i="5" s="1"/>
  <c r="W21" i="5" s="1"/>
  <c r="X21" i="5" s="1"/>
  <c r="Y21" i="5" s="1"/>
  <c r="Z21" i="5" s="1"/>
  <c r="AA21" i="5" s="1"/>
  <c r="AB21" i="5" s="1"/>
  <c r="AC21" i="5" s="1"/>
  <c r="AD21" i="5" s="1"/>
  <c r="AE21" i="5" s="1"/>
  <c r="AF21" i="5" s="1"/>
  <c r="AG21" i="5" s="1"/>
  <c r="AH21" i="5" s="1"/>
  <c r="AI21" i="5" s="1"/>
  <c r="E19" i="5"/>
  <c r="F19" i="5" s="1"/>
  <c r="G19" i="5" s="1"/>
  <c r="H19" i="5" s="1"/>
  <c r="I19" i="5" s="1"/>
  <c r="J19" i="5" s="1"/>
  <c r="K19" i="5" s="1"/>
  <c r="L19" i="5" s="1"/>
  <c r="M19" i="5" s="1"/>
  <c r="N19" i="5" s="1"/>
  <c r="O19" i="5" s="1"/>
  <c r="P19" i="5" s="1"/>
  <c r="Q19" i="5" s="1"/>
  <c r="R19" i="5" s="1"/>
  <c r="S19" i="5" s="1"/>
  <c r="T19" i="5" s="1"/>
  <c r="U19" i="5" s="1"/>
  <c r="V19" i="5" s="1"/>
  <c r="W19" i="5" s="1"/>
  <c r="X19" i="5" s="1"/>
  <c r="Y19" i="5" s="1"/>
  <c r="Z19" i="5" s="1"/>
  <c r="AA19" i="5" s="1"/>
  <c r="AB19" i="5" s="1"/>
  <c r="AC19" i="5" s="1"/>
  <c r="AD19" i="5" s="1"/>
  <c r="AE19" i="5" s="1"/>
  <c r="AF19" i="5" s="1"/>
  <c r="AG19" i="5" s="1"/>
  <c r="AH19" i="5" s="1"/>
  <c r="F20" i="2"/>
  <c r="G20" i="2" s="1"/>
  <c r="H20" i="2" s="1"/>
  <c r="I20" i="2" s="1"/>
  <c r="J20" i="2" s="1"/>
  <c r="K20" i="2" s="1"/>
  <c r="L20" i="2" s="1"/>
  <c r="M20" i="2" s="1"/>
  <c r="N20" i="2" s="1"/>
  <c r="O20" i="2" s="1"/>
  <c r="P20" i="2" s="1"/>
  <c r="Q20" i="2" s="1"/>
  <c r="R20" i="2" s="1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AG20" i="2" s="1"/>
  <c r="AH20" i="2" s="1"/>
  <c r="R181" i="4"/>
  <c r="S181" i="4" s="1"/>
  <c r="T181" i="4" s="1"/>
  <c r="U181" i="4" s="1"/>
  <c r="V181" i="4" s="1"/>
  <c r="W181" i="4" s="1"/>
  <c r="X181" i="4" s="1"/>
  <c r="Y181" i="4" s="1"/>
  <c r="Z181" i="4" s="1"/>
  <c r="AA181" i="4" s="1"/>
  <c r="AB181" i="4" s="1"/>
  <c r="AC181" i="4" s="1"/>
  <c r="AD181" i="4" s="1"/>
  <c r="AE181" i="4" s="1"/>
  <c r="AF181" i="4" s="1"/>
  <c r="AG181" i="4" s="1"/>
  <c r="AH165" i="4"/>
  <c r="AI165" i="4" s="1"/>
  <c r="AE453" i="4"/>
  <c r="AF453" i="4" s="1"/>
  <c r="AE34" i="2"/>
  <c r="AF34" i="2"/>
  <c r="F453" i="4"/>
  <c r="G453" i="4" s="1"/>
  <c r="H453" i="4" s="1"/>
  <c r="I453" i="4" s="1"/>
  <c r="J453" i="4" s="1"/>
  <c r="K453" i="4" s="1"/>
  <c r="L453" i="4" s="1"/>
  <c r="M453" i="4" s="1"/>
  <c r="N453" i="4" s="1"/>
  <c r="O453" i="4" s="1"/>
  <c r="P453" i="4" s="1"/>
  <c r="Q453" i="4" s="1"/>
  <c r="R453" i="4" s="1"/>
  <c r="S453" i="4" s="1"/>
  <c r="T453" i="4" s="1"/>
  <c r="U453" i="4" s="1"/>
  <c r="V453" i="4" s="1"/>
  <c r="W453" i="4" s="1"/>
  <c r="X453" i="4" s="1"/>
  <c r="Y453" i="4" s="1"/>
  <c r="Z453" i="4" s="1"/>
  <c r="AA453" i="4" s="1"/>
  <c r="U583" i="3"/>
  <c r="V69" i="4"/>
  <c r="F213" i="4"/>
  <c r="G213" i="4" s="1"/>
  <c r="H213" i="4" s="1"/>
  <c r="I213" i="4" s="1"/>
  <c r="J213" i="4" s="1"/>
  <c r="H69" i="4"/>
  <c r="I69" i="4" s="1"/>
  <c r="J69" i="4" s="1"/>
  <c r="K69" i="4" s="1"/>
  <c r="L69" i="4" s="1"/>
  <c r="M69" i="4" s="1"/>
  <c r="N69" i="4" s="1"/>
  <c r="O69" i="4" s="1"/>
  <c r="P69" i="4" s="1"/>
  <c r="Q69" i="4" s="1"/>
  <c r="K325" i="4"/>
  <c r="L325" i="4"/>
  <c r="M325" i="4" s="1"/>
  <c r="N325" i="4" s="1"/>
  <c r="O325" i="4" s="1"/>
  <c r="P325" i="4" s="1"/>
  <c r="Q325" i="4" s="1"/>
  <c r="R325" i="4" s="1"/>
  <c r="S325" i="4" s="1"/>
  <c r="T325" i="4" s="1"/>
  <c r="U325" i="4" s="1"/>
  <c r="V325" i="4" s="1"/>
  <c r="W325" i="4" s="1"/>
  <c r="X325" i="4" s="1"/>
  <c r="Y325" i="4" s="1"/>
  <c r="Z325" i="4" s="1"/>
  <c r="AA325" i="4" s="1"/>
  <c r="F48" i="2"/>
  <c r="G48" i="2" s="1"/>
  <c r="H48" i="2" s="1"/>
  <c r="I48" i="2" s="1"/>
  <c r="J48" i="2" s="1"/>
  <c r="K48" i="2" s="1"/>
  <c r="L48" i="2" s="1"/>
  <c r="M48" i="2" s="1"/>
  <c r="N48" i="2" s="1"/>
  <c r="O48" i="2" s="1"/>
  <c r="P48" i="2" s="1"/>
  <c r="Q48" i="2" s="1"/>
  <c r="R48" i="2" s="1"/>
  <c r="S48" i="2" s="1"/>
  <c r="T48" i="2" s="1"/>
  <c r="U48" i="2" s="1"/>
  <c r="V48" i="2" s="1"/>
  <c r="W48" i="2" s="1"/>
  <c r="X48" i="2" s="1"/>
  <c r="Y48" i="2" s="1"/>
  <c r="Z48" i="2" s="1"/>
  <c r="AA48" i="2" s="1"/>
  <c r="AB48" i="2" s="1"/>
  <c r="AC48" i="2" s="1"/>
  <c r="AD48" i="2" s="1"/>
  <c r="AE48" i="2" s="1"/>
  <c r="F174" i="6"/>
  <c r="G174" i="6" s="1"/>
  <c r="H174" i="6" s="1"/>
  <c r="I174" i="6" s="1"/>
  <c r="J174" i="6" s="1"/>
  <c r="K174" i="6" s="1"/>
  <c r="L174" i="6" s="1"/>
  <c r="M174" i="6" s="1"/>
  <c r="N174" i="6" s="1"/>
  <c r="O174" i="6" s="1"/>
  <c r="P174" i="6" s="1"/>
  <c r="Q174" i="6" s="1"/>
  <c r="R174" i="6" s="1"/>
  <c r="S174" i="6" s="1"/>
  <c r="T174" i="6" s="1"/>
  <c r="U174" i="6" s="1"/>
  <c r="V174" i="6" s="1"/>
  <c r="W174" i="6" s="1"/>
  <c r="X174" i="6" s="1"/>
  <c r="Y174" i="6" s="1"/>
  <c r="Z174" i="6" s="1"/>
  <c r="AA174" i="6" s="1"/>
  <c r="AB174" i="6" s="1"/>
  <c r="AC174" i="6" s="1"/>
  <c r="AD174" i="6" s="1"/>
  <c r="AE174" i="6" s="1"/>
  <c r="F21" i="4"/>
  <c r="G21" i="4" s="1"/>
  <c r="H21" i="4" s="1"/>
  <c r="I21" i="4" s="1"/>
  <c r="J21" i="4" s="1"/>
  <c r="K21" i="4" s="1"/>
  <c r="L21" i="4" s="1"/>
  <c r="M21" i="4" s="1"/>
  <c r="N21" i="4" s="1"/>
  <c r="O21" i="4" s="1"/>
  <c r="P21" i="4" s="1"/>
  <c r="Q21" i="4" s="1"/>
  <c r="R21" i="4" s="1"/>
  <c r="S21" i="4" s="1"/>
  <c r="T21" i="4" s="1"/>
  <c r="U21" i="4" s="1"/>
  <c r="V21" i="4" s="1"/>
  <c r="W21" i="4" s="1"/>
  <c r="X21" i="4" s="1"/>
  <c r="Y21" i="4" s="1"/>
  <c r="Z21" i="4" s="1"/>
  <c r="AA21" i="4" s="1"/>
  <c r="AB21" i="4" s="1"/>
  <c r="AC21" i="4" s="1"/>
  <c r="AD21" i="4" s="1"/>
  <c r="F104" i="3"/>
  <c r="G104" i="3" s="1"/>
  <c r="H104" i="3" s="1"/>
  <c r="I104" i="3" s="1"/>
  <c r="J104" i="3" s="1"/>
  <c r="K104" i="3" s="1"/>
  <c r="L104" i="3" s="1"/>
  <c r="M104" i="3" s="1"/>
  <c r="N104" i="3" s="1"/>
  <c r="O104" i="3" s="1"/>
  <c r="P104" i="3" s="1"/>
  <c r="Q104" i="3" s="1"/>
  <c r="R104" i="3" s="1"/>
  <c r="S104" i="3" s="1"/>
  <c r="T104" i="3" s="1"/>
  <c r="U104" i="3" s="1"/>
  <c r="V104" i="3" s="1"/>
  <c r="W104" i="3" s="1"/>
  <c r="X104" i="3" s="1"/>
  <c r="Y104" i="3" s="1"/>
  <c r="Z104" i="3" s="1"/>
  <c r="AA104" i="3" s="1"/>
  <c r="AB104" i="3" s="1"/>
  <c r="AC104" i="3" s="1"/>
  <c r="AD104" i="3" s="1"/>
  <c r="AE104" i="3" s="1"/>
  <c r="F522" i="1"/>
  <c r="G522" i="1"/>
  <c r="H522" i="1"/>
  <c r="I522" i="1"/>
  <c r="J522" i="1" s="1"/>
  <c r="K522" i="1" s="1"/>
  <c r="F47" i="1"/>
  <c r="G47" i="1" s="1"/>
  <c r="H47" i="1" s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H7" i="1"/>
  <c r="I7" i="1" s="1"/>
  <c r="J7" i="1" s="1"/>
  <c r="K7" i="1" s="1"/>
  <c r="L7" i="1" s="1"/>
  <c r="M7" i="1" s="1"/>
  <c r="N7" i="1" s="1"/>
  <c r="O7" i="1" s="1"/>
  <c r="P7" i="1" s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E470" i="1"/>
  <c r="F470" i="1" s="1"/>
  <c r="G470" i="1" s="1"/>
  <c r="H470" i="1" s="1"/>
  <c r="I470" i="1" s="1"/>
  <c r="J470" i="1" s="1"/>
  <c r="K470" i="1" s="1"/>
  <c r="L470" i="1" s="1"/>
  <c r="M470" i="1" s="1"/>
  <c r="N470" i="1" s="1"/>
  <c r="O470" i="1" s="1"/>
  <c r="P470" i="1" s="1"/>
  <c r="Q470" i="1" s="1"/>
  <c r="R470" i="1" s="1"/>
  <c r="S470" i="1" s="1"/>
  <c r="T470" i="1" s="1"/>
  <c r="U470" i="1" s="1"/>
  <c r="V470" i="1" s="1"/>
  <c r="W470" i="1" s="1"/>
  <c r="X470" i="1" s="1"/>
  <c r="Y470" i="1" s="1"/>
  <c r="Z470" i="1" s="1"/>
  <c r="E375" i="1"/>
  <c r="F375" i="1" s="1"/>
  <c r="G375" i="1" s="1"/>
  <c r="H375" i="1" s="1"/>
  <c r="I375" i="1" s="1"/>
  <c r="J375" i="1" s="1"/>
  <c r="K375" i="1" s="1"/>
  <c r="L375" i="1" s="1"/>
  <c r="M375" i="1" s="1"/>
  <c r="N375" i="1" s="1"/>
  <c r="O375" i="1" s="1"/>
  <c r="P375" i="1" s="1"/>
  <c r="Q375" i="1" s="1"/>
  <c r="R375" i="1" s="1"/>
  <c r="S375" i="1" s="1"/>
  <c r="T375" i="1" s="1"/>
  <c r="U375" i="1" s="1"/>
  <c r="V375" i="1" s="1"/>
  <c r="W375" i="1" s="1"/>
  <c r="X375" i="1" s="1"/>
  <c r="Y375" i="1" s="1"/>
  <c r="Z375" i="1" s="1"/>
  <c r="E293" i="1"/>
  <c r="F293" i="1" s="1"/>
  <c r="G293" i="1" s="1"/>
  <c r="H293" i="1" s="1"/>
  <c r="I293" i="1" s="1"/>
  <c r="J293" i="1" s="1"/>
  <c r="K293" i="1" s="1"/>
  <c r="L293" i="1" s="1"/>
  <c r="M293" i="1" s="1"/>
  <c r="N293" i="1" s="1"/>
  <c r="O293" i="1" s="1"/>
  <c r="P293" i="1" s="1"/>
  <c r="Q293" i="1" s="1"/>
  <c r="R293" i="1" s="1"/>
  <c r="S293" i="1" s="1"/>
  <c r="T293" i="1" s="1"/>
  <c r="U293" i="1" s="1"/>
  <c r="V293" i="1" s="1"/>
  <c r="W293" i="1" s="1"/>
  <c r="X293" i="1" s="1"/>
  <c r="Y293" i="1" s="1"/>
  <c r="Z293" i="1" s="1"/>
  <c r="AA293" i="1" s="1"/>
  <c r="AB293" i="1" s="1"/>
  <c r="AC293" i="1" s="1"/>
  <c r="AD293" i="1" s="1"/>
  <c r="AE293" i="1" s="1"/>
  <c r="AF293" i="1" s="1"/>
  <c r="AG293" i="1" s="1"/>
  <c r="AH293" i="1" s="1"/>
  <c r="AI293" i="1" s="1"/>
  <c r="E279" i="1"/>
  <c r="F279" i="1" s="1"/>
  <c r="G279" i="1" s="1"/>
  <c r="H279" i="1" s="1"/>
  <c r="I279" i="1" s="1"/>
  <c r="J279" i="1" s="1"/>
  <c r="K279" i="1" s="1"/>
  <c r="L279" i="1" s="1"/>
  <c r="M279" i="1" s="1"/>
  <c r="N279" i="1" s="1"/>
  <c r="O279" i="1" s="1"/>
  <c r="P279" i="1" s="1"/>
  <c r="Q279" i="1" s="1"/>
  <c r="R279" i="1" s="1"/>
  <c r="S279" i="1" s="1"/>
  <c r="T279" i="1" s="1"/>
  <c r="U279" i="1" s="1"/>
  <c r="V279" i="1" s="1"/>
  <c r="W279" i="1" s="1"/>
  <c r="X279" i="1" s="1"/>
  <c r="Y279" i="1" s="1"/>
  <c r="Z279" i="1" s="1"/>
  <c r="AA279" i="1" s="1"/>
  <c r="AB279" i="1" s="1"/>
  <c r="AC279" i="1" s="1"/>
  <c r="AD279" i="1" s="1"/>
  <c r="AE279" i="1" s="1"/>
  <c r="AF279" i="1" s="1"/>
  <c r="AG279" i="1" s="1"/>
  <c r="AH279" i="1" s="1"/>
  <c r="AI279" i="1" s="1"/>
  <c r="E76" i="1"/>
  <c r="F76" i="1" s="1"/>
  <c r="G76" i="1" s="1"/>
  <c r="H76" i="1" s="1"/>
  <c r="I76" i="1" s="1"/>
  <c r="J76" i="1" s="1"/>
  <c r="K76" i="1" s="1"/>
  <c r="L76" i="1" s="1"/>
  <c r="M76" i="1" s="1"/>
  <c r="N76" i="1" s="1"/>
  <c r="O76" i="1" s="1"/>
  <c r="P76" i="1" s="1"/>
  <c r="Q76" i="1" s="1"/>
  <c r="R76" i="1" s="1"/>
  <c r="S76" i="1" s="1"/>
  <c r="T76" i="1" s="1"/>
  <c r="U76" i="1" s="1"/>
  <c r="V76" i="1" s="1"/>
  <c r="W76" i="1" s="1"/>
  <c r="X76" i="1" s="1"/>
  <c r="Y76" i="1" s="1"/>
  <c r="Z76" i="1" s="1"/>
  <c r="AA76" i="1" s="1"/>
  <c r="AB76" i="1" s="1"/>
  <c r="AC76" i="1" s="1"/>
  <c r="AD76" i="1" s="1"/>
  <c r="AE76" i="1" s="1"/>
  <c r="AF76" i="1" s="1"/>
  <c r="AG76" i="1" s="1"/>
  <c r="AH76" i="1" s="1"/>
  <c r="AI76" i="1" s="1"/>
  <c r="E18" i="1"/>
  <c r="F18" i="1" s="1"/>
  <c r="G18" i="1" s="1"/>
  <c r="H18" i="1" s="1"/>
  <c r="I18" i="1" s="1"/>
  <c r="J18" i="1" s="1"/>
  <c r="K18" i="1" s="1"/>
  <c r="L18" i="1" s="1"/>
  <c r="M18" i="1" s="1"/>
  <c r="N18" i="1" s="1"/>
  <c r="O18" i="1" s="1"/>
  <c r="P18" i="1" s="1"/>
  <c r="E497" i="1"/>
  <c r="F497" i="1" s="1"/>
  <c r="G497" i="1" s="1"/>
  <c r="H497" i="1" s="1"/>
  <c r="I497" i="1" s="1"/>
  <c r="J497" i="1" s="1"/>
  <c r="K497" i="1" s="1"/>
  <c r="L497" i="1" s="1"/>
  <c r="M497" i="1" s="1"/>
  <c r="N497" i="1" s="1"/>
  <c r="O497" i="1" s="1"/>
  <c r="P497" i="1" s="1"/>
  <c r="Q497" i="1" s="1"/>
  <c r="R497" i="1" s="1"/>
  <c r="S497" i="1" s="1"/>
  <c r="T497" i="1" s="1"/>
  <c r="U497" i="1" s="1"/>
  <c r="V497" i="1" s="1"/>
  <c r="W497" i="1" s="1"/>
  <c r="X497" i="1" s="1"/>
  <c r="Y497" i="1" s="1"/>
  <c r="Z497" i="1" s="1"/>
  <c r="E548" i="1"/>
  <c r="F548" i="1" s="1"/>
  <c r="G548" i="1" s="1"/>
  <c r="H548" i="1" s="1"/>
  <c r="I548" i="1" s="1"/>
  <c r="J548" i="1" s="1"/>
  <c r="K548" i="1" s="1"/>
  <c r="L548" i="1" s="1"/>
  <c r="M548" i="1" s="1"/>
  <c r="N548" i="1" s="1"/>
  <c r="O548" i="1" s="1"/>
  <c r="P548" i="1" s="1"/>
  <c r="Q548" i="1" s="1"/>
  <c r="R548" i="1" s="1"/>
  <c r="S548" i="1" s="1"/>
  <c r="T548" i="1" s="1"/>
  <c r="U548" i="1" s="1"/>
  <c r="V548" i="1" s="1"/>
  <c r="W548" i="1" s="1"/>
  <c r="X548" i="1" s="1"/>
  <c r="Y548" i="1" s="1"/>
  <c r="Z548" i="1" s="1"/>
  <c r="E578" i="1"/>
  <c r="F578" i="1" s="1"/>
  <c r="G578" i="1" s="1"/>
  <c r="H578" i="1" s="1"/>
  <c r="I578" i="1" s="1"/>
  <c r="J578" i="1" s="1"/>
  <c r="K578" i="1" s="1"/>
  <c r="L578" i="1" s="1"/>
  <c r="M578" i="1" s="1"/>
  <c r="N578" i="1" s="1"/>
  <c r="O578" i="1" s="1"/>
  <c r="P578" i="1" s="1"/>
  <c r="Q578" i="1" s="1"/>
  <c r="R578" i="1" s="1"/>
  <c r="S578" i="1" s="1"/>
  <c r="T578" i="1" s="1"/>
  <c r="U578" i="1" s="1"/>
  <c r="V578" i="1" s="1"/>
  <c r="W578" i="1" s="1"/>
  <c r="X578" i="1" s="1"/>
  <c r="Y578" i="1" s="1"/>
  <c r="Z578" i="1" s="1"/>
  <c r="AA578" i="1" s="1"/>
  <c r="AB578" i="1" s="1"/>
  <c r="AC578" i="1" s="1"/>
  <c r="AD578" i="1" s="1"/>
  <c r="AE578" i="1" s="1"/>
  <c r="AF578" i="1" s="1"/>
  <c r="AG578" i="1" s="1"/>
  <c r="AH578" i="1" s="1"/>
  <c r="AI578" i="1" s="1"/>
  <c r="E602" i="1"/>
  <c r="F602" i="1" s="1"/>
  <c r="G602" i="1" s="1"/>
  <c r="H602" i="1" s="1"/>
  <c r="I602" i="1" s="1"/>
  <c r="J602" i="1" s="1"/>
  <c r="K602" i="1" s="1"/>
  <c r="L602" i="1" s="1"/>
  <c r="M602" i="1" s="1"/>
  <c r="N602" i="1" s="1"/>
  <c r="O602" i="1" s="1"/>
  <c r="P602" i="1" s="1"/>
  <c r="Q602" i="1" s="1"/>
  <c r="R602" i="1" s="1"/>
  <c r="S602" i="1" s="1"/>
  <c r="T602" i="1" s="1"/>
  <c r="U602" i="1" s="1"/>
  <c r="V602" i="1" s="1"/>
  <c r="W602" i="1" s="1"/>
  <c r="X602" i="1" s="1"/>
  <c r="Y602" i="1" s="1"/>
  <c r="Z602" i="1" s="1"/>
  <c r="AA602" i="1" s="1"/>
  <c r="AB602" i="1" s="1"/>
  <c r="AC602" i="1" s="1"/>
  <c r="AD602" i="1" s="1"/>
  <c r="AE602" i="1" s="1"/>
  <c r="AF602" i="1" s="1"/>
  <c r="AG602" i="1" s="1"/>
  <c r="AH602" i="1" s="1"/>
  <c r="AI602" i="1" s="1"/>
  <c r="E619" i="1"/>
  <c r="F619" i="1" s="1"/>
  <c r="G619" i="1" s="1"/>
  <c r="H619" i="1" s="1"/>
  <c r="I619" i="1" s="1"/>
  <c r="J619" i="1" s="1"/>
  <c r="K619" i="1" s="1"/>
  <c r="L619" i="1" s="1"/>
  <c r="M619" i="1" s="1"/>
  <c r="N619" i="1" s="1"/>
  <c r="O619" i="1" s="1"/>
  <c r="P619" i="1" s="1"/>
  <c r="Q619" i="1" s="1"/>
  <c r="R619" i="1" s="1"/>
  <c r="S619" i="1" s="1"/>
  <c r="T619" i="1" s="1"/>
  <c r="U619" i="1" s="1"/>
  <c r="V619" i="1" s="1"/>
  <c r="W619" i="1" s="1"/>
  <c r="X619" i="1" s="1"/>
  <c r="Y619" i="1" s="1"/>
  <c r="Z619" i="1" s="1"/>
  <c r="AA619" i="1" s="1"/>
  <c r="AB619" i="1" s="1"/>
  <c r="AC619" i="1" s="1"/>
  <c r="AD619" i="1" s="1"/>
  <c r="AE619" i="1" s="1"/>
  <c r="AF619" i="1" s="1"/>
  <c r="AG619" i="1" s="1"/>
  <c r="AH619" i="1" s="1"/>
  <c r="AI619" i="1" s="1"/>
  <c r="E657" i="1"/>
  <c r="F657" i="1" s="1"/>
  <c r="G657" i="1" s="1"/>
  <c r="H657" i="1" s="1"/>
  <c r="I657" i="1" s="1"/>
  <c r="J657" i="1" s="1"/>
  <c r="K657" i="1" s="1"/>
  <c r="L657" i="1" s="1"/>
  <c r="M657" i="1" s="1"/>
  <c r="N657" i="1" s="1"/>
  <c r="O657" i="1" s="1"/>
  <c r="P657" i="1" s="1"/>
  <c r="Q657" i="1" s="1"/>
  <c r="R657" i="1" s="1"/>
  <c r="S657" i="1" s="1"/>
  <c r="T657" i="1" s="1"/>
  <c r="U657" i="1" s="1"/>
  <c r="V657" i="1" s="1"/>
  <c r="W657" i="1" s="1"/>
  <c r="X657" i="1" s="1"/>
  <c r="Y657" i="1" s="1"/>
  <c r="Z657" i="1" s="1"/>
  <c r="AA657" i="1" s="1"/>
  <c r="AB657" i="1" s="1"/>
  <c r="AC657" i="1" s="1"/>
  <c r="AD657" i="1" s="1"/>
  <c r="AE657" i="1" s="1"/>
  <c r="AF657" i="1" s="1"/>
  <c r="AG657" i="1" s="1"/>
  <c r="AH657" i="1" s="1"/>
  <c r="AI657" i="1" s="1"/>
  <c r="E727" i="1"/>
  <c r="F727" i="1" s="1"/>
  <c r="G727" i="1" s="1"/>
  <c r="H727" i="1" s="1"/>
  <c r="I727" i="1" s="1"/>
  <c r="J727" i="1" s="1"/>
  <c r="K727" i="1" s="1"/>
  <c r="L727" i="1" s="1"/>
  <c r="M727" i="1" s="1"/>
  <c r="N727" i="1" s="1"/>
  <c r="O727" i="1" s="1"/>
  <c r="P727" i="1" s="1"/>
  <c r="Q727" i="1" s="1"/>
  <c r="R727" i="1" s="1"/>
  <c r="S727" i="1" s="1"/>
  <c r="T727" i="1" s="1"/>
  <c r="U727" i="1" s="1"/>
  <c r="V727" i="1" s="1"/>
  <c r="W727" i="1" s="1"/>
  <c r="X727" i="1" s="1"/>
  <c r="Y727" i="1" s="1"/>
  <c r="Z727" i="1" s="1"/>
  <c r="AA727" i="1" s="1"/>
  <c r="AB727" i="1" s="1"/>
  <c r="AC727" i="1" s="1"/>
  <c r="AD727" i="1" s="1"/>
  <c r="AE727" i="1" s="1"/>
  <c r="AF727" i="1" s="1"/>
  <c r="AG727" i="1" s="1"/>
  <c r="AH727" i="1" s="1"/>
  <c r="AI727" i="1" s="1"/>
  <c r="E754" i="1"/>
  <c r="F754" i="1" s="1"/>
  <c r="G754" i="1" s="1"/>
  <c r="H754" i="1" s="1"/>
  <c r="I754" i="1" s="1"/>
  <c r="J754" i="1" s="1"/>
  <c r="K754" i="1" s="1"/>
  <c r="L754" i="1" s="1"/>
  <c r="M754" i="1" s="1"/>
  <c r="N754" i="1" s="1"/>
  <c r="O754" i="1" s="1"/>
  <c r="P754" i="1" s="1"/>
  <c r="Q754" i="1" s="1"/>
  <c r="R754" i="1" s="1"/>
  <c r="S754" i="1" s="1"/>
  <c r="T754" i="1" s="1"/>
  <c r="U754" i="1" s="1"/>
  <c r="V754" i="1" s="1"/>
  <c r="W754" i="1" s="1"/>
  <c r="X754" i="1" s="1"/>
  <c r="Y754" i="1" s="1"/>
  <c r="Z754" i="1" s="1"/>
  <c r="AA754" i="1" s="1"/>
  <c r="AB754" i="1" s="1"/>
  <c r="AC754" i="1" s="1"/>
  <c r="AD754" i="1" s="1"/>
  <c r="AE754" i="1" s="1"/>
  <c r="AF754" i="1" s="1"/>
  <c r="AG754" i="1" s="1"/>
  <c r="AH754" i="1" s="1"/>
  <c r="AI754" i="1" s="1"/>
  <c r="E752" i="1"/>
  <c r="F752" i="1" s="1"/>
  <c r="G752" i="1" s="1"/>
  <c r="H752" i="1" s="1"/>
  <c r="I752" i="1" s="1"/>
  <c r="J752" i="1" s="1"/>
  <c r="K752" i="1" s="1"/>
  <c r="L752" i="1" s="1"/>
  <c r="M752" i="1" s="1"/>
  <c r="N752" i="1" s="1"/>
  <c r="O752" i="1" s="1"/>
  <c r="P752" i="1" s="1"/>
  <c r="Q752" i="1" s="1"/>
  <c r="R752" i="1" s="1"/>
  <c r="S752" i="1" s="1"/>
  <c r="T752" i="1" s="1"/>
  <c r="U752" i="1" s="1"/>
  <c r="V752" i="1" s="1"/>
  <c r="W752" i="1" s="1"/>
  <c r="X752" i="1" s="1"/>
  <c r="Y752" i="1" s="1"/>
  <c r="Z752" i="1" s="1"/>
  <c r="AA752" i="1" s="1"/>
  <c r="AB752" i="1" s="1"/>
  <c r="AC752" i="1" s="1"/>
  <c r="AD752" i="1" s="1"/>
  <c r="AE752" i="1" s="1"/>
  <c r="E768" i="1"/>
  <c r="F768" i="1" s="1"/>
  <c r="G768" i="1" s="1"/>
  <c r="H768" i="1" s="1"/>
  <c r="I768" i="1" s="1"/>
  <c r="J768" i="1" s="1"/>
  <c r="K768" i="1" s="1"/>
  <c r="L768" i="1" s="1"/>
  <c r="M768" i="1" s="1"/>
  <c r="N768" i="1" s="1"/>
  <c r="O768" i="1" s="1"/>
  <c r="P768" i="1" s="1"/>
  <c r="Q768" i="1" s="1"/>
  <c r="R768" i="1" s="1"/>
  <c r="S768" i="1" s="1"/>
  <c r="T768" i="1" s="1"/>
  <c r="U768" i="1" s="1"/>
  <c r="V768" i="1" s="1"/>
  <c r="W768" i="1" s="1"/>
  <c r="X768" i="1" s="1"/>
  <c r="Y768" i="1" s="1"/>
  <c r="Z768" i="1" s="1"/>
  <c r="AA768" i="1" s="1"/>
  <c r="AB768" i="1" s="1"/>
  <c r="AC768" i="1" s="1"/>
  <c r="AD768" i="1" s="1"/>
  <c r="AE768" i="1" s="1"/>
  <c r="AF768" i="1" s="1"/>
  <c r="AG768" i="1" s="1"/>
  <c r="AH768" i="1" s="1"/>
  <c r="AI768" i="1" s="1"/>
  <c r="E766" i="1"/>
  <c r="E782" i="1"/>
  <c r="F782" i="1" s="1"/>
  <c r="G782" i="1" s="1"/>
  <c r="H782" i="1" s="1"/>
  <c r="I782" i="1" s="1"/>
  <c r="J782" i="1" s="1"/>
  <c r="K782" i="1" s="1"/>
  <c r="L782" i="1" s="1"/>
  <c r="M782" i="1" s="1"/>
  <c r="N782" i="1" s="1"/>
  <c r="O782" i="1" s="1"/>
  <c r="P782" i="1" s="1"/>
  <c r="Q782" i="1" s="1"/>
  <c r="R782" i="1" s="1"/>
  <c r="S782" i="1" s="1"/>
  <c r="T782" i="1" s="1"/>
  <c r="U782" i="1" s="1"/>
  <c r="V782" i="1" s="1"/>
  <c r="W782" i="1" s="1"/>
  <c r="X782" i="1" s="1"/>
  <c r="Y782" i="1" s="1"/>
  <c r="Z782" i="1" s="1"/>
  <c r="AA782" i="1" s="1"/>
  <c r="AB782" i="1" s="1"/>
  <c r="AC782" i="1" s="1"/>
  <c r="AD782" i="1" s="1"/>
  <c r="AE782" i="1" s="1"/>
  <c r="AF782" i="1" s="1"/>
  <c r="AG782" i="1" s="1"/>
  <c r="AH782" i="1" s="1"/>
  <c r="AI782" i="1" s="1"/>
  <c r="E780" i="1"/>
  <c r="E823" i="1"/>
  <c r="F823" i="1" s="1"/>
  <c r="G823" i="1" s="1"/>
  <c r="H823" i="1" s="1"/>
  <c r="I823" i="1" s="1"/>
  <c r="J823" i="1" s="1"/>
  <c r="K823" i="1" s="1"/>
  <c r="L823" i="1" s="1"/>
  <c r="M823" i="1" s="1"/>
  <c r="N823" i="1" s="1"/>
  <c r="O823" i="1" s="1"/>
  <c r="P823" i="1" s="1"/>
  <c r="Q823" i="1" s="1"/>
  <c r="R823" i="1" s="1"/>
  <c r="S823" i="1" s="1"/>
  <c r="T823" i="1" s="1"/>
  <c r="U823" i="1" s="1"/>
  <c r="V823" i="1" s="1"/>
  <c r="W823" i="1" s="1"/>
  <c r="X823" i="1" s="1"/>
  <c r="Y823" i="1" s="1"/>
  <c r="Z823" i="1" s="1"/>
  <c r="AA823" i="1" s="1"/>
  <c r="AB823" i="1" s="1"/>
  <c r="AC823" i="1" s="1"/>
  <c r="AD823" i="1" s="1"/>
  <c r="AE823" i="1" s="1"/>
  <c r="AF823" i="1" s="1"/>
  <c r="AG823" i="1" s="1"/>
  <c r="AH823" i="1" s="1"/>
  <c r="AI823" i="1" s="1"/>
  <c r="E821" i="1"/>
  <c r="E931" i="1"/>
  <c r="F931" i="1" s="1"/>
  <c r="G931" i="1" s="1"/>
  <c r="H931" i="1" s="1"/>
  <c r="I931" i="1" s="1"/>
  <c r="J931" i="1" s="1"/>
  <c r="K931" i="1" s="1"/>
  <c r="L931" i="1" s="1"/>
  <c r="M931" i="1" s="1"/>
  <c r="N931" i="1" s="1"/>
  <c r="O931" i="1" s="1"/>
  <c r="P931" i="1" s="1"/>
  <c r="Q931" i="1" s="1"/>
  <c r="R931" i="1" s="1"/>
  <c r="S931" i="1" s="1"/>
  <c r="T931" i="1" s="1"/>
  <c r="U931" i="1" s="1"/>
  <c r="V931" i="1" s="1"/>
  <c r="W931" i="1" s="1"/>
  <c r="X931" i="1" s="1"/>
  <c r="Y931" i="1" s="1"/>
  <c r="Z931" i="1" s="1"/>
  <c r="AA931" i="1" s="1"/>
  <c r="AB931" i="1" s="1"/>
  <c r="AC931" i="1" s="1"/>
  <c r="AD931" i="1" s="1"/>
  <c r="AE931" i="1" s="1"/>
  <c r="AF931" i="1" s="1"/>
  <c r="AG931" i="1" s="1"/>
  <c r="AH931" i="1" s="1"/>
  <c r="AI931" i="1" s="1"/>
  <c r="E904" i="1"/>
  <c r="F904" i="1" s="1"/>
  <c r="G904" i="1" s="1"/>
  <c r="H904" i="1" s="1"/>
  <c r="I904" i="1" s="1"/>
  <c r="J904" i="1" s="1"/>
  <c r="K904" i="1" s="1"/>
  <c r="L904" i="1" s="1"/>
  <c r="M904" i="1" s="1"/>
  <c r="N904" i="1" s="1"/>
  <c r="O904" i="1" s="1"/>
  <c r="P904" i="1" s="1"/>
  <c r="Q904" i="1" s="1"/>
  <c r="R904" i="1" s="1"/>
  <c r="S904" i="1" s="1"/>
  <c r="T904" i="1" s="1"/>
  <c r="U904" i="1" s="1"/>
  <c r="V904" i="1" s="1"/>
  <c r="W904" i="1" s="1"/>
  <c r="X904" i="1" s="1"/>
  <c r="Y904" i="1" s="1"/>
  <c r="Z904" i="1" s="1"/>
  <c r="AA904" i="1" s="1"/>
  <c r="AB904" i="1" s="1"/>
  <c r="AC904" i="1" s="1"/>
  <c r="AD904" i="1" s="1"/>
  <c r="AE904" i="1" s="1"/>
  <c r="AF904" i="1" s="1"/>
  <c r="AG904" i="1" s="1"/>
  <c r="AH904" i="1" s="1"/>
  <c r="AI904" i="1" s="1"/>
  <c r="E902" i="1"/>
  <c r="E958" i="1"/>
  <c r="F958" i="1" s="1"/>
  <c r="G958" i="1" s="1"/>
  <c r="H958" i="1" s="1"/>
  <c r="I958" i="1" s="1"/>
  <c r="J958" i="1" s="1"/>
  <c r="K958" i="1" s="1"/>
  <c r="L958" i="1" s="1"/>
  <c r="M958" i="1" s="1"/>
  <c r="N958" i="1" s="1"/>
  <c r="O958" i="1" s="1"/>
  <c r="P958" i="1" s="1"/>
  <c r="Q958" i="1" s="1"/>
  <c r="R958" i="1" s="1"/>
  <c r="S958" i="1" s="1"/>
  <c r="T958" i="1" s="1"/>
  <c r="U958" i="1" s="1"/>
  <c r="V958" i="1" s="1"/>
  <c r="W958" i="1" s="1"/>
  <c r="X958" i="1" s="1"/>
  <c r="Y958" i="1" s="1"/>
  <c r="Z958" i="1" s="1"/>
  <c r="AA958" i="1" s="1"/>
  <c r="AB958" i="1" s="1"/>
  <c r="AC958" i="1" s="1"/>
  <c r="AD958" i="1" s="1"/>
  <c r="AE958" i="1" s="1"/>
  <c r="AF958" i="1" s="1"/>
  <c r="AG958" i="1" s="1"/>
  <c r="AH958" i="1" s="1"/>
  <c r="AI958" i="1" s="1"/>
  <c r="F956" i="1"/>
  <c r="G956" i="1" s="1"/>
  <c r="H956" i="1" s="1"/>
  <c r="I956" i="1" s="1"/>
  <c r="J956" i="1" s="1"/>
  <c r="K956" i="1" s="1"/>
  <c r="L956" i="1" s="1"/>
  <c r="M956" i="1" s="1"/>
  <c r="N956" i="1" s="1"/>
  <c r="O956" i="1" s="1"/>
  <c r="P956" i="1" s="1"/>
  <c r="Q956" i="1" s="1"/>
  <c r="R956" i="1" s="1"/>
  <c r="S956" i="1" s="1"/>
  <c r="T956" i="1" s="1"/>
  <c r="U956" i="1" s="1"/>
  <c r="V956" i="1" s="1"/>
  <c r="W956" i="1" s="1"/>
  <c r="X956" i="1" s="1"/>
  <c r="Y956" i="1" s="1"/>
  <c r="Z956" i="1" s="1"/>
  <c r="AA956" i="1" s="1"/>
  <c r="E1012" i="1"/>
  <c r="F1012" i="1" s="1"/>
  <c r="G1012" i="1" s="1"/>
  <c r="H1012" i="1" s="1"/>
  <c r="I1012" i="1" s="1"/>
  <c r="J1012" i="1" s="1"/>
  <c r="K1012" i="1" s="1"/>
  <c r="L1012" i="1" s="1"/>
  <c r="M1012" i="1" s="1"/>
  <c r="N1012" i="1" s="1"/>
  <c r="O1012" i="1" s="1"/>
  <c r="P1012" i="1" s="1"/>
  <c r="Q1012" i="1" s="1"/>
  <c r="R1012" i="1" s="1"/>
  <c r="S1012" i="1" s="1"/>
  <c r="T1012" i="1" s="1"/>
  <c r="U1012" i="1" s="1"/>
  <c r="V1012" i="1" s="1"/>
  <c r="W1012" i="1" s="1"/>
  <c r="X1012" i="1" s="1"/>
  <c r="Y1012" i="1" s="1"/>
  <c r="Z1012" i="1" s="1"/>
  <c r="AA1012" i="1" s="1"/>
  <c r="AB1012" i="1" s="1"/>
  <c r="AC1012" i="1" s="1"/>
  <c r="AD1012" i="1" s="1"/>
  <c r="AE1012" i="1" s="1"/>
  <c r="AF1012" i="1" s="1"/>
  <c r="AG1012" i="1" s="1"/>
  <c r="AH1012" i="1" s="1"/>
  <c r="AI1012" i="1" s="1"/>
  <c r="F1010" i="1"/>
  <c r="G1010" i="1" s="1"/>
  <c r="H1010" i="1" s="1"/>
  <c r="I1010" i="1" s="1"/>
  <c r="J1010" i="1" s="1"/>
  <c r="K1010" i="1" s="1"/>
  <c r="L1010" i="1" s="1"/>
  <c r="M1010" i="1" s="1"/>
  <c r="N1010" i="1" s="1"/>
  <c r="O1010" i="1" s="1"/>
  <c r="P1010" i="1" s="1"/>
  <c r="Q1010" i="1" s="1"/>
  <c r="R1010" i="1" s="1"/>
  <c r="S1010" i="1" s="1"/>
  <c r="T1010" i="1" s="1"/>
  <c r="U1010" i="1" s="1"/>
  <c r="V1010" i="1" s="1"/>
  <c r="W1010" i="1" s="1"/>
  <c r="X1010" i="1" s="1"/>
  <c r="Y1010" i="1" s="1"/>
  <c r="Z1010" i="1" s="1"/>
  <c r="AA1010" i="1" s="1"/>
  <c r="AB1010" i="1" s="1"/>
  <c r="AC1010" i="1" s="1"/>
  <c r="AD1010" i="1" s="1"/>
  <c r="AE1010" i="1" s="1"/>
  <c r="E998" i="1"/>
  <c r="F998" i="1" s="1"/>
  <c r="G998" i="1" s="1"/>
  <c r="H998" i="1" s="1"/>
  <c r="I998" i="1" s="1"/>
  <c r="J998" i="1" s="1"/>
  <c r="K998" i="1" s="1"/>
  <c r="L998" i="1" s="1"/>
  <c r="M998" i="1" s="1"/>
  <c r="N998" i="1" s="1"/>
  <c r="O998" i="1" s="1"/>
  <c r="P998" i="1" s="1"/>
  <c r="Q998" i="1" s="1"/>
  <c r="R998" i="1" s="1"/>
  <c r="S998" i="1" s="1"/>
  <c r="T998" i="1" s="1"/>
  <c r="U998" i="1" s="1"/>
  <c r="V998" i="1" s="1"/>
  <c r="W998" i="1" s="1"/>
  <c r="X998" i="1" s="1"/>
  <c r="Y998" i="1" s="1"/>
  <c r="Z998" i="1" s="1"/>
  <c r="AA998" i="1" s="1"/>
  <c r="AB998" i="1" s="1"/>
  <c r="AC998" i="1" s="1"/>
  <c r="AD998" i="1" s="1"/>
  <c r="AE998" i="1" s="1"/>
  <c r="AF998" i="1" s="1"/>
  <c r="AG998" i="1" s="1"/>
  <c r="AH998" i="1" s="1"/>
  <c r="AI998" i="1" s="1"/>
  <c r="AO1180" i="1"/>
  <c r="AO1182" i="1" s="1"/>
  <c r="AO1111" i="1"/>
  <c r="AO1113" i="1" s="1"/>
  <c r="AO1097" i="1"/>
  <c r="AO1099" i="1" s="1"/>
  <c r="AO893" i="1"/>
  <c r="AO895" i="1" s="1"/>
  <c r="AO907" i="1"/>
  <c r="AO909" i="1" s="1"/>
  <c r="AO241" i="1"/>
  <c r="AO243" i="1" s="1"/>
  <c r="AO785" i="1"/>
  <c r="AO787" i="1" s="1"/>
  <c r="AO934" i="1"/>
  <c r="AO936" i="1" s="1"/>
  <c r="AO663" i="1"/>
  <c r="AO665" i="1" s="1"/>
  <c r="AO486" i="1"/>
  <c r="AO488" i="1" s="1"/>
  <c r="AO839" i="1"/>
  <c r="AO841" i="1" s="1"/>
  <c r="AL282" i="1"/>
  <c r="AM280" i="1" s="1"/>
  <c r="AO282" i="1"/>
  <c r="AO284" i="1" s="1"/>
  <c r="AO146" i="1"/>
  <c r="AO148" i="1" s="1"/>
  <c r="AL649" i="1"/>
  <c r="AM647" i="1" s="1"/>
  <c r="AO649" i="1"/>
  <c r="AO651" i="1" s="1"/>
  <c r="AO730" i="1"/>
  <c r="AO732" i="1" s="1"/>
  <c r="AL757" i="1"/>
  <c r="AM755" i="1" s="1"/>
  <c r="AO757" i="1"/>
  <c r="AO759" i="1" s="1"/>
  <c r="AL853" i="1"/>
  <c r="AM851" i="1" s="1"/>
  <c r="AO853" i="1"/>
  <c r="AO855" i="1" s="1"/>
  <c r="AO1139" i="1"/>
  <c r="AO1141" i="1" s="1"/>
  <c r="AL1042" i="1"/>
  <c r="AM1040" i="1" s="1"/>
  <c r="AO1042" i="1"/>
  <c r="AO1044" i="1" s="1"/>
  <c r="AO24" i="1"/>
  <c r="AO26" i="1" s="1"/>
  <c r="AL554" i="1"/>
  <c r="AM552" i="1" s="1"/>
  <c r="AO554" i="1"/>
  <c r="AO556" i="1" s="1"/>
  <c r="AL567" i="1"/>
  <c r="AM565" i="1" s="1"/>
  <c r="AO567" i="1"/>
  <c r="AO569" i="1" s="1"/>
  <c r="AL690" i="1"/>
  <c r="AM688" i="1" s="1"/>
  <c r="AO690" i="1"/>
  <c r="AO692" i="1" s="1"/>
  <c r="AL988" i="1"/>
  <c r="AM986" i="1" s="1"/>
  <c r="AO988" i="1"/>
  <c r="AO990" i="1" s="1"/>
  <c r="AL1083" i="1"/>
  <c r="AM1081" i="1" s="1"/>
  <c r="AO1083" i="1"/>
  <c r="AO1085" i="1" s="1"/>
  <c r="AL743" i="1"/>
  <c r="AM741" i="1" s="1"/>
  <c r="AO743" i="1"/>
  <c r="AO745" i="1" s="1"/>
  <c r="AL771" i="1"/>
  <c r="AM769" i="1" s="1"/>
  <c r="AO771" i="1"/>
  <c r="AO773" i="1" s="1"/>
  <c r="AL1152" i="1"/>
  <c r="AM1150" i="1" s="1"/>
  <c r="AO1152" i="1"/>
  <c r="AO1154" i="1" s="1"/>
  <c r="AO200" i="1"/>
  <c r="AO202" i="1" s="1"/>
  <c r="AL296" i="1"/>
  <c r="AM294" i="1" s="1"/>
  <c r="AO296" i="1"/>
  <c r="AO298" i="1" s="1"/>
  <c r="AL309" i="1"/>
  <c r="AM307" i="1" s="1"/>
  <c r="AO309" i="1"/>
  <c r="AO311" i="1" s="1"/>
  <c r="AL323" i="1"/>
  <c r="AM321" i="1" s="1"/>
  <c r="AO323" i="1"/>
  <c r="AO325" i="1" s="1"/>
  <c r="AL337" i="1"/>
  <c r="AM335" i="1" s="1"/>
  <c r="AO337" i="1"/>
  <c r="AO339" i="1" s="1"/>
  <c r="AL350" i="1"/>
  <c r="AM348" i="1" s="1"/>
  <c r="AO350" i="1"/>
  <c r="AO352" i="1" s="1"/>
  <c r="AL364" i="1"/>
  <c r="AM362" i="1" s="1"/>
  <c r="AO364" i="1"/>
  <c r="AO366" i="1" s="1"/>
  <c r="AL378" i="1"/>
  <c r="AM376" i="1" s="1"/>
  <c r="AO378" i="1"/>
  <c r="AO380" i="1" s="1"/>
  <c r="AL391" i="1"/>
  <c r="AM389" i="1" s="1"/>
  <c r="AO391" i="1"/>
  <c r="AO393" i="1" s="1"/>
  <c r="AL405" i="1"/>
  <c r="AM403" i="1" s="1"/>
  <c r="AO405" i="1"/>
  <c r="AO407" i="1" s="1"/>
  <c r="AL419" i="1"/>
  <c r="AM417" i="1" s="1"/>
  <c r="AO419" i="1"/>
  <c r="AO421" i="1" s="1"/>
  <c r="AL432" i="1"/>
  <c r="AM430" i="1" s="1"/>
  <c r="AO432" i="1"/>
  <c r="AO434" i="1" s="1"/>
  <c r="AL446" i="1"/>
  <c r="AM444" i="1" s="1"/>
  <c r="AO446" i="1"/>
  <c r="AO448" i="1" s="1"/>
  <c r="AL459" i="1"/>
  <c r="AM457" i="1" s="1"/>
  <c r="AO459" i="1"/>
  <c r="AO461" i="1" s="1"/>
  <c r="AL473" i="1"/>
  <c r="AM471" i="1" s="1"/>
  <c r="AO473" i="1"/>
  <c r="AO475" i="1" s="1"/>
  <c r="AL500" i="1"/>
  <c r="AM498" i="1" s="1"/>
  <c r="AO500" i="1"/>
  <c r="AO502" i="1" s="1"/>
  <c r="AL540" i="1"/>
  <c r="AM538" i="1" s="1"/>
  <c r="AO540" i="1"/>
  <c r="AO542" i="1" s="1"/>
  <c r="AL581" i="1"/>
  <c r="AM579" i="1" s="1"/>
  <c r="AO581" i="1"/>
  <c r="AO583" i="1" s="1"/>
  <c r="AL703" i="1"/>
  <c r="AM701" i="1" s="1"/>
  <c r="AO703" i="1"/>
  <c r="AO705" i="1" s="1"/>
  <c r="AL1001" i="1"/>
  <c r="AM999" i="1" s="1"/>
  <c r="AO1001" i="1"/>
  <c r="AO1003" i="1" s="1"/>
  <c r="AL1056" i="1"/>
  <c r="AM1054" i="1" s="1"/>
  <c r="AO1056" i="1"/>
  <c r="AO1058" i="1" s="1"/>
  <c r="AL974" i="1"/>
  <c r="AM972" i="1" s="1"/>
  <c r="AO974" i="1"/>
  <c r="AO976" i="1" s="1"/>
  <c r="AL608" i="1"/>
  <c r="AM606" i="1" s="1"/>
  <c r="AO608" i="1"/>
  <c r="AO610" i="1" s="1"/>
  <c r="AO635" i="1"/>
  <c r="AO637" i="1" s="1"/>
  <c r="AO798" i="1"/>
  <c r="AO800" i="1" s="1"/>
  <c r="AL1125" i="1"/>
  <c r="AM1123" i="1" s="1"/>
  <c r="AO1125" i="1"/>
  <c r="AO1127" i="1" s="1"/>
  <c r="AO10" i="1"/>
  <c r="AO12" i="1" s="1"/>
  <c r="AL716" i="1"/>
  <c r="AM714" i="1" s="1"/>
  <c r="AO716" i="1"/>
  <c r="AO718" i="1" s="1"/>
  <c r="AL920" i="1"/>
  <c r="AM918" i="1" s="1"/>
  <c r="AO920" i="1"/>
  <c r="AO922" i="1" s="1"/>
  <c r="AL1028" i="1"/>
  <c r="AM1026" i="1" s="1"/>
  <c r="AO1028" i="1"/>
  <c r="AO1030" i="1" s="1"/>
  <c r="AL1166" i="1"/>
  <c r="AM1164" i="1" s="1"/>
  <c r="AO1166" i="1"/>
  <c r="AO1168" i="1" s="1"/>
  <c r="AO214" i="1"/>
  <c r="AO216" i="1" s="1"/>
  <c r="AL268" i="1"/>
  <c r="AM266" i="1" s="1"/>
  <c r="AO268" i="1"/>
  <c r="AO270" i="1" s="1"/>
  <c r="AL513" i="1"/>
  <c r="AM511" i="1" s="1"/>
  <c r="AO513" i="1"/>
  <c r="AO515" i="1" s="1"/>
  <c r="AO527" i="1"/>
  <c r="AO529" i="1" s="1"/>
  <c r="AO594" i="1"/>
  <c r="AO596" i="1" s="1"/>
  <c r="AL622" i="1"/>
  <c r="AM620" i="1" s="1"/>
  <c r="AO622" i="1"/>
  <c r="AO624" i="1" s="1"/>
  <c r="AL676" i="1"/>
  <c r="AM674" i="1" s="1"/>
  <c r="AO676" i="1"/>
  <c r="AO678" i="1" s="1"/>
  <c r="AL812" i="1"/>
  <c r="AM810" i="1" s="1"/>
  <c r="AO812" i="1"/>
  <c r="AO814" i="1" s="1"/>
  <c r="AO947" i="1"/>
  <c r="AO949" i="1" s="1"/>
  <c r="AO961" i="1"/>
  <c r="AO963" i="1" s="1"/>
  <c r="AL1015" i="1"/>
  <c r="AM1013" i="1" s="1"/>
  <c r="AO1015" i="1"/>
  <c r="AO1017" i="1" s="1"/>
  <c r="AL1069" i="1"/>
  <c r="AM1067" i="1" s="1"/>
  <c r="AO1069" i="1"/>
  <c r="AO1071" i="1" s="1"/>
  <c r="AL187" i="1"/>
  <c r="AM185" i="1" s="1"/>
  <c r="AO187" i="1"/>
  <c r="AO189" i="1" s="1"/>
  <c r="AL160" i="1"/>
  <c r="AM158" i="1" s="1"/>
  <c r="AO160" i="1"/>
  <c r="AO162" i="1" s="1"/>
  <c r="AO65" i="1"/>
  <c r="AO67" i="1" s="1"/>
  <c r="AL119" i="1"/>
  <c r="AM117" i="1" s="1"/>
  <c r="AO119" i="1"/>
  <c r="AO121" i="1" s="1"/>
  <c r="AL173" i="1"/>
  <c r="AM171" i="1" s="1"/>
  <c r="AO173" i="1"/>
  <c r="AO175" i="1" s="1"/>
  <c r="AO79" i="1"/>
  <c r="AO133" i="1"/>
  <c r="AO135" i="1" s="1"/>
  <c r="X512" i="1"/>
  <c r="Y512" i="1" s="1"/>
  <c r="Z512" i="1" s="1"/>
  <c r="AO151" i="6"/>
  <c r="AO153" i="6" s="1"/>
  <c r="AO81" i="6"/>
  <c r="AO83" i="6" s="1"/>
  <c r="E421" i="4"/>
  <c r="F421" i="4" s="1"/>
  <c r="G421" i="4" s="1"/>
  <c r="H421" i="4" s="1"/>
  <c r="I421" i="4" s="1"/>
  <c r="J421" i="4" s="1"/>
  <c r="K421" i="4" s="1"/>
  <c r="L421" i="4" s="1"/>
  <c r="M421" i="4" s="1"/>
  <c r="N421" i="4" s="1"/>
  <c r="O421" i="4" s="1"/>
  <c r="P421" i="4" s="1"/>
  <c r="Q421" i="4" s="1"/>
  <c r="R421" i="4" s="1"/>
  <c r="S421" i="4" s="1"/>
  <c r="T421" i="4" s="1"/>
  <c r="U421" i="4" s="1"/>
  <c r="V421" i="4" s="1"/>
  <c r="W421" i="4" s="1"/>
  <c r="X421" i="4" s="1"/>
  <c r="Y421" i="4" s="1"/>
  <c r="Z421" i="4" s="1"/>
  <c r="AA421" i="4" s="1"/>
  <c r="AB421" i="4" s="1"/>
  <c r="AC421" i="4" s="1"/>
  <c r="AD421" i="4" s="1"/>
  <c r="AE421" i="4" s="1"/>
  <c r="E53" i="4"/>
  <c r="F53" i="4" s="1"/>
  <c r="E274" i="3"/>
  <c r="F274" i="3" s="1"/>
  <c r="G274" i="3" s="1"/>
  <c r="H274" i="3" s="1"/>
  <c r="I274" i="3" s="1"/>
  <c r="J274" i="3" s="1"/>
  <c r="K274" i="3" s="1"/>
  <c r="L274" i="3" s="1"/>
  <c r="M274" i="3" s="1"/>
  <c r="N274" i="3" s="1"/>
  <c r="O274" i="3" s="1"/>
  <c r="P274" i="3" s="1"/>
  <c r="Q274" i="3" s="1"/>
  <c r="R274" i="3" s="1"/>
  <c r="S274" i="3" s="1"/>
  <c r="T274" i="3" s="1"/>
  <c r="U274" i="3" s="1"/>
  <c r="V274" i="3" s="1"/>
  <c r="W274" i="3" s="1"/>
  <c r="X274" i="3" s="1"/>
  <c r="Y274" i="3" s="1"/>
  <c r="Z274" i="3" s="1"/>
  <c r="AA274" i="3" s="1"/>
  <c r="AB274" i="3" s="1"/>
  <c r="AC274" i="3" s="1"/>
  <c r="AD274" i="3" s="1"/>
  <c r="AE274" i="3" s="1"/>
  <c r="AF274" i="3" s="1"/>
  <c r="AG274" i="3" s="1"/>
  <c r="AH274" i="3" s="1"/>
  <c r="AI274" i="3" s="1"/>
  <c r="E272" i="3"/>
  <c r="F272" i="3" s="1"/>
  <c r="E162" i="3"/>
  <c r="F162" i="3" s="1"/>
  <c r="E160" i="3"/>
  <c r="F160" i="3" s="1"/>
  <c r="AO571" i="3"/>
  <c r="AO67" i="3"/>
  <c r="AO69" i="3" s="1"/>
  <c r="AB9" i="4"/>
  <c r="AE9" i="4"/>
  <c r="AO501" i="3"/>
  <c r="AO503" i="3" s="1"/>
  <c r="AD136" i="3"/>
  <c r="AH136" i="3" s="1"/>
  <c r="AI136" i="3" s="1"/>
  <c r="AA136" i="3"/>
  <c r="E495" i="3"/>
  <c r="F495" i="3" s="1"/>
  <c r="G495" i="3" s="1"/>
  <c r="H495" i="3" s="1"/>
  <c r="I495" i="3" s="1"/>
  <c r="J495" i="3" s="1"/>
  <c r="K495" i="3" s="1"/>
  <c r="L495" i="3" s="1"/>
  <c r="M495" i="3" s="1"/>
  <c r="N495" i="3" s="1"/>
  <c r="O495" i="3" s="1"/>
  <c r="P495" i="3" s="1"/>
  <c r="Q495" i="3" s="1"/>
  <c r="R495" i="3" s="1"/>
  <c r="S495" i="3" s="1"/>
  <c r="T495" i="3" s="1"/>
  <c r="U495" i="3" s="1"/>
  <c r="V495" i="3" s="1"/>
  <c r="W495" i="3" s="1"/>
  <c r="X495" i="3" s="1"/>
  <c r="Y495" i="3" s="1"/>
  <c r="Z495" i="3" s="1"/>
  <c r="AA495" i="3" s="1"/>
  <c r="AB495" i="3" s="1"/>
  <c r="AC495" i="3" s="1"/>
  <c r="AD495" i="3" s="1"/>
  <c r="AE495" i="3" s="1"/>
  <c r="AF495" i="3" s="1"/>
  <c r="AG495" i="3" s="1"/>
  <c r="AH495" i="3" s="1"/>
  <c r="AI495" i="3" s="1"/>
  <c r="F355" i="3"/>
  <c r="G355" i="3" s="1"/>
  <c r="H355" i="3" s="1"/>
  <c r="I355" i="3" s="1"/>
  <c r="J355" i="3" s="1"/>
  <c r="K355" i="3" s="1"/>
  <c r="L355" i="3" s="1"/>
  <c r="M355" i="3" s="1"/>
  <c r="N355" i="3" s="1"/>
  <c r="O355" i="3" s="1"/>
  <c r="P355" i="3" s="1"/>
  <c r="Q355" i="3" s="1"/>
  <c r="R355" i="3" s="1"/>
  <c r="S355" i="3" s="1"/>
  <c r="T355" i="3" s="1"/>
  <c r="U355" i="3" s="1"/>
  <c r="V355" i="3" s="1"/>
  <c r="W355" i="3" s="1"/>
  <c r="X355" i="3" s="1"/>
  <c r="Y355" i="3" s="1"/>
  <c r="Z355" i="3" s="1"/>
  <c r="AA355" i="3" s="1"/>
  <c r="AB355" i="3" s="1"/>
  <c r="AC355" i="3" s="1"/>
  <c r="AD355" i="3" s="1"/>
  <c r="AE355" i="3" s="1"/>
  <c r="AF355" i="3" s="1"/>
  <c r="AG355" i="3" s="1"/>
  <c r="AH355" i="3" s="1"/>
  <c r="AI355" i="3" s="1"/>
  <c r="E232" i="3"/>
  <c r="F232" i="3" s="1"/>
  <c r="G232" i="3" s="1"/>
  <c r="H232" i="3" s="1"/>
  <c r="I232" i="3" s="1"/>
  <c r="J232" i="3" s="1"/>
  <c r="K232" i="3" s="1"/>
  <c r="L232" i="3" s="1"/>
  <c r="M232" i="3" s="1"/>
  <c r="N232" i="3" s="1"/>
  <c r="O232" i="3" s="1"/>
  <c r="P232" i="3" s="1"/>
  <c r="Q232" i="3" s="1"/>
  <c r="R232" i="3" s="1"/>
  <c r="S232" i="3" s="1"/>
  <c r="T232" i="3" s="1"/>
  <c r="U232" i="3" s="1"/>
  <c r="V232" i="3" s="1"/>
  <c r="W232" i="3" s="1"/>
  <c r="X232" i="3" s="1"/>
  <c r="Y232" i="3" s="1"/>
  <c r="Z232" i="3" s="1"/>
  <c r="AA232" i="3" s="1"/>
  <c r="AB232" i="3" s="1"/>
  <c r="AC232" i="3" s="1"/>
  <c r="AD232" i="3" s="1"/>
  <c r="AE232" i="3" s="1"/>
  <c r="AF232" i="3" s="1"/>
  <c r="AG232" i="3" s="1"/>
  <c r="AH232" i="3" s="1"/>
  <c r="AI232" i="3" s="1"/>
  <c r="E229" i="3"/>
  <c r="F229" i="3" s="1"/>
  <c r="G229" i="3" s="1"/>
  <c r="H229" i="3" s="1"/>
  <c r="I229" i="3" s="1"/>
  <c r="J229" i="3" s="1"/>
  <c r="K229" i="3" s="1"/>
  <c r="L229" i="3" s="1"/>
  <c r="M229" i="3" s="1"/>
  <c r="N229" i="3" s="1"/>
  <c r="O229" i="3" s="1"/>
  <c r="P229" i="3" s="1"/>
  <c r="Q229" i="3" s="1"/>
  <c r="R229" i="3" s="1"/>
  <c r="S229" i="3" s="1"/>
  <c r="T229" i="3" s="1"/>
  <c r="U229" i="3" s="1"/>
  <c r="V229" i="3" s="1"/>
  <c r="W229" i="3" s="1"/>
  <c r="X229" i="3" s="1"/>
  <c r="Y229" i="3" s="1"/>
  <c r="Z229" i="3" s="1"/>
  <c r="AA229" i="3" s="1"/>
  <c r="AB229" i="3" s="1"/>
  <c r="AC229" i="3" s="1"/>
  <c r="AD229" i="3" s="1"/>
  <c r="AE229" i="3" s="1"/>
  <c r="AF229" i="3" s="1"/>
  <c r="AG229" i="3" s="1"/>
  <c r="AH229" i="3" s="1"/>
  <c r="AI229" i="3" s="1"/>
  <c r="AO22" i="10"/>
  <c r="AO26" i="10" s="1"/>
  <c r="AO23" i="2"/>
  <c r="AO200" i="4"/>
  <c r="AO474" i="4"/>
  <c r="AO253" i="4"/>
  <c r="AO53" i="6"/>
  <c r="AO55" i="6" s="1"/>
  <c r="AO255" i="1"/>
  <c r="AO257" i="1" s="1"/>
  <c r="AO227" i="1"/>
  <c r="AO229" i="1" s="1"/>
  <c r="AO52" i="1"/>
  <c r="AO54" i="1" s="1"/>
  <c r="AL38" i="1"/>
  <c r="AM36" i="1" s="1"/>
  <c r="AO38" i="1"/>
  <c r="AO40" i="1" s="1"/>
  <c r="AO154" i="4"/>
  <c r="AO156" i="4" s="1"/>
  <c r="E32" i="5"/>
  <c r="F32" i="5" s="1"/>
  <c r="G32" i="5" s="1"/>
  <c r="H32" i="5" s="1"/>
  <c r="I32" i="5" s="1"/>
  <c r="J32" i="5" s="1"/>
  <c r="K32" i="5" s="1"/>
  <c r="L32" i="5" s="1"/>
  <c r="M32" i="5" s="1"/>
  <c r="N32" i="5" s="1"/>
  <c r="O32" i="5" s="1"/>
  <c r="P32" i="5" s="1"/>
  <c r="Q32" i="5" s="1"/>
  <c r="R32" i="5" s="1"/>
  <c r="S32" i="5" s="1"/>
  <c r="T32" i="5" s="1"/>
  <c r="U32" i="5" s="1"/>
  <c r="V32" i="5" s="1"/>
  <c r="W32" i="5" s="1"/>
  <c r="X32" i="5" s="1"/>
  <c r="Y32" i="5" s="1"/>
  <c r="Z32" i="5" s="1"/>
  <c r="AA32" i="5" s="1"/>
  <c r="AB32" i="5" s="1"/>
  <c r="AC32" i="5" s="1"/>
  <c r="AD32" i="5" s="1"/>
  <c r="AE32" i="5" s="1"/>
  <c r="AF32" i="5" s="1"/>
  <c r="AG32" i="5" s="1"/>
  <c r="AH32" i="5" s="1"/>
  <c r="AI32" i="5" s="1"/>
  <c r="E35" i="5"/>
  <c r="F35" i="5" s="1"/>
  <c r="G35" i="5" s="1"/>
  <c r="H35" i="5" s="1"/>
  <c r="I35" i="5" s="1"/>
  <c r="J35" i="5" s="1"/>
  <c r="K35" i="5" s="1"/>
  <c r="L35" i="5" s="1"/>
  <c r="M35" i="5" s="1"/>
  <c r="N35" i="5" s="1"/>
  <c r="O35" i="5" s="1"/>
  <c r="P35" i="5" s="1"/>
  <c r="Q35" i="5" s="1"/>
  <c r="R35" i="5" s="1"/>
  <c r="S35" i="5" s="1"/>
  <c r="T35" i="5" s="1"/>
  <c r="U35" i="5" s="1"/>
  <c r="V35" i="5" s="1"/>
  <c r="W35" i="5" s="1"/>
  <c r="X35" i="5" s="1"/>
  <c r="Y35" i="5" s="1"/>
  <c r="Z35" i="5" s="1"/>
  <c r="AA35" i="5" s="1"/>
  <c r="AB35" i="5" s="1"/>
  <c r="AC35" i="5" s="1"/>
  <c r="AD35" i="5" s="1"/>
  <c r="AE35" i="5" s="1"/>
  <c r="AF35" i="5" s="1"/>
  <c r="AG35" i="5" s="1"/>
  <c r="AH35" i="5" s="1"/>
  <c r="AI35" i="5" s="1"/>
  <c r="AO25" i="3"/>
  <c r="AO27" i="3" s="1"/>
  <c r="AO67" i="6"/>
  <c r="E316" i="3"/>
  <c r="F316" i="3" s="1"/>
  <c r="G316" i="3" s="1"/>
  <c r="H316" i="3" s="1"/>
  <c r="I316" i="3" s="1"/>
  <c r="J316" i="3" s="1"/>
  <c r="K316" i="3" s="1"/>
  <c r="L316" i="3" s="1"/>
  <c r="M316" i="3" s="1"/>
  <c r="N316" i="3" s="1"/>
  <c r="O316" i="3" s="1"/>
  <c r="P316" i="3" s="1"/>
  <c r="Q316" i="3" s="1"/>
  <c r="R316" i="3" s="1"/>
  <c r="S316" i="3" s="1"/>
  <c r="T316" i="3" s="1"/>
  <c r="U316" i="3" s="1"/>
  <c r="V316" i="3" s="1"/>
  <c r="W316" i="3" s="1"/>
  <c r="X316" i="3" s="1"/>
  <c r="Y316" i="3" s="1"/>
  <c r="Z316" i="3" s="1"/>
  <c r="AA316" i="3" s="1"/>
  <c r="AB316" i="3" s="1"/>
  <c r="AC316" i="3" s="1"/>
  <c r="AD316" i="3" s="1"/>
  <c r="AE316" i="3" s="1"/>
  <c r="AF316" i="3" s="1"/>
  <c r="AG316" i="3" s="1"/>
  <c r="AH316" i="3" s="1"/>
  <c r="AI316" i="3" s="1"/>
  <c r="E313" i="3"/>
  <c r="F313" i="3" s="1"/>
  <c r="G313" i="3" s="1"/>
  <c r="H313" i="3" s="1"/>
  <c r="I313" i="3" s="1"/>
  <c r="J313" i="3" s="1"/>
  <c r="K313" i="3" s="1"/>
  <c r="L313" i="3" s="1"/>
  <c r="M313" i="3" s="1"/>
  <c r="N313" i="3" s="1"/>
  <c r="O313" i="3" s="1"/>
  <c r="P313" i="3" s="1"/>
  <c r="Q313" i="3" s="1"/>
  <c r="R313" i="3" s="1"/>
  <c r="S313" i="3" s="1"/>
  <c r="T313" i="3" s="1"/>
  <c r="U313" i="3" s="1"/>
  <c r="V313" i="3" s="1"/>
  <c r="W313" i="3" s="1"/>
  <c r="X313" i="3" s="1"/>
  <c r="Y313" i="3" s="1"/>
  <c r="Z313" i="3" s="1"/>
  <c r="AA313" i="3" s="1"/>
  <c r="AB313" i="3" s="1"/>
  <c r="AC313" i="3" s="1"/>
  <c r="AD313" i="3" s="1"/>
  <c r="AE313" i="3" s="1"/>
  <c r="AF313" i="3" s="1"/>
  <c r="AG313" i="3" s="1"/>
  <c r="AH313" i="3" s="1"/>
  <c r="AI313" i="3" s="1"/>
  <c r="E50" i="6"/>
  <c r="F50" i="6" s="1"/>
  <c r="G50" i="6" s="1"/>
  <c r="H50" i="6" s="1"/>
  <c r="I50" i="6" s="1"/>
  <c r="J50" i="6" s="1"/>
  <c r="K50" i="6" s="1"/>
  <c r="L50" i="6" s="1"/>
  <c r="M50" i="6" s="1"/>
  <c r="N50" i="6" s="1"/>
  <c r="O50" i="6" s="1"/>
  <c r="P50" i="6" s="1"/>
  <c r="Q50" i="6" s="1"/>
  <c r="R50" i="6" s="1"/>
  <c r="S50" i="6" s="1"/>
  <c r="T50" i="6" s="1"/>
  <c r="U50" i="6" s="1"/>
  <c r="V50" i="6" s="1"/>
  <c r="W50" i="6" s="1"/>
  <c r="X50" i="6" s="1"/>
  <c r="Y50" i="6" s="1"/>
  <c r="Z50" i="6" s="1"/>
  <c r="AA50" i="6" s="1"/>
  <c r="AB50" i="6" s="1"/>
  <c r="AC50" i="6" s="1"/>
  <c r="AD50" i="6" s="1"/>
  <c r="AE50" i="6" s="1"/>
  <c r="AF50" i="6" s="1"/>
  <c r="AG50" i="6" s="1"/>
  <c r="AH50" i="6" s="1"/>
  <c r="AI50" i="6" s="1"/>
  <c r="E47" i="6"/>
  <c r="F47" i="6" s="1"/>
  <c r="G47" i="6" s="1"/>
  <c r="H47" i="6" s="1"/>
  <c r="I47" i="6" s="1"/>
  <c r="J47" i="6" s="1"/>
  <c r="K47" i="6" s="1"/>
  <c r="L47" i="6" s="1"/>
  <c r="M47" i="6" s="1"/>
  <c r="N47" i="6" s="1"/>
  <c r="O47" i="6" s="1"/>
  <c r="P47" i="6" s="1"/>
  <c r="Q47" i="6" s="1"/>
  <c r="R47" i="6" s="1"/>
  <c r="S47" i="6" s="1"/>
  <c r="T47" i="6" s="1"/>
  <c r="U47" i="6" s="1"/>
  <c r="V47" i="6" s="1"/>
  <c r="W47" i="6" s="1"/>
  <c r="X47" i="6" s="1"/>
  <c r="Y47" i="6" s="1"/>
  <c r="Z47" i="6" s="1"/>
  <c r="AA47" i="6" s="1"/>
  <c r="AB47" i="6" s="1"/>
  <c r="AC47" i="6" s="1"/>
  <c r="AD47" i="6" s="1"/>
  <c r="AE47" i="6" s="1"/>
  <c r="AF47" i="6" s="1"/>
  <c r="AG47" i="6" s="1"/>
  <c r="AH47" i="6" s="1"/>
  <c r="AI47" i="6" s="1"/>
  <c r="AO53" i="2"/>
  <c r="AO109" i="6"/>
  <c r="AO111" i="6" s="1"/>
  <c r="AO123" i="6"/>
  <c r="AO125" i="6" s="1"/>
  <c r="AO417" i="3"/>
  <c r="AO419" i="3" s="1"/>
  <c r="AO138" i="4"/>
  <c r="AO140" i="4" s="1"/>
  <c r="AL961" i="1"/>
  <c r="AM959" i="1" s="1"/>
  <c r="AL947" i="1"/>
  <c r="AM945" i="1" s="1"/>
  <c r="AL907" i="1"/>
  <c r="AM905" i="1" s="1"/>
  <c r="AL893" i="1"/>
  <c r="AM891" i="1" s="1"/>
  <c r="AO880" i="1"/>
  <c r="AO882" i="1" s="1"/>
  <c r="AL866" i="1"/>
  <c r="AM864" i="1" s="1"/>
  <c r="AO866" i="1"/>
  <c r="AO868" i="1" s="1"/>
  <c r="AL826" i="1"/>
  <c r="AM824" i="1" s="1"/>
  <c r="AO826" i="1"/>
  <c r="AO828" i="1" s="1"/>
  <c r="AL798" i="1"/>
  <c r="AM796" i="1" s="1"/>
  <c r="AO25" i="2"/>
  <c r="O38" i="2"/>
  <c r="P38" i="2" s="1"/>
  <c r="Q38" i="2" s="1"/>
  <c r="R38" i="2" s="1"/>
  <c r="S38" i="2" s="1"/>
  <c r="T38" i="2" s="1"/>
  <c r="U38" i="2" s="1"/>
  <c r="V38" i="2" s="1"/>
  <c r="W38" i="2" s="1"/>
  <c r="X38" i="2" s="1"/>
  <c r="Y38" i="2" s="1"/>
  <c r="Z38" i="2" s="1"/>
  <c r="AO95" i="6"/>
  <c r="AO24" i="5"/>
  <c r="AO282" i="4"/>
  <c r="AO378" i="4"/>
  <c r="AO10" i="4"/>
  <c r="AO458" i="4"/>
  <c r="AO460" i="4" s="1"/>
  <c r="AO122" i="4"/>
  <c r="AO426" i="4"/>
  <c r="AO35" i="10"/>
  <c r="AO39" i="10" s="1"/>
  <c r="AO37" i="2"/>
  <c r="AO249" i="4"/>
  <c r="AO88" i="4"/>
  <c r="AO442" i="4"/>
  <c r="AO410" i="4"/>
  <c r="AO362" i="4"/>
  <c r="AO364" i="4" s="1"/>
  <c r="AO250" i="4"/>
  <c r="AO234" i="4"/>
  <c r="AO236" i="4" s="1"/>
  <c r="AO202" i="4"/>
  <c r="AO90" i="4"/>
  <c r="AO58" i="4"/>
  <c r="AO60" i="4" s="1"/>
  <c r="AO42" i="4"/>
  <c r="AO26" i="4"/>
  <c r="AO28" i="4" s="1"/>
  <c r="AO39" i="2"/>
  <c r="AO11" i="2"/>
  <c r="AO81" i="3"/>
  <c r="AO83" i="3" s="1"/>
  <c r="AO165" i="6"/>
  <c r="AO167" i="6" s="1"/>
  <c r="AO137" i="6"/>
  <c r="AO25" i="6"/>
  <c r="AO490" i="4"/>
  <c r="AO330" i="4"/>
  <c r="AO314" i="4"/>
  <c r="AO316" i="4" s="1"/>
  <c r="AO298" i="4"/>
  <c r="AO266" i="4"/>
  <c r="AO397" i="4"/>
  <c r="AO394" i="4"/>
  <c r="AO396" i="4"/>
  <c r="AO393" i="4"/>
  <c r="AO170" i="4"/>
  <c r="AO186" i="4"/>
  <c r="AO121" i="4"/>
  <c r="AO124" i="4"/>
  <c r="AO106" i="4"/>
  <c r="AO74" i="4"/>
  <c r="AO12" i="4"/>
  <c r="AO9" i="4"/>
  <c r="AO389" i="3"/>
  <c r="AO391" i="3" s="1"/>
  <c r="AO515" i="3"/>
  <c r="AO517" i="3" s="1"/>
  <c r="AO529" i="3"/>
  <c r="AO531" i="3" s="1"/>
  <c r="AO11" i="3"/>
  <c r="AO361" i="3"/>
  <c r="AO363" i="3" s="1"/>
  <c r="AO319" i="3"/>
  <c r="AO321" i="3" s="1"/>
  <c r="AO431" i="3"/>
  <c r="AO433" i="3" s="1"/>
  <c r="AO123" i="3"/>
  <c r="AO125" i="3" s="1"/>
  <c r="AO165" i="3"/>
  <c r="AO167" i="3" s="1"/>
  <c r="AO473" i="3"/>
  <c r="AO475" i="3" s="1"/>
  <c r="AO263" i="3"/>
  <c r="AO265" i="3" s="1"/>
  <c r="AO207" i="3"/>
  <c r="AO209" i="3" s="1"/>
  <c r="AO137" i="3"/>
  <c r="AO139" i="3" s="1"/>
  <c r="AO375" i="3"/>
  <c r="AO377" i="3" s="1"/>
  <c r="AO333" i="3"/>
  <c r="AO335" i="3" s="1"/>
  <c r="AO557" i="3"/>
  <c r="AO559" i="3" s="1"/>
  <c r="AO291" i="3"/>
  <c r="AO293" i="3" s="1"/>
  <c r="AO403" i="3"/>
  <c r="AO405" i="3" s="1"/>
  <c r="AO445" i="3"/>
  <c r="AO447" i="3" s="1"/>
  <c r="AO179" i="3"/>
  <c r="AO181" i="3" s="1"/>
  <c r="AO221" i="3"/>
  <c r="AO223" i="3" s="1"/>
  <c r="AO277" i="3"/>
  <c r="AO279" i="3" s="1"/>
  <c r="AO109" i="3"/>
  <c r="AO111" i="3" s="1"/>
  <c r="AO487" i="3"/>
  <c r="AO489" i="3" s="1"/>
  <c r="AO193" i="3"/>
  <c r="AO195" i="3" s="1"/>
  <c r="AO249" i="3"/>
  <c r="AO251" i="3" s="1"/>
  <c r="AO151" i="3"/>
  <c r="AO153" i="3" s="1"/>
  <c r="AO53" i="3"/>
  <c r="AO305" i="3"/>
  <c r="AO307" i="3" s="1"/>
  <c r="AO347" i="3"/>
  <c r="AO349" i="3" s="1"/>
  <c r="AO459" i="3"/>
  <c r="AO461" i="3" s="1"/>
  <c r="AO541" i="3"/>
  <c r="AO95" i="3"/>
  <c r="AO97" i="3" s="1"/>
  <c r="AO235" i="3"/>
  <c r="AO237" i="3" s="1"/>
  <c r="AO39" i="6"/>
  <c r="AO41" i="6" s="1"/>
  <c r="AL9" i="6"/>
  <c r="AO9" i="6"/>
  <c r="AO11" i="6"/>
  <c r="AO51" i="2"/>
  <c r="O8" i="2"/>
  <c r="P8" i="2" s="1"/>
  <c r="Q8" i="2" s="1"/>
  <c r="R8" i="2" s="1"/>
  <c r="S8" i="2" s="1"/>
  <c r="T8" i="2" s="1"/>
  <c r="U8" i="2" s="1"/>
  <c r="V8" i="2" s="1"/>
  <c r="W8" i="2" s="1"/>
  <c r="X8" i="2" s="1"/>
  <c r="Y8" i="2" s="1"/>
  <c r="Z8" i="2" s="1"/>
  <c r="AA8" i="2" s="1"/>
  <c r="AB8" i="2" s="1"/>
  <c r="AC8" i="2" s="1"/>
  <c r="AD8" i="2" s="1"/>
  <c r="AE8" i="2" s="1"/>
  <c r="AF8" i="2" s="1"/>
  <c r="AG8" i="2" s="1"/>
  <c r="AH8" i="2" s="1"/>
  <c r="AI8" i="2" s="1"/>
  <c r="AL815" i="1"/>
  <c r="AM813" i="1" s="1"/>
  <c r="AL816" i="1"/>
  <c r="AM814" i="1" s="1"/>
  <c r="O10" i="2"/>
  <c r="P10" i="2" s="1"/>
  <c r="Q10" i="2" s="1"/>
  <c r="R10" i="2" s="1"/>
  <c r="S10" i="2" s="1"/>
  <c r="T10" i="2" s="1"/>
  <c r="U10" i="2" s="1"/>
  <c r="V10" i="2" s="1"/>
  <c r="W10" i="2" s="1"/>
  <c r="X10" i="2" s="1"/>
  <c r="Y10" i="2" s="1"/>
  <c r="Z10" i="2" s="1"/>
  <c r="AA10" i="2" s="1"/>
  <c r="E159" i="3"/>
  <c r="F159" i="3" s="1"/>
  <c r="G159" i="3" s="1"/>
  <c r="H159" i="3" s="1"/>
  <c r="I159" i="3" s="1"/>
  <c r="J159" i="3" s="1"/>
  <c r="K159" i="3" s="1"/>
  <c r="L159" i="3" s="1"/>
  <c r="M159" i="3" s="1"/>
  <c r="N159" i="3" s="1"/>
  <c r="O159" i="3" s="1"/>
  <c r="P159" i="3" s="1"/>
  <c r="Q159" i="3" s="1"/>
  <c r="R159" i="3" s="1"/>
  <c r="S159" i="3" s="1"/>
  <c r="T159" i="3" s="1"/>
  <c r="U159" i="3" s="1"/>
  <c r="V159" i="3" s="1"/>
  <c r="W159" i="3" s="1"/>
  <c r="X159" i="3" s="1"/>
  <c r="Y159" i="3" s="1"/>
  <c r="Z159" i="3" s="1"/>
  <c r="AA159" i="3" s="1"/>
  <c r="AB159" i="3" s="1"/>
  <c r="AC159" i="3" s="1"/>
  <c r="AD159" i="3" s="1"/>
  <c r="AE159" i="3" s="1"/>
  <c r="AF159" i="3" s="1"/>
  <c r="AG159" i="3" s="1"/>
  <c r="AH159" i="3" s="1"/>
  <c r="AI159" i="3" s="1"/>
  <c r="AL965" i="1"/>
  <c r="AM963" i="1" s="1"/>
  <c r="AL992" i="1"/>
  <c r="AM990" i="1" s="1"/>
  <c r="AL1087" i="1"/>
  <c r="AM1085" i="1" s="1"/>
  <c r="AL1156" i="1"/>
  <c r="AM1154" i="1" s="1"/>
  <c r="AL870" i="1"/>
  <c r="AM868" i="1" s="1"/>
  <c r="AL884" i="1"/>
  <c r="AM882" i="1" s="1"/>
  <c r="AL911" i="1"/>
  <c r="AM909" i="1" s="1"/>
  <c r="AL938" i="1"/>
  <c r="AM936" i="1" s="1"/>
  <c r="AL949" i="1"/>
  <c r="AM947" i="1" s="1"/>
  <c r="AL1004" i="1"/>
  <c r="AL1018" i="1"/>
  <c r="AL1045" i="1"/>
  <c r="AM1043" i="1" s="1"/>
  <c r="AL1058" i="1"/>
  <c r="AM1056" i="1" s="1"/>
  <c r="AL1072" i="1"/>
  <c r="AM1070" i="1" s="1"/>
  <c r="AL1085" i="1"/>
  <c r="AM1083" i="1" s="1"/>
  <c r="AL1100" i="1"/>
  <c r="AM1098" i="1" s="1"/>
  <c r="AL1114" i="1"/>
  <c r="AM1112" i="1" s="1"/>
  <c r="AL1127" i="1"/>
  <c r="AM1125" i="1" s="1"/>
  <c r="AL1142" i="1"/>
  <c r="AM1140" i="1" s="1"/>
  <c r="AL1169" i="1"/>
  <c r="AM1167" i="1" s="1"/>
  <c r="AL1182" i="1"/>
  <c r="AM1180" i="1" s="1"/>
  <c r="AL869" i="1"/>
  <c r="AM867" i="1" s="1"/>
  <c r="AL883" i="1"/>
  <c r="AM881" i="1" s="1"/>
  <c r="AL897" i="1"/>
  <c r="AM895" i="1" s="1"/>
  <c r="AL910" i="1"/>
  <c r="AM908" i="1" s="1"/>
  <c r="AL922" i="1"/>
  <c r="AM920" i="1" s="1"/>
  <c r="AL937" i="1"/>
  <c r="AM935" i="1" s="1"/>
  <c r="AL978" i="1"/>
  <c r="AM976" i="1" s="1"/>
  <c r="AL1129" i="1"/>
  <c r="AM1127" i="1" s="1"/>
  <c r="AL1184" i="1"/>
  <c r="AM1182" i="1" s="1"/>
  <c r="AL868" i="1"/>
  <c r="AM866" i="1" s="1"/>
  <c r="AL882" i="1"/>
  <c r="AM880" i="1" s="1"/>
  <c r="AL923" i="1"/>
  <c r="AM921" i="1" s="1"/>
  <c r="AL936" i="1"/>
  <c r="AM934" i="1" s="1"/>
  <c r="AL950" i="1"/>
  <c r="AM948" i="1" s="1"/>
  <c r="AL990" i="1"/>
  <c r="AM988" i="1" s="1"/>
  <c r="AL1005" i="1"/>
  <c r="AL1019" i="1"/>
  <c r="AL1046" i="1"/>
  <c r="AM1044" i="1" s="1"/>
  <c r="AL1073" i="1"/>
  <c r="AM1071" i="1" s="1"/>
  <c r="AL1101" i="1"/>
  <c r="AM1099" i="1" s="1"/>
  <c r="AL1115" i="1"/>
  <c r="AM1113" i="1" s="1"/>
  <c r="AL1143" i="1"/>
  <c r="AM1141" i="1" s="1"/>
  <c r="AL1170" i="1"/>
  <c r="AM1168" i="1" s="1"/>
  <c r="AL1032" i="1"/>
  <c r="AM1030" i="1" s="1"/>
  <c r="AL1060" i="1"/>
  <c r="AM1058" i="1" s="1"/>
  <c r="AL896" i="1"/>
  <c r="AM894" i="1" s="1"/>
  <c r="AL909" i="1"/>
  <c r="AM907" i="1" s="1"/>
  <c r="AL924" i="1"/>
  <c r="AM922" i="1" s="1"/>
  <c r="AL951" i="1"/>
  <c r="AM949" i="1" s="1"/>
  <c r="AL964" i="1"/>
  <c r="AM962" i="1" s="1"/>
  <c r="AL977" i="1"/>
  <c r="AM975" i="1" s="1"/>
  <c r="AL991" i="1"/>
  <c r="AM989" i="1" s="1"/>
  <c r="AL1003" i="1"/>
  <c r="AL1031" i="1"/>
  <c r="AM1029" i="1" s="1"/>
  <c r="AL1059" i="1"/>
  <c r="AM1057" i="1" s="1"/>
  <c r="AL1071" i="1"/>
  <c r="AM1069" i="1" s="1"/>
  <c r="AL1086" i="1"/>
  <c r="AM1084" i="1" s="1"/>
  <c r="AL1099" i="1"/>
  <c r="AM1097" i="1" s="1"/>
  <c r="AL1113" i="1"/>
  <c r="AM1111" i="1" s="1"/>
  <c r="AL1128" i="1"/>
  <c r="AM1126" i="1" s="1"/>
  <c r="AL1141" i="1"/>
  <c r="AM1139" i="1" s="1"/>
  <c r="AL1155" i="1"/>
  <c r="AM1153" i="1" s="1"/>
  <c r="AL1183" i="1"/>
  <c r="AM1181" i="1" s="1"/>
  <c r="AL557" i="1"/>
  <c r="AM555" i="1" s="1"/>
  <c r="AL164" i="1"/>
  <c r="AM162" i="1" s="1"/>
  <c r="AL272" i="1"/>
  <c r="AM270" i="1" s="1"/>
  <c r="AL313" i="1"/>
  <c r="AM311" i="1" s="1"/>
  <c r="AL368" i="1"/>
  <c r="AM366" i="1" s="1"/>
  <c r="AL423" i="1"/>
  <c r="AM421" i="1" s="1"/>
  <c r="AL477" i="1"/>
  <c r="AM475" i="1" s="1"/>
  <c r="AL488" i="1"/>
  <c r="AM486" i="1" s="1"/>
  <c r="AL612" i="1"/>
  <c r="AM610" i="1" s="1"/>
  <c r="AL679" i="1"/>
  <c r="AM677" i="1" s="1"/>
  <c r="AL694" i="1"/>
  <c r="AM692" i="1" s="1"/>
  <c r="AL707" i="1"/>
  <c r="AM705" i="1" s="1"/>
  <c r="AL775" i="1"/>
  <c r="AM773" i="1" s="1"/>
  <c r="AL789" i="1"/>
  <c r="AM787" i="1" s="1"/>
  <c r="AL27" i="1"/>
  <c r="AM25" i="1" s="1"/>
  <c r="AL55" i="1"/>
  <c r="AM53" i="1" s="1"/>
  <c r="AL67" i="1"/>
  <c r="AM65" i="1" s="1"/>
  <c r="AL82" i="1"/>
  <c r="AM80" i="1" s="1"/>
  <c r="AL121" i="1"/>
  <c r="AM119" i="1" s="1"/>
  <c r="AL149" i="1"/>
  <c r="AM147" i="1" s="1"/>
  <c r="AL176" i="1"/>
  <c r="AM174" i="1" s="1"/>
  <c r="AL189" i="1"/>
  <c r="AM187" i="1" s="1"/>
  <c r="AL203" i="1"/>
  <c r="AL216" i="1"/>
  <c r="AL231" i="1"/>
  <c r="AL243" i="1"/>
  <c r="AL285" i="1"/>
  <c r="AM283" i="1" s="1"/>
  <c r="AL340" i="1"/>
  <c r="AL354" i="1"/>
  <c r="AL366" i="1"/>
  <c r="AM364" i="1" s="1"/>
  <c r="AL394" i="1"/>
  <c r="AM392" i="1" s="1"/>
  <c r="AL409" i="1"/>
  <c r="AM407" i="1" s="1"/>
  <c r="AL449" i="1"/>
  <c r="AM447" i="1" s="1"/>
  <c r="AL463" i="1"/>
  <c r="AM461" i="1" s="1"/>
  <c r="AL503" i="1"/>
  <c r="AM501" i="1" s="1"/>
  <c r="AL516" i="1"/>
  <c r="AM514" i="1" s="1"/>
  <c r="AL558" i="1"/>
  <c r="AM556" i="1" s="1"/>
  <c r="AL585" i="1"/>
  <c r="AM583" i="1" s="1"/>
  <c r="AL598" i="1"/>
  <c r="AM596" i="1" s="1"/>
  <c r="AL610" i="1"/>
  <c r="AM608" i="1" s="1"/>
  <c r="AL638" i="1"/>
  <c r="AM636" i="1" s="1"/>
  <c r="AL651" i="1"/>
  <c r="AM649" i="1" s="1"/>
  <c r="AL680" i="1"/>
  <c r="AM678" i="1" s="1"/>
  <c r="AL692" i="1"/>
  <c r="AM690" i="1" s="1"/>
  <c r="AL705" i="1"/>
  <c r="AM703" i="1" s="1"/>
  <c r="AL719" i="1"/>
  <c r="AM717" i="1" s="1"/>
  <c r="AL732" i="1"/>
  <c r="AM730" i="1" s="1"/>
  <c r="AL746" i="1"/>
  <c r="AM744" i="1" s="1"/>
  <c r="AL760" i="1"/>
  <c r="AM758" i="1" s="1"/>
  <c r="AL773" i="1"/>
  <c r="AM771" i="1" s="1"/>
  <c r="AL787" i="1"/>
  <c r="AM785" i="1" s="1"/>
  <c r="AL137" i="1"/>
  <c r="AM135" i="1" s="1"/>
  <c r="AL191" i="1"/>
  <c r="AM189" i="1" s="1"/>
  <c r="AL230" i="1"/>
  <c r="AL300" i="1"/>
  <c r="AM298" i="1" s="1"/>
  <c r="AL353" i="1"/>
  <c r="AL408" i="1"/>
  <c r="AM406" i="1" s="1"/>
  <c r="AL462" i="1"/>
  <c r="AM460" i="1" s="1"/>
  <c r="AL584" i="1"/>
  <c r="AM582" i="1" s="1"/>
  <c r="AL594" i="1"/>
  <c r="AM592" i="1" s="1"/>
  <c r="AL597" i="1"/>
  <c r="AM595" i="1" s="1"/>
  <c r="AL734" i="1"/>
  <c r="AM732" i="1" s="1"/>
  <c r="AL12" i="1"/>
  <c r="AM10" i="1" s="1"/>
  <c r="AL28" i="1"/>
  <c r="AM26" i="1" s="1"/>
  <c r="AL56" i="1"/>
  <c r="AM54" i="1" s="1"/>
  <c r="AJ80" i="1"/>
  <c r="AL83" i="1"/>
  <c r="AM81" i="1" s="1"/>
  <c r="AL122" i="1"/>
  <c r="AM120" i="1" s="1"/>
  <c r="AL135" i="1"/>
  <c r="AM133" i="1" s="1"/>
  <c r="AL150" i="1"/>
  <c r="AM148" i="1" s="1"/>
  <c r="AL177" i="1"/>
  <c r="AM175" i="1" s="1"/>
  <c r="AL204" i="1"/>
  <c r="AL229" i="1"/>
  <c r="AL258" i="1"/>
  <c r="AL270" i="1"/>
  <c r="AM268" i="1" s="1"/>
  <c r="AL286" i="1"/>
  <c r="AM284" i="1" s="1"/>
  <c r="AL326" i="1"/>
  <c r="AM324" i="1" s="1"/>
  <c r="AL341" i="1"/>
  <c r="AL381" i="1"/>
  <c r="AM379" i="1" s="1"/>
  <c r="AL395" i="1"/>
  <c r="AM393" i="1" s="1"/>
  <c r="AL435" i="1"/>
  <c r="AM433" i="1" s="1"/>
  <c r="AL450" i="1"/>
  <c r="AM448" i="1" s="1"/>
  <c r="AL489" i="1"/>
  <c r="AM487" i="1" s="1"/>
  <c r="AL504" i="1"/>
  <c r="AM502" i="1" s="1"/>
  <c r="AL517" i="1"/>
  <c r="AM515" i="1" s="1"/>
  <c r="AL529" i="1"/>
  <c r="AM527" i="1" s="1"/>
  <c r="AL543" i="1"/>
  <c r="AM541" i="1" s="1"/>
  <c r="AL570" i="1"/>
  <c r="AM568" i="1" s="1"/>
  <c r="AL596" i="1"/>
  <c r="AM594" i="1" s="1"/>
  <c r="AL625" i="1"/>
  <c r="AM623" i="1" s="1"/>
  <c r="AL639" i="1"/>
  <c r="AM637" i="1" s="1"/>
  <c r="AL666" i="1"/>
  <c r="AM664" i="1" s="1"/>
  <c r="AL720" i="1"/>
  <c r="AM718" i="1" s="1"/>
  <c r="AL747" i="1"/>
  <c r="AM745" i="1" s="1"/>
  <c r="AL761" i="1"/>
  <c r="AM759" i="1" s="1"/>
  <c r="AL42" i="1"/>
  <c r="AM40" i="1" s="1"/>
  <c r="AL69" i="1"/>
  <c r="AM67" i="1" s="1"/>
  <c r="AL218" i="1"/>
  <c r="AL245" i="1"/>
  <c r="AL257" i="1"/>
  <c r="AL531" i="1"/>
  <c r="AM529" i="1" s="1"/>
  <c r="AL542" i="1"/>
  <c r="AM540" i="1" s="1"/>
  <c r="AL624" i="1"/>
  <c r="AM622" i="1" s="1"/>
  <c r="AL653" i="1"/>
  <c r="AM651" i="1" s="1"/>
  <c r="AL13" i="1"/>
  <c r="AM11" i="1" s="1"/>
  <c r="AL26" i="1"/>
  <c r="AM24" i="1" s="1"/>
  <c r="AL41" i="1"/>
  <c r="AM39" i="1" s="1"/>
  <c r="AL54" i="1"/>
  <c r="AM52" i="1" s="1"/>
  <c r="AL68" i="1"/>
  <c r="AM66" i="1" s="1"/>
  <c r="AL123" i="1"/>
  <c r="AM121" i="1" s="1"/>
  <c r="AL136" i="1"/>
  <c r="AM134" i="1" s="1"/>
  <c r="AL148" i="1"/>
  <c r="AM146" i="1" s="1"/>
  <c r="AL163" i="1"/>
  <c r="AM161" i="1" s="1"/>
  <c r="AL190" i="1"/>
  <c r="AM188" i="1" s="1"/>
  <c r="AL202" i="1"/>
  <c r="AL217" i="1"/>
  <c r="AL244" i="1"/>
  <c r="AL259" i="1"/>
  <c r="AL271" i="1"/>
  <c r="AM269" i="1" s="1"/>
  <c r="AL299" i="1"/>
  <c r="AM297" i="1" s="1"/>
  <c r="AL312" i="1"/>
  <c r="AM310" i="1" s="1"/>
  <c r="AL327" i="1"/>
  <c r="AM325" i="1" s="1"/>
  <c r="AL339" i="1"/>
  <c r="AL367" i="1"/>
  <c r="AM365" i="1" s="1"/>
  <c r="AL382" i="1"/>
  <c r="AM380" i="1" s="1"/>
  <c r="AL422" i="1"/>
  <c r="AM420" i="1" s="1"/>
  <c r="AL436" i="1"/>
  <c r="AM434" i="1" s="1"/>
  <c r="AL476" i="1"/>
  <c r="AM474" i="1" s="1"/>
  <c r="AL490" i="1"/>
  <c r="AM488" i="1" s="1"/>
  <c r="AL530" i="1"/>
  <c r="AM528" i="1" s="1"/>
  <c r="AL544" i="1"/>
  <c r="AM542" i="1" s="1"/>
  <c r="AL571" i="1"/>
  <c r="AM569" i="1" s="1"/>
  <c r="AL583" i="1"/>
  <c r="AM581" i="1" s="1"/>
  <c r="AL611" i="1"/>
  <c r="AM609" i="1" s="1"/>
  <c r="AL626" i="1"/>
  <c r="AM624" i="1" s="1"/>
  <c r="AL637" i="1"/>
  <c r="AM635" i="1" s="1"/>
  <c r="AL652" i="1"/>
  <c r="AM650" i="1" s="1"/>
  <c r="AL667" i="1"/>
  <c r="AM665" i="1" s="1"/>
  <c r="AL693" i="1"/>
  <c r="AM691" i="1" s="1"/>
  <c r="AL706" i="1"/>
  <c r="AM704" i="1" s="1"/>
  <c r="AL718" i="1"/>
  <c r="AM716" i="1" s="1"/>
  <c r="AL733" i="1"/>
  <c r="AM731" i="1" s="1"/>
  <c r="AL745" i="1"/>
  <c r="AM743" i="1" s="1"/>
  <c r="AL759" i="1"/>
  <c r="AM757" i="1" s="1"/>
  <c r="AL774" i="1"/>
  <c r="AM772" i="1" s="1"/>
  <c r="AL788" i="1"/>
  <c r="AM786" i="1" s="1"/>
  <c r="AL403" i="1"/>
  <c r="AM401" i="1" s="1"/>
  <c r="AL525" i="1"/>
  <c r="AM523" i="1" s="1"/>
  <c r="AL606" i="1"/>
  <c r="AM604" i="1" s="1"/>
  <c r="AL810" i="1"/>
  <c r="AM808" i="1" s="1"/>
  <c r="AL918" i="1"/>
  <c r="AM916" i="1" s="1"/>
  <c r="AL1054" i="1"/>
  <c r="AM1052" i="1" s="1"/>
  <c r="AL253" i="1"/>
  <c r="AL376" i="1"/>
  <c r="AM374" i="1" s="1"/>
  <c r="AL484" i="1"/>
  <c r="AM482" i="1" s="1"/>
  <c r="AL579" i="1"/>
  <c r="AM577" i="1" s="1"/>
  <c r="AL144" i="1"/>
  <c r="AM142" i="1" s="1"/>
  <c r="AL198" i="1"/>
  <c r="AM196" i="1" s="1"/>
  <c r="AL701" i="1"/>
  <c r="AM699" i="1" s="1"/>
  <c r="AL972" i="1"/>
  <c r="AM970" i="1" s="1"/>
  <c r="AL1164" i="1"/>
  <c r="AM1162" i="1" s="1"/>
  <c r="AL239" i="1"/>
  <c r="AL348" i="1"/>
  <c r="AL552" i="1"/>
  <c r="AM550" i="1" s="1"/>
  <c r="AL837" i="1"/>
  <c r="AM835" i="1" s="1"/>
  <c r="AL878" i="1"/>
  <c r="AM876" i="1" s="1"/>
  <c r="AL891" i="1"/>
  <c r="AM889" i="1" s="1"/>
  <c r="AL945" i="1"/>
  <c r="AM943" i="1" s="1"/>
  <c r="AL755" i="1"/>
  <c r="AM753" i="1" s="1"/>
  <c r="AL1109" i="1"/>
  <c r="AM1107" i="1" s="1"/>
  <c r="AL117" i="1"/>
  <c r="AM115" i="1" s="1"/>
  <c r="AL294" i="1"/>
  <c r="AM292" i="1" s="1"/>
  <c r="AL728" i="1"/>
  <c r="AM726" i="1" s="1"/>
  <c r="AL1026" i="1"/>
  <c r="AL1081" i="1"/>
  <c r="AM1079" i="1" s="1"/>
  <c r="AL63" i="1"/>
  <c r="AM61" i="1" s="1"/>
  <c r="AL266" i="1"/>
  <c r="AL321" i="1"/>
  <c r="AM319" i="1" s="1"/>
  <c r="AL430" i="1"/>
  <c r="AM428" i="1" s="1"/>
  <c r="AL661" i="1"/>
  <c r="AM659" i="1" s="1"/>
  <c r="AL674" i="1"/>
  <c r="AM672" i="1" s="1"/>
  <c r="AL1013" i="1"/>
  <c r="AL50" i="1"/>
  <c r="AM48" i="1" s="1"/>
  <c r="AL171" i="1"/>
  <c r="AM169" i="1" s="1"/>
  <c r="AL783" i="1"/>
  <c r="AM781" i="1" s="1"/>
  <c r="AL999" i="1"/>
  <c r="AM997" i="1" s="1"/>
  <c r="AL1137" i="1"/>
  <c r="AM1135" i="1" s="1"/>
  <c r="AL22" i="1"/>
  <c r="AM20" i="1" s="1"/>
  <c r="AJ54" i="2"/>
  <c r="AK52" i="2" s="1"/>
  <c r="AG10" i="6"/>
  <c r="AA10" i="3"/>
  <c r="AH10" i="6"/>
  <c r="AI10" i="6" s="1"/>
  <c r="AL14" i="5"/>
  <c r="AM12" i="5" s="1"/>
  <c r="Z377" i="4"/>
  <c r="AC377" i="4"/>
  <c r="E120" i="6"/>
  <c r="F120" i="6" s="1"/>
  <c r="G120" i="6" s="1"/>
  <c r="H120" i="6" s="1"/>
  <c r="I120" i="6" s="1"/>
  <c r="J120" i="6" s="1"/>
  <c r="K120" i="6" s="1"/>
  <c r="L120" i="6" s="1"/>
  <c r="M120" i="6" s="1"/>
  <c r="N120" i="6" s="1"/>
  <c r="O120" i="6" s="1"/>
  <c r="P120" i="6" s="1"/>
  <c r="Q120" i="6" s="1"/>
  <c r="R120" i="6" s="1"/>
  <c r="S120" i="6" s="1"/>
  <c r="T120" i="6" s="1"/>
  <c r="U120" i="6" s="1"/>
  <c r="V120" i="6" s="1"/>
  <c r="W120" i="6" s="1"/>
  <c r="X120" i="6" s="1"/>
  <c r="Y120" i="6" s="1"/>
  <c r="Z120" i="6" s="1"/>
  <c r="AA120" i="6" s="1"/>
  <c r="AB120" i="6" s="1"/>
  <c r="AC120" i="6" s="1"/>
  <c r="AD120" i="6" s="1"/>
  <c r="AE120" i="6" s="1"/>
  <c r="AF120" i="6" s="1"/>
  <c r="AG120" i="6" s="1"/>
  <c r="AH120" i="6" s="1"/>
  <c r="AI120" i="6" s="1"/>
  <c r="E117" i="6"/>
  <c r="F117" i="6" s="1"/>
  <c r="G117" i="6" s="1"/>
  <c r="H117" i="6" s="1"/>
  <c r="I117" i="6" s="1"/>
  <c r="J117" i="6" s="1"/>
  <c r="K117" i="6" s="1"/>
  <c r="L117" i="6" s="1"/>
  <c r="M117" i="6" s="1"/>
  <c r="N117" i="6" s="1"/>
  <c r="O117" i="6" s="1"/>
  <c r="P117" i="6" s="1"/>
  <c r="Q117" i="6" s="1"/>
  <c r="R117" i="6" s="1"/>
  <c r="S117" i="6" s="1"/>
  <c r="T117" i="6" s="1"/>
  <c r="U117" i="6" s="1"/>
  <c r="V117" i="6" s="1"/>
  <c r="W117" i="6" s="1"/>
  <c r="X117" i="6" s="1"/>
  <c r="Y117" i="6" s="1"/>
  <c r="Z117" i="6" s="1"/>
  <c r="AA117" i="6" s="1"/>
  <c r="AB117" i="6" s="1"/>
  <c r="AC117" i="6" s="1"/>
  <c r="AD117" i="6" s="1"/>
  <c r="AE117" i="6" s="1"/>
  <c r="AF117" i="6" s="1"/>
  <c r="AG117" i="6" s="1"/>
  <c r="AH117" i="6" s="1"/>
  <c r="AI117" i="6" s="1"/>
  <c r="E89" i="6"/>
  <c r="F89" i="6" s="1"/>
  <c r="G89" i="6" s="1"/>
  <c r="H89" i="6" s="1"/>
  <c r="I89" i="6" s="1"/>
  <c r="J89" i="6" s="1"/>
  <c r="K89" i="6" s="1"/>
  <c r="L89" i="6" s="1"/>
  <c r="M89" i="6" s="1"/>
  <c r="N89" i="6" s="1"/>
  <c r="O89" i="6" s="1"/>
  <c r="P89" i="6" s="1"/>
  <c r="Q89" i="6" s="1"/>
  <c r="R89" i="6" s="1"/>
  <c r="S89" i="6" s="1"/>
  <c r="T89" i="6" s="1"/>
  <c r="U89" i="6" s="1"/>
  <c r="V89" i="6" s="1"/>
  <c r="W89" i="6" s="1"/>
  <c r="X89" i="6" s="1"/>
  <c r="Y89" i="6" s="1"/>
  <c r="Z89" i="6" s="1"/>
  <c r="AA89" i="6" s="1"/>
  <c r="AB89" i="6" s="1"/>
  <c r="AC89" i="6" s="1"/>
  <c r="AD89" i="6" s="1"/>
  <c r="AE89" i="6" s="1"/>
  <c r="AF89" i="6" s="1"/>
  <c r="AG89" i="6" s="1"/>
  <c r="AH89" i="6" s="1"/>
  <c r="AI89" i="6" s="1"/>
  <c r="E159" i="6"/>
  <c r="F159" i="6" s="1"/>
  <c r="G159" i="6" s="1"/>
  <c r="H159" i="6" s="1"/>
  <c r="I159" i="6" s="1"/>
  <c r="J159" i="6" s="1"/>
  <c r="K159" i="6" s="1"/>
  <c r="L159" i="6" s="1"/>
  <c r="M159" i="6" s="1"/>
  <c r="N159" i="6" s="1"/>
  <c r="O159" i="6" s="1"/>
  <c r="P159" i="6" s="1"/>
  <c r="Q159" i="6" s="1"/>
  <c r="R159" i="6" s="1"/>
  <c r="S159" i="6" s="1"/>
  <c r="T159" i="6" s="1"/>
  <c r="U159" i="6" s="1"/>
  <c r="V159" i="6" s="1"/>
  <c r="W159" i="6" s="1"/>
  <c r="X159" i="6" s="1"/>
  <c r="Y159" i="6" s="1"/>
  <c r="Z159" i="6" s="1"/>
  <c r="AA159" i="6" s="1"/>
  <c r="AB159" i="6" s="1"/>
  <c r="AC159" i="6" s="1"/>
  <c r="AD159" i="6" s="1"/>
  <c r="AE159" i="6" s="1"/>
  <c r="AF159" i="6" s="1"/>
  <c r="AG159" i="6" s="1"/>
  <c r="AH159" i="6" s="1"/>
  <c r="AI159" i="6" s="1"/>
  <c r="E162" i="6"/>
  <c r="F162" i="6" s="1"/>
  <c r="G162" i="6" s="1"/>
  <c r="H162" i="6" s="1"/>
  <c r="I162" i="6" s="1"/>
  <c r="J162" i="6" s="1"/>
  <c r="K162" i="6" s="1"/>
  <c r="L162" i="6" s="1"/>
  <c r="M162" i="6" s="1"/>
  <c r="N162" i="6" s="1"/>
  <c r="O162" i="6" s="1"/>
  <c r="P162" i="6" s="1"/>
  <c r="Q162" i="6" s="1"/>
  <c r="R162" i="6" s="1"/>
  <c r="S162" i="6" s="1"/>
  <c r="T162" i="6" s="1"/>
  <c r="U162" i="6" s="1"/>
  <c r="V162" i="6" s="1"/>
  <c r="W162" i="6" s="1"/>
  <c r="X162" i="6" s="1"/>
  <c r="Y162" i="6" s="1"/>
  <c r="Z162" i="6" s="1"/>
  <c r="AA162" i="6" s="1"/>
  <c r="AB162" i="6" s="1"/>
  <c r="AC162" i="6" s="1"/>
  <c r="AD162" i="6" s="1"/>
  <c r="AE162" i="6" s="1"/>
  <c r="AF162" i="6" s="1"/>
  <c r="AG162" i="6" s="1"/>
  <c r="AH162" i="6" s="1"/>
  <c r="AI162" i="6" s="1"/>
  <c r="F75" i="6"/>
  <c r="G75" i="6" s="1"/>
  <c r="H75" i="6" s="1"/>
  <c r="I75" i="6" s="1"/>
  <c r="J75" i="6" s="1"/>
  <c r="K75" i="6" s="1"/>
  <c r="L75" i="6" s="1"/>
  <c r="M75" i="6" s="1"/>
  <c r="N75" i="6" s="1"/>
  <c r="O75" i="6" s="1"/>
  <c r="P75" i="6" s="1"/>
  <c r="Q75" i="6" s="1"/>
  <c r="R75" i="6" s="1"/>
  <c r="S75" i="6" s="1"/>
  <c r="T75" i="6" s="1"/>
  <c r="U75" i="6" s="1"/>
  <c r="V75" i="6" s="1"/>
  <c r="W75" i="6" s="1"/>
  <c r="X75" i="6" s="1"/>
  <c r="Y75" i="6" s="1"/>
  <c r="Z75" i="6" s="1"/>
  <c r="AA75" i="6" s="1"/>
  <c r="AB75" i="6" s="1"/>
  <c r="AC75" i="6" s="1"/>
  <c r="AD75" i="6" s="1"/>
  <c r="AE75" i="6" s="1"/>
  <c r="AF75" i="6" s="1"/>
  <c r="AG75" i="6" s="1"/>
  <c r="AH75" i="6" s="1"/>
  <c r="AI75" i="6" s="1"/>
  <c r="M281" i="4"/>
  <c r="N281" i="4" s="1"/>
  <c r="O281" i="4" s="1"/>
  <c r="P281" i="4" s="1"/>
  <c r="Q281" i="4" s="1"/>
  <c r="AD542" i="3"/>
  <c r="AH542" i="3" s="1"/>
  <c r="AI542" i="3" s="1"/>
  <c r="AA542" i="3"/>
  <c r="AL506" i="4"/>
  <c r="AM504" i="4" s="1"/>
  <c r="AL504" i="4"/>
  <c r="AM502" i="4" s="1"/>
  <c r="AL509" i="4"/>
  <c r="AM507" i="4" s="1"/>
  <c r="AL510" i="4"/>
  <c r="AM508" i="4" s="1"/>
  <c r="AL508" i="4"/>
  <c r="AM506" i="4" s="1"/>
  <c r="AA220" i="3"/>
  <c r="AD220" i="3"/>
  <c r="AH220" i="3" s="1"/>
  <c r="AI220" i="3" s="1"/>
  <c r="F568" i="3"/>
  <c r="G568" i="3" s="1"/>
  <c r="H568" i="3" s="1"/>
  <c r="I568" i="3" s="1"/>
  <c r="J568" i="3" s="1"/>
  <c r="K568" i="3" s="1"/>
  <c r="L568" i="3" s="1"/>
  <c r="M568" i="3" s="1"/>
  <c r="N568" i="3" s="1"/>
  <c r="O568" i="3" s="1"/>
  <c r="P568" i="3" s="1"/>
  <c r="Q568" i="3" s="1"/>
  <c r="R568" i="3" s="1"/>
  <c r="S568" i="3" s="1"/>
  <c r="T568" i="3" s="1"/>
  <c r="U568" i="3" s="1"/>
  <c r="V568" i="3" s="1"/>
  <c r="W568" i="3" s="1"/>
  <c r="X568" i="3" s="1"/>
  <c r="Y568" i="3" s="1"/>
  <c r="Z568" i="3" s="1"/>
  <c r="AA568" i="3" s="1"/>
  <c r="AB568" i="3" s="1"/>
  <c r="AC568" i="3" s="1"/>
  <c r="AD568" i="3" s="1"/>
  <c r="AE568" i="3" s="1"/>
  <c r="AF568" i="3" s="1"/>
  <c r="AG568" i="3" s="1"/>
  <c r="AH568" i="3" s="1"/>
  <c r="AI568" i="3" s="1"/>
  <c r="F565" i="3"/>
  <c r="G565" i="3" s="1"/>
  <c r="H565" i="3" s="1"/>
  <c r="I565" i="3" s="1"/>
  <c r="J565" i="3" s="1"/>
  <c r="K565" i="3" s="1"/>
  <c r="L565" i="3" s="1"/>
  <c r="M565" i="3" s="1"/>
  <c r="N565" i="3" s="1"/>
  <c r="O565" i="3" s="1"/>
  <c r="P565" i="3" s="1"/>
  <c r="Q565" i="3" s="1"/>
  <c r="R565" i="3" s="1"/>
  <c r="S565" i="3" s="1"/>
  <c r="T565" i="3" s="1"/>
  <c r="U565" i="3" s="1"/>
  <c r="V565" i="3" s="1"/>
  <c r="W565" i="3" s="1"/>
  <c r="X565" i="3" s="1"/>
  <c r="Y565" i="3" s="1"/>
  <c r="Z565" i="3" s="1"/>
  <c r="AA565" i="3" s="1"/>
  <c r="AB565" i="3" s="1"/>
  <c r="AC565" i="3" s="1"/>
  <c r="AD565" i="3" s="1"/>
  <c r="AE565" i="3" s="1"/>
  <c r="AF565" i="3" s="1"/>
  <c r="AG565" i="3" s="1"/>
  <c r="AH565" i="3" s="1"/>
  <c r="AI565" i="3" s="1"/>
  <c r="E526" i="3"/>
  <c r="F526" i="3" s="1"/>
  <c r="G526" i="3" s="1"/>
  <c r="H526" i="3" s="1"/>
  <c r="I526" i="3" s="1"/>
  <c r="J526" i="3" s="1"/>
  <c r="K526" i="3" s="1"/>
  <c r="L526" i="3" s="1"/>
  <c r="M526" i="3" s="1"/>
  <c r="N526" i="3" s="1"/>
  <c r="O526" i="3" s="1"/>
  <c r="P526" i="3" s="1"/>
  <c r="Q526" i="3" s="1"/>
  <c r="R526" i="3" s="1"/>
  <c r="S526" i="3" s="1"/>
  <c r="T526" i="3" s="1"/>
  <c r="U526" i="3" s="1"/>
  <c r="V526" i="3" s="1"/>
  <c r="W526" i="3" s="1"/>
  <c r="X526" i="3" s="1"/>
  <c r="Y526" i="3" s="1"/>
  <c r="Z526" i="3" s="1"/>
  <c r="AA526" i="3" s="1"/>
  <c r="AB526" i="3" s="1"/>
  <c r="AC526" i="3" s="1"/>
  <c r="AD526" i="3" s="1"/>
  <c r="AE526" i="3" s="1"/>
  <c r="AF526" i="3" s="1"/>
  <c r="AG526" i="3" s="1"/>
  <c r="AH526" i="3" s="1"/>
  <c r="AI526" i="3" s="1"/>
  <c r="E523" i="3"/>
  <c r="F523" i="3" s="1"/>
  <c r="G523" i="3" s="1"/>
  <c r="H523" i="3" s="1"/>
  <c r="I523" i="3" s="1"/>
  <c r="J523" i="3" s="1"/>
  <c r="K523" i="3" s="1"/>
  <c r="L523" i="3" s="1"/>
  <c r="M523" i="3" s="1"/>
  <c r="N523" i="3" s="1"/>
  <c r="O523" i="3" s="1"/>
  <c r="P523" i="3" s="1"/>
  <c r="Q523" i="3" s="1"/>
  <c r="R523" i="3" s="1"/>
  <c r="S523" i="3" s="1"/>
  <c r="T523" i="3" s="1"/>
  <c r="U523" i="3" s="1"/>
  <c r="V523" i="3" s="1"/>
  <c r="W523" i="3" s="1"/>
  <c r="X523" i="3" s="1"/>
  <c r="Y523" i="3" s="1"/>
  <c r="Z523" i="3" s="1"/>
  <c r="AA523" i="3" s="1"/>
  <c r="AB523" i="3" s="1"/>
  <c r="AC523" i="3" s="1"/>
  <c r="AD523" i="3" s="1"/>
  <c r="AE523" i="3" s="1"/>
  <c r="AF523" i="3" s="1"/>
  <c r="AG523" i="3" s="1"/>
  <c r="AH523" i="3" s="1"/>
  <c r="AI523" i="3" s="1"/>
  <c r="E372" i="3"/>
  <c r="F372" i="3" s="1"/>
  <c r="G372" i="3" s="1"/>
  <c r="H372" i="3" s="1"/>
  <c r="I372" i="3" s="1"/>
  <c r="J372" i="3" s="1"/>
  <c r="K372" i="3" s="1"/>
  <c r="L372" i="3" s="1"/>
  <c r="M372" i="3" s="1"/>
  <c r="N372" i="3" s="1"/>
  <c r="O372" i="3" s="1"/>
  <c r="P372" i="3" s="1"/>
  <c r="Q372" i="3" s="1"/>
  <c r="R372" i="3" s="1"/>
  <c r="S372" i="3" s="1"/>
  <c r="T372" i="3" s="1"/>
  <c r="U372" i="3" s="1"/>
  <c r="V372" i="3" s="1"/>
  <c r="W372" i="3" s="1"/>
  <c r="X372" i="3" s="1"/>
  <c r="Y372" i="3" s="1"/>
  <c r="Z372" i="3" s="1"/>
  <c r="AA372" i="3" s="1"/>
  <c r="AB372" i="3" s="1"/>
  <c r="AC372" i="3" s="1"/>
  <c r="AD372" i="3" s="1"/>
  <c r="AE372" i="3" s="1"/>
  <c r="AF372" i="3" s="1"/>
  <c r="AG372" i="3" s="1"/>
  <c r="AH372" i="3" s="1"/>
  <c r="AI372" i="3" s="1"/>
  <c r="E369" i="3"/>
  <c r="F369" i="3" s="1"/>
  <c r="G369" i="3" s="1"/>
  <c r="H369" i="3" s="1"/>
  <c r="I369" i="3" s="1"/>
  <c r="J369" i="3" s="1"/>
  <c r="K369" i="3" s="1"/>
  <c r="L369" i="3" s="1"/>
  <c r="M369" i="3" s="1"/>
  <c r="N369" i="3" s="1"/>
  <c r="O369" i="3" s="1"/>
  <c r="P369" i="3" s="1"/>
  <c r="Q369" i="3" s="1"/>
  <c r="R369" i="3" s="1"/>
  <c r="S369" i="3" s="1"/>
  <c r="T369" i="3" s="1"/>
  <c r="U369" i="3" s="1"/>
  <c r="V369" i="3" s="1"/>
  <c r="W369" i="3" s="1"/>
  <c r="X369" i="3" s="1"/>
  <c r="Y369" i="3" s="1"/>
  <c r="Z369" i="3" s="1"/>
  <c r="AA369" i="3" s="1"/>
  <c r="AB369" i="3" s="1"/>
  <c r="AC369" i="3" s="1"/>
  <c r="AD369" i="3" s="1"/>
  <c r="AE369" i="3" s="1"/>
  <c r="AF369" i="3" s="1"/>
  <c r="AG369" i="3" s="1"/>
  <c r="AH369" i="3" s="1"/>
  <c r="AI369" i="3" s="1"/>
  <c r="F428" i="3"/>
  <c r="G428" i="3" s="1"/>
  <c r="H428" i="3" s="1"/>
  <c r="I428" i="3" s="1"/>
  <c r="J428" i="3" s="1"/>
  <c r="K428" i="3" s="1"/>
  <c r="L428" i="3" s="1"/>
  <c r="M428" i="3" s="1"/>
  <c r="N428" i="3" s="1"/>
  <c r="O428" i="3" s="1"/>
  <c r="P428" i="3" s="1"/>
  <c r="Q428" i="3" s="1"/>
  <c r="R428" i="3" s="1"/>
  <c r="S428" i="3" s="1"/>
  <c r="T428" i="3" s="1"/>
  <c r="U428" i="3" s="1"/>
  <c r="V428" i="3" s="1"/>
  <c r="W428" i="3" s="1"/>
  <c r="X428" i="3" s="1"/>
  <c r="Y428" i="3" s="1"/>
  <c r="Z428" i="3" s="1"/>
  <c r="AA428" i="3" s="1"/>
  <c r="AB428" i="3" s="1"/>
  <c r="AC428" i="3" s="1"/>
  <c r="AD428" i="3" s="1"/>
  <c r="AE428" i="3" s="1"/>
  <c r="AF428" i="3" s="1"/>
  <c r="AG428" i="3" s="1"/>
  <c r="AH428" i="3" s="1"/>
  <c r="AI428" i="3" s="1"/>
  <c r="E425" i="3"/>
  <c r="F425" i="3" s="1"/>
  <c r="G425" i="3" s="1"/>
  <c r="H425" i="3" s="1"/>
  <c r="I425" i="3" s="1"/>
  <c r="J425" i="3" s="1"/>
  <c r="K425" i="3" s="1"/>
  <c r="L425" i="3" s="1"/>
  <c r="M425" i="3" s="1"/>
  <c r="N425" i="3" s="1"/>
  <c r="O425" i="3" s="1"/>
  <c r="P425" i="3" s="1"/>
  <c r="Q425" i="3" s="1"/>
  <c r="R425" i="3" s="1"/>
  <c r="S425" i="3" s="1"/>
  <c r="T425" i="3" s="1"/>
  <c r="U425" i="3" s="1"/>
  <c r="V425" i="3" s="1"/>
  <c r="W425" i="3" s="1"/>
  <c r="X425" i="3" s="1"/>
  <c r="Y425" i="3" s="1"/>
  <c r="Z425" i="3" s="1"/>
  <c r="AA425" i="3" s="1"/>
  <c r="AB425" i="3" s="1"/>
  <c r="AC425" i="3" s="1"/>
  <c r="AD425" i="3" s="1"/>
  <c r="AE425" i="3" s="1"/>
  <c r="AF425" i="3" s="1"/>
  <c r="AG425" i="3" s="1"/>
  <c r="AH425" i="3" s="1"/>
  <c r="AI425" i="3" s="1"/>
  <c r="E260" i="3"/>
  <c r="F260" i="3" s="1"/>
  <c r="G260" i="3" s="1"/>
  <c r="H260" i="3" s="1"/>
  <c r="I260" i="3" s="1"/>
  <c r="J260" i="3" s="1"/>
  <c r="K260" i="3" s="1"/>
  <c r="L260" i="3" s="1"/>
  <c r="M260" i="3" s="1"/>
  <c r="N260" i="3" s="1"/>
  <c r="O260" i="3" s="1"/>
  <c r="P260" i="3" s="1"/>
  <c r="Q260" i="3" s="1"/>
  <c r="R260" i="3" s="1"/>
  <c r="S260" i="3" s="1"/>
  <c r="T260" i="3" s="1"/>
  <c r="U260" i="3" s="1"/>
  <c r="V260" i="3" s="1"/>
  <c r="W260" i="3" s="1"/>
  <c r="X260" i="3" s="1"/>
  <c r="Y260" i="3" s="1"/>
  <c r="Z260" i="3" s="1"/>
  <c r="AA260" i="3" s="1"/>
  <c r="AB260" i="3" s="1"/>
  <c r="AC260" i="3" s="1"/>
  <c r="AD260" i="3" s="1"/>
  <c r="AE260" i="3" s="1"/>
  <c r="AF260" i="3" s="1"/>
  <c r="AG260" i="3" s="1"/>
  <c r="AH260" i="3" s="1"/>
  <c r="AI260" i="3" s="1"/>
  <c r="E257" i="3"/>
  <c r="F257" i="3" s="1"/>
  <c r="G257" i="3" s="1"/>
  <c r="H257" i="3" s="1"/>
  <c r="I257" i="3" s="1"/>
  <c r="J257" i="3" s="1"/>
  <c r="K257" i="3" s="1"/>
  <c r="L257" i="3" s="1"/>
  <c r="M257" i="3" s="1"/>
  <c r="N257" i="3" s="1"/>
  <c r="O257" i="3" s="1"/>
  <c r="P257" i="3" s="1"/>
  <c r="Q257" i="3" s="1"/>
  <c r="R257" i="3" s="1"/>
  <c r="S257" i="3" s="1"/>
  <c r="T257" i="3" s="1"/>
  <c r="U257" i="3" s="1"/>
  <c r="V257" i="3" s="1"/>
  <c r="W257" i="3" s="1"/>
  <c r="X257" i="3" s="1"/>
  <c r="Y257" i="3" s="1"/>
  <c r="Z257" i="3" s="1"/>
  <c r="AA257" i="3" s="1"/>
  <c r="AB257" i="3" s="1"/>
  <c r="AC257" i="3" s="1"/>
  <c r="AD257" i="3" s="1"/>
  <c r="AE257" i="3" s="1"/>
  <c r="AF257" i="3" s="1"/>
  <c r="AG257" i="3" s="1"/>
  <c r="AH257" i="3" s="1"/>
  <c r="AI257" i="3" s="1"/>
  <c r="E302" i="3"/>
  <c r="F302" i="3" s="1"/>
  <c r="G302" i="3" s="1"/>
  <c r="H302" i="3" s="1"/>
  <c r="I302" i="3" s="1"/>
  <c r="J302" i="3" s="1"/>
  <c r="K302" i="3" s="1"/>
  <c r="L302" i="3" s="1"/>
  <c r="M302" i="3" s="1"/>
  <c r="N302" i="3" s="1"/>
  <c r="O302" i="3" s="1"/>
  <c r="P302" i="3" s="1"/>
  <c r="Q302" i="3" s="1"/>
  <c r="R302" i="3" s="1"/>
  <c r="S302" i="3" s="1"/>
  <c r="T302" i="3" s="1"/>
  <c r="U302" i="3" s="1"/>
  <c r="V302" i="3" s="1"/>
  <c r="W302" i="3" s="1"/>
  <c r="X302" i="3" s="1"/>
  <c r="Y302" i="3" s="1"/>
  <c r="Z302" i="3" s="1"/>
  <c r="AA302" i="3" s="1"/>
  <c r="AB302" i="3" s="1"/>
  <c r="AC302" i="3" s="1"/>
  <c r="AD302" i="3" s="1"/>
  <c r="AE302" i="3" s="1"/>
  <c r="AF302" i="3" s="1"/>
  <c r="AG302" i="3" s="1"/>
  <c r="AH302" i="3" s="1"/>
  <c r="AI302" i="3" s="1"/>
  <c r="E299" i="3"/>
  <c r="F299" i="3" s="1"/>
  <c r="G299" i="3" s="1"/>
  <c r="H299" i="3" s="1"/>
  <c r="I299" i="3" s="1"/>
  <c r="J299" i="3" s="1"/>
  <c r="K299" i="3" s="1"/>
  <c r="L299" i="3" s="1"/>
  <c r="M299" i="3" s="1"/>
  <c r="N299" i="3" s="1"/>
  <c r="O299" i="3" s="1"/>
  <c r="P299" i="3" s="1"/>
  <c r="Q299" i="3" s="1"/>
  <c r="R299" i="3" s="1"/>
  <c r="S299" i="3" s="1"/>
  <c r="T299" i="3" s="1"/>
  <c r="U299" i="3" s="1"/>
  <c r="V299" i="3" s="1"/>
  <c r="W299" i="3" s="1"/>
  <c r="X299" i="3" s="1"/>
  <c r="Y299" i="3" s="1"/>
  <c r="Z299" i="3" s="1"/>
  <c r="AA299" i="3" s="1"/>
  <c r="AB299" i="3" s="1"/>
  <c r="AC299" i="3" s="1"/>
  <c r="AD299" i="3" s="1"/>
  <c r="AE299" i="3" s="1"/>
  <c r="AF299" i="3" s="1"/>
  <c r="AG299" i="3" s="1"/>
  <c r="AH299" i="3" s="1"/>
  <c r="AI299" i="3" s="1"/>
  <c r="E969" i="1"/>
  <c r="F969" i="1" s="1"/>
  <c r="G969" i="1" s="1"/>
  <c r="H969" i="1" s="1"/>
  <c r="I969" i="1" s="1"/>
  <c r="J969" i="1" s="1"/>
  <c r="K969" i="1" s="1"/>
  <c r="L969" i="1" s="1"/>
  <c r="M969" i="1" s="1"/>
  <c r="N969" i="1" s="1"/>
  <c r="O969" i="1" s="1"/>
  <c r="P969" i="1" s="1"/>
  <c r="Q969" i="1" s="1"/>
  <c r="R969" i="1" s="1"/>
  <c r="S969" i="1" s="1"/>
  <c r="T969" i="1" s="1"/>
  <c r="U969" i="1" s="1"/>
  <c r="V969" i="1" s="1"/>
  <c r="W969" i="1" s="1"/>
  <c r="X969" i="1" s="1"/>
  <c r="Y969" i="1" s="1"/>
  <c r="Z969" i="1" s="1"/>
  <c r="AA969" i="1" s="1"/>
  <c r="AB969" i="1" s="1"/>
  <c r="AC969" i="1" s="1"/>
  <c r="AD969" i="1" s="1"/>
  <c r="AE969" i="1" s="1"/>
  <c r="AF969" i="1" s="1"/>
  <c r="AG969" i="1" s="1"/>
  <c r="AH969" i="1" s="1"/>
  <c r="AI969" i="1" s="1"/>
  <c r="E971" i="1"/>
  <c r="F971" i="1" s="1"/>
  <c r="G971" i="1" s="1"/>
  <c r="H971" i="1" s="1"/>
  <c r="I971" i="1" s="1"/>
  <c r="J971" i="1" s="1"/>
  <c r="K971" i="1" s="1"/>
  <c r="L971" i="1" s="1"/>
  <c r="M971" i="1" s="1"/>
  <c r="N971" i="1" s="1"/>
  <c r="O971" i="1" s="1"/>
  <c r="P971" i="1" s="1"/>
  <c r="Q971" i="1" s="1"/>
  <c r="R971" i="1" s="1"/>
  <c r="S971" i="1" s="1"/>
  <c r="T971" i="1" s="1"/>
  <c r="U971" i="1" s="1"/>
  <c r="V971" i="1" s="1"/>
  <c r="W971" i="1" s="1"/>
  <c r="X971" i="1" s="1"/>
  <c r="Y971" i="1" s="1"/>
  <c r="Z971" i="1" s="1"/>
  <c r="AA971" i="1" s="1"/>
  <c r="AB971" i="1" s="1"/>
  <c r="AC971" i="1" s="1"/>
  <c r="AD971" i="1" s="1"/>
  <c r="AE971" i="1" s="1"/>
  <c r="AF971" i="1" s="1"/>
  <c r="AG971" i="1" s="1"/>
  <c r="AH971" i="1" s="1"/>
  <c r="AI971" i="1" s="1"/>
  <c r="E535" i="1"/>
  <c r="F535" i="1" s="1"/>
  <c r="G535" i="1" s="1"/>
  <c r="H535" i="1" s="1"/>
  <c r="I535" i="1" s="1"/>
  <c r="J535" i="1" s="1"/>
  <c r="K535" i="1" s="1"/>
  <c r="L535" i="1" s="1"/>
  <c r="M535" i="1" s="1"/>
  <c r="N535" i="1" s="1"/>
  <c r="O535" i="1" s="1"/>
  <c r="P535" i="1" s="1"/>
  <c r="Q535" i="1" s="1"/>
  <c r="R535" i="1" s="1"/>
  <c r="S535" i="1" s="1"/>
  <c r="T535" i="1" s="1"/>
  <c r="U535" i="1" s="1"/>
  <c r="V535" i="1" s="1"/>
  <c r="W535" i="1" s="1"/>
  <c r="X535" i="1" s="1"/>
  <c r="Y535" i="1" s="1"/>
  <c r="Z535" i="1" s="1"/>
  <c r="E537" i="1"/>
  <c r="F537" i="1" s="1"/>
  <c r="G537" i="1" s="1"/>
  <c r="H537" i="1" s="1"/>
  <c r="I537" i="1" s="1"/>
  <c r="J537" i="1" s="1"/>
  <c r="K537" i="1" s="1"/>
  <c r="L537" i="1" s="1"/>
  <c r="M537" i="1" s="1"/>
  <c r="N537" i="1" s="1"/>
  <c r="O537" i="1" s="1"/>
  <c r="P537" i="1" s="1"/>
  <c r="Q537" i="1" s="1"/>
  <c r="R537" i="1" s="1"/>
  <c r="S537" i="1" s="1"/>
  <c r="T537" i="1" s="1"/>
  <c r="U537" i="1" s="1"/>
  <c r="V537" i="1" s="1"/>
  <c r="W537" i="1" s="1"/>
  <c r="X537" i="1" s="1"/>
  <c r="Y537" i="1" s="1"/>
  <c r="Z537" i="1" s="1"/>
  <c r="E874" i="1"/>
  <c r="F874" i="1" s="1"/>
  <c r="G874" i="1" s="1"/>
  <c r="H874" i="1" s="1"/>
  <c r="I874" i="1" s="1"/>
  <c r="J874" i="1" s="1"/>
  <c r="K874" i="1" s="1"/>
  <c r="L874" i="1" s="1"/>
  <c r="M874" i="1" s="1"/>
  <c r="N874" i="1" s="1"/>
  <c r="O874" i="1" s="1"/>
  <c r="P874" i="1" s="1"/>
  <c r="Q874" i="1" s="1"/>
  <c r="R874" i="1" s="1"/>
  <c r="S874" i="1" s="1"/>
  <c r="T874" i="1" s="1"/>
  <c r="U874" i="1" s="1"/>
  <c r="V874" i="1" s="1"/>
  <c r="W874" i="1" s="1"/>
  <c r="X874" i="1" s="1"/>
  <c r="Y874" i="1" s="1"/>
  <c r="Z874" i="1" s="1"/>
  <c r="AA874" i="1" s="1"/>
  <c r="AB874" i="1" s="1"/>
  <c r="AC874" i="1" s="1"/>
  <c r="AD874" i="1" s="1"/>
  <c r="AE874" i="1" s="1"/>
  <c r="AF874" i="1" s="1"/>
  <c r="AG874" i="1" s="1"/>
  <c r="AH874" i="1" s="1"/>
  <c r="AI874" i="1" s="1"/>
  <c r="E877" i="1"/>
  <c r="F877" i="1" s="1"/>
  <c r="G877" i="1" s="1"/>
  <c r="H877" i="1" s="1"/>
  <c r="I877" i="1" s="1"/>
  <c r="J877" i="1" s="1"/>
  <c r="K877" i="1" s="1"/>
  <c r="L877" i="1" s="1"/>
  <c r="M877" i="1" s="1"/>
  <c r="N877" i="1" s="1"/>
  <c r="O877" i="1" s="1"/>
  <c r="P877" i="1" s="1"/>
  <c r="Q877" i="1" s="1"/>
  <c r="R877" i="1" s="1"/>
  <c r="S877" i="1" s="1"/>
  <c r="T877" i="1" s="1"/>
  <c r="U877" i="1" s="1"/>
  <c r="V877" i="1" s="1"/>
  <c r="W877" i="1" s="1"/>
  <c r="X877" i="1" s="1"/>
  <c r="Y877" i="1" s="1"/>
  <c r="Z877" i="1" s="1"/>
  <c r="AA877" i="1" s="1"/>
  <c r="AB877" i="1" s="1"/>
  <c r="AC877" i="1" s="1"/>
  <c r="AD877" i="1" s="1"/>
  <c r="AE877" i="1" s="1"/>
  <c r="AF877" i="1" s="1"/>
  <c r="AG877" i="1" s="1"/>
  <c r="AH877" i="1" s="1"/>
  <c r="AI877" i="1" s="1"/>
  <c r="E982" i="1"/>
  <c r="F982" i="1" s="1"/>
  <c r="G982" i="1" s="1"/>
  <c r="H982" i="1" s="1"/>
  <c r="I982" i="1" s="1"/>
  <c r="J982" i="1" s="1"/>
  <c r="K982" i="1" s="1"/>
  <c r="L982" i="1" s="1"/>
  <c r="M982" i="1" s="1"/>
  <c r="N982" i="1" s="1"/>
  <c r="O982" i="1" s="1"/>
  <c r="P982" i="1" s="1"/>
  <c r="Q982" i="1" s="1"/>
  <c r="R982" i="1" s="1"/>
  <c r="S982" i="1" s="1"/>
  <c r="T982" i="1" s="1"/>
  <c r="U982" i="1" s="1"/>
  <c r="V982" i="1" s="1"/>
  <c r="W982" i="1" s="1"/>
  <c r="X982" i="1" s="1"/>
  <c r="Y982" i="1" s="1"/>
  <c r="Z982" i="1" s="1"/>
  <c r="AA982" i="1" s="1"/>
  <c r="AB982" i="1" s="1"/>
  <c r="AC982" i="1" s="1"/>
  <c r="AD982" i="1" s="1"/>
  <c r="AE982" i="1" s="1"/>
  <c r="AF982" i="1" s="1"/>
  <c r="AG982" i="1" s="1"/>
  <c r="AH982" i="1" s="1"/>
  <c r="AI982" i="1" s="1"/>
  <c r="E985" i="1"/>
  <c r="F985" i="1" s="1"/>
  <c r="G985" i="1" s="1"/>
  <c r="H985" i="1" s="1"/>
  <c r="I985" i="1" s="1"/>
  <c r="J985" i="1" s="1"/>
  <c r="K985" i="1" s="1"/>
  <c r="L985" i="1" s="1"/>
  <c r="M985" i="1" s="1"/>
  <c r="N985" i="1" s="1"/>
  <c r="O985" i="1" s="1"/>
  <c r="P985" i="1" s="1"/>
  <c r="Q985" i="1" s="1"/>
  <c r="R985" i="1" s="1"/>
  <c r="S985" i="1" s="1"/>
  <c r="T985" i="1" s="1"/>
  <c r="U985" i="1" s="1"/>
  <c r="V985" i="1" s="1"/>
  <c r="W985" i="1" s="1"/>
  <c r="X985" i="1" s="1"/>
  <c r="Y985" i="1" s="1"/>
  <c r="Z985" i="1" s="1"/>
  <c r="AA985" i="1" s="1"/>
  <c r="AB985" i="1" s="1"/>
  <c r="AC985" i="1" s="1"/>
  <c r="AD985" i="1" s="1"/>
  <c r="AE985" i="1" s="1"/>
  <c r="AF985" i="1" s="1"/>
  <c r="AG985" i="1" s="1"/>
  <c r="AH985" i="1" s="1"/>
  <c r="AI985" i="1" s="1"/>
  <c r="E521" i="1"/>
  <c r="F521" i="1" s="1"/>
  <c r="G521" i="1" s="1"/>
  <c r="H521" i="1" s="1"/>
  <c r="I521" i="1" s="1"/>
  <c r="J521" i="1" s="1"/>
  <c r="K521" i="1" s="1"/>
  <c r="L521" i="1" s="1"/>
  <c r="M521" i="1" s="1"/>
  <c r="N521" i="1" s="1"/>
  <c r="O521" i="1" s="1"/>
  <c r="P521" i="1" s="1"/>
  <c r="Q521" i="1" s="1"/>
  <c r="R521" i="1" s="1"/>
  <c r="S521" i="1" s="1"/>
  <c r="T521" i="1" s="1"/>
  <c r="U521" i="1" s="1"/>
  <c r="V521" i="1" s="1"/>
  <c r="W521" i="1" s="1"/>
  <c r="X521" i="1" s="1"/>
  <c r="Y521" i="1" s="1"/>
  <c r="Z521" i="1" s="1"/>
  <c r="E524" i="1"/>
  <c r="F524" i="1" s="1"/>
  <c r="G524" i="1" s="1"/>
  <c r="H524" i="1" s="1"/>
  <c r="I524" i="1" s="1"/>
  <c r="J524" i="1" s="1"/>
  <c r="K524" i="1" s="1"/>
  <c r="L524" i="1" s="1"/>
  <c r="M524" i="1" s="1"/>
  <c r="N524" i="1" s="1"/>
  <c r="O524" i="1" s="1"/>
  <c r="P524" i="1" s="1"/>
  <c r="Q524" i="1" s="1"/>
  <c r="R524" i="1" s="1"/>
  <c r="S524" i="1" s="1"/>
  <c r="T524" i="1" s="1"/>
  <c r="U524" i="1" s="1"/>
  <c r="V524" i="1" s="1"/>
  <c r="W524" i="1" s="1"/>
  <c r="X524" i="1" s="1"/>
  <c r="Y524" i="1" s="1"/>
  <c r="Z524" i="1" s="1"/>
  <c r="E1023" i="1"/>
  <c r="F1023" i="1" s="1"/>
  <c r="G1023" i="1" s="1"/>
  <c r="H1023" i="1" s="1"/>
  <c r="I1023" i="1" s="1"/>
  <c r="J1023" i="1" s="1"/>
  <c r="K1023" i="1" s="1"/>
  <c r="L1023" i="1" s="1"/>
  <c r="M1023" i="1" s="1"/>
  <c r="N1023" i="1" s="1"/>
  <c r="O1023" i="1" s="1"/>
  <c r="P1023" i="1" s="1"/>
  <c r="Q1023" i="1" s="1"/>
  <c r="R1023" i="1" s="1"/>
  <c r="S1023" i="1" s="1"/>
  <c r="T1023" i="1" s="1"/>
  <c r="U1023" i="1" s="1"/>
  <c r="V1023" i="1" s="1"/>
  <c r="W1023" i="1" s="1"/>
  <c r="X1023" i="1" s="1"/>
  <c r="Y1023" i="1" s="1"/>
  <c r="Z1023" i="1" s="1"/>
  <c r="AA1023" i="1" s="1"/>
  <c r="AB1023" i="1" s="1"/>
  <c r="AC1023" i="1" s="1"/>
  <c r="AD1023" i="1" s="1"/>
  <c r="AE1023" i="1" s="1"/>
  <c r="AF1023" i="1" s="1"/>
  <c r="AG1023" i="1" s="1"/>
  <c r="AH1023" i="1" s="1"/>
  <c r="AI1023" i="1" s="1"/>
  <c r="E1025" i="1"/>
  <c r="F1025" i="1" s="1"/>
  <c r="G1025" i="1" s="1"/>
  <c r="H1025" i="1" s="1"/>
  <c r="I1025" i="1" s="1"/>
  <c r="J1025" i="1" s="1"/>
  <c r="K1025" i="1" s="1"/>
  <c r="L1025" i="1" s="1"/>
  <c r="M1025" i="1" s="1"/>
  <c r="N1025" i="1" s="1"/>
  <c r="O1025" i="1" s="1"/>
  <c r="P1025" i="1" s="1"/>
  <c r="Q1025" i="1" s="1"/>
  <c r="R1025" i="1" s="1"/>
  <c r="S1025" i="1" s="1"/>
  <c r="T1025" i="1" s="1"/>
  <c r="U1025" i="1" s="1"/>
  <c r="V1025" i="1" s="1"/>
  <c r="W1025" i="1" s="1"/>
  <c r="X1025" i="1" s="1"/>
  <c r="Y1025" i="1" s="1"/>
  <c r="Z1025" i="1" s="1"/>
  <c r="AA1025" i="1" s="1"/>
  <c r="AB1025" i="1" s="1"/>
  <c r="AC1025" i="1" s="1"/>
  <c r="AD1025" i="1" s="1"/>
  <c r="AE1025" i="1" s="1"/>
  <c r="AF1025" i="1" s="1"/>
  <c r="AG1025" i="1" s="1"/>
  <c r="AH1025" i="1" s="1"/>
  <c r="AI1025" i="1" s="1"/>
  <c r="E806" i="1"/>
  <c r="F806" i="1" s="1"/>
  <c r="G806" i="1" s="1"/>
  <c r="H806" i="1" s="1"/>
  <c r="I806" i="1" s="1"/>
  <c r="J806" i="1" s="1"/>
  <c r="K806" i="1" s="1"/>
  <c r="L806" i="1" s="1"/>
  <c r="M806" i="1" s="1"/>
  <c r="N806" i="1" s="1"/>
  <c r="O806" i="1" s="1"/>
  <c r="P806" i="1" s="1"/>
  <c r="Q806" i="1" s="1"/>
  <c r="R806" i="1" s="1"/>
  <c r="S806" i="1" s="1"/>
  <c r="T806" i="1" s="1"/>
  <c r="U806" i="1" s="1"/>
  <c r="V806" i="1" s="1"/>
  <c r="W806" i="1" s="1"/>
  <c r="X806" i="1" s="1"/>
  <c r="Y806" i="1" s="1"/>
  <c r="Z806" i="1" s="1"/>
  <c r="AA806" i="1" s="1"/>
  <c r="AB806" i="1" s="1"/>
  <c r="AC806" i="1" s="1"/>
  <c r="AD806" i="1" s="1"/>
  <c r="AE806" i="1" s="1"/>
  <c r="AF806" i="1" s="1"/>
  <c r="AG806" i="1" s="1"/>
  <c r="AH806" i="1" s="1"/>
  <c r="AI806" i="1" s="1"/>
  <c r="E809" i="1"/>
  <c r="F809" i="1" s="1"/>
  <c r="G809" i="1" s="1"/>
  <c r="H809" i="1" s="1"/>
  <c r="I809" i="1" s="1"/>
  <c r="J809" i="1" s="1"/>
  <c r="K809" i="1" s="1"/>
  <c r="L809" i="1" s="1"/>
  <c r="M809" i="1" s="1"/>
  <c r="N809" i="1" s="1"/>
  <c r="O809" i="1" s="1"/>
  <c r="P809" i="1" s="1"/>
  <c r="Q809" i="1" s="1"/>
  <c r="R809" i="1" s="1"/>
  <c r="S809" i="1" s="1"/>
  <c r="T809" i="1" s="1"/>
  <c r="U809" i="1" s="1"/>
  <c r="V809" i="1" s="1"/>
  <c r="W809" i="1" s="1"/>
  <c r="X809" i="1" s="1"/>
  <c r="Y809" i="1" s="1"/>
  <c r="Z809" i="1" s="1"/>
  <c r="AA809" i="1" s="1"/>
  <c r="AB809" i="1" s="1"/>
  <c r="AC809" i="1" s="1"/>
  <c r="AD809" i="1" s="1"/>
  <c r="AE809" i="1" s="1"/>
  <c r="AF809" i="1" s="1"/>
  <c r="AG809" i="1" s="1"/>
  <c r="AH809" i="1" s="1"/>
  <c r="AI809" i="1" s="1"/>
  <c r="E684" i="1"/>
  <c r="F684" i="1" s="1"/>
  <c r="G684" i="1" s="1"/>
  <c r="H684" i="1" s="1"/>
  <c r="I684" i="1" s="1"/>
  <c r="J684" i="1" s="1"/>
  <c r="K684" i="1" s="1"/>
  <c r="L684" i="1" s="1"/>
  <c r="M684" i="1" s="1"/>
  <c r="N684" i="1" s="1"/>
  <c r="O684" i="1" s="1"/>
  <c r="P684" i="1" s="1"/>
  <c r="Q684" i="1" s="1"/>
  <c r="R684" i="1" s="1"/>
  <c r="S684" i="1" s="1"/>
  <c r="T684" i="1" s="1"/>
  <c r="U684" i="1" s="1"/>
  <c r="V684" i="1" s="1"/>
  <c r="W684" i="1" s="1"/>
  <c r="X684" i="1" s="1"/>
  <c r="Y684" i="1" s="1"/>
  <c r="Z684" i="1" s="1"/>
  <c r="AA684" i="1" s="1"/>
  <c r="AB684" i="1" s="1"/>
  <c r="AC684" i="1" s="1"/>
  <c r="AD684" i="1" s="1"/>
  <c r="AE684" i="1" s="1"/>
  <c r="AF684" i="1" s="1"/>
  <c r="AG684" i="1" s="1"/>
  <c r="AH684" i="1" s="1"/>
  <c r="AI684" i="1" s="1"/>
  <c r="E687" i="1"/>
  <c r="F687" i="1" s="1"/>
  <c r="G687" i="1" s="1"/>
  <c r="H687" i="1" s="1"/>
  <c r="I687" i="1" s="1"/>
  <c r="J687" i="1" s="1"/>
  <c r="K687" i="1" s="1"/>
  <c r="L687" i="1" s="1"/>
  <c r="M687" i="1" s="1"/>
  <c r="N687" i="1" s="1"/>
  <c r="O687" i="1" s="1"/>
  <c r="P687" i="1" s="1"/>
  <c r="Q687" i="1" s="1"/>
  <c r="R687" i="1" s="1"/>
  <c r="S687" i="1" s="1"/>
  <c r="T687" i="1" s="1"/>
  <c r="U687" i="1" s="1"/>
  <c r="V687" i="1" s="1"/>
  <c r="W687" i="1" s="1"/>
  <c r="X687" i="1" s="1"/>
  <c r="Y687" i="1" s="1"/>
  <c r="Z687" i="1" s="1"/>
  <c r="AA687" i="1" s="1"/>
  <c r="AB687" i="1" s="1"/>
  <c r="AC687" i="1" s="1"/>
  <c r="AD687" i="1" s="1"/>
  <c r="AE687" i="1" s="1"/>
  <c r="AF687" i="1" s="1"/>
  <c r="AG687" i="1" s="1"/>
  <c r="AH687" i="1" s="1"/>
  <c r="AI687" i="1" s="1"/>
  <c r="E698" i="1"/>
  <c r="F698" i="1" s="1"/>
  <c r="G698" i="1" s="1"/>
  <c r="H698" i="1" s="1"/>
  <c r="I698" i="1" s="1"/>
  <c r="J698" i="1" s="1"/>
  <c r="K698" i="1" s="1"/>
  <c r="L698" i="1" s="1"/>
  <c r="M698" i="1" s="1"/>
  <c r="N698" i="1" s="1"/>
  <c r="O698" i="1" s="1"/>
  <c r="P698" i="1" s="1"/>
  <c r="Q698" i="1" s="1"/>
  <c r="R698" i="1" s="1"/>
  <c r="S698" i="1" s="1"/>
  <c r="T698" i="1" s="1"/>
  <c r="U698" i="1" s="1"/>
  <c r="V698" i="1" s="1"/>
  <c r="W698" i="1" s="1"/>
  <c r="X698" i="1" s="1"/>
  <c r="Y698" i="1" s="1"/>
  <c r="Z698" i="1" s="1"/>
  <c r="AA698" i="1" s="1"/>
  <c r="AB698" i="1" s="1"/>
  <c r="AC698" i="1" s="1"/>
  <c r="AD698" i="1" s="1"/>
  <c r="AE698" i="1" s="1"/>
  <c r="AF698" i="1" s="1"/>
  <c r="AG698" i="1" s="1"/>
  <c r="AH698" i="1" s="1"/>
  <c r="AI698" i="1" s="1"/>
  <c r="E700" i="1"/>
  <c r="F700" i="1" s="1"/>
  <c r="G700" i="1" s="1"/>
  <c r="H700" i="1" s="1"/>
  <c r="I700" i="1" s="1"/>
  <c r="J700" i="1" s="1"/>
  <c r="K700" i="1" s="1"/>
  <c r="L700" i="1" s="1"/>
  <c r="M700" i="1" s="1"/>
  <c r="N700" i="1" s="1"/>
  <c r="O700" i="1" s="1"/>
  <c r="P700" i="1" s="1"/>
  <c r="Q700" i="1" s="1"/>
  <c r="R700" i="1" s="1"/>
  <c r="S700" i="1" s="1"/>
  <c r="T700" i="1" s="1"/>
  <c r="U700" i="1" s="1"/>
  <c r="V700" i="1" s="1"/>
  <c r="W700" i="1" s="1"/>
  <c r="X700" i="1" s="1"/>
  <c r="Y700" i="1" s="1"/>
  <c r="Z700" i="1" s="1"/>
  <c r="AA700" i="1" s="1"/>
  <c r="AB700" i="1" s="1"/>
  <c r="AC700" i="1" s="1"/>
  <c r="AD700" i="1" s="1"/>
  <c r="AE700" i="1" s="1"/>
  <c r="AF700" i="1" s="1"/>
  <c r="AG700" i="1" s="1"/>
  <c r="AH700" i="1" s="1"/>
  <c r="AI700" i="1" s="1"/>
  <c r="E263" i="1"/>
  <c r="F263" i="1" s="1"/>
  <c r="G263" i="1" s="1"/>
  <c r="H263" i="1" s="1"/>
  <c r="I263" i="1" s="1"/>
  <c r="J263" i="1" s="1"/>
  <c r="K263" i="1" s="1"/>
  <c r="L263" i="1" s="1"/>
  <c r="M263" i="1" s="1"/>
  <c r="N263" i="1" s="1"/>
  <c r="O263" i="1" s="1"/>
  <c r="P263" i="1" s="1"/>
  <c r="Q263" i="1" s="1"/>
  <c r="R263" i="1" s="1"/>
  <c r="S263" i="1" s="1"/>
  <c r="T263" i="1" s="1"/>
  <c r="U263" i="1" s="1"/>
  <c r="V263" i="1" s="1"/>
  <c r="W263" i="1" s="1"/>
  <c r="X263" i="1" s="1"/>
  <c r="Y263" i="1" s="1"/>
  <c r="Z263" i="1" s="1"/>
  <c r="AA263" i="1" s="1"/>
  <c r="AB263" i="1" s="1"/>
  <c r="AC263" i="1" s="1"/>
  <c r="AD263" i="1" s="1"/>
  <c r="AE263" i="1" s="1"/>
  <c r="AF263" i="1" s="1"/>
  <c r="AG263" i="1" s="1"/>
  <c r="AH263" i="1" s="1"/>
  <c r="AI263" i="1" s="1"/>
  <c r="E265" i="1"/>
  <c r="F265" i="1" s="1"/>
  <c r="G265" i="1" s="1"/>
  <c r="H265" i="1" s="1"/>
  <c r="I265" i="1" s="1"/>
  <c r="J265" i="1" s="1"/>
  <c r="K265" i="1" s="1"/>
  <c r="L265" i="1" s="1"/>
  <c r="M265" i="1" s="1"/>
  <c r="N265" i="1" s="1"/>
  <c r="O265" i="1" s="1"/>
  <c r="P265" i="1" s="1"/>
  <c r="Q265" i="1" s="1"/>
  <c r="R265" i="1" s="1"/>
  <c r="S265" i="1" s="1"/>
  <c r="T265" i="1" s="1"/>
  <c r="U265" i="1" s="1"/>
  <c r="V265" i="1" s="1"/>
  <c r="W265" i="1" s="1"/>
  <c r="X265" i="1" s="1"/>
  <c r="Y265" i="1" s="1"/>
  <c r="Z265" i="1" s="1"/>
  <c r="AA265" i="1" s="1"/>
  <c r="AB265" i="1" s="1"/>
  <c r="AC265" i="1" s="1"/>
  <c r="AD265" i="1" s="1"/>
  <c r="AE265" i="1" s="1"/>
  <c r="AF265" i="1" s="1"/>
  <c r="AG265" i="1" s="1"/>
  <c r="AH265" i="1" s="1"/>
  <c r="AI265" i="1" s="1"/>
  <c r="E331" i="1"/>
  <c r="F331" i="1" s="1"/>
  <c r="G331" i="1" s="1"/>
  <c r="H331" i="1" s="1"/>
  <c r="I331" i="1" s="1"/>
  <c r="J331" i="1" s="1"/>
  <c r="K331" i="1" s="1"/>
  <c r="L331" i="1" s="1"/>
  <c r="M331" i="1" s="1"/>
  <c r="N331" i="1" s="1"/>
  <c r="O331" i="1" s="1"/>
  <c r="P331" i="1" s="1"/>
  <c r="Q331" i="1" s="1"/>
  <c r="R331" i="1" s="1"/>
  <c r="S331" i="1" s="1"/>
  <c r="T331" i="1" s="1"/>
  <c r="U331" i="1" s="1"/>
  <c r="V331" i="1" s="1"/>
  <c r="W331" i="1" s="1"/>
  <c r="X331" i="1" s="1"/>
  <c r="Y331" i="1" s="1"/>
  <c r="Z331" i="1" s="1"/>
  <c r="E334" i="1"/>
  <c r="F334" i="1" s="1"/>
  <c r="G334" i="1" s="1"/>
  <c r="H334" i="1" s="1"/>
  <c r="I334" i="1" s="1"/>
  <c r="J334" i="1" s="1"/>
  <c r="K334" i="1" s="1"/>
  <c r="L334" i="1" s="1"/>
  <c r="M334" i="1" s="1"/>
  <c r="N334" i="1" s="1"/>
  <c r="O334" i="1" s="1"/>
  <c r="P334" i="1" s="1"/>
  <c r="Q334" i="1" s="1"/>
  <c r="R334" i="1" s="1"/>
  <c r="S334" i="1" s="1"/>
  <c r="T334" i="1" s="1"/>
  <c r="U334" i="1" s="1"/>
  <c r="V334" i="1" s="1"/>
  <c r="W334" i="1" s="1"/>
  <c r="X334" i="1" s="1"/>
  <c r="Y334" i="1" s="1"/>
  <c r="Z334" i="1" s="1"/>
  <c r="E440" i="1"/>
  <c r="F440" i="1" s="1"/>
  <c r="G440" i="1" s="1"/>
  <c r="H440" i="1" s="1"/>
  <c r="I440" i="1" s="1"/>
  <c r="J440" i="1" s="1"/>
  <c r="K440" i="1" s="1"/>
  <c r="L440" i="1" s="1"/>
  <c r="M440" i="1" s="1"/>
  <c r="N440" i="1" s="1"/>
  <c r="O440" i="1" s="1"/>
  <c r="P440" i="1" s="1"/>
  <c r="Q440" i="1" s="1"/>
  <c r="R440" i="1" s="1"/>
  <c r="S440" i="1" s="1"/>
  <c r="T440" i="1" s="1"/>
  <c r="U440" i="1" s="1"/>
  <c r="V440" i="1" s="1"/>
  <c r="W440" i="1" s="1"/>
  <c r="X440" i="1" s="1"/>
  <c r="Y440" i="1" s="1"/>
  <c r="Z440" i="1" s="1"/>
  <c r="E443" i="1"/>
  <c r="F443" i="1" s="1"/>
  <c r="G443" i="1" s="1"/>
  <c r="H443" i="1" s="1"/>
  <c r="I443" i="1" s="1"/>
  <c r="J443" i="1" s="1"/>
  <c r="K443" i="1" s="1"/>
  <c r="L443" i="1" s="1"/>
  <c r="M443" i="1" s="1"/>
  <c r="N443" i="1" s="1"/>
  <c r="O443" i="1" s="1"/>
  <c r="P443" i="1" s="1"/>
  <c r="Q443" i="1" s="1"/>
  <c r="R443" i="1" s="1"/>
  <c r="S443" i="1" s="1"/>
  <c r="T443" i="1" s="1"/>
  <c r="U443" i="1" s="1"/>
  <c r="V443" i="1" s="1"/>
  <c r="W443" i="1" s="1"/>
  <c r="X443" i="1" s="1"/>
  <c r="Y443" i="1" s="1"/>
  <c r="Z443" i="1" s="1"/>
  <c r="E304" i="1"/>
  <c r="F304" i="1" s="1"/>
  <c r="G304" i="1" s="1"/>
  <c r="H304" i="1" s="1"/>
  <c r="I304" i="1" s="1"/>
  <c r="J304" i="1" s="1"/>
  <c r="K304" i="1" s="1"/>
  <c r="L304" i="1" s="1"/>
  <c r="M304" i="1" s="1"/>
  <c r="N304" i="1" s="1"/>
  <c r="O304" i="1" s="1"/>
  <c r="P304" i="1" s="1"/>
  <c r="Q304" i="1" s="1"/>
  <c r="R304" i="1" s="1"/>
  <c r="S304" i="1" s="1"/>
  <c r="T304" i="1" s="1"/>
  <c r="U304" i="1" s="1"/>
  <c r="V304" i="1" s="1"/>
  <c r="W304" i="1" s="1"/>
  <c r="X304" i="1" s="1"/>
  <c r="Y304" i="1" s="1"/>
  <c r="Z304" i="1" s="1"/>
  <c r="AA304" i="1" s="1"/>
  <c r="AB304" i="1" s="1"/>
  <c r="AC304" i="1" s="1"/>
  <c r="AD304" i="1" s="1"/>
  <c r="AE304" i="1" s="1"/>
  <c r="AF304" i="1" s="1"/>
  <c r="AG304" i="1" s="1"/>
  <c r="AH304" i="1" s="1"/>
  <c r="AI304" i="1" s="1"/>
  <c r="E306" i="1"/>
  <c r="F306" i="1" s="1"/>
  <c r="G306" i="1" s="1"/>
  <c r="H306" i="1" s="1"/>
  <c r="I306" i="1" s="1"/>
  <c r="J306" i="1" s="1"/>
  <c r="K306" i="1" s="1"/>
  <c r="L306" i="1" s="1"/>
  <c r="M306" i="1" s="1"/>
  <c r="N306" i="1" s="1"/>
  <c r="O306" i="1" s="1"/>
  <c r="P306" i="1" s="1"/>
  <c r="Q306" i="1" s="1"/>
  <c r="R306" i="1" s="1"/>
  <c r="S306" i="1" s="1"/>
  <c r="T306" i="1" s="1"/>
  <c r="U306" i="1" s="1"/>
  <c r="V306" i="1" s="1"/>
  <c r="W306" i="1" s="1"/>
  <c r="X306" i="1" s="1"/>
  <c r="Y306" i="1" s="1"/>
  <c r="Z306" i="1" s="1"/>
  <c r="AB306" i="1" s="1"/>
  <c r="AC306" i="1" s="1"/>
  <c r="AD306" i="1" s="1"/>
  <c r="AE306" i="1" s="1"/>
  <c r="AF306" i="1" s="1"/>
  <c r="AG306" i="1" s="1"/>
  <c r="AH306" i="1" s="1"/>
  <c r="AI306" i="1" s="1"/>
  <c r="E317" i="1"/>
  <c r="F317" i="1" s="1"/>
  <c r="G317" i="1" s="1"/>
  <c r="H317" i="1" s="1"/>
  <c r="I317" i="1" s="1"/>
  <c r="J317" i="1" s="1"/>
  <c r="K317" i="1" s="1"/>
  <c r="L317" i="1" s="1"/>
  <c r="M317" i="1" s="1"/>
  <c r="N317" i="1" s="1"/>
  <c r="O317" i="1" s="1"/>
  <c r="P317" i="1" s="1"/>
  <c r="Q317" i="1" s="1"/>
  <c r="R317" i="1" s="1"/>
  <c r="S317" i="1" s="1"/>
  <c r="T317" i="1" s="1"/>
  <c r="U317" i="1" s="1"/>
  <c r="V317" i="1" s="1"/>
  <c r="W317" i="1" s="1"/>
  <c r="X317" i="1" s="1"/>
  <c r="Y317" i="1" s="1"/>
  <c r="Z317" i="1" s="1"/>
  <c r="E320" i="1"/>
  <c r="F320" i="1" s="1"/>
  <c r="G320" i="1" s="1"/>
  <c r="H320" i="1" s="1"/>
  <c r="I320" i="1" s="1"/>
  <c r="J320" i="1" s="1"/>
  <c r="K320" i="1" s="1"/>
  <c r="L320" i="1" s="1"/>
  <c r="M320" i="1" s="1"/>
  <c r="N320" i="1" s="1"/>
  <c r="O320" i="1" s="1"/>
  <c r="P320" i="1" s="1"/>
  <c r="Q320" i="1" s="1"/>
  <c r="R320" i="1" s="1"/>
  <c r="S320" i="1" s="1"/>
  <c r="T320" i="1" s="1"/>
  <c r="U320" i="1" s="1"/>
  <c r="V320" i="1" s="1"/>
  <c r="W320" i="1" s="1"/>
  <c r="X320" i="1" s="1"/>
  <c r="Y320" i="1" s="1"/>
  <c r="Z320" i="1" s="1"/>
  <c r="E32" i="1"/>
  <c r="F32" i="1" s="1"/>
  <c r="G32" i="1" s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E35" i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 s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E154" i="1"/>
  <c r="F154" i="1" s="1"/>
  <c r="G154" i="1" s="1"/>
  <c r="H154" i="1" s="1"/>
  <c r="I154" i="1" s="1"/>
  <c r="J154" i="1" s="1"/>
  <c r="K154" i="1" s="1"/>
  <c r="L154" i="1" s="1"/>
  <c r="M154" i="1" s="1"/>
  <c r="N154" i="1" s="1"/>
  <c r="O154" i="1" s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AB154" i="1" s="1"/>
  <c r="AC154" i="1" s="1"/>
  <c r="AD154" i="1" s="1"/>
  <c r="AE154" i="1" s="1"/>
  <c r="AF154" i="1" s="1"/>
  <c r="AG154" i="1" s="1"/>
  <c r="AH154" i="1" s="1"/>
  <c r="AI154" i="1" s="1"/>
  <c r="E157" i="1"/>
  <c r="F157" i="1" s="1"/>
  <c r="G157" i="1" s="1"/>
  <c r="H157" i="1" s="1"/>
  <c r="I157" i="1" s="1"/>
  <c r="J157" i="1" s="1"/>
  <c r="K157" i="1" s="1"/>
  <c r="L157" i="1" s="1"/>
  <c r="M157" i="1" s="1"/>
  <c r="N157" i="1" s="1"/>
  <c r="O157" i="1" s="1"/>
  <c r="P157" i="1" s="1"/>
  <c r="Q157" i="1" s="1"/>
  <c r="R157" i="1" s="1"/>
  <c r="S157" i="1" s="1"/>
  <c r="T157" i="1" s="1"/>
  <c r="U157" i="1" s="1"/>
  <c r="V157" i="1" s="1"/>
  <c r="W157" i="1" s="1"/>
  <c r="X157" i="1" s="1"/>
  <c r="Y157" i="1" s="1"/>
  <c r="Z157" i="1" s="1"/>
  <c r="AA157" i="1" s="1"/>
  <c r="AB157" i="1" s="1"/>
  <c r="AC157" i="1" s="1"/>
  <c r="AD157" i="1" s="1"/>
  <c r="AE157" i="1" s="1"/>
  <c r="AF157" i="1" s="1"/>
  <c r="AG157" i="1" s="1"/>
  <c r="AH157" i="1" s="1"/>
  <c r="AI157" i="1" s="1"/>
  <c r="E235" i="1"/>
  <c r="F235" i="1" s="1"/>
  <c r="G235" i="1" s="1"/>
  <c r="H235" i="1" s="1"/>
  <c r="I235" i="1" s="1"/>
  <c r="J235" i="1" s="1"/>
  <c r="K235" i="1" s="1"/>
  <c r="L235" i="1" s="1"/>
  <c r="M235" i="1" s="1"/>
  <c r="N235" i="1" s="1"/>
  <c r="O235" i="1" s="1"/>
  <c r="P235" i="1" s="1"/>
  <c r="Q235" i="1" s="1"/>
  <c r="R235" i="1" s="1"/>
  <c r="S235" i="1" s="1"/>
  <c r="T235" i="1" s="1"/>
  <c r="U235" i="1" s="1"/>
  <c r="V235" i="1" s="1"/>
  <c r="W235" i="1" s="1"/>
  <c r="X235" i="1" s="1"/>
  <c r="Y235" i="1" s="1"/>
  <c r="Z235" i="1" s="1"/>
  <c r="AA235" i="1" s="1"/>
  <c r="AB235" i="1" s="1"/>
  <c r="AC235" i="1" s="1"/>
  <c r="AD235" i="1" s="1"/>
  <c r="AE235" i="1" s="1"/>
  <c r="AF235" i="1" s="1"/>
  <c r="AG235" i="1" s="1"/>
  <c r="AH235" i="1" s="1"/>
  <c r="AI235" i="1" s="1"/>
  <c r="E238" i="1"/>
  <c r="F238" i="1" s="1"/>
  <c r="G238" i="1" s="1"/>
  <c r="H238" i="1" s="1"/>
  <c r="I238" i="1" s="1"/>
  <c r="J238" i="1" s="1"/>
  <c r="K238" i="1" s="1"/>
  <c r="L238" i="1" s="1"/>
  <c r="M238" i="1" s="1"/>
  <c r="N238" i="1" s="1"/>
  <c r="O238" i="1" s="1"/>
  <c r="P238" i="1" s="1"/>
  <c r="Q238" i="1" s="1"/>
  <c r="R238" i="1" s="1"/>
  <c r="S238" i="1" s="1"/>
  <c r="T238" i="1" s="1"/>
  <c r="U238" i="1" s="1"/>
  <c r="V238" i="1" s="1"/>
  <c r="W238" i="1" s="1"/>
  <c r="X238" i="1" s="1"/>
  <c r="Y238" i="1" s="1"/>
  <c r="Z238" i="1" s="1"/>
  <c r="AA238" i="1" s="1"/>
  <c r="AB238" i="1" s="1"/>
  <c r="AC238" i="1" s="1"/>
  <c r="AD238" i="1" s="1"/>
  <c r="AE238" i="1" s="1"/>
  <c r="AF238" i="1" s="1"/>
  <c r="AG238" i="1" s="1"/>
  <c r="AH238" i="1" s="1"/>
  <c r="AI238" i="1" s="1"/>
  <c r="E249" i="1"/>
  <c r="F249" i="1" s="1"/>
  <c r="G249" i="1" s="1"/>
  <c r="H249" i="1" s="1"/>
  <c r="I249" i="1" s="1"/>
  <c r="J249" i="1" s="1"/>
  <c r="K249" i="1" s="1"/>
  <c r="L249" i="1" s="1"/>
  <c r="M249" i="1" s="1"/>
  <c r="N249" i="1" s="1"/>
  <c r="O249" i="1" s="1"/>
  <c r="P249" i="1" s="1"/>
  <c r="Q249" i="1" s="1"/>
  <c r="R249" i="1" s="1"/>
  <c r="S249" i="1" s="1"/>
  <c r="T249" i="1" s="1"/>
  <c r="U249" i="1" s="1"/>
  <c r="V249" i="1" s="1"/>
  <c r="W249" i="1" s="1"/>
  <c r="X249" i="1" s="1"/>
  <c r="Y249" i="1" s="1"/>
  <c r="Z249" i="1" s="1"/>
  <c r="AA249" i="1" s="1"/>
  <c r="AB249" i="1" s="1"/>
  <c r="AC249" i="1" s="1"/>
  <c r="AD249" i="1" s="1"/>
  <c r="AE249" i="1" s="1"/>
  <c r="AF249" i="1" s="1"/>
  <c r="AG249" i="1" s="1"/>
  <c r="AH249" i="1" s="1"/>
  <c r="AI249" i="1" s="1"/>
  <c r="E252" i="1"/>
  <c r="F252" i="1" s="1"/>
  <c r="G252" i="1" s="1"/>
  <c r="H252" i="1" s="1"/>
  <c r="I252" i="1" s="1"/>
  <c r="J252" i="1" s="1"/>
  <c r="K252" i="1" s="1"/>
  <c r="L252" i="1" s="1"/>
  <c r="M252" i="1" s="1"/>
  <c r="N252" i="1" s="1"/>
  <c r="O252" i="1" s="1"/>
  <c r="P252" i="1" s="1"/>
  <c r="Q252" i="1" s="1"/>
  <c r="R252" i="1" s="1"/>
  <c r="S252" i="1" s="1"/>
  <c r="T252" i="1" s="1"/>
  <c r="U252" i="1" s="1"/>
  <c r="V252" i="1" s="1"/>
  <c r="W252" i="1" s="1"/>
  <c r="X252" i="1" s="1"/>
  <c r="Y252" i="1" s="1"/>
  <c r="Z252" i="1" s="1"/>
  <c r="AA252" i="1" s="1"/>
  <c r="AB252" i="1" s="1"/>
  <c r="AC252" i="1" s="1"/>
  <c r="AD252" i="1" s="1"/>
  <c r="AE252" i="1" s="1"/>
  <c r="AF252" i="1" s="1"/>
  <c r="AG252" i="1" s="1"/>
  <c r="AH252" i="1" s="1"/>
  <c r="AI252" i="1" s="1"/>
  <c r="E508" i="1"/>
  <c r="F508" i="1" s="1"/>
  <c r="G508" i="1" s="1"/>
  <c r="H508" i="1" s="1"/>
  <c r="I508" i="1" s="1"/>
  <c r="J508" i="1" s="1"/>
  <c r="K508" i="1" s="1"/>
  <c r="L508" i="1" s="1"/>
  <c r="M508" i="1" s="1"/>
  <c r="N508" i="1" s="1"/>
  <c r="O508" i="1" s="1"/>
  <c r="P508" i="1" s="1"/>
  <c r="Q508" i="1" s="1"/>
  <c r="R508" i="1" s="1"/>
  <c r="S508" i="1" s="1"/>
  <c r="T508" i="1" s="1"/>
  <c r="U508" i="1" s="1"/>
  <c r="V508" i="1" s="1"/>
  <c r="W508" i="1" s="1"/>
  <c r="X508" i="1" s="1"/>
  <c r="Y508" i="1" s="1"/>
  <c r="Z508" i="1" s="1"/>
  <c r="E510" i="1"/>
  <c r="F510" i="1" s="1"/>
  <c r="G510" i="1" s="1"/>
  <c r="H510" i="1" s="1"/>
  <c r="I510" i="1" s="1"/>
  <c r="J510" i="1" s="1"/>
  <c r="K510" i="1" s="1"/>
  <c r="L510" i="1" s="1"/>
  <c r="M510" i="1" s="1"/>
  <c r="N510" i="1" s="1"/>
  <c r="O510" i="1" s="1"/>
  <c r="P510" i="1" s="1"/>
  <c r="Q510" i="1" s="1"/>
  <c r="R510" i="1" s="1"/>
  <c r="S510" i="1" s="1"/>
  <c r="T510" i="1" s="1"/>
  <c r="U510" i="1" s="1"/>
  <c r="V510" i="1" s="1"/>
  <c r="W510" i="1" s="1"/>
  <c r="X510" i="1" s="1"/>
  <c r="Y510" i="1" s="1"/>
  <c r="Z510" i="1" s="1"/>
  <c r="AA510" i="1" s="1"/>
  <c r="AB510" i="1" s="1"/>
  <c r="AC510" i="1" s="1"/>
  <c r="E386" i="1"/>
  <c r="F386" i="1" s="1"/>
  <c r="G386" i="1" s="1"/>
  <c r="H386" i="1" s="1"/>
  <c r="I386" i="1" s="1"/>
  <c r="J386" i="1" s="1"/>
  <c r="K386" i="1" s="1"/>
  <c r="L386" i="1" s="1"/>
  <c r="M386" i="1" s="1"/>
  <c r="N386" i="1" s="1"/>
  <c r="O386" i="1" s="1"/>
  <c r="P386" i="1" s="1"/>
  <c r="Q386" i="1" s="1"/>
  <c r="R386" i="1" s="1"/>
  <c r="S386" i="1" s="1"/>
  <c r="T386" i="1" s="1"/>
  <c r="U386" i="1" s="1"/>
  <c r="V386" i="1" s="1"/>
  <c r="W386" i="1" s="1"/>
  <c r="X386" i="1" s="1"/>
  <c r="Y386" i="1" s="1"/>
  <c r="Z386" i="1" s="1"/>
  <c r="E388" i="1"/>
  <c r="F388" i="1" s="1"/>
  <c r="G388" i="1" s="1"/>
  <c r="H388" i="1" s="1"/>
  <c r="I388" i="1" s="1"/>
  <c r="J388" i="1" s="1"/>
  <c r="K388" i="1" s="1"/>
  <c r="L388" i="1" s="1"/>
  <c r="M388" i="1" s="1"/>
  <c r="N388" i="1" s="1"/>
  <c r="O388" i="1" s="1"/>
  <c r="P388" i="1" s="1"/>
  <c r="Q388" i="1" s="1"/>
  <c r="R388" i="1" s="1"/>
  <c r="S388" i="1" s="1"/>
  <c r="T388" i="1" s="1"/>
  <c r="U388" i="1" s="1"/>
  <c r="V388" i="1" s="1"/>
  <c r="W388" i="1" s="1"/>
  <c r="X388" i="1" s="1"/>
  <c r="Y388" i="1" s="1"/>
  <c r="Z388" i="1" s="1"/>
  <c r="E127" i="1"/>
  <c r="F127" i="1" s="1"/>
  <c r="G127" i="1" s="1"/>
  <c r="H127" i="1" s="1"/>
  <c r="I127" i="1" s="1"/>
  <c r="J127" i="1" s="1"/>
  <c r="K127" i="1" s="1"/>
  <c r="L127" i="1" s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AB127" i="1" s="1"/>
  <c r="AC127" i="1" s="1"/>
  <c r="AD127" i="1" s="1"/>
  <c r="AE127" i="1" s="1"/>
  <c r="AF127" i="1" s="1"/>
  <c r="AG127" i="1" s="1"/>
  <c r="AH127" i="1" s="1"/>
  <c r="AI127" i="1" s="1"/>
  <c r="E130" i="1"/>
  <c r="F130" i="1" s="1"/>
  <c r="G130" i="1" s="1"/>
  <c r="H130" i="1" s="1"/>
  <c r="I130" i="1" s="1"/>
  <c r="J130" i="1" s="1"/>
  <c r="K130" i="1" s="1"/>
  <c r="L130" i="1" s="1"/>
  <c r="M130" i="1" s="1"/>
  <c r="N130" i="1" s="1"/>
  <c r="O130" i="1" s="1"/>
  <c r="P130" i="1" s="1"/>
  <c r="Q130" i="1" s="1"/>
  <c r="R130" i="1" s="1"/>
  <c r="S130" i="1" s="1"/>
  <c r="T130" i="1" s="1"/>
  <c r="U130" i="1" s="1"/>
  <c r="V130" i="1" s="1"/>
  <c r="W130" i="1" s="1"/>
  <c r="X130" i="1" s="1"/>
  <c r="Y130" i="1" s="1"/>
  <c r="Z130" i="1" s="1"/>
  <c r="AA130" i="1" s="1"/>
  <c r="AB130" i="1" s="1"/>
  <c r="AC130" i="1" s="1"/>
  <c r="AD130" i="1" s="1"/>
  <c r="AE130" i="1" s="1"/>
  <c r="AF130" i="1" s="1"/>
  <c r="AG130" i="1" s="1"/>
  <c r="AH130" i="1" s="1"/>
  <c r="AI130" i="1" s="1"/>
  <c r="E46" i="1"/>
  <c r="F46" i="1" s="1"/>
  <c r="G46" i="1" s="1"/>
  <c r="H46" i="1" s="1"/>
  <c r="I46" i="1" s="1"/>
  <c r="J46" i="1" s="1"/>
  <c r="K46" i="1" s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 s="1"/>
  <c r="W46" i="1" s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AI46" i="1" s="1"/>
  <c r="E49" i="1"/>
  <c r="F49" i="1" s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 s="1"/>
  <c r="V49" i="1" s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AI49" i="1" s="1"/>
  <c r="E168" i="1"/>
  <c r="F168" i="1" s="1"/>
  <c r="G168" i="1" s="1"/>
  <c r="H168" i="1" s="1"/>
  <c r="I168" i="1" s="1"/>
  <c r="J168" i="1" s="1"/>
  <c r="K168" i="1" s="1"/>
  <c r="L168" i="1" s="1"/>
  <c r="M168" i="1" s="1"/>
  <c r="N168" i="1" s="1"/>
  <c r="O168" i="1" s="1"/>
  <c r="P168" i="1" s="1"/>
  <c r="Q168" i="1" s="1"/>
  <c r="R168" i="1" s="1"/>
  <c r="S168" i="1" s="1"/>
  <c r="T168" i="1" s="1"/>
  <c r="U168" i="1" s="1"/>
  <c r="V168" i="1" s="1"/>
  <c r="W168" i="1" s="1"/>
  <c r="X168" i="1" s="1"/>
  <c r="Y168" i="1" s="1"/>
  <c r="Z168" i="1" s="1"/>
  <c r="AA168" i="1" s="1"/>
  <c r="AB168" i="1" s="1"/>
  <c r="AC168" i="1" s="1"/>
  <c r="AD168" i="1" s="1"/>
  <c r="AE168" i="1" s="1"/>
  <c r="AF168" i="1" s="1"/>
  <c r="AG168" i="1" s="1"/>
  <c r="AH168" i="1" s="1"/>
  <c r="AI168" i="1" s="1"/>
  <c r="E170" i="1"/>
  <c r="F170" i="1" s="1"/>
  <c r="G170" i="1" s="1"/>
  <c r="H170" i="1" s="1"/>
  <c r="I170" i="1" s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Z170" i="1" s="1"/>
  <c r="AA170" i="1" s="1"/>
  <c r="AB170" i="1" s="1"/>
  <c r="AC170" i="1" s="1"/>
  <c r="AD170" i="1" s="1"/>
  <c r="AE170" i="1" s="1"/>
  <c r="AF170" i="1" s="1"/>
  <c r="AG170" i="1" s="1"/>
  <c r="AH170" i="1" s="1"/>
  <c r="AI170" i="1" s="1"/>
  <c r="E481" i="1"/>
  <c r="F481" i="1" s="1"/>
  <c r="G481" i="1" s="1"/>
  <c r="H481" i="1" s="1"/>
  <c r="I481" i="1" s="1"/>
  <c r="J481" i="1" s="1"/>
  <c r="K481" i="1" s="1"/>
  <c r="L481" i="1" s="1"/>
  <c r="M481" i="1" s="1"/>
  <c r="N481" i="1" s="1"/>
  <c r="O481" i="1" s="1"/>
  <c r="P481" i="1" s="1"/>
  <c r="Q481" i="1" s="1"/>
  <c r="R481" i="1" s="1"/>
  <c r="S481" i="1" s="1"/>
  <c r="T481" i="1" s="1"/>
  <c r="U481" i="1" s="1"/>
  <c r="V481" i="1" s="1"/>
  <c r="W481" i="1" s="1"/>
  <c r="X481" i="1" s="1"/>
  <c r="Y481" i="1" s="1"/>
  <c r="Z481" i="1" s="1"/>
  <c r="E483" i="1"/>
  <c r="F483" i="1" s="1"/>
  <c r="G483" i="1" s="1"/>
  <c r="H483" i="1" s="1"/>
  <c r="I483" i="1" s="1"/>
  <c r="J483" i="1" s="1"/>
  <c r="K483" i="1" s="1"/>
  <c r="L483" i="1" s="1"/>
  <c r="M483" i="1" s="1"/>
  <c r="N483" i="1" s="1"/>
  <c r="O483" i="1" s="1"/>
  <c r="P483" i="1" s="1"/>
  <c r="Q483" i="1" s="1"/>
  <c r="R483" i="1" s="1"/>
  <c r="S483" i="1" s="1"/>
  <c r="T483" i="1" s="1"/>
  <c r="U483" i="1" s="1"/>
  <c r="V483" i="1" s="1"/>
  <c r="W483" i="1" s="1"/>
  <c r="X483" i="1" s="1"/>
  <c r="Y483" i="1" s="1"/>
  <c r="Z483" i="1" s="1"/>
  <c r="E358" i="1"/>
  <c r="F358" i="1" s="1"/>
  <c r="G358" i="1" s="1"/>
  <c r="H358" i="1" s="1"/>
  <c r="I358" i="1" s="1"/>
  <c r="J358" i="1" s="1"/>
  <c r="K358" i="1" s="1"/>
  <c r="L358" i="1" s="1"/>
  <c r="M358" i="1" s="1"/>
  <c r="N358" i="1" s="1"/>
  <c r="O358" i="1" s="1"/>
  <c r="P358" i="1" s="1"/>
  <c r="Q358" i="1" s="1"/>
  <c r="R358" i="1" s="1"/>
  <c r="S358" i="1" s="1"/>
  <c r="T358" i="1" s="1"/>
  <c r="U358" i="1" s="1"/>
  <c r="V358" i="1" s="1"/>
  <c r="W358" i="1" s="1"/>
  <c r="X358" i="1" s="1"/>
  <c r="Y358" i="1" s="1"/>
  <c r="Z358" i="1" s="1"/>
  <c r="E361" i="1"/>
  <c r="F361" i="1" s="1"/>
  <c r="G361" i="1" s="1"/>
  <c r="H361" i="1" s="1"/>
  <c r="I361" i="1" s="1"/>
  <c r="J361" i="1" s="1"/>
  <c r="K361" i="1" s="1"/>
  <c r="L361" i="1" s="1"/>
  <c r="M361" i="1" s="1"/>
  <c r="N361" i="1" s="1"/>
  <c r="O361" i="1" s="1"/>
  <c r="P361" i="1" s="1"/>
  <c r="Q361" i="1" s="1"/>
  <c r="R361" i="1" s="1"/>
  <c r="S361" i="1" s="1"/>
  <c r="T361" i="1" s="1"/>
  <c r="U361" i="1" s="1"/>
  <c r="V361" i="1" s="1"/>
  <c r="W361" i="1" s="1"/>
  <c r="X361" i="1" s="1"/>
  <c r="Y361" i="1" s="1"/>
  <c r="Z361" i="1" s="1"/>
  <c r="E181" i="1"/>
  <c r="F181" i="1" s="1"/>
  <c r="G181" i="1" s="1"/>
  <c r="H181" i="1" s="1"/>
  <c r="I181" i="1" s="1"/>
  <c r="J181" i="1" s="1"/>
  <c r="K181" i="1" s="1"/>
  <c r="L181" i="1" s="1"/>
  <c r="M181" i="1" s="1"/>
  <c r="N181" i="1" s="1"/>
  <c r="O181" i="1" s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 s="1"/>
  <c r="AB181" i="1" s="1"/>
  <c r="AC181" i="1" s="1"/>
  <c r="AD181" i="1" s="1"/>
  <c r="AE181" i="1" s="1"/>
  <c r="AF181" i="1" s="1"/>
  <c r="AG181" i="1" s="1"/>
  <c r="AH181" i="1" s="1"/>
  <c r="AI181" i="1" s="1"/>
  <c r="E184" i="1"/>
  <c r="E197" i="1" s="1"/>
  <c r="E61" i="6"/>
  <c r="F61" i="6" s="1"/>
  <c r="G61" i="6" s="1"/>
  <c r="H61" i="6" s="1"/>
  <c r="I61" i="6" s="1"/>
  <c r="J61" i="6" s="1"/>
  <c r="K61" i="6" s="1"/>
  <c r="L61" i="6" s="1"/>
  <c r="M61" i="6" s="1"/>
  <c r="N61" i="6" s="1"/>
  <c r="O61" i="6" s="1"/>
  <c r="P61" i="6" s="1"/>
  <c r="Q61" i="6" s="1"/>
  <c r="R61" i="6" s="1"/>
  <c r="S61" i="6" s="1"/>
  <c r="T61" i="6" s="1"/>
  <c r="U61" i="6" s="1"/>
  <c r="V61" i="6" s="1"/>
  <c r="W61" i="6" s="1"/>
  <c r="X61" i="6" s="1"/>
  <c r="Y61" i="6" s="1"/>
  <c r="Z61" i="6" s="1"/>
  <c r="AA61" i="6" s="1"/>
  <c r="AB61" i="6" s="1"/>
  <c r="AC61" i="6" s="1"/>
  <c r="AD61" i="6" s="1"/>
  <c r="AE61" i="6" s="1"/>
  <c r="AF61" i="6" s="1"/>
  <c r="AG61" i="6" s="1"/>
  <c r="AH61" i="6" s="1"/>
  <c r="AI61" i="6" s="1"/>
  <c r="E64" i="6"/>
  <c r="F64" i="6" s="1"/>
  <c r="G64" i="6" s="1"/>
  <c r="H64" i="6" s="1"/>
  <c r="I64" i="6" s="1"/>
  <c r="J64" i="6" s="1"/>
  <c r="K64" i="6" s="1"/>
  <c r="L64" i="6" s="1"/>
  <c r="M64" i="6" s="1"/>
  <c r="N64" i="6" s="1"/>
  <c r="O64" i="6" s="1"/>
  <c r="P64" i="6" s="1"/>
  <c r="AL15" i="6"/>
  <c r="AL14" i="6"/>
  <c r="AL11" i="6"/>
  <c r="AL505" i="3"/>
  <c r="AL280" i="3"/>
  <c r="AL107" i="3"/>
  <c r="AL109" i="3"/>
  <c r="AM107" i="3" s="1"/>
  <c r="AL281" i="3"/>
  <c r="AL111" i="3"/>
  <c r="AL126" i="3"/>
  <c r="AL121" i="3"/>
  <c r="AL279" i="3"/>
  <c r="AL123" i="3"/>
  <c r="AM121" i="3" s="1"/>
  <c r="AL112" i="3"/>
  <c r="AL140" i="3"/>
  <c r="AL499" i="3"/>
  <c r="AJ194" i="3"/>
  <c r="AL277" i="3"/>
  <c r="AM275" i="3" s="1"/>
  <c r="AL503" i="3"/>
  <c r="AL113" i="3"/>
  <c r="AJ180" i="3"/>
  <c r="AL449" i="3"/>
  <c r="AL127" i="3"/>
  <c r="AL504" i="3"/>
  <c r="AL560" i="3"/>
  <c r="AL561" i="3"/>
  <c r="AL559" i="3"/>
  <c r="AL57" i="6"/>
  <c r="AL85" i="6"/>
  <c r="AL575" i="3"/>
  <c r="AQ59" i="5"/>
  <c r="I108" i="6"/>
  <c r="J108" i="6" s="1"/>
  <c r="K108" i="6" s="1"/>
  <c r="L108" i="6" s="1"/>
  <c r="M108" i="6" s="1"/>
  <c r="N108" i="6" s="1"/>
  <c r="O108" i="6" s="1"/>
  <c r="P108" i="6" s="1"/>
  <c r="Q108" i="6" s="1"/>
  <c r="R108" i="6" s="1"/>
  <c r="S108" i="6" s="1"/>
  <c r="F164" i="6"/>
  <c r="G164" i="6" s="1"/>
  <c r="H164" i="6" s="1"/>
  <c r="I164" i="6" s="1"/>
  <c r="J164" i="6" s="1"/>
  <c r="K164" i="6" s="1"/>
  <c r="L164" i="6" s="1"/>
  <c r="M164" i="6" s="1"/>
  <c r="N164" i="6" s="1"/>
  <c r="O164" i="6" s="1"/>
  <c r="P164" i="6" s="1"/>
  <c r="Q164" i="6" s="1"/>
  <c r="R164" i="6" s="1"/>
  <c r="S164" i="6" s="1"/>
  <c r="T164" i="6" s="1"/>
  <c r="U164" i="6" s="1"/>
  <c r="V164" i="6" s="1"/>
  <c r="W164" i="6" s="1"/>
  <c r="X164" i="6" s="1"/>
  <c r="Y164" i="6" s="1"/>
  <c r="Z164" i="6" s="1"/>
  <c r="AA164" i="6" s="1"/>
  <c r="AB164" i="6" s="1"/>
  <c r="AC164" i="6" s="1"/>
  <c r="AD164" i="6" s="1"/>
  <c r="AE164" i="6" s="1"/>
  <c r="AF164" i="6" s="1"/>
  <c r="AG164" i="6" s="1"/>
  <c r="AH164" i="6" s="1"/>
  <c r="AI164" i="6" s="1"/>
  <c r="H409" i="4"/>
  <c r="I409" i="4" s="1"/>
  <c r="J409" i="4" s="1"/>
  <c r="K409" i="4" s="1"/>
  <c r="L409" i="4" s="1"/>
  <c r="M409" i="4" s="1"/>
  <c r="N409" i="4" s="1"/>
  <c r="O409" i="4" s="1"/>
  <c r="P409" i="4" s="1"/>
  <c r="Q409" i="4" s="1"/>
  <c r="R409" i="4" s="1"/>
  <c r="S409" i="4" s="1"/>
  <c r="T409" i="4" s="1"/>
  <c r="U409" i="4" s="1"/>
  <c r="V409" i="4" s="1"/>
  <c r="W409" i="4" s="1"/>
  <c r="X409" i="4" s="1"/>
  <c r="Y409" i="4" s="1"/>
  <c r="Z409" i="4" s="1"/>
  <c r="AA409" i="4" s="1"/>
  <c r="AB409" i="4" s="1"/>
  <c r="AC409" i="4" s="1"/>
  <c r="AD409" i="4" s="1"/>
  <c r="AE409" i="4" s="1"/>
  <c r="AF409" i="4" s="1"/>
  <c r="AG409" i="4" s="1"/>
  <c r="AH409" i="4" s="1"/>
  <c r="AI409" i="4" s="1"/>
  <c r="AT58" i="5"/>
  <c r="AU58" i="5"/>
  <c r="AH55" i="5"/>
  <c r="AN40" i="5"/>
  <c r="AT61" i="5"/>
  <c r="AN12" i="5"/>
  <c r="AJ16" i="5"/>
  <c r="AK14" i="5" s="1"/>
  <c r="AU59" i="5"/>
  <c r="P55" i="5"/>
  <c r="AR186" i="6"/>
  <c r="AU185" i="6"/>
  <c r="AN55" i="6"/>
  <c r="AT185" i="6"/>
  <c r="AS185" i="6"/>
  <c r="AD304" i="3"/>
  <c r="AH304" i="3" s="1"/>
  <c r="AI304" i="3" s="1"/>
  <c r="AA304" i="3"/>
  <c r="AJ152" i="6"/>
  <c r="F456" i="1"/>
  <c r="G456" i="1" s="1"/>
  <c r="H456" i="1" s="1"/>
  <c r="I456" i="1" s="1"/>
  <c r="J456" i="1" s="1"/>
  <c r="K456" i="1" s="1"/>
  <c r="L456" i="1" s="1"/>
  <c r="M456" i="1" s="1"/>
  <c r="N456" i="1" s="1"/>
  <c r="O456" i="1" s="1"/>
  <c r="P456" i="1" s="1"/>
  <c r="Q456" i="1" s="1"/>
  <c r="R456" i="1" s="1"/>
  <c r="S456" i="1" s="1"/>
  <c r="T456" i="1" s="1"/>
  <c r="U456" i="1" s="1"/>
  <c r="V456" i="1" s="1"/>
  <c r="W456" i="1" s="1"/>
  <c r="X456" i="1" s="1"/>
  <c r="Y456" i="1" s="1"/>
  <c r="Z456" i="1" s="1"/>
  <c r="AB55" i="5"/>
  <c r="AD234" i="3"/>
  <c r="AH234" i="3" s="1"/>
  <c r="AI234" i="3" s="1"/>
  <c r="AA234" i="3"/>
  <c r="AJ250" i="3"/>
  <c r="AL527" i="1"/>
  <c r="AM525" i="1" s="1"/>
  <c r="T55" i="5"/>
  <c r="AN27" i="6"/>
  <c r="F591" i="1"/>
  <c r="G591" i="1" s="1"/>
  <c r="H591" i="1" s="1"/>
  <c r="I591" i="1" s="1"/>
  <c r="J591" i="1" s="1"/>
  <c r="K591" i="1" s="1"/>
  <c r="L591" i="1" s="1"/>
  <c r="M591" i="1" s="1"/>
  <c r="N591" i="1" s="1"/>
  <c r="O591" i="1" s="1"/>
  <c r="P591" i="1" s="1"/>
  <c r="Q591" i="1" s="1"/>
  <c r="R591" i="1" s="1"/>
  <c r="S591" i="1" s="1"/>
  <c r="T591" i="1" s="1"/>
  <c r="U591" i="1" s="1"/>
  <c r="V591" i="1" s="1"/>
  <c r="W591" i="1" s="1"/>
  <c r="X591" i="1" s="1"/>
  <c r="Y591" i="1" s="1"/>
  <c r="Z591" i="1" s="1"/>
  <c r="AA591" i="1" s="1"/>
  <c r="AB591" i="1" s="1"/>
  <c r="AC591" i="1" s="1"/>
  <c r="AD591" i="1" s="1"/>
  <c r="AE591" i="1" s="1"/>
  <c r="AF591" i="1" s="1"/>
  <c r="AG591" i="1" s="1"/>
  <c r="AH591" i="1" s="1"/>
  <c r="AI591" i="1" s="1"/>
  <c r="AJ717" i="1"/>
  <c r="AJ744" i="1"/>
  <c r="AN81" i="1"/>
  <c r="F222" i="1"/>
  <c r="G222" i="1" s="1"/>
  <c r="H222" i="1" s="1"/>
  <c r="I222" i="1" s="1"/>
  <c r="J222" i="1" s="1"/>
  <c r="K222" i="1" s="1"/>
  <c r="L222" i="1" s="1"/>
  <c r="M222" i="1" s="1"/>
  <c r="N222" i="1" s="1"/>
  <c r="O222" i="1" s="1"/>
  <c r="P222" i="1" s="1"/>
  <c r="Q222" i="1" s="1"/>
  <c r="R222" i="1" s="1"/>
  <c r="S222" i="1" s="1"/>
  <c r="T222" i="1" s="1"/>
  <c r="U222" i="1" s="1"/>
  <c r="V222" i="1" s="1"/>
  <c r="W222" i="1" s="1"/>
  <c r="X222" i="1" s="1"/>
  <c r="Y222" i="1" s="1"/>
  <c r="Z222" i="1" s="1"/>
  <c r="AA222" i="1" s="1"/>
  <c r="AB222" i="1" s="1"/>
  <c r="AC222" i="1" s="1"/>
  <c r="AD222" i="1" s="1"/>
  <c r="AE222" i="1" s="1"/>
  <c r="AF222" i="1" s="1"/>
  <c r="AG222" i="1" s="1"/>
  <c r="AH222" i="1" s="1"/>
  <c r="AI222" i="1" s="1"/>
  <c r="AJ827" i="1"/>
  <c r="F795" i="1"/>
  <c r="G795" i="1" s="1"/>
  <c r="H795" i="1" s="1"/>
  <c r="I795" i="1" s="1"/>
  <c r="J795" i="1" s="1"/>
  <c r="K795" i="1" s="1"/>
  <c r="L795" i="1" s="1"/>
  <c r="M795" i="1" s="1"/>
  <c r="N795" i="1" s="1"/>
  <c r="O795" i="1" s="1"/>
  <c r="P795" i="1" s="1"/>
  <c r="Q795" i="1" s="1"/>
  <c r="R795" i="1" s="1"/>
  <c r="S795" i="1" s="1"/>
  <c r="T795" i="1" s="1"/>
  <c r="U795" i="1" s="1"/>
  <c r="V795" i="1" s="1"/>
  <c r="W795" i="1" s="1"/>
  <c r="X795" i="1" s="1"/>
  <c r="Y795" i="1" s="1"/>
  <c r="Z795" i="1" s="1"/>
  <c r="AA795" i="1" s="1"/>
  <c r="AB795" i="1" s="1"/>
  <c r="AC795" i="1" s="1"/>
  <c r="AD795" i="1" s="1"/>
  <c r="AE795" i="1" s="1"/>
  <c r="AF795" i="1" s="1"/>
  <c r="AG795" i="1" s="1"/>
  <c r="AH795" i="1" s="1"/>
  <c r="AI795" i="1" s="1"/>
  <c r="F1160" i="1"/>
  <c r="G1160" i="1" s="1"/>
  <c r="H1160" i="1" s="1"/>
  <c r="I1160" i="1" s="1"/>
  <c r="J1160" i="1" s="1"/>
  <c r="K1160" i="1" s="1"/>
  <c r="L1160" i="1" s="1"/>
  <c r="M1160" i="1" s="1"/>
  <c r="N1160" i="1" s="1"/>
  <c r="O1160" i="1" s="1"/>
  <c r="P1160" i="1" s="1"/>
  <c r="Q1160" i="1" s="1"/>
  <c r="R1160" i="1" s="1"/>
  <c r="S1160" i="1" s="1"/>
  <c r="T1160" i="1" s="1"/>
  <c r="U1160" i="1" s="1"/>
  <c r="V1160" i="1" s="1"/>
  <c r="W1160" i="1" s="1"/>
  <c r="X1160" i="1" s="1"/>
  <c r="Y1160" i="1" s="1"/>
  <c r="Z1160" i="1" s="1"/>
  <c r="AA1160" i="1" s="1"/>
  <c r="AB1160" i="1" s="1"/>
  <c r="AC1160" i="1" s="1"/>
  <c r="AD1160" i="1" s="1"/>
  <c r="AE1160" i="1" s="1"/>
  <c r="AF1160" i="1" s="1"/>
  <c r="AG1160" i="1" s="1"/>
  <c r="AH1160" i="1" s="1"/>
  <c r="AI1160" i="1" s="1"/>
  <c r="AJ595" i="1"/>
  <c r="AN1113" i="1"/>
  <c r="F917" i="1"/>
  <c r="G917" i="1" s="1"/>
  <c r="H917" i="1" s="1"/>
  <c r="I917" i="1" s="1"/>
  <c r="J917" i="1" s="1"/>
  <c r="K917" i="1" s="1"/>
  <c r="L917" i="1" s="1"/>
  <c r="M917" i="1" s="1"/>
  <c r="N917" i="1" s="1"/>
  <c r="O917" i="1" s="1"/>
  <c r="P917" i="1" s="1"/>
  <c r="Q917" i="1" s="1"/>
  <c r="R917" i="1" s="1"/>
  <c r="S917" i="1" s="1"/>
  <c r="T917" i="1" s="1"/>
  <c r="U917" i="1" s="1"/>
  <c r="V917" i="1" s="1"/>
  <c r="W917" i="1" s="1"/>
  <c r="X917" i="1" s="1"/>
  <c r="Y917" i="1" s="1"/>
  <c r="Z917" i="1" s="1"/>
  <c r="AA917" i="1" s="1"/>
  <c r="AB917" i="1" s="1"/>
  <c r="AC917" i="1" s="1"/>
  <c r="AD917" i="1" s="1"/>
  <c r="AE917" i="1" s="1"/>
  <c r="AF917" i="1" s="1"/>
  <c r="AG917" i="1" s="1"/>
  <c r="AH917" i="1" s="1"/>
  <c r="AI917" i="1" s="1"/>
  <c r="AJ772" i="1"/>
  <c r="AJ1131" i="1"/>
  <c r="AN216" i="1"/>
  <c r="AJ161" i="1"/>
  <c r="AJ30" i="5"/>
  <c r="AK28" i="5" s="1"/>
  <c r="AD24" i="6"/>
  <c r="AH24" i="6" s="1"/>
  <c r="AI24" i="6" s="1"/>
  <c r="AA24" i="6"/>
  <c r="F143" i="1"/>
  <c r="G143" i="1" s="1"/>
  <c r="H143" i="1" s="1"/>
  <c r="I143" i="1" s="1"/>
  <c r="J143" i="1" s="1"/>
  <c r="K143" i="1" s="1"/>
  <c r="L143" i="1" s="1"/>
  <c r="M143" i="1" s="1"/>
  <c r="N143" i="1" s="1"/>
  <c r="O143" i="1" s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 s="1"/>
  <c r="AA143" i="1" s="1"/>
  <c r="AB143" i="1" s="1"/>
  <c r="AC143" i="1" s="1"/>
  <c r="AD143" i="1" s="1"/>
  <c r="AE143" i="1" s="1"/>
  <c r="AF143" i="1" s="1"/>
  <c r="AG143" i="1" s="1"/>
  <c r="AH143" i="1" s="1"/>
  <c r="AI143" i="1" s="1"/>
  <c r="AN135" i="1"/>
  <c r="AJ31" i="6"/>
  <c r="AB57" i="4"/>
  <c r="AJ299" i="4"/>
  <c r="AK297" i="4" s="1"/>
  <c r="AJ379" i="4"/>
  <c r="AK377" i="4" s="1"/>
  <c r="AN188" i="4"/>
  <c r="AJ11" i="4"/>
  <c r="AK9" i="4" s="1"/>
  <c r="AN284" i="4"/>
  <c r="Z73" i="4"/>
  <c r="AC73" i="4"/>
  <c r="AN380" i="4"/>
  <c r="AN204" i="4"/>
  <c r="AN332" i="4"/>
  <c r="AJ203" i="4"/>
  <c r="AK201" i="4" s="1"/>
  <c r="AJ16" i="4"/>
  <c r="AA248" i="3"/>
  <c r="AD248" i="3"/>
  <c r="AH248" i="3" s="1"/>
  <c r="AI248" i="3" s="1"/>
  <c r="AJ306" i="3"/>
  <c r="AN559" i="3"/>
  <c r="AN111" i="3"/>
  <c r="AN55" i="3"/>
  <c r="X55" i="5"/>
  <c r="Y55" i="5"/>
  <c r="H55" i="5"/>
  <c r="J55" i="5"/>
  <c r="AI55" i="5"/>
  <c r="AR61" i="5"/>
  <c r="L55" i="5"/>
  <c r="U55" i="5"/>
  <c r="AC55" i="5"/>
  <c r="AR58" i="5"/>
  <c r="AS61" i="5"/>
  <c r="K55" i="5"/>
  <c r="S55" i="5"/>
  <c r="AA55" i="5"/>
  <c r="M55" i="5"/>
  <c r="V55" i="5"/>
  <c r="AD55" i="5"/>
  <c r="AS58" i="5"/>
  <c r="AJ39" i="5"/>
  <c r="E55" i="5"/>
  <c r="N55" i="5"/>
  <c r="W55" i="5"/>
  <c r="AE55" i="5"/>
  <c r="AJ44" i="5"/>
  <c r="AK42" i="5" s="1"/>
  <c r="F55" i="5"/>
  <c r="O55" i="5"/>
  <c r="E46" i="5"/>
  <c r="F46" i="5" s="1"/>
  <c r="G46" i="5" s="1"/>
  <c r="H46" i="5" s="1"/>
  <c r="I46" i="5" s="1"/>
  <c r="J46" i="5" s="1"/>
  <c r="K46" i="5" s="1"/>
  <c r="L46" i="5" s="1"/>
  <c r="M46" i="5" s="1"/>
  <c r="N46" i="5" s="1"/>
  <c r="O46" i="5" s="1"/>
  <c r="P46" i="5" s="1"/>
  <c r="Q46" i="5" s="1"/>
  <c r="R46" i="5" s="1"/>
  <c r="S46" i="5" s="1"/>
  <c r="T46" i="5" s="1"/>
  <c r="U46" i="5" s="1"/>
  <c r="V46" i="5" s="1"/>
  <c r="W46" i="5" s="1"/>
  <c r="X46" i="5" s="1"/>
  <c r="Y46" i="5" s="1"/>
  <c r="Z46" i="5" s="1"/>
  <c r="AA46" i="5" s="1"/>
  <c r="AB46" i="5" s="1"/>
  <c r="AC46" i="5" s="1"/>
  <c r="AD46" i="5" s="1"/>
  <c r="AE46" i="5" s="1"/>
  <c r="AF46" i="5" s="1"/>
  <c r="AG46" i="5" s="1"/>
  <c r="AH46" i="5" s="1"/>
  <c r="AI46" i="5" s="1"/>
  <c r="G55" i="5"/>
  <c r="AR59" i="5"/>
  <c r="R55" i="5"/>
  <c r="Z55" i="5"/>
  <c r="AQ58" i="5"/>
  <c r="AS59" i="5"/>
  <c r="AU61" i="5"/>
  <c r="AT59" i="5"/>
  <c r="AQ61" i="5"/>
  <c r="AJ11" i="5"/>
  <c r="AK9" i="5" s="1"/>
  <c r="E18" i="5"/>
  <c r="F18" i="5" s="1"/>
  <c r="G18" i="5" s="1"/>
  <c r="H18" i="5" s="1"/>
  <c r="I18" i="5" s="1"/>
  <c r="J18" i="5" s="1"/>
  <c r="K18" i="5" s="1"/>
  <c r="L18" i="5" s="1"/>
  <c r="M18" i="5" s="1"/>
  <c r="N18" i="5" s="1"/>
  <c r="O18" i="5" s="1"/>
  <c r="P18" i="5" s="1"/>
  <c r="Q18" i="5" s="1"/>
  <c r="R18" i="5" s="1"/>
  <c r="S18" i="5" s="1"/>
  <c r="T18" i="5" s="1"/>
  <c r="U18" i="5" s="1"/>
  <c r="V18" i="5" s="1"/>
  <c r="W18" i="5" s="1"/>
  <c r="X18" i="5" s="1"/>
  <c r="Y18" i="5" s="1"/>
  <c r="Z18" i="5" s="1"/>
  <c r="AA18" i="5" s="1"/>
  <c r="AB18" i="5" s="1"/>
  <c r="AC18" i="5" s="1"/>
  <c r="AD18" i="5" s="1"/>
  <c r="AE18" i="5" s="1"/>
  <c r="AF18" i="5" s="1"/>
  <c r="AG18" i="5" s="1"/>
  <c r="AH18" i="5" s="1"/>
  <c r="AI18" i="5" s="1"/>
  <c r="AJ157" i="6"/>
  <c r="AN153" i="6"/>
  <c r="AJ82" i="6"/>
  <c r="AN83" i="6"/>
  <c r="AN13" i="6"/>
  <c r="AJ17" i="6"/>
  <c r="AJ12" i="6"/>
  <c r="AG66" i="6"/>
  <c r="AD66" i="6"/>
  <c r="AJ54" i="6"/>
  <c r="AJ59" i="6"/>
  <c r="AL13" i="6"/>
  <c r="E33" i="6"/>
  <c r="F33" i="6" s="1"/>
  <c r="G33" i="6" s="1"/>
  <c r="H33" i="6" s="1"/>
  <c r="I33" i="6" s="1"/>
  <c r="J33" i="6" s="1"/>
  <c r="K33" i="6" s="1"/>
  <c r="L33" i="6" s="1"/>
  <c r="M33" i="6" s="1"/>
  <c r="N33" i="6" s="1"/>
  <c r="O33" i="6" s="1"/>
  <c r="AJ26" i="6"/>
  <c r="AJ110" i="6"/>
  <c r="AT186" i="6"/>
  <c r="AJ87" i="6"/>
  <c r="AJ464" i="4"/>
  <c r="AK462" i="4" s="1"/>
  <c r="AJ475" i="4"/>
  <c r="AK473" i="4" s="1"/>
  <c r="AJ480" i="4"/>
  <c r="AK478" i="4" s="1"/>
  <c r="AN428" i="4"/>
  <c r="AJ400" i="4"/>
  <c r="AK398" i="4" s="1"/>
  <c r="AJ283" i="4"/>
  <c r="AK281" i="4" s="1"/>
  <c r="AN316" i="4"/>
  <c r="AN300" i="4"/>
  <c r="AJ331" i="4"/>
  <c r="AK329" i="4" s="1"/>
  <c r="AJ320" i="4"/>
  <c r="AK318" i="4" s="1"/>
  <c r="AJ187" i="4"/>
  <c r="AK185" i="4" s="1"/>
  <c r="AJ507" i="4"/>
  <c r="AK505" i="4" s="1"/>
  <c r="AJ512" i="4"/>
  <c r="AK510" i="4" s="1"/>
  <c r="AN12" i="4"/>
  <c r="AJ112" i="4"/>
  <c r="AK110" i="4" s="1"/>
  <c r="AN156" i="4"/>
  <c r="Z361" i="4"/>
  <c r="AC361" i="4"/>
  <c r="AJ304" i="4"/>
  <c r="AK302" i="4" s="1"/>
  <c r="AJ192" i="4"/>
  <c r="AK190" i="4" s="1"/>
  <c r="AJ288" i="4"/>
  <c r="AK286" i="4" s="1"/>
  <c r="AJ208" i="4"/>
  <c r="AK206" i="4" s="1"/>
  <c r="AJ315" i="4"/>
  <c r="AK313" i="4" s="1"/>
  <c r="AJ395" i="4"/>
  <c r="AK393" i="4" s="1"/>
  <c r="AN396" i="4"/>
  <c r="AJ336" i="4"/>
  <c r="AK334" i="4" s="1"/>
  <c r="AJ459" i="4"/>
  <c r="AK457" i="4" s="1"/>
  <c r="AJ384" i="4"/>
  <c r="AK382" i="4" s="1"/>
  <c r="AN460" i="4"/>
  <c r="AN476" i="4"/>
  <c r="AJ427" i="4"/>
  <c r="AK425" i="4" s="1"/>
  <c r="AJ432" i="4"/>
  <c r="AK430" i="4" s="1"/>
  <c r="AN195" i="3"/>
  <c r="AJ474" i="3"/>
  <c r="AL557" i="3"/>
  <c r="AM555" i="3" s="1"/>
  <c r="J20" i="13" s="1"/>
  <c r="AJ40" i="2"/>
  <c r="AK38" i="2" s="1"/>
  <c r="F740" i="1"/>
  <c r="G740" i="1" s="1"/>
  <c r="H740" i="1" s="1"/>
  <c r="I740" i="1" s="1"/>
  <c r="J740" i="1" s="1"/>
  <c r="K740" i="1" s="1"/>
  <c r="L740" i="1" s="1"/>
  <c r="M740" i="1" s="1"/>
  <c r="N740" i="1" s="1"/>
  <c r="O740" i="1" s="1"/>
  <c r="P740" i="1" s="1"/>
  <c r="Q740" i="1" s="1"/>
  <c r="R740" i="1" s="1"/>
  <c r="S740" i="1" s="1"/>
  <c r="T740" i="1" s="1"/>
  <c r="U740" i="1" s="1"/>
  <c r="V740" i="1" s="1"/>
  <c r="W740" i="1" s="1"/>
  <c r="X740" i="1" s="1"/>
  <c r="Y740" i="1" s="1"/>
  <c r="Z740" i="1" s="1"/>
  <c r="AA740" i="1" s="1"/>
  <c r="AB740" i="1" s="1"/>
  <c r="AJ799" i="1"/>
  <c r="AJ854" i="1"/>
  <c r="AN421" i="1"/>
  <c r="AN311" i="1"/>
  <c r="AN393" i="1"/>
  <c r="AJ691" i="1"/>
  <c r="AJ926" i="1"/>
  <c r="AN407" i="1"/>
  <c r="F713" i="1"/>
  <c r="G713" i="1" s="1"/>
  <c r="H713" i="1" s="1"/>
  <c r="I713" i="1" s="1"/>
  <c r="J713" i="1" s="1"/>
  <c r="K713" i="1" s="1"/>
  <c r="L713" i="1" s="1"/>
  <c r="M713" i="1" s="1"/>
  <c r="N713" i="1" s="1"/>
  <c r="O713" i="1" s="1"/>
  <c r="P713" i="1" s="1"/>
  <c r="Q713" i="1" s="1"/>
  <c r="R713" i="1" s="1"/>
  <c r="S713" i="1" s="1"/>
  <c r="T713" i="1" s="1"/>
  <c r="U713" i="1" s="1"/>
  <c r="V713" i="1" s="1"/>
  <c r="W713" i="1" s="1"/>
  <c r="X713" i="1" s="1"/>
  <c r="Y713" i="1" s="1"/>
  <c r="Z713" i="1" s="1"/>
  <c r="AA713" i="1" s="1"/>
  <c r="AB713" i="1" s="1"/>
  <c r="AC713" i="1" s="1"/>
  <c r="AD713" i="1" s="1"/>
  <c r="AE713" i="1" s="1"/>
  <c r="AF713" i="1" s="1"/>
  <c r="AG713" i="1" s="1"/>
  <c r="AH713" i="1" s="1"/>
  <c r="AI713" i="1" s="1"/>
  <c r="F836" i="1"/>
  <c r="G836" i="1" s="1"/>
  <c r="H836" i="1" s="1"/>
  <c r="I836" i="1" s="1"/>
  <c r="J836" i="1" s="1"/>
  <c r="K836" i="1" s="1"/>
  <c r="L836" i="1" s="1"/>
  <c r="M836" i="1" s="1"/>
  <c r="N836" i="1" s="1"/>
  <c r="O836" i="1" s="1"/>
  <c r="P836" i="1" s="1"/>
  <c r="Q836" i="1" s="1"/>
  <c r="R836" i="1" s="1"/>
  <c r="S836" i="1" s="1"/>
  <c r="T836" i="1" s="1"/>
  <c r="U836" i="1" s="1"/>
  <c r="V836" i="1" s="1"/>
  <c r="W836" i="1" s="1"/>
  <c r="X836" i="1" s="1"/>
  <c r="Y836" i="1" s="1"/>
  <c r="Z836" i="1" s="1"/>
  <c r="AA836" i="1" s="1"/>
  <c r="AB836" i="1" s="1"/>
  <c r="AC836" i="1" s="1"/>
  <c r="AD836" i="1" s="1"/>
  <c r="AE836" i="1" s="1"/>
  <c r="AF836" i="1" s="1"/>
  <c r="AG836" i="1" s="1"/>
  <c r="AH836" i="1" s="1"/>
  <c r="AI836" i="1" s="1"/>
  <c r="E1122" i="1"/>
  <c r="F1122" i="1" s="1"/>
  <c r="G1122" i="1" s="1"/>
  <c r="H1122" i="1" s="1"/>
  <c r="I1122" i="1" s="1"/>
  <c r="J1122" i="1" s="1"/>
  <c r="K1122" i="1" s="1"/>
  <c r="L1122" i="1" s="1"/>
  <c r="M1122" i="1" s="1"/>
  <c r="N1122" i="1" s="1"/>
  <c r="O1122" i="1" s="1"/>
  <c r="P1122" i="1" s="1"/>
  <c r="Q1122" i="1" s="1"/>
  <c r="R1122" i="1" s="1"/>
  <c r="S1122" i="1" s="1"/>
  <c r="T1122" i="1" s="1"/>
  <c r="U1122" i="1" s="1"/>
  <c r="V1122" i="1" s="1"/>
  <c r="W1122" i="1" s="1"/>
  <c r="X1122" i="1" s="1"/>
  <c r="Y1122" i="1" s="1"/>
  <c r="Z1122" i="1" s="1"/>
  <c r="AA1122" i="1" s="1"/>
  <c r="AB1122" i="1" s="1"/>
  <c r="AC1122" i="1" s="1"/>
  <c r="AD1122" i="1" s="1"/>
  <c r="AE1122" i="1" s="1"/>
  <c r="AF1122" i="1" s="1"/>
  <c r="AG1122" i="1" s="1"/>
  <c r="AH1122" i="1" s="1"/>
  <c r="AI1122" i="1" s="1"/>
  <c r="AJ1062" i="1"/>
  <c r="AN1182" i="1"/>
  <c r="AJ1158" i="1"/>
  <c r="AN1168" i="1"/>
  <c r="AN1071" i="1"/>
  <c r="F1174" i="1"/>
  <c r="G1174" i="1" s="1"/>
  <c r="H1174" i="1" s="1"/>
  <c r="I1174" i="1" s="1"/>
  <c r="J1174" i="1" s="1"/>
  <c r="K1174" i="1" s="1"/>
  <c r="L1174" i="1" s="1"/>
  <c r="M1174" i="1" s="1"/>
  <c r="N1174" i="1" s="1"/>
  <c r="O1174" i="1" s="1"/>
  <c r="P1174" i="1" s="1"/>
  <c r="Q1174" i="1" s="1"/>
  <c r="R1174" i="1" s="1"/>
  <c r="S1174" i="1" s="1"/>
  <c r="T1174" i="1" s="1"/>
  <c r="U1174" i="1" s="1"/>
  <c r="V1174" i="1" s="1"/>
  <c r="W1174" i="1" s="1"/>
  <c r="X1174" i="1" s="1"/>
  <c r="Y1174" i="1" s="1"/>
  <c r="Z1174" i="1" s="1"/>
  <c r="AA1174" i="1" s="1"/>
  <c r="AB1174" i="1" s="1"/>
  <c r="AC1174" i="1" s="1"/>
  <c r="AD1174" i="1" s="1"/>
  <c r="AE1174" i="1" s="1"/>
  <c r="AF1174" i="1" s="1"/>
  <c r="AG1174" i="1" s="1"/>
  <c r="AH1174" i="1" s="1"/>
  <c r="AI1174" i="1" s="1"/>
  <c r="AN718" i="1"/>
  <c r="F632" i="1"/>
  <c r="G632" i="1" s="1"/>
  <c r="H632" i="1" s="1"/>
  <c r="I632" i="1" s="1"/>
  <c r="J632" i="1" s="1"/>
  <c r="K632" i="1" s="1"/>
  <c r="L632" i="1" s="1"/>
  <c r="M632" i="1" s="1"/>
  <c r="N632" i="1" s="1"/>
  <c r="O632" i="1" s="1"/>
  <c r="P632" i="1" s="1"/>
  <c r="Q632" i="1" s="1"/>
  <c r="R632" i="1" s="1"/>
  <c r="S632" i="1" s="1"/>
  <c r="T632" i="1" s="1"/>
  <c r="U632" i="1" s="1"/>
  <c r="V632" i="1" s="1"/>
  <c r="W632" i="1" s="1"/>
  <c r="X632" i="1" s="1"/>
  <c r="Y632" i="1" s="1"/>
  <c r="Z632" i="1" s="1"/>
  <c r="AA632" i="1" s="1"/>
  <c r="AB632" i="1" s="1"/>
  <c r="AC632" i="1" s="1"/>
  <c r="AD632" i="1" s="1"/>
  <c r="AE632" i="1" s="1"/>
  <c r="AF632" i="1" s="1"/>
  <c r="AG632" i="1" s="1"/>
  <c r="AH632" i="1" s="1"/>
  <c r="AI632" i="1" s="1"/>
  <c r="AN759" i="1"/>
  <c r="AN909" i="1"/>
  <c r="AN963" i="1"/>
  <c r="AN828" i="1"/>
  <c r="AL828" i="1"/>
  <c r="AM826" i="1" s="1"/>
  <c r="AN895" i="1"/>
  <c r="AN773" i="1"/>
  <c r="AJ967" i="1"/>
  <c r="F347" i="1"/>
  <c r="G347" i="1" s="1"/>
  <c r="H347" i="1" s="1"/>
  <c r="I347" i="1" s="1"/>
  <c r="J347" i="1" s="1"/>
  <c r="K347" i="1" s="1"/>
  <c r="L347" i="1" s="1"/>
  <c r="M347" i="1" s="1"/>
  <c r="N347" i="1" s="1"/>
  <c r="O347" i="1" s="1"/>
  <c r="P347" i="1" s="1"/>
  <c r="Q347" i="1" s="1"/>
  <c r="R347" i="1" s="1"/>
  <c r="S347" i="1" s="1"/>
  <c r="T347" i="1" s="1"/>
  <c r="U347" i="1" s="1"/>
  <c r="V347" i="1" s="1"/>
  <c r="W347" i="1" s="1"/>
  <c r="X347" i="1" s="1"/>
  <c r="Y347" i="1" s="1"/>
  <c r="Z347" i="1" s="1"/>
  <c r="AJ438" i="1"/>
  <c r="AN284" i="1"/>
  <c r="AN54" i="1"/>
  <c r="AL1180" i="1"/>
  <c r="AM1178" i="1" s="1"/>
  <c r="E779" i="1"/>
  <c r="F779" i="1" s="1"/>
  <c r="G779" i="1" s="1"/>
  <c r="H779" i="1" s="1"/>
  <c r="I779" i="1" s="1"/>
  <c r="J779" i="1" s="1"/>
  <c r="K779" i="1" s="1"/>
  <c r="L779" i="1" s="1"/>
  <c r="M779" i="1" s="1"/>
  <c r="N779" i="1" s="1"/>
  <c r="O779" i="1" s="1"/>
  <c r="P779" i="1" s="1"/>
  <c r="Q779" i="1" s="1"/>
  <c r="R779" i="1" s="1"/>
  <c r="S779" i="1" s="1"/>
  <c r="T779" i="1" s="1"/>
  <c r="U779" i="1" s="1"/>
  <c r="V779" i="1" s="1"/>
  <c r="W779" i="1" s="1"/>
  <c r="X779" i="1" s="1"/>
  <c r="Y779" i="1" s="1"/>
  <c r="Z779" i="1" s="1"/>
  <c r="AA779" i="1" s="1"/>
  <c r="AB779" i="1" s="1"/>
  <c r="AC779" i="1" s="1"/>
  <c r="AD779" i="1" s="1"/>
  <c r="AE779" i="1" s="1"/>
  <c r="AF779" i="1" s="1"/>
  <c r="AG779" i="1" s="1"/>
  <c r="AH779" i="1" s="1"/>
  <c r="AI779" i="1" s="1"/>
  <c r="AN448" i="1"/>
  <c r="AL448" i="1"/>
  <c r="AM446" i="1" s="1"/>
  <c r="E494" i="1"/>
  <c r="F494" i="1" s="1"/>
  <c r="G494" i="1" s="1"/>
  <c r="H494" i="1" s="1"/>
  <c r="I494" i="1" s="1"/>
  <c r="J494" i="1" s="1"/>
  <c r="K494" i="1" s="1"/>
  <c r="L494" i="1" s="1"/>
  <c r="M494" i="1" s="1"/>
  <c r="N494" i="1" s="1"/>
  <c r="O494" i="1" s="1"/>
  <c r="P494" i="1" s="1"/>
  <c r="Q494" i="1" s="1"/>
  <c r="R494" i="1" s="1"/>
  <c r="S494" i="1" s="1"/>
  <c r="T494" i="1" s="1"/>
  <c r="U494" i="1" s="1"/>
  <c r="V494" i="1" s="1"/>
  <c r="W494" i="1" s="1"/>
  <c r="X494" i="1" s="1"/>
  <c r="Y494" i="1" s="1"/>
  <c r="Z494" i="1" s="1"/>
  <c r="E834" i="1"/>
  <c r="F834" i="1" s="1"/>
  <c r="G834" i="1" s="1"/>
  <c r="H834" i="1" s="1"/>
  <c r="I834" i="1" s="1"/>
  <c r="J834" i="1" s="1"/>
  <c r="K834" i="1" s="1"/>
  <c r="L834" i="1" s="1"/>
  <c r="M834" i="1" s="1"/>
  <c r="N834" i="1" s="1"/>
  <c r="O834" i="1" s="1"/>
  <c r="P834" i="1" s="1"/>
  <c r="Q834" i="1" s="1"/>
  <c r="R834" i="1" s="1"/>
  <c r="S834" i="1" s="1"/>
  <c r="T834" i="1" s="1"/>
  <c r="U834" i="1" s="1"/>
  <c r="V834" i="1" s="1"/>
  <c r="W834" i="1" s="1"/>
  <c r="X834" i="1" s="1"/>
  <c r="Y834" i="1" s="1"/>
  <c r="Z834" i="1" s="1"/>
  <c r="AA834" i="1" s="1"/>
  <c r="AB834" i="1" s="1"/>
  <c r="AC834" i="1" s="1"/>
  <c r="AD834" i="1" s="1"/>
  <c r="AE834" i="1" s="1"/>
  <c r="AF834" i="1" s="1"/>
  <c r="AG834" i="1" s="1"/>
  <c r="AH834" i="1" s="1"/>
  <c r="AI834" i="1" s="1"/>
  <c r="AN1044" i="1"/>
  <c r="AL1044" i="1"/>
  <c r="AM1042" i="1" s="1"/>
  <c r="AJ356" i="1"/>
  <c r="AN1030" i="1"/>
  <c r="E276" i="1"/>
  <c r="F276" i="1" s="1"/>
  <c r="G276" i="1" s="1"/>
  <c r="H276" i="1" s="1"/>
  <c r="I276" i="1" s="1"/>
  <c r="J276" i="1" s="1"/>
  <c r="K276" i="1" s="1"/>
  <c r="L276" i="1" s="1"/>
  <c r="M276" i="1" s="1"/>
  <c r="N276" i="1" s="1"/>
  <c r="O276" i="1" s="1"/>
  <c r="P276" i="1" s="1"/>
  <c r="Q276" i="1" s="1"/>
  <c r="R276" i="1" s="1"/>
  <c r="S276" i="1" s="1"/>
  <c r="T276" i="1" s="1"/>
  <c r="U276" i="1" s="1"/>
  <c r="V276" i="1" s="1"/>
  <c r="W276" i="1" s="1"/>
  <c r="X276" i="1" s="1"/>
  <c r="Y276" i="1" s="1"/>
  <c r="Z276" i="1" s="1"/>
  <c r="AA276" i="1" s="1"/>
  <c r="AB276" i="1" s="1"/>
  <c r="AC276" i="1" s="1"/>
  <c r="AD276" i="1" s="1"/>
  <c r="AE276" i="1" s="1"/>
  <c r="AF276" i="1" s="1"/>
  <c r="AG276" i="1" s="1"/>
  <c r="AH276" i="1" s="1"/>
  <c r="AI276" i="1" s="1"/>
  <c r="AL393" i="1"/>
  <c r="AM391" i="1" s="1"/>
  <c r="F429" i="1"/>
  <c r="G429" i="1" s="1"/>
  <c r="H429" i="1" s="1"/>
  <c r="I429" i="1" s="1"/>
  <c r="J429" i="1" s="1"/>
  <c r="K429" i="1" s="1"/>
  <c r="L429" i="1" s="1"/>
  <c r="M429" i="1" s="1"/>
  <c r="N429" i="1" s="1"/>
  <c r="O429" i="1" s="1"/>
  <c r="P429" i="1" s="1"/>
  <c r="Q429" i="1" s="1"/>
  <c r="R429" i="1" s="1"/>
  <c r="S429" i="1" s="1"/>
  <c r="T429" i="1" s="1"/>
  <c r="U429" i="1" s="1"/>
  <c r="V429" i="1" s="1"/>
  <c r="W429" i="1" s="1"/>
  <c r="X429" i="1" s="1"/>
  <c r="Y429" i="1" s="1"/>
  <c r="Z429" i="1" s="1"/>
  <c r="AL1030" i="1"/>
  <c r="AM1028" i="1" s="1"/>
  <c r="F1108" i="1"/>
  <c r="G1108" i="1" s="1"/>
  <c r="H1108" i="1" s="1"/>
  <c r="I1108" i="1" s="1"/>
  <c r="J1108" i="1" s="1"/>
  <c r="K1108" i="1" s="1"/>
  <c r="L1108" i="1" s="1"/>
  <c r="M1108" i="1" s="1"/>
  <c r="N1108" i="1" s="1"/>
  <c r="O1108" i="1" s="1"/>
  <c r="P1108" i="1" s="1"/>
  <c r="Q1108" i="1" s="1"/>
  <c r="R1108" i="1" s="1"/>
  <c r="S1108" i="1" s="1"/>
  <c r="T1108" i="1" s="1"/>
  <c r="U1108" i="1" s="1"/>
  <c r="V1108" i="1" s="1"/>
  <c r="W1108" i="1" s="1"/>
  <c r="X1108" i="1" s="1"/>
  <c r="Y1108" i="1" s="1"/>
  <c r="Z1108" i="1" s="1"/>
  <c r="AA1108" i="1" s="1"/>
  <c r="AB1108" i="1" s="1"/>
  <c r="AC1108" i="1" s="1"/>
  <c r="AD1108" i="1" s="1"/>
  <c r="AE1108" i="1" s="1"/>
  <c r="AF1108" i="1" s="1"/>
  <c r="AG1108" i="1" s="1"/>
  <c r="AH1108" i="1" s="1"/>
  <c r="AI1108" i="1" s="1"/>
  <c r="E1105" i="1"/>
  <c r="F1105" i="1" s="1"/>
  <c r="G1105" i="1" s="1"/>
  <c r="H1105" i="1" s="1"/>
  <c r="I1105" i="1" s="1"/>
  <c r="J1105" i="1" s="1"/>
  <c r="K1105" i="1" s="1"/>
  <c r="L1105" i="1" s="1"/>
  <c r="M1105" i="1" s="1"/>
  <c r="N1105" i="1" s="1"/>
  <c r="O1105" i="1" s="1"/>
  <c r="P1105" i="1" s="1"/>
  <c r="Q1105" i="1" s="1"/>
  <c r="R1105" i="1" s="1"/>
  <c r="S1105" i="1" s="1"/>
  <c r="T1105" i="1" s="1"/>
  <c r="U1105" i="1" s="1"/>
  <c r="V1105" i="1" s="1"/>
  <c r="W1105" i="1" s="1"/>
  <c r="X1105" i="1" s="1"/>
  <c r="Y1105" i="1" s="1"/>
  <c r="Z1105" i="1" s="1"/>
  <c r="AA1105" i="1" s="1"/>
  <c r="AB1105" i="1" s="1"/>
  <c r="AC1105" i="1" s="1"/>
  <c r="AD1105" i="1" s="1"/>
  <c r="AE1105" i="1" s="1"/>
  <c r="AF1105" i="1" s="1"/>
  <c r="AG1105" i="1" s="1"/>
  <c r="AH1105" i="1" s="1"/>
  <c r="AI1105" i="1" s="1"/>
  <c r="F62" i="1"/>
  <c r="G62" i="1" s="1"/>
  <c r="H62" i="1" s="1"/>
  <c r="I62" i="1" s="1"/>
  <c r="J62" i="1" s="1"/>
  <c r="K62" i="1" s="1"/>
  <c r="L62" i="1" s="1"/>
  <c r="M62" i="1" s="1"/>
  <c r="N62" i="1" s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AG62" i="1" s="1"/>
  <c r="AH62" i="1" s="1"/>
  <c r="AI62" i="1" s="1"/>
  <c r="AJ274" i="1"/>
  <c r="AN990" i="1"/>
  <c r="AN1154" i="1"/>
  <c r="AN461" i="1"/>
  <c r="AN732" i="1"/>
  <c r="AN175" i="1"/>
  <c r="AJ215" i="1"/>
  <c r="AN380" i="1"/>
  <c r="AJ411" i="1"/>
  <c r="AJ506" i="1"/>
  <c r="AJ587" i="1"/>
  <c r="AJ623" i="1"/>
  <c r="F944" i="1"/>
  <c r="G944" i="1" s="1"/>
  <c r="H944" i="1" s="1"/>
  <c r="I944" i="1" s="1"/>
  <c r="J944" i="1" s="1"/>
  <c r="K944" i="1" s="1"/>
  <c r="L944" i="1" s="1"/>
  <c r="M944" i="1" s="1"/>
  <c r="N944" i="1" s="1"/>
  <c r="O944" i="1" s="1"/>
  <c r="P944" i="1" s="1"/>
  <c r="Q944" i="1" s="1"/>
  <c r="R944" i="1" s="1"/>
  <c r="S944" i="1" s="1"/>
  <c r="T944" i="1" s="1"/>
  <c r="U944" i="1" s="1"/>
  <c r="V944" i="1" s="1"/>
  <c r="W944" i="1" s="1"/>
  <c r="X944" i="1" s="1"/>
  <c r="Y944" i="1" s="1"/>
  <c r="Z944" i="1" s="1"/>
  <c r="AA944" i="1" s="1"/>
  <c r="AB944" i="1" s="1"/>
  <c r="AC944" i="1" s="1"/>
  <c r="AD944" i="1" s="1"/>
  <c r="AE944" i="1" s="1"/>
  <c r="AF944" i="1" s="1"/>
  <c r="AG944" i="1" s="1"/>
  <c r="AH944" i="1" s="1"/>
  <c r="AI944" i="1" s="1"/>
  <c r="E942" i="1"/>
  <c r="F942" i="1" s="1"/>
  <c r="G942" i="1" s="1"/>
  <c r="H942" i="1" s="1"/>
  <c r="I942" i="1" s="1"/>
  <c r="J942" i="1" s="1"/>
  <c r="K942" i="1" s="1"/>
  <c r="L942" i="1" s="1"/>
  <c r="M942" i="1" s="1"/>
  <c r="N942" i="1" s="1"/>
  <c r="O942" i="1" s="1"/>
  <c r="P942" i="1" s="1"/>
  <c r="Q942" i="1" s="1"/>
  <c r="R942" i="1" s="1"/>
  <c r="S942" i="1" s="1"/>
  <c r="T942" i="1" s="1"/>
  <c r="U942" i="1" s="1"/>
  <c r="V942" i="1" s="1"/>
  <c r="W942" i="1" s="1"/>
  <c r="X942" i="1" s="1"/>
  <c r="Y942" i="1" s="1"/>
  <c r="Z942" i="1" s="1"/>
  <c r="AA942" i="1" s="1"/>
  <c r="AB942" i="1" s="1"/>
  <c r="AC942" i="1" s="1"/>
  <c r="AD942" i="1" s="1"/>
  <c r="AE942" i="1" s="1"/>
  <c r="AF942" i="1" s="1"/>
  <c r="AG942" i="1" s="1"/>
  <c r="AH942" i="1" s="1"/>
  <c r="AI942" i="1" s="1"/>
  <c r="AN976" i="1"/>
  <c r="AJ1186" i="1"/>
  <c r="AN67" i="1"/>
  <c r="AJ628" i="1"/>
  <c r="E724" i="1"/>
  <c r="F724" i="1" s="1"/>
  <c r="G724" i="1" s="1"/>
  <c r="H724" i="1" s="1"/>
  <c r="I724" i="1" s="1"/>
  <c r="J724" i="1" s="1"/>
  <c r="K724" i="1" s="1"/>
  <c r="L724" i="1" s="1"/>
  <c r="M724" i="1" s="1"/>
  <c r="N724" i="1" s="1"/>
  <c r="O724" i="1" s="1"/>
  <c r="P724" i="1" s="1"/>
  <c r="Q724" i="1" s="1"/>
  <c r="R724" i="1" s="1"/>
  <c r="S724" i="1" s="1"/>
  <c r="T724" i="1" s="1"/>
  <c r="U724" i="1" s="1"/>
  <c r="V724" i="1" s="1"/>
  <c r="W724" i="1" s="1"/>
  <c r="X724" i="1" s="1"/>
  <c r="Y724" i="1" s="1"/>
  <c r="Z724" i="1" s="1"/>
  <c r="AA724" i="1" s="1"/>
  <c r="AB724" i="1" s="1"/>
  <c r="AC724" i="1" s="1"/>
  <c r="AD724" i="1" s="1"/>
  <c r="AE724" i="1" s="1"/>
  <c r="AF724" i="1" s="1"/>
  <c r="AG724" i="1" s="1"/>
  <c r="AH724" i="1" s="1"/>
  <c r="AI724" i="1" s="1"/>
  <c r="AN814" i="1"/>
  <c r="AN855" i="1"/>
  <c r="AJ1075" i="1"/>
  <c r="E1077" i="1"/>
  <c r="F1077" i="1" s="1"/>
  <c r="G1077" i="1" s="1"/>
  <c r="H1077" i="1" s="1"/>
  <c r="I1077" i="1" s="1"/>
  <c r="J1077" i="1" s="1"/>
  <c r="K1077" i="1" s="1"/>
  <c r="L1077" i="1" s="1"/>
  <c r="M1077" i="1" s="1"/>
  <c r="N1077" i="1" s="1"/>
  <c r="O1077" i="1" s="1"/>
  <c r="P1077" i="1" s="1"/>
  <c r="Q1077" i="1" s="1"/>
  <c r="R1077" i="1" s="1"/>
  <c r="S1077" i="1" s="1"/>
  <c r="T1077" i="1" s="1"/>
  <c r="U1077" i="1" s="1"/>
  <c r="V1077" i="1" s="1"/>
  <c r="W1077" i="1" s="1"/>
  <c r="X1077" i="1" s="1"/>
  <c r="Y1077" i="1" s="1"/>
  <c r="Z1077" i="1" s="1"/>
  <c r="AA1077" i="1" s="1"/>
  <c r="AB1077" i="1" s="1"/>
  <c r="AC1077" i="1" s="1"/>
  <c r="AD1077" i="1" s="1"/>
  <c r="AE1077" i="1" s="1"/>
  <c r="AF1077" i="1" s="1"/>
  <c r="AG1077" i="1" s="1"/>
  <c r="AH1077" i="1" s="1"/>
  <c r="AI1077" i="1" s="1"/>
  <c r="AJ1145" i="1"/>
  <c r="E1147" i="1"/>
  <c r="F1147" i="1" s="1"/>
  <c r="G1147" i="1" s="1"/>
  <c r="H1147" i="1" s="1"/>
  <c r="I1147" i="1" s="1"/>
  <c r="J1147" i="1" s="1"/>
  <c r="K1147" i="1" s="1"/>
  <c r="L1147" i="1" s="1"/>
  <c r="M1147" i="1" s="1"/>
  <c r="N1147" i="1" s="1"/>
  <c r="O1147" i="1" s="1"/>
  <c r="P1147" i="1" s="1"/>
  <c r="Q1147" i="1" s="1"/>
  <c r="R1147" i="1" s="1"/>
  <c r="S1147" i="1" s="1"/>
  <c r="T1147" i="1" s="1"/>
  <c r="U1147" i="1" s="1"/>
  <c r="V1147" i="1" s="1"/>
  <c r="W1147" i="1" s="1"/>
  <c r="X1147" i="1" s="1"/>
  <c r="Y1147" i="1" s="1"/>
  <c r="Z1147" i="1" s="1"/>
  <c r="AA1147" i="1" s="1"/>
  <c r="AB1147" i="1" s="1"/>
  <c r="AC1147" i="1" s="1"/>
  <c r="AD1147" i="1" s="1"/>
  <c r="AE1147" i="1" s="1"/>
  <c r="AF1147" i="1" s="1"/>
  <c r="AG1147" i="1" s="1"/>
  <c r="AH1147" i="1" s="1"/>
  <c r="AI1147" i="1" s="1"/>
  <c r="AN434" i="1"/>
  <c r="AJ460" i="1"/>
  <c r="AJ465" i="1"/>
  <c r="AJ573" i="1"/>
  <c r="AN596" i="1"/>
  <c r="AJ696" i="1"/>
  <c r="AN800" i="1"/>
  <c r="AJ1034" i="1"/>
  <c r="AL284" i="1"/>
  <c r="AM282" i="1" s="1"/>
  <c r="AJ302" i="1"/>
  <c r="AJ329" i="1"/>
  <c r="AJ384" i="1"/>
  <c r="AL421" i="1"/>
  <c r="AM419" i="1" s="1"/>
  <c r="AJ614" i="1"/>
  <c r="AN692" i="1"/>
  <c r="AN745" i="1"/>
  <c r="AN841" i="1"/>
  <c r="AL895" i="1"/>
  <c r="AM893" i="1" s="1"/>
  <c r="E955" i="1"/>
  <c r="F955" i="1" s="1"/>
  <c r="G955" i="1" s="1"/>
  <c r="H955" i="1" s="1"/>
  <c r="I955" i="1" s="1"/>
  <c r="J955" i="1" s="1"/>
  <c r="K955" i="1" s="1"/>
  <c r="L955" i="1" s="1"/>
  <c r="M955" i="1" s="1"/>
  <c r="N955" i="1" s="1"/>
  <c r="O955" i="1" s="1"/>
  <c r="P955" i="1" s="1"/>
  <c r="Q955" i="1" s="1"/>
  <c r="R955" i="1" s="1"/>
  <c r="S955" i="1" s="1"/>
  <c r="T955" i="1" s="1"/>
  <c r="U955" i="1" s="1"/>
  <c r="V955" i="1" s="1"/>
  <c r="W955" i="1" s="1"/>
  <c r="X955" i="1" s="1"/>
  <c r="Y955" i="1" s="1"/>
  <c r="Z955" i="1" s="1"/>
  <c r="AA955" i="1" s="1"/>
  <c r="AB955" i="1" s="1"/>
  <c r="AC955" i="1" s="1"/>
  <c r="AD955" i="1" s="1"/>
  <c r="AE955" i="1" s="1"/>
  <c r="AF955" i="1" s="1"/>
  <c r="AG955" i="1" s="1"/>
  <c r="AH955" i="1" s="1"/>
  <c r="AI955" i="1" s="1"/>
  <c r="AJ980" i="1"/>
  <c r="AJ1089" i="1"/>
  <c r="AJ1172" i="1"/>
  <c r="AL133" i="1"/>
  <c r="AM131" i="1" s="1"/>
  <c r="AN352" i="1"/>
  <c r="AJ479" i="1"/>
  <c r="AN705" i="1"/>
  <c r="AJ908" i="1"/>
  <c r="AN1058" i="1"/>
  <c r="AL1111" i="1"/>
  <c r="AM1109" i="1" s="1"/>
  <c r="W1196" i="1"/>
  <c r="E60" i="1"/>
  <c r="F60" i="1" s="1"/>
  <c r="G60" i="1" s="1"/>
  <c r="H60" i="1" s="1"/>
  <c r="I60" i="1" s="1"/>
  <c r="J60" i="1" s="1"/>
  <c r="K60" i="1" s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AI60" i="1" s="1"/>
  <c r="AN148" i="1"/>
  <c r="AL175" i="1"/>
  <c r="AM173" i="1" s="1"/>
  <c r="AN202" i="1"/>
  <c r="AJ188" i="1"/>
  <c r="AL81" i="1"/>
  <c r="AM79" i="1" s="1"/>
  <c r="E141" i="1"/>
  <c r="F141" i="1" s="1"/>
  <c r="G141" i="1" s="1"/>
  <c r="H141" i="1" s="1"/>
  <c r="I141" i="1" s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AB141" i="1" s="1"/>
  <c r="AC141" i="1" s="1"/>
  <c r="AD141" i="1" s="1"/>
  <c r="AE141" i="1" s="1"/>
  <c r="AF141" i="1" s="1"/>
  <c r="AG141" i="1" s="1"/>
  <c r="AH141" i="1" s="1"/>
  <c r="AI141" i="1" s="1"/>
  <c r="AN162" i="1"/>
  <c r="AJ193" i="1"/>
  <c r="E195" i="1"/>
  <c r="F195" i="1" s="1"/>
  <c r="G195" i="1" s="1"/>
  <c r="H195" i="1" s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AB195" i="1" s="1"/>
  <c r="AC195" i="1" s="1"/>
  <c r="AD195" i="1" s="1"/>
  <c r="AE195" i="1" s="1"/>
  <c r="AF195" i="1" s="1"/>
  <c r="AG195" i="1" s="1"/>
  <c r="AH195" i="1" s="1"/>
  <c r="AI195" i="1" s="1"/>
  <c r="Z1196" i="1"/>
  <c r="AL79" i="1"/>
  <c r="AM77" i="1" s="1"/>
  <c r="AJ139" i="1"/>
  <c r="AL162" i="1"/>
  <c r="AM160" i="1" s="1"/>
  <c r="E73" i="1"/>
  <c r="F73" i="1" s="1"/>
  <c r="G73" i="1" s="1"/>
  <c r="H73" i="1" s="1"/>
  <c r="I73" i="1" s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X73" i="1" s="1"/>
  <c r="Y73" i="1" s="1"/>
  <c r="Z73" i="1" s="1"/>
  <c r="AA73" i="1" s="1"/>
  <c r="AB73" i="1" s="1"/>
  <c r="AC73" i="1" s="1"/>
  <c r="AD73" i="1" s="1"/>
  <c r="AE73" i="1" s="1"/>
  <c r="AF73" i="1" s="1"/>
  <c r="AG73" i="1" s="1"/>
  <c r="AH73" i="1" s="1"/>
  <c r="AI73" i="1" s="1"/>
  <c r="AN189" i="1"/>
  <c r="AL52" i="1"/>
  <c r="AM50" i="1" s="1"/>
  <c r="F89" i="1"/>
  <c r="G89" i="1" s="1"/>
  <c r="H89" i="1" s="1"/>
  <c r="I89" i="1" s="1"/>
  <c r="J89" i="1" s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U89" i="1" s="1"/>
  <c r="V89" i="1" s="1"/>
  <c r="W89" i="1" s="1"/>
  <c r="X89" i="1" s="1"/>
  <c r="Y89" i="1" s="1"/>
  <c r="Z89" i="1" s="1"/>
  <c r="AA89" i="1" s="1"/>
  <c r="AB89" i="1" s="1"/>
  <c r="AC89" i="1" s="1"/>
  <c r="AD89" i="1" s="1"/>
  <c r="AE89" i="1" s="1"/>
  <c r="AF89" i="1" s="1"/>
  <c r="AG89" i="1" s="1"/>
  <c r="AH89" i="1" s="1"/>
  <c r="AI89" i="1" s="1"/>
  <c r="E87" i="1"/>
  <c r="F87" i="1" s="1"/>
  <c r="G87" i="1" s="1"/>
  <c r="H87" i="1" s="1"/>
  <c r="I87" i="1" s="1"/>
  <c r="J87" i="1" s="1"/>
  <c r="K87" i="1" s="1"/>
  <c r="L87" i="1" s="1"/>
  <c r="M87" i="1" s="1"/>
  <c r="N87" i="1" s="1"/>
  <c r="O87" i="1" s="1"/>
  <c r="P87" i="1" s="1"/>
  <c r="Q87" i="1" s="1"/>
  <c r="R87" i="1" s="1"/>
  <c r="S87" i="1" s="1"/>
  <c r="T87" i="1" s="1"/>
  <c r="U87" i="1" s="1"/>
  <c r="V87" i="1" s="1"/>
  <c r="W87" i="1" s="1"/>
  <c r="X87" i="1" s="1"/>
  <c r="Y87" i="1" s="1"/>
  <c r="Z87" i="1" s="1"/>
  <c r="AA87" i="1" s="1"/>
  <c r="AB87" i="1" s="1"/>
  <c r="AC87" i="1" s="1"/>
  <c r="AD87" i="1" s="1"/>
  <c r="AE87" i="1" s="1"/>
  <c r="AF87" i="1" s="1"/>
  <c r="AG87" i="1" s="1"/>
  <c r="AH87" i="1" s="1"/>
  <c r="AI87" i="1" s="1"/>
  <c r="E1196" i="1"/>
  <c r="AN13" i="2"/>
  <c r="AJ12" i="2"/>
  <c r="AK10" i="2" s="1"/>
  <c r="AJ59" i="2"/>
  <c r="AK57" i="2" s="1"/>
  <c r="AN55" i="2"/>
  <c r="E64" i="2"/>
  <c r="F64" i="2" s="1"/>
  <c r="G64" i="2" s="1"/>
  <c r="H64" i="2" s="1"/>
  <c r="I64" i="2" s="1"/>
  <c r="J64" i="2" s="1"/>
  <c r="K64" i="2" s="1"/>
  <c r="L64" i="2" s="1"/>
  <c r="M64" i="2" s="1"/>
  <c r="N64" i="2" s="1"/>
  <c r="E61" i="2"/>
  <c r="F61" i="2" s="1"/>
  <c r="G61" i="2" s="1"/>
  <c r="H61" i="2" s="1"/>
  <c r="I61" i="2" s="1"/>
  <c r="J61" i="2" s="1"/>
  <c r="K61" i="2" s="1"/>
  <c r="L61" i="2" s="1"/>
  <c r="M61" i="2" s="1"/>
  <c r="N61" i="2" s="1"/>
  <c r="AJ171" i="3"/>
  <c r="AJ124" i="3"/>
  <c r="AN139" i="3"/>
  <c r="E176" i="3"/>
  <c r="F176" i="3" s="1"/>
  <c r="G176" i="3" s="1"/>
  <c r="H176" i="3" s="1"/>
  <c r="I176" i="3" s="1"/>
  <c r="J176" i="3" s="1"/>
  <c r="K176" i="3" s="1"/>
  <c r="L176" i="3" s="1"/>
  <c r="M176" i="3" s="1"/>
  <c r="N176" i="3" s="1"/>
  <c r="O176" i="3" s="1"/>
  <c r="P176" i="3" s="1"/>
  <c r="Q176" i="3" s="1"/>
  <c r="R176" i="3" s="1"/>
  <c r="S176" i="3" s="1"/>
  <c r="T176" i="3" s="1"/>
  <c r="U176" i="3" s="1"/>
  <c r="V176" i="3" s="1"/>
  <c r="W176" i="3" s="1"/>
  <c r="X176" i="3" s="1"/>
  <c r="Y176" i="3" s="1"/>
  <c r="Z176" i="3" s="1"/>
  <c r="AA176" i="3" s="1"/>
  <c r="AB176" i="3" s="1"/>
  <c r="AC176" i="3" s="1"/>
  <c r="AD176" i="3" s="1"/>
  <c r="AE176" i="3" s="1"/>
  <c r="AF176" i="3" s="1"/>
  <c r="AG176" i="3" s="1"/>
  <c r="AH176" i="3" s="1"/>
  <c r="AI176" i="3" s="1"/>
  <c r="AJ185" i="3"/>
  <c r="AN321" i="3"/>
  <c r="AJ143" i="3"/>
  <c r="AJ54" i="3"/>
  <c r="AN69" i="3"/>
  <c r="AJ129" i="3"/>
  <c r="E173" i="3"/>
  <c r="F173" i="3" s="1"/>
  <c r="G173" i="3" s="1"/>
  <c r="H173" i="3" s="1"/>
  <c r="I173" i="3" s="1"/>
  <c r="J173" i="3" s="1"/>
  <c r="K173" i="3" s="1"/>
  <c r="L173" i="3" s="1"/>
  <c r="M173" i="3" s="1"/>
  <c r="N173" i="3" s="1"/>
  <c r="O173" i="3" s="1"/>
  <c r="P173" i="3" s="1"/>
  <c r="Q173" i="3" s="1"/>
  <c r="R173" i="3" s="1"/>
  <c r="S173" i="3" s="1"/>
  <c r="T173" i="3" s="1"/>
  <c r="U173" i="3" s="1"/>
  <c r="V173" i="3" s="1"/>
  <c r="W173" i="3" s="1"/>
  <c r="X173" i="3" s="1"/>
  <c r="Y173" i="3" s="1"/>
  <c r="Z173" i="3" s="1"/>
  <c r="AA173" i="3" s="1"/>
  <c r="AB173" i="3" s="1"/>
  <c r="AC173" i="3" s="1"/>
  <c r="AD173" i="3" s="1"/>
  <c r="AE173" i="3" s="1"/>
  <c r="AF173" i="3" s="1"/>
  <c r="AG173" i="3" s="1"/>
  <c r="AH173" i="3" s="1"/>
  <c r="AI173" i="3" s="1"/>
  <c r="AJ731" i="1"/>
  <c r="AL741" i="1"/>
  <c r="AM739" i="1" s="1"/>
  <c r="AJ1084" i="1"/>
  <c r="AK1082" i="1" s="1"/>
  <c r="AJ433" i="1"/>
  <c r="AJ609" i="1"/>
  <c r="AI1196" i="1"/>
  <c r="AJ17" i="2"/>
  <c r="AK15" i="2" s="1"/>
  <c r="E84" i="2"/>
  <c r="AN13" i="3"/>
  <c r="AJ17" i="3"/>
  <c r="AJ31" i="2"/>
  <c r="AK29" i="2" s="1"/>
  <c r="AH1196" i="1"/>
  <c r="AN26" i="5"/>
  <c r="AG55" i="5"/>
  <c r="AN27" i="2"/>
  <c r="AJ26" i="2"/>
  <c r="AK24" i="2" s="1"/>
  <c r="AU90" i="2"/>
  <c r="AN44" i="4"/>
  <c r="AJ107" i="4"/>
  <c r="AK105" i="4" s="1"/>
  <c r="AN124" i="4"/>
  <c r="AJ128" i="4"/>
  <c r="Z105" i="4"/>
  <c r="AC105" i="4"/>
  <c r="AN108" i="4"/>
  <c r="AJ160" i="4"/>
  <c r="AK158" i="4" s="1"/>
  <c r="AJ139" i="4"/>
  <c r="AK137" i="4" s="1"/>
  <c r="AJ123" i="4"/>
  <c r="AK121" i="4" s="1"/>
  <c r="AN140" i="4"/>
  <c r="AJ144" i="4"/>
  <c r="AK142" i="4" s="1"/>
  <c r="AJ155" i="4"/>
  <c r="AK153" i="4" s="1"/>
  <c r="E525" i="4"/>
  <c r="M525" i="4"/>
  <c r="AJ64" i="4"/>
  <c r="AK62" i="4" s="1"/>
  <c r="AN76" i="4"/>
  <c r="AJ59" i="4"/>
  <c r="AK57" i="4" s="1"/>
  <c r="AJ43" i="4"/>
  <c r="AK41" i="4" s="1"/>
  <c r="AJ75" i="4"/>
  <c r="AK73" i="4" s="1"/>
  <c r="AJ80" i="4"/>
  <c r="AK78" i="4" s="1"/>
  <c r="AJ48" i="4"/>
  <c r="AK46" i="4" s="1"/>
  <c r="AN60" i="4"/>
  <c r="AG525" i="4"/>
  <c r="AI525" i="4"/>
  <c r="L525" i="4"/>
  <c r="R525" i="4"/>
  <c r="AH525" i="4"/>
  <c r="AF525" i="4"/>
  <c r="AF55" i="5"/>
  <c r="AJ25" i="5"/>
  <c r="AK23" i="5" s="1"/>
  <c r="AN531" i="3"/>
  <c r="AJ530" i="3"/>
  <c r="AN475" i="3"/>
  <c r="AJ479" i="3"/>
  <c r="AN265" i="3"/>
  <c r="AJ278" i="3"/>
  <c r="AN251" i="3"/>
  <c r="AN223" i="3"/>
  <c r="AJ255" i="3"/>
  <c r="AJ264" i="3"/>
  <c r="AJ241" i="3"/>
  <c r="AJ283" i="3"/>
  <c r="AJ320" i="3"/>
  <c r="AN307" i="3"/>
  <c r="G525" i="4"/>
  <c r="AE525" i="4"/>
  <c r="AD525" i="4"/>
  <c r="AD1196" i="1"/>
  <c r="AE1196" i="1"/>
  <c r="AC525" i="4"/>
  <c r="AB525" i="4"/>
  <c r="AA525" i="4"/>
  <c r="AA1196" i="1"/>
  <c r="Z525" i="4"/>
  <c r="AJ166" i="6"/>
  <c r="E182" i="6"/>
  <c r="AC182" i="6"/>
  <c r="AG182" i="6"/>
  <c r="AJ124" i="6"/>
  <c r="AN125" i="6"/>
  <c r="Z182" i="6"/>
  <c r="AD182" i="6"/>
  <c r="AH182" i="6"/>
  <c r="AT188" i="6"/>
  <c r="AS188" i="6"/>
  <c r="AA182" i="6"/>
  <c r="AE182" i="6"/>
  <c r="AI182" i="6"/>
  <c r="AJ129" i="6"/>
  <c r="AB182" i="6"/>
  <c r="AF182" i="6"/>
  <c r="AU186" i="6"/>
  <c r="AQ188" i="6"/>
  <c r="AU188" i="6"/>
  <c r="L182" i="6"/>
  <c r="Y525" i="4"/>
  <c r="Y182" i="6"/>
  <c r="X182" i="6"/>
  <c r="X525" i="4"/>
  <c r="W525" i="4"/>
  <c r="W182" i="6"/>
  <c r="V525" i="4"/>
  <c r="V1196" i="1"/>
  <c r="V182" i="6"/>
  <c r="U525" i="4"/>
  <c r="U182" i="6"/>
  <c r="AJ491" i="4"/>
  <c r="AK489" i="4" s="1"/>
  <c r="AJ411" i="4"/>
  <c r="AK409" i="4" s="1"/>
  <c r="AJ267" i="4"/>
  <c r="AK265" i="4" s="1"/>
  <c r="F249" i="4"/>
  <c r="G249" i="4" s="1"/>
  <c r="H249" i="4" s="1"/>
  <c r="I249" i="4" s="1"/>
  <c r="J249" i="4" s="1"/>
  <c r="K249" i="4" s="1"/>
  <c r="L249" i="4" s="1"/>
  <c r="M249" i="4" s="1"/>
  <c r="N249" i="4" s="1"/>
  <c r="O249" i="4" s="1"/>
  <c r="P249" i="4" s="1"/>
  <c r="Q249" i="4" s="1"/>
  <c r="R249" i="4" s="1"/>
  <c r="S249" i="4" s="1"/>
  <c r="T249" i="4" s="1"/>
  <c r="U249" i="4" s="1"/>
  <c r="V249" i="4" s="1"/>
  <c r="W249" i="4" s="1"/>
  <c r="X249" i="4" s="1"/>
  <c r="Y249" i="4" s="1"/>
  <c r="Z249" i="4" s="1"/>
  <c r="AA249" i="4" s="1"/>
  <c r="AB249" i="4" s="1"/>
  <c r="AC249" i="4" s="1"/>
  <c r="AD249" i="4" s="1"/>
  <c r="AE249" i="4" s="1"/>
  <c r="AF249" i="4" s="1"/>
  <c r="AG249" i="4" s="1"/>
  <c r="AH249" i="4" s="1"/>
  <c r="AI249" i="4" s="1"/>
  <c r="AJ235" i="4"/>
  <c r="AK233" i="4" s="1"/>
  <c r="AA360" i="3"/>
  <c r="AD360" i="3"/>
  <c r="AH360" i="3" s="1"/>
  <c r="AI360" i="3" s="1"/>
  <c r="AJ138" i="6"/>
  <c r="AD38" i="6"/>
  <c r="AG38" i="6"/>
  <c r="AJ40" i="6"/>
  <c r="T525" i="4"/>
  <c r="AS186" i="6"/>
  <c r="AL158" i="1"/>
  <c r="AM156" i="1" s="1"/>
  <c r="AJ351" i="1"/>
  <c r="AJ379" i="1"/>
  <c r="AK377" i="1" s="1"/>
  <c r="AL688" i="1"/>
  <c r="AM686" i="1" s="1"/>
  <c r="AJ786" i="1"/>
  <c r="AJ975" i="1"/>
  <c r="AL457" i="1"/>
  <c r="AM455" i="1" s="1"/>
  <c r="AL212" i="1"/>
  <c r="AJ228" i="1"/>
  <c r="AJ297" i="1"/>
  <c r="AJ406" i="1"/>
  <c r="AL796" i="1"/>
  <c r="AM794" i="1" s="1"/>
  <c r="AJ840" i="1"/>
  <c r="AL851" i="1"/>
  <c r="AJ53" i="1"/>
  <c r="AJ174" i="1"/>
  <c r="AJ487" i="1"/>
  <c r="AJ704" i="1"/>
  <c r="AJ758" i="1"/>
  <c r="AJ894" i="1"/>
  <c r="AJ1057" i="1"/>
  <c r="AJ11" i="1"/>
  <c r="E21" i="1"/>
  <c r="F21" i="1" s="1"/>
  <c r="G21" i="1" s="1"/>
  <c r="H21" i="1" s="1"/>
  <c r="I21" i="1" s="1"/>
  <c r="J21" i="1" s="1"/>
  <c r="K21" i="1" s="1"/>
  <c r="L21" i="1" s="1"/>
  <c r="M21" i="1" s="1"/>
  <c r="N21" i="1" s="1"/>
  <c r="O21" i="1" s="1"/>
  <c r="P21" i="1" s="1"/>
  <c r="AN40" i="1"/>
  <c r="AL40" i="1"/>
  <c r="AM38" i="1" s="1"/>
  <c r="AJ44" i="1"/>
  <c r="AJ39" i="1"/>
  <c r="AJ58" i="1"/>
  <c r="AJ66" i="1"/>
  <c r="AL65" i="1"/>
  <c r="AM63" i="1" s="1"/>
  <c r="AJ71" i="1"/>
  <c r="AJ85" i="1"/>
  <c r="AJ125" i="1"/>
  <c r="AJ134" i="1"/>
  <c r="AJ147" i="1"/>
  <c r="AJ152" i="1"/>
  <c r="AJ166" i="1"/>
  <c r="AJ179" i="1"/>
  <c r="AJ201" i="1"/>
  <c r="AJ206" i="1"/>
  <c r="AL214" i="1"/>
  <c r="AM212" i="1" s="1"/>
  <c r="AJ220" i="1"/>
  <c r="AJ269" i="1"/>
  <c r="E290" i="1"/>
  <c r="F290" i="1" s="1"/>
  <c r="G290" i="1" s="1"/>
  <c r="H290" i="1" s="1"/>
  <c r="I290" i="1" s="1"/>
  <c r="J290" i="1" s="1"/>
  <c r="K290" i="1" s="1"/>
  <c r="L290" i="1" s="1"/>
  <c r="M290" i="1" s="1"/>
  <c r="N290" i="1" s="1"/>
  <c r="O290" i="1" s="1"/>
  <c r="P290" i="1" s="1"/>
  <c r="Q290" i="1" s="1"/>
  <c r="R290" i="1" s="1"/>
  <c r="S290" i="1" s="1"/>
  <c r="T290" i="1" s="1"/>
  <c r="U290" i="1" s="1"/>
  <c r="V290" i="1" s="1"/>
  <c r="W290" i="1" s="1"/>
  <c r="X290" i="1" s="1"/>
  <c r="Y290" i="1" s="1"/>
  <c r="Z290" i="1" s="1"/>
  <c r="AA290" i="1" s="1"/>
  <c r="AB290" i="1" s="1"/>
  <c r="AC290" i="1" s="1"/>
  <c r="AD290" i="1" s="1"/>
  <c r="AE290" i="1" s="1"/>
  <c r="AF290" i="1" s="1"/>
  <c r="AG290" i="1" s="1"/>
  <c r="AH290" i="1" s="1"/>
  <c r="AI290" i="1" s="1"/>
  <c r="AL311" i="1"/>
  <c r="AM309" i="1" s="1"/>
  <c r="AJ324" i="1"/>
  <c r="AJ120" i="1"/>
  <c r="AN270" i="1"/>
  <c r="AN325" i="1"/>
  <c r="AL325" i="1"/>
  <c r="AM323" i="1" s="1"/>
  <c r="AN121" i="1"/>
  <c r="AL146" i="1"/>
  <c r="AM144" i="1" s="1"/>
  <c r="AL200" i="1"/>
  <c r="AM198" i="1" s="1"/>
  <c r="AJ288" i="1"/>
  <c r="AJ315" i="1"/>
  <c r="AJ256" i="1"/>
  <c r="AN298" i="1"/>
  <c r="AL298" i="1"/>
  <c r="AM296" i="1" s="1"/>
  <c r="AN339" i="1"/>
  <c r="AL352" i="1"/>
  <c r="AN366" i="1"/>
  <c r="E372" i="1"/>
  <c r="F372" i="1" s="1"/>
  <c r="G372" i="1" s="1"/>
  <c r="H372" i="1" s="1"/>
  <c r="I372" i="1" s="1"/>
  <c r="J372" i="1" s="1"/>
  <c r="K372" i="1" s="1"/>
  <c r="L372" i="1" s="1"/>
  <c r="M372" i="1" s="1"/>
  <c r="N372" i="1" s="1"/>
  <c r="O372" i="1" s="1"/>
  <c r="P372" i="1" s="1"/>
  <c r="Q372" i="1" s="1"/>
  <c r="R372" i="1" s="1"/>
  <c r="S372" i="1" s="1"/>
  <c r="T372" i="1" s="1"/>
  <c r="U372" i="1" s="1"/>
  <c r="V372" i="1" s="1"/>
  <c r="W372" i="1" s="1"/>
  <c r="X372" i="1" s="1"/>
  <c r="Y372" i="1" s="1"/>
  <c r="Z372" i="1" s="1"/>
  <c r="AL380" i="1"/>
  <c r="AM378" i="1" s="1"/>
  <c r="AL407" i="1"/>
  <c r="AM405" i="1" s="1"/>
  <c r="E427" i="1"/>
  <c r="F427" i="1" s="1"/>
  <c r="G427" i="1" s="1"/>
  <c r="H427" i="1" s="1"/>
  <c r="I427" i="1" s="1"/>
  <c r="J427" i="1" s="1"/>
  <c r="K427" i="1" s="1"/>
  <c r="L427" i="1" s="1"/>
  <c r="M427" i="1" s="1"/>
  <c r="N427" i="1" s="1"/>
  <c r="O427" i="1" s="1"/>
  <c r="P427" i="1" s="1"/>
  <c r="Q427" i="1" s="1"/>
  <c r="R427" i="1" s="1"/>
  <c r="S427" i="1" s="1"/>
  <c r="T427" i="1" s="1"/>
  <c r="U427" i="1" s="1"/>
  <c r="V427" i="1" s="1"/>
  <c r="W427" i="1" s="1"/>
  <c r="X427" i="1" s="1"/>
  <c r="Y427" i="1" s="1"/>
  <c r="Z427" i="1" s="1"/>
  <c r="AL434" i="1"/>
  <c r="AM432" i="1" s="1"/>
  <c r="E454" i="1"/>
  <c r="F454" i="1" s="1"/>
  <c r="G454" i="1" s="1"/>
  <c r="H454" i="1" s="1"/>
  <c r="I454" i="1" s="1"/>
  <c r="J454" i="1" s="1"/>
  <c r="K454" i="1" s="1"/>
  <c r="L454" i="1" s="1"/>
  <c r="M454" i="1" s="1"/>
  <c r="N454" i="1" s="1"/>
  <c r="O454" i="1" s="1"/>
  <c r="P454" i="1" s="1"/>
  <c r="Q454" i="1" s="1"/>
  <c r="R454" i="1" s="1"/>
  <c r="S454" i="1" s="1"/>
  <c r="T454" i="1" s="1"/>
  <c r="U454" i="1" s="1"/>
  <c r="V454" i="1" s="1"/>
  <c r="W454" i="1" s="1"/>
  <c r="X454" i="1" s="1"/>
  <c r="Y454" i="1" s="1"/>
  <c r="Z454" i="1" s="1"/>
  <c r="AL461" i="1"/>
  <c r="AM459" i="1" s="1"/>
  <c r="AL486" i="1"/>
  <c r="AM484" i="1" s="1"/>
  <c r="AN502" i="1"/>
  <c r="AL502" i="1"/>
  <c r="AM500" i="1" s="1"/>
  <c r="E467" i="1"/>
  <c r="F467" i="1" s="1"/>
  <c r="G467" i="1" s="1"/>
  <c r="H467" i="1" s="1"/>
  <c r="I467" i="1" s="1"/>
  <c r="J467" i="1" s="1"/>
  <c r="K467" i="1" s="1"/>
  <c r="L467" i="1" s="1"/>
  <c r="M467" i="1" s="1"/>
  <c r="N467" i="1" s="1"/>
  <c r="O467" i="1" s="1"/>
  <c r="P467" i="1" s="1"/>
  <c r="Q467" i="1" s="1"/>
  <c r="R467" i="1" s="1"/>
  <c r="S467" i="1" s="1"/>
  <c r="T467" i="1" s="1"/>
  <c r="U467" i="1" s="1"/>
  <c r="V467" i="1" s="1"/>
  <c r="W467" i="1" s="1"/>
  <c r="X467" i="1" s="1"/>
  <c r="Y467" i="1" s="1"/>
  <c r="Z467" i="1" s="1"/>
  <c r="AN475" i="1"/>
  <c r="AL475" i="1"/>
  <c r="AM473" i="1" s="1"/>
  <c r="AJ343" i="1"/>
  <c r="AJ397" i="1"/>
  <c r="AJ425" i="1"/>
  <c r="AJ452" i="1"/>
  <c r="AN488" i="1"/>
  <c r="AJ568" i="1"/>
  <c r="AL565" i="1"/>
  <c r="AM563" i="1" s="1"/>
  <c r="AL569" i="1"/>
  <c r="AM567" i="1" s="1"/>
  <c r="AN569" i="1"/>
  <c r="AJ492" i="1"/>
  <c r="E551" i="1"/>
  <c r="F551" i="1" s="1"/>
  <c r="G551" i="1" s="1"/>
  <c r="H551" i="1" s="1"/>
  <c r="I551" i="1" s="1"/>
  <c r="J551" i="1" s="1"/>
  <c r="K551" i="1" s="1"/>
  <c r="L551" i="1" s="1"/>
  <c r="M551" i="1" s="1"/>
  <c r="N551" i="1" s="1"/>
  <c r="O551" i="1" s="1"/>
  <c r="P551" i="1" s="1"/>
  <c r="Q551" i="1" s="1"/>
  <c r="R551" i="1" s="1"/>
  <c r="S551" i="1" s="1"/>
  <c r="T551" i="1" s="1"/>
  <c r="U551" i="1" s="1"/>
  <c r="V551" i="1" s="1"/>
  <c r="W551" i="1" s="1"/>
  <c r="X551" i="1" s="1"/>
  <c r="Y551" i="1" s="1"/>
  <c r="Z551" i="1" s="1"/>
  <c r="E562" i="1"/>
  <c r="F562" i="1" s="1"/>
  <c r="G562" i="1" s="1"/>
  <c r="H562" i="1" s="1"/>
  <c r="I562" i="1" s="1"/>
  <c r="J562" i="1" s="1"/>
  <c r="K562" i="1" s="1"/>
  <c r="L562" i="1" s="1"/>
  <c r="M562" i="1" s="1"/>
  <c r="N562" i="1" s="1"/>
  <c r="O562" i="1" s="1"/>
  <c r="P562" i="1" s="1"/>
  <c r="Q562" i="1" s="1"/>
  <c r="R562" i="1" s="1"/>
  <c r="S562" i="1" s="1"/>
  <c r="T562" i="1" s="1"/>
  <c r="U562" i="1" s="1"/>
  <c r="V562" i="1" s="1"/>
  <c r="W562" i="1" s="1"/>
  <c r="X562" i="1" s="1"/>
  <c r="Y562" i="1" s="1"/>
  <c r="Z562" i="1" s="1"/>
  <c r="E575" i="1"/>
  <c r="F575" i="1" s="1"/>
  <c r="G575" i="1" s="1"/>
  <c r="H575" i="1" s="1"/>
  <c r="I575" i="1" s="1"/>
  <c r="J575" i="1" s="1"/>
  <c r="K575" i="1" s="1"/>
  <c r="L575" i="1" s="1"/>
  <c r="M575" i="1" s="1"/>
  <c r="N575" i="1" s="1"/>
  <c r="O575" i="1" s="1"/>
  <c r="P575" i="1" s="1"/>
  <c r="Q575" i="1" s="1"/>
  <c r="R575" i="1" s="1"/>
  <c r="S575" i="1" s="1"/>
  <c r="T575" i="1" s="1"/>
  <c r="U575" i="1" s="1"/>
  <c r="V575" i="1" s="1"/>
  <c r="W575" i="1" s="1"/>
  <c r="X575" i="1" s="1"/>
  <c r="Y575" i="1" s="1"/>
  <c r="Z575" i="1" s="1"/>
  <c r="AA575" i="1" s="1"/>
  <c r="AB575" i="1" s="1"/>
  <c r="AC575" i="1" s="1"/>
  <c r="AD575" i="1" s="1"/>
  <c r="AE575" i="1" s="1"/>
  <c r="AF575" i="1" s="1"/>
  <c r="AG575" i="1" s="1"/>
  <c r="AH575" i="1" s="1"/>
  <c r="AI575" i="1" s="1"/>
  <c r="AN583" i="1"/>
  <c r="E589" i="1"/>
  <c r="F589" i="1" s="1"/>
  <c r="G589" i="1" s="1"/>
  <c r="H589" i="1" s="1"/>
  <c r="I589" i="1" s="1"/>
  <c r="J589" i="1" s="1"/>
  <c r="K589" i="1" s="1"/>
  <c r="L589" i="1" s="1"/>
  <c r="M589" i="1" s="1"/>
  <c r="N589" i="1" s="1"/>
  <c r="O589" i="1" s="1"/>
  <c r="P589" i="1" s="1"/>
  <c r="Q589" i="1" s="1"/>
  <c r="R589" i="1" s="1"/>
  <c r="S589" i="1" s="1"/>
  <c r="T589" i="1" s="1"/>
  <c r="U589" i="1" s="1"/>
  <c r="V589" i="1" s="1"/>
  <c r="W589" i="1" s="1"/>
  <c r="X589" i="1" s="1"/>
  <c r="Y589" i="1" s="1"/>
  <c r="Z589" i="1" s="1"/>
  <c r="AA589" i="1" s="1"/>
  <c r="AB589" i="1" s="1"/>
  <c r="AC589" i="1" s="1"/>
  <c r="AD589" i="1" s="1"/>
  <c r="AE589" i="1" s="1"/>
  <c r="AF589" i="1" s="1"/>
  <c r="AG589" i="1" s="1"/>
  <c r="AH589" i="1" s="1"/>
  <c r="AI589" i="1" s="1"/>
  <c r="AN610" i="1"/>
  <c r="E616" i="1"/>
  <c r="F616" i="1" s="1"/>
  <c r="G616" i="1" s="1"/>
  <c r="H616" i="1" s="1"/>
  <c r="I616" i="1" s="1"/>
  <c r="J616" i="1" s="1"/>
  <c r="K616" i="1" s="1"/>
  <c r="L616" i="1" s="1"/>
  <c r="M616" i="1" s="1"/>
  <c r="N616" i="1" s="1"/>
  <c r="O616" i="1" s="1"/>
  <c r="P616" i="1" s="1"/>
  <c r="Q616" i="1" s="1"/>
  <c r="R616" i="1" s="1"/>
  <c r="S616" i="1" s="1"/>
  <c r="T616" i="1" s="1"/>
  <c r="U616" i="1" s="1"/>
  <c r="V616" i="1" s="1"/>
  <c r="W616" i="1" s="1"/>
  <c r="X616" i="1" s="1"/>
  <c r="Y616" i="1" s="1"/>
  <c r="Z616" i="1" s="1"/>
  <c r="AA616" i="1" s="1"/>
  <c r="AB616" i="1" s="1"/>
  <c r="AC616" i="1" s="1"/>
  <c r="AD616" i="1" s="1"/>
  <c r="AE616" i="1" s="1"/>
  <c r="AF616" i="1" s="1"/>
  <c r="AG616" i="1" s="1"/>
  <c r="AH616" i="1" s="1"/>
  <c r="AI616" i="1" s="1"/>
  <c r="AN624" i="1"/>
  <c r="E630" i="1"/>
  <c r="F630" i="1" s="1"/>
  <c r="G630" i="1" s="1"/>
  <c r="H630" i="1" s="1"/>
  <c r="I630" i="1" s="1"/>
  <c r="J630" i="1" s="1"/>
  <c r="K630" i="1" s="1"/>
  <c r="L630" i="1" s="1"/>
  <c r="M630" i="1" s="1"/>
  <c r="N630" i="1" s="1"/>
  <c r="O630" i="1" s="1"/>
  <c r="P630" i="1" s="1"/>
  <c r="Q630" i="1" s="1"/>
  <c r="R630" i="1" s="1"/>
  <c r="S630" i="1" s="1"/>
  <c r="T630" i="1" s="1"/>
  <c r="U630" i="1" s="1"/>
  <c r="V630" i="1" s="1"/>
  <c r="W630" i="1" s="1"/>
  <c r="X630" i="1" s="1"/>
  <c r="Y630" i="1" s="1"/>
  <c r="Z630" i="1" s="1"/>
  <c r="AA630" i="1" s="1"/>
  <c r="AB630" i="1" s="1"/>
  <c r="AC630" i="1" s="1"/>
  <c r="AD630" i="1" s="1"/>
  <c r="AE630" i="1" s="1"/>
  <c r="AF630" i="1" s="1"/>
  <c r="AG630" i="1" s="1"/>
  <c r="AH630" i="1" s="1"/>
  <c r="AI630" i="1" s="1"/>
  <c r="E660" i="1"/>
  <c r="F660" i="1" s="1"/>
  <c r="G660" i="1" s="1"/>
  <c r="H660" i="1" s="1"/>
  <c r="I660" i="1" s="1"/>
  <c r="J660" i="1" s="1"/>
  <c r="K660" i="1" s="1"/>
  <c r="L660" i="1" s="1"/>
  <c r="M660" i="1" s="1"/>
  <c r="N660" i="1" s="1"/>
  <c r="O660" i="1" s="1"/>
  <c r="P660" i="1" s="1"/>
  <c r="Q660" i="1" s="1"/>
  <c r="R660" i="1" s="1"/>
  <c r="S660" i="1" s="1"/>
  <c r="T660" i="1" s="1"/>
  <c r="U660" i="1" s="1"/>
  <c r="V660" i="1" s="1"/>
  <c r="W660" i="1" s="1"/>
  <c r="X660" i="1" s="1"/>
  <c r="Y660" i="1" s="1"/>
  <c r="Z660" i="1" s="1"/>
  <c r="AA660" i="1" s="1"/>
  <c r="AB660" i="1" s="1"/>
  <c r="AC660" i="1" s="1"/>
  <c r="AD660" i="1" s="1"/>
  <c r="AE660" i="1" s="1"/>
  <c r="AF660" i="1" s="1"/>
  <c r="AG660" i="1" s="1"/>
  <c r="AH660" i="1" s="1"/>
  <c r="AI660" i="1" s="1"/>
  <c r="AJ677" i="1"/>
  <c r="AN678" i="1"/>
  <c r="AJ600" i="1"/>
  <c r="AL678" i="1"/>
  <c r="AM676" i="1" s="1"/>
  <c r="E605" i="1"/>
  <c r="F605" i="1" s="1"/>
  <c r="G605" i="1" s="1"/>
  <c r="H605" i="1" s="1"/>
  <c r="I605" i="1" s="1"/>
  <c r="J605" i="1" s="1"/>
  <c r="K605" i="1" s="1"/>
  <c r="L605" i="1" s="1"/>
  <c r="M605" i="1" s="1"/>
  <c r="N605" i="1" s="1"/>
  <c r="O605" i="1" s="1"/>
  <c r="P605" i="1" s="1"/>
  <c r="Q605" i="1" s="1"/>
  <c r="R605" i="1" s="1"/>
  <c r="S605" i="1" s="1"/>
  <c r="T605" i="1" s="1"/>
  <c r="U605" i="1" s="1"/>
  <c r="V605" i="1" s="1"/>
  <c r="W605" i="1" s="1"/>
  <c r="X605" i="1" s="1"/>
  <c r="Y605" i="1" s="1"/>
  <c r="Z605" i="1" s="1"/>
  <c r="AA605" i="1" s="1"/>
  <c r="AB605" i="1" s="1"/>
  <c r="AC605" i="1" s="1"/>
  <c r="AD605" i="1" s="1"/>
  <c r="AE605" i="1" s="1"/>
  <c r="AF605" i="1" s="1"/>
  <c r="AG605" i="1" s="1"/>
  <c r="AH605" i="1" s="1"/>
  <c r="AI605" i="1" s="1"/>
  <c r="AJ582" i="1"/>
  <c r="AL620" i="1"/>
  <c r="AM618" i="1" s="1"/>
  <c r="AJ682" i="1"/>
  <c r="E711" i="1"/>
  <c r="F711" i="1" s="1"/>
  <c r="G711" i="1" s="1"/>
  <c r="H711" i="1" s="1"/>
  <c r="I711" i="1" s="1"/>
  <c r="J711" i="1" s="1"/>
  <c r="K711" i="1" s="1"/>
  <c r="L711" i="1" s="1"/>
  <c r="M711" i="1" s="1"/>
  <c r="N711" i="1" s="1"/>
  <c r="O711" i="1" s="1"/>
  <c r="P711" i="1" s="1"/>
  <c r="Q711" i="1" s="1"/>
  <c r="R711" i="1" s="1"/>
  <c r="S711" i="1" s="1"/>
  <c r="T711" i="1" s="1"/>
  <c r="U711" i="1" s="1"/>
  <c r="V711" i="1" s="1"/>
  <c r="W711" i="1" s="1"/>
  <c r="X711" i="1" s="1"/>
  <c r="Y711" i="1" s="1"/>
  <c r="Z711" i="1" s="1"/>
  <c r="AA711" i="1" s="1"/>
  <c r="AB711" i="1" s="1"/>
  <c r="AC711" i="1" s="1"/>
  <c r="AD711" i="1" s="1"/>
  <c r="AE711" i="1" s="1"/>
  <c r="AF711" i="1" s="1"/>
  <c r="AG711" i="1" s="1"/>
  <c r="AH711" i="1" s="1"/>
  <c r="AI711" i="1" s="1"/>
  <c r="AL730" i="1"/>
  <c r="AM728" i="1" s="1"/>
  <c r="E738" i="1"/>
  <c r="F738" i="1" s="1"/>
  <c r="G738" i="1" s="1"/>
  <c r="H738" i="1" s="1"/>
  <c r="I738" i="1" s="1"/>
  <c r="J738" i="1" s="1"/>
  <c r="K738" i="1" s="1"/>
  <c r="L738" i="1" s="1"/>
  <c r="M738" i="1" s="1"/>
  <c r="N738" i="1" s="1"/>
  <c r="O738" i="1" s="1"/>
  <c r="P738" i="1" s="1"/>
  <c r="Q738" i="1" s="1"/>
  <c r="R738" i="1" s="1"/>
  <c r="S738" i="1" s="1"/>
  <c r="T738" i="1" s="1"/>
  <c r="U738" i="1" s="1"/>
  <c r="V738" i="1" s="1"/>
  <c r="W738" i="1" s="1"/>
  <c r="X738" i="1" s="1"/>
  <c r="Y738" i="1" s="1"/>
  <c r="Z738" i="1" s="1"/>
  <c r="AA738" i="1" s="1"/>
  <c r="AB738" i="1" s="1"/>
  <c r="AC738" i="1" s="1"/>
  <c r="AD738" i="1" s="1"/>
  <c r="AE738" i="1" s="1"/>
  <c r="AF738" i="1" s="1"/>
  <c r="AG738" i="1" s="1"/>
  <c r="AH738" i="1" s="1"/>
  <c r="AI738" i="1" s="1"/>
  <c r="E751" i="1"/>
  <c r="F751" i="1" s="1"/>
  <c r="G751" i="1" s="1"/>
  <c r="H751" i="1" s="1"/>
  <c r="I751" i="1" s="1"/>
  <c r="J751" i="1" s="1"/>
  <c r="K751" i="1" s="1"/>
  <c r="L751" i="1" s="1"/>
  <c r="M751" i="1" s="1"/>
  <c r="N751" i="1" s="1"/>
  <c r="O751" i="1" s="1"/>
  <c r="P751" i="1" s="1"/>
  <c r="Q751" i="1" s="1"/>
  <c r="R751" i="1" s="1"/>
  <c r="S751" i="1" s="1"/>
  <c r="T751" i="1" s="1"/>
  <c r="U751" i="1" s="1"/>
  <c r="V751" i="1" s="1"/>
  <c r="W751" i="1" s="1"/>
  <c r="X751" i="1" s="1"/>
  <c r="Y751" i="1" s="1"/>
  <c r="Z751" i="1" s="1"/>
  <c r="AA751" i="1" s="1"/>
  <c r="AB751" i="1" s="1"/>
  <c r="AC751" i="1" s="1"/>
  <c r="AD751" i="1" s="1"/>
  <c r="AE751" i="1" s="1"/>
  <c r="AF751" i="1" s="1"/>
  <c r="AG751" i="1" s="1"/>
  <c r="AH751" i="1" s="1"/>
  <c r="AI751" i="1" s="1"/>
  <c r="E765" i="1"/>
  <c r="F765" i="1" s="1"/>
  <c r="G765" i="1" s="1"/>
  <c r="H765" i="1" s="1"/>
  <c r="I765" i="1" s="1"/>
  <c r="J765" i="1" s="1"/>
  <c r="K765" i="1" s="1"/>
  <c r="L765" i="1" s="1"/>
  <c r="M765" i="1" s="1"/>
  <c r="N765" i="1" s="1"/>
  <c r="O765" i="1" s="1"/>
  <c r="P765" i="1" s="1"/>
  <c r="Q765" i="1" s="1"/>
  <c r="R765" i="1" s="1"/>
  <c r="S765" i="1" s="1"/>
  <c r="T765" i="1" s="1"/>
  <c r="U765" i="1" s="1"/>
  <c r="V765" i="1" s="1"/>
  <c r="W765" i="1" s="1"/>
  <c r="X765" i="1" s="1"/>
  <c r="Y765" i="1" s="1"/>
  <c r="Z765" i="1" s="1"/>
  <c r="AA765" i="1" s="1"/>
  <c r="AB765" i="1" s="1"/>
  <c r="AC765" i="1" s="1"/>
  <c r="AD765" i="1" s="1"/>
  <c r="AE765" i="1" s="1"/>
  <c r="AF765" i="1" s="1"/>
  <c r="AG765" i="1" s="1"/>
  <c r="AH765" i="1" s="1"/>
  <c r="AI765" i="1" s="1"/>
  <c r="AL785" i="1"/>
  <c r="AM783" i="1" s="1"/>
  <c r="AN787" i="1"/>
  <c r="E793" i="1"/>
  <c r="F793" i="1" s="1"/>
  <c r="G793" i="1" s="1"/>
  <c r="H793" i="1" s="1"/>
  <c r="I793" i="1" s="1"/>
  <c r="J793" i="1" s="1"/>
  <c r="K793" i="1" s="1"/>
  <c r="L793" i="1" s="1"/>
  <c r="M793" i="1" s="1"/>
  <c r="N793" i="1" s="1"/>
  <c r="O793" i="1" s="1"/>
  <c r="P793" i="1" s="1"/>
  <c r="Q793" i="1" s="1"/>
  <c r="R793" i="1" s="1"/>
  <c r="S793" i="1" s="1"/>
  <c r="T793" i="1" s="1"/>
  <c r="U793" i="1" s="1"/>
  <c r="V793" i="1" s="1"/>
  <c r="W793" i="1" s="1"/>
  <c r="X793" i="1" s="1"/>
  <c r="Y793" i="1" s="1"/>
  <c r="Z793" i="1" s="1"/>
  <c r="AA793" i="1" s="1"/>
  <c r="AB793" i="1" s="1"/>
  <c r="AC793" i="1" s="1"/>
  <c r="AD793" i="1" s="1"/>
  <c r="AE793" i="1" s="1"/>
  <c r="AF793" i="1" s="1"/>
  <c r="AG793" i="1" s="1"/>
  <c r="AH793" i="1" s="1"/>
  <c r="AI793" i="1" s="1"/>
  <c r="AJ813" i="1"/>
  <c r="AL814" i="1"/>
  <c r="AM812" i="1" s="1"/>
  <c r="AJ722" i="1"/>
  <c r="AJ777" i="1"/>
  <c r="AL800" i="1"/>
  <c r="AM798" i="1" s="1"/>
  <c r="AJ709" i="1"/>
  <c r="AJ736" i="1"/>
  <c r="AJ749" i="1"/>
  <c r="AJ763" i="1"/>
  <c r="AJ791" i="1"/>
  <c r="AJ804" i="1"/>
  <c r="AJ818" i="1"/>
  <c r="E820" i="1"/>
  <c r="F820" i="1" s="1"/>
  <c r="G820" i="1" s="1"/>
  <c r="H820" i="1" s="1"/>
  <c r="I820" i="1" s="1"/>
  <c r="J820" i="1" s="1"/>
  <c r="K820" i="1" s="1"/>
  <c r="L820" i="1" s="1"/>
  <c r="M820" i="1" s="1"/>
  <c r="N820" i="1" s="1"/>
  <c r="O820" i="1" s="1"/>
  <c r="P820" i="1" s="1"/>
  <c r="Q820" i="1" s="1"/>
  <c r="R820" i="1" s="1"/>
  <c r="S820" i="1" s="1"/>
  <c r="T820" i="1" s="1"/>
  <c r="U820" i="1" s="1"/>
  <c r="V820" i="1" s="1"/>
  <c r="W820" i="1" s="1"/>
  <c r="X820" i="1" s="1"/>
  <c r="Y820" i="1" s="1"/>
  <c r="Z820" i="1" s="1"/>
  <c r="AA820" i="1" s="1"/>
  <c r="AB820" i="1" s="1"/>
  <c r="AC820" i="1" s="1"/>
  <c r="AD820" i="1" s="1"/>
  <c r="AE820" i="1" s="1"/>
  <c r="AF820" i="1" s="1"/>
  <c r="AG820" i="1" s="1"/>
  <c r="AH820" i="1" s="1"/>
  <c r="AI820" i="1" s="1"/>
  <c r="AL839" i="1"/>
  <c r="AM837" i="1" s="1"/>
  <c r="E888" i="1"/>
  <c r="F888" i="1" s="1"/>
  <c r="G888" i="1" s="1"/>
  <c r="H888" i="1" s="1"/>
  <c r="I888" i="1" s="1"/>
  <c r="J888" i="1" s="1"/>
  <c r="K888" i="1" s="1"/>
  <c r="L888" i="1" s="1"/>
  <c r="M888" i="1" s="1"/>
  <c r="N888" i="1" s="1"/>
  <c r="O888" i="1" s="1"/>
  <c r="P888" i="1" s="1"/>
  <c r="Q888" i="1" s="1"/>
  <c r="R888" i="1" s="1"/>
  <c r="S888" i="1" s="1"/>
  <c r="T888" i="1" s="1"/>
  <c r="U888" i="1" s="1"/>
  <c r="V888" i="1" s="1"/>
  <c r="W888" i="1" s="1"/>
  <c r="X888" i="1" s="1"/>
  <c r="Y888" i="1" s="1"/>
  <c r="Z888" i="1" s="1"/>
  <c r="AA888" i="1" s="1"/>
  <c r="AB888" i="1" s="1"/>
  <c r="AC888" i="1" s="1"/>
  <c r="AD888" i="1" s="1"/>
  <c r="AE888" i="1" s="1"/>
  <c r="AF888" i="1" s="1"/>
  <c r="AG888" i="1" s="1"/>
  <c r="AH888" i="1" s="1"/>
  <c r="AI888" i="1" s="1"/>
  <c r="E901" i="1"/>
  <c r="F901" i="1" s="1"/>
  <c r="G901" i="1" s="1"/>
  <c r="H901" i="1" s="1"/>
  <c r="I901" i="1" s="1"/>
  <c r="J901" i="1" s="1"/>
  <c r="K901" i="1" s="1"/>
  <c r="L901" i="1" s="1"/>
  <c r="M901" i="1" s="1"/>
  <c r="N901" i="1" s="1"/>
  <c r="O901" i="1" s="1"/>
  <c r="P901" i="1" s="1"/>
  <c r="Q901" i="1" s="1"/>
  <c r="R901" i="1" s="1"/>
  <c r="S901" i="1" s="1"/>
  <c r="T901" i="1" s="1"/>
  <c r="U901" i="1" s="1"/>
  <c r="V901" i="1" s="1"/>
  <c r="W901" i="1" s="1"/>
  <c r="X901" i="1" s="1"/>
  <c r="Y901" i="1" s="1"/>
  <c r="Z901" i="1" s="1"/>
  <c r="AA901" i="1" s="1"/>
  <c r="AB901" i="1" s="1"/>
  <c r="AC901" i="1" s="1"/>
  <c r="AD901" i="1" s="1"/>
  <c r="AE901" i="1" s="1"/>
  <c r="AF901" i="1" s="1"/>
  <c r="AG901" i="1" s="1"/>
  <c r="AH901" i="1" s="1"/>
  <c r="AI901" i="1" s="1"/>
  <c r="AJ832" i="1"/>
  <c r="AJ921" i="1"/>
  <c r="E928" i="1"/>
  <c r="F928" i="1" s="1"/>
  <c r="G928" i="1" s="1"/>
  <c r="H928" i="1" s="1"/>
  <c r="I928" i="1" s="1"/>
  <c r="J928" i="1" s="1"/>
  <c r="K928" i="1" s="1"/>
  <c r="L928" i="1" s="1"/>
  <c r="M928" i="1" s="1"/>
  <c r="N928" i="1" s="1"/>
  <c r="O928" i="1" s="1"/>
  <c r="P928" i="1" s="1"/>
  <c r="Q928" i="1" s="1"/>
  <c r="R928" i="1" s="1"/>
  <c r="S928" i="1" s="1"/>
  <c r="T928" i="1" s="1"/>
  <c r="U928" i="1" s="1"/>
  <c r="V928" i="1" s="1"/>
  <c r="W928" i="1" s="1"/>
  <c r="X928" i="1" s="1"/>
  <c r="Y928" i="1" s="1"/>
  <c r="Z928" i="1" s="1"/>
  <c r="AA928" i="1" s="1"/>
  <c r="AB928" i="1" s="1"/>
  <c r="AC928" i="1" s="1"/>
  <c r="AD928" i="1" s="1"/>
  <c r="AE928" i="1" s="1"/>
  <c r="AF928" i="1" s="1"/>
  <c r="AG928" i="1" s="1"/>
  <c r="AH928" i="1" s="1"/>
  <c r="AI928" i="1" s="1"/>
  <c r="AJ845" i="1"/>
  <c r="AJ859" i="1"/>
  <c r="AJ899" i="1"/>
  <c r="AJ913" i="1"/>
  <c r="E915" i="1"/>
  <c r="F915" i="1" s="1"/>
  <c r="G915" i="1" s="1"/>
  <c r="H915" i="1" s="1"/>
  <c r="I915" i="1" s="1"/>
  <c r="J915" i="1" s="1"/>
  <c r="K915" i="1" s="1"/>
  <c r="L915" i="1" s="1"/>
  <c r="M915" i="1" s="1"/>
  <c r="N915" i="1" s="1"/>
  <c r="O915" i="1" s="1"/>
  <c r="P915" i="1" s="1"/>
  <c r="Q915" i="1" s="1"/>
  <c r="R915" i="1" s="1"/>
  <c r="S915" i="1" s="1"/>
  <c r="T915" i="1" s="1"/>
  <c r="U915" i="1" s="1"/>
  <c r="V915" i="1" s="1"/>
  <c r="W915" i="1" s="1"/>
  <c r="X915" i="1" s="1"/>
  <c r="Y915" i="1" s="1"/>
  <c r="Z915" i="1" s="1"/>
  <c r="AA915" i="1" s="1"/>
  <c r="AB915" i="1" s="1"/>
  <c r="AC915" i="1" s="1"/>
  <c r="AD915" i="1" s="1"/>
  <c r="AE915" i="1" s="1"/>
  <c r="AF915" i="1" s="1"/>
  <c r="AG915" i="1" s="1"/>
  <c r="AH915" i="1" s="1"/>
  <c r="AI915" i="1" s="1"/>
  <c r="AN936" i="1"/>
  <c r="AL934" i="1"/>
  <c r="AM932" i="1" s="1"/>
  <c r="AN922" i="1"/>
  <c r="AJ940" i="1"/>
  <c r="AJ953" i="1"/>
  <c r="AL963" i="1"/>
  <c r="AM961" i="1" s="1"/>
  <c r="AL976" i="1"/>
  <c r="AM974" i="1" s="1"/>
  <c r="E996" i="1"/>
  <c r="F996" i="1" s="1"/>
  <c r="G996" i="1" s="1"/>
  <c r="H996" i="1" s="1"/>
  <c r="I996" i="1" s="1"/>
  <c r="J996" i="1" s="1"/>
  <c r="K996" i="1" s="1"/>
  <c r="L996" i="1" s="1"/>
  <c r="M996" i="1" s="1"/>
  <c r="N996" i="1" s="1"/>
  <c r="O996" i="1" s="1"/>
  <c r="P996" i="1" s="1"/>
  <c r="Q996" i="1" s="1"/>
  <c r="R996" i="1" s="1"/>
  <c r="S996" i="1" s="1"/>
  <c r="T996" i="1" s="1"/>
  <c r="U996" i="1" s="1"/>
  <c r="V996" i="1" s="1"/>
  <c r="W996" i="1" s="1"/>
  <c r="X996" i="1" s="1"/>
  <c r="Y996" i="1" s="1"/>
  <c r="Z996" i="1" s="1"/>
  <c r="AA996" i="1" s="1"/>
  <c r="AB996" i="1" s="1"/>
  <c r="AC996" i="1" s="1"/>
  <c r="AD996" i="1" s="1"/>
  <c r="AE996" i="1" s="1"/>
  <c r="AF996" i="1" s="1"/>
  <c r="AG996" i="1" s="1"/>
  <c r="AH996" i="1" s="1"/>
  <c r="AI996" i="1" s="1"/>
  <c r="AJ1029" i="1"/>
  <c r="AJ948" i="1"/>
  <c r="E1036" i="1"/>
  <c r="F1036" i="1" s="1"/>
  <c r="G1036" i="1" s="1"/>
  <c r="H1036" i="1" s="1"/>
  <c r="I1036" i="1" s="1"/>
  <c r="J1036" i="1" s="1"/>
  <c r="K1036" i="1" s="1"/>
  <c r="L1036" i="1" s="1"/>
  <c r="M1036" i="1" s="1"/>
  <c r="N1036" i="1" s="1"/>
  <c r="O1036" i="1" s="1"/>
  <c r="P1036" i="1" s="1"/>
  <c r="Q1036" i="1" s="1"/>
  <c r="R1036" i="1" s="1"/>
  <c r="S1036" i="1" s="1"/>
  <c r="T1036" i="1" s="1"/>
  <c r="U1036" i="1" s="1"/>
  <c r="V1036" i="1" s="1"/>
  <c r="W1036" i="1" s="1"/>
  <c r="X1036" i="1" s="1"/>
  <c r="Y1036" i="1" s="1"/>
  <c r="Z1036" i="1" s="1"/>
  <c r="AA1036" i="1" s="1"/>
  <c r="AB1036" i="1" s="1"/>
  <c r="AC1036" i="1" s="1"/>
  <c r="AD1036" i="1" s="1"/>
  <c r="AE1036" i="1" s="1"/>
  <c r="AF1036" i="1" s="1"/>
  <c r="AG1036" i="1" s="1"/>
  <c r="AH1036" i="1" s="1"/>
  <c r="AI1036" i="1" s="1"/>
  <c r="E1039" i="1"/>
  <c r="F1039" i="1" s="1"/>
  <c r="G1039" i="1" s="1"/>
  <c r="H1039" i="1" s="1"/>
  <c r="I1039" i="1" s="1"/>
  <c r="J1039" i="1" s="1"/>
  <c r="K1039" i="1" s="1"/>
  <c r="L1039" i="1" s="1"/>
  <c r="M1039" i="1" s="1"/>
  <c r="N1039" i="1" s="1"/>
  <c r="O1039" i="1" s="1"/>
  <c r="P1039" i="1" s="1"/>
  <c r="Q1039" i="1" s="1"/>
  <c r="R1039" i="1" s="1"/>
  <c r="S1039" i="1" s="1"/>
  <c r="T1039" i="1" s="1"/>
  <c r="U1039" i="1" s="1"/>
  <c r="V1039" i="1" s="1"/>
  <c r="W1039" i="1" s="1"/>
  <c r="X1039" i="1" s="1"/>
  <c r="Y1039" i="1" s="1"/>
  <c r="Z1039" i="1" s="1"/>
  <c r="AA1039" i="1" s="1"/>
  <c r="AB1039" i="1" s="1"/>
  <c r="AC1039" i="1" s="1"/>
  <c r="AD1039" i="1" s="1"/>
  <c r="AE1039" i="1" s="1"/>
  <c r="AF1039" i="1" s="1"/>
  <c r="AG1039" i="1" s="1"/>
  <c r="AH1039" i="1" s="1"/>
  <c r="AI1039" i="1" s="1"/>
  <c r="AJ1048" i="1"/>
  <c r="E1050" i="1"/>
  <c r="F1050" i="1" s="1"/>
  <c r="G1050" i="1" s="1"/>
  <c r="H1050" i="1" s="1"/>
  <c r="I1050" i="1" s="1"/>
  <c r="J1050" i="1" s="1"/>
  <c r="K1050" i="1" s="1"/>
  <c r="L1050" i="1" s="1"/>
  <c r="M1050" i="1" s="1"/>
  <c r="N1050" i="1" s="1"/>
  <c r="O1050" i="1" s="1"/>
  <c r="P1050" i="1" s="1"/>
  <c r="Q1050" i="1" s="1"/>
  <c r="R1050" i="1" s="1"/>
  <c r="S1050" i="1" s="1"/>
  <c r="T1050" i="1" s="1"/>
  <c r="U1050" i="1" s="1"/>
  <c r="V1050" i="1" s="1"/>
  <c r="W1050" i="1" s="1"/>
  <c r="X1050" i="1" s="1"/>
  <c r="Y1050" i="1" s="1"/>
  <c r="Z1050" i="1" s="1"/>
  <c r="AA1050" i="1" s="1"/>
  <c r="AB1050" i="1" s="1"/>
  <c r="AC1050" i="1" s="1"/>
  <c r="AD1050" i="1" s="1"/>
  <c r="AE1050" i="1" s="1"/>
  <c r="AF1050" i="1" s="1"/>
  <c r="AG1050" i="1" s="1"/>
  <c r="AH1050" i="1" s="1"/>
  <c r="AI1050" i="1" s="1"/>
  <c r="E1053" i="1"/>
  <c r="F1053" i="1" s="1"/>
  <c r="G1053" i="1" s="1"/>
  <c r="H1053" i="1" s="1"/>
  <c r="I1053" i="1" s="1"/>
  <c r="J1053" i="1" s="1"/>
  <c r="K1053" i="1" s="1"/>
  <c r="L1053" i="1" s="1"/>
  <c r="M1053" i="1" s="1"/>
  <c r="N1053" i="1" s="1"/>
  <c r="O1053" i="1" s="1"/>
  <c r="P1053" i="1" s="1"/>
  <c r="Q1053" i="1" s="1"/>
  <c r="R1053" i="1" s="1"/>
  <c r="S1053" i="1" s="1"/>
  <c r="T1053" i="1" s="1"/>
  <c r="U1053" i="1" s="1"/>
  <c r="V1053" i="1" s="1"/>
  <c r="W1053" i="1" s="1"/>
  <c r="X1053" i="1" s="1"/>
  <c r="Y1053" i="1" s="1"/>
  <c r="Z1053" i="1" s="1"/>
  <c r="AA1053" i="1" s="1"/>
  <c r="AB1053" i="1" s="1"/>
  <c r="AC1053" i="1" s="1"/>
  <c r="AD1053" i="1" s="1"/>
  <c r="AE1053" i="1" s="1"/>
  <c r="AF1053" i="1" s="1"/>
  <c r="AG1053" i="1" s="1"/>
  <c r="AH1053" i="1" s="1"/>
  <c r="AI1053" i="1" s="1"/>
  <c r="AN949" i="1"/>
  <c r="AJ994" i="1"/>
  <c r="E1009" i="1"/>
  <c r="F1009" i="1" s="1"/>
  <c r="G1009" i="1" s="1"/>
  <c r="H1009" i="1" s="1"/>
  <c r="I1009" i="1" s="1"/>
  <c r="J1009" i="1" s="1"/>
  <c r="K1009" i="1" s="1"/>
  <c r="L1009" i="1" s="1"/>
  <c r="M1009" i="1" s="1"/>
  <c r="N1009" i="1" s="1"/>
  <c r="O1009" i="1" s="1"/>
  <c r="P1009" i="1" s="1"/>
  <c r="Q1009" i="1" s="1"/>
  <c r="R1009" i="1" s="1"/>
  <c r="S1009" i="1" s="1"/>
  <c r="T1009" i="1" s="1"/>
  <c r="U1009" i="1" s="1"/>
  <c r="V1009" i="1" s="1"/>
  <c r="W1009" i="1" s="1"/>
  <c r="X1009" i="1" s="1"/>
  <c r="Y1009" i="1" s="1"/>
  <c r="Z1009" i="1" s="1"/>
  <c r="AA1009" i="1" s="1"/>
  <c r="AB1009" i="1" s="1"/>
  <c r="AC1009" i="1" s="1"/>
  <c r="AD1009" i="1" s="1"/>
  <c r="AE1009" i="1" s="1"/>
  <c r="AF1009" i="1" s="1"/>
  <c r="AG1009" i="1" s="1"/>
  <c r="AH1009" i="1" s="1"/>
  <c r="AI1009" i="1" s="1"/>
  <c r="E1066" i="1"/>
  <c r="F1066" i="1" s="1"/>
  <c r="G1066" i="1" s="1"/>
  <c r="H1066" i="1" s="1"/>
  <c r="I1066" i="1" s="1"/>
  <c r="J1066" i="1" s="1"/>
  <c r="K1066" i="1" s="1"/>
  <c r="L1066" i="1" s="1"/>
  <c r="M1066" i="1" s="1"/>
  <c r="N1066" i="1" s="1"/>
  <c r="O1066" i="1" s="1"/>
  <c r="P1066" i="1" s="1"/>
  <c r="Q1066" i="1" s="1"/>
  <c r="R1066" i="1" s="1"/>
  <c r="S1066" i="1" s="1"/>
  <c r="T1066" i="1" s="1"/>
  <c r="U1066" i="1" s="1"/>
  <c r="V1066" i="1" s="1"/>
  <c r="W1066" i="1" s="1"/>
  <c r="X1066" i="1" s="1"/>
  <c r="Y1066" i="1" s="1"/>
  <c r="Z1066" i="1" s="1"/>
  <c r="AA1066" i="1" s="1"/>
  <c r="AB1066" i="1" s="1"/>
  <c r="AC1066" i="1" s="1"/>
  <c r="AD1066" i="1" s="1"/>
  <c r="AE1066" i="1" s="1"/>
  <c r="AF1066" i="1" s="1"/>
  <c r="AG1066" i="1" s="1"/>
  <c r="AH1066" i="1" s="1"/>
  <c r="AI1066" i="1" s="1"/>
  <c r="E1091" i="1"/>
  <c r="F1091" i="1" s="1"/>
  <c r="G1091" i="1" s="1"/>
  <c r="H1091" i="1" s="1"/>
  <c r="I1091" i="1" s="1"/>
  <c r="J1091" i="1" s="1"/>
  <c r="K1091" i="1" s="1"/>
  <c r="L1091" i="1" s="1"/>
  <c r="M1091" i="1" s="1"/>
  <c r="N1091" i="1" s="1"/>
  <c r="O1091" i="1" s="1"/>
  <c r="P1091" i="1" s="1"/>
  <c r="Q1091" i="1" s="1"/>
  <c r="R1091" i="1" s="1"/>
  <c r="S1091" i="1" s="1"/>
  <c r="T1091" i="1" s="1"/>
  <c r="U1091" i="1" s="1"/>
  <c r="V1091" i="1" s="1"/>
  <c r="W1091" i="1" s="1"/>
  <c r="X1091" i="1" s="1"/>
  <c r="Y1091" i="1" s="1"/>
  <c r="Z1091" i="1" s="1"/>
  <c r="AA1091" i="1" s="1"/>
  <c r="AB1091" i="1" s="1"/>
  <c r="AC1091" i="1" s="1"/>
  <c r="AD1091" i="1" s="1"/>
  <c r="AE1091" i="1" s="1"/>
  <c r="AF1091" i="1" s="1"/>
  <c r="AG1091" i="1" s="1"/>
  <c r="AH1091" i="1" s="1"/>
  <c r="AI1091" i="1" s="1"/>
  <c r="E1064" i="1"/>
  <c r="F1064" i="1" s="1"/>
  <c r="G1064" i="1" s="1"/>
  <c r="H1064" i="1" s="1"/>
  <c r="I1064" i="1" s="1"/>
  <c r="J1064" i="1" s="1"/>
  <c r="K1064" i="1" s="1"/>
  <c r="L1064" i="1" s="1"/>
  <c r="M1064" i="1" s="1"/>
  <c r="N1064" i="1" s="1"/>
  <c r="O1064" i="1" s="1"/>
  <c r="P1064" i="1" s="1"/>
  <c r="Q1064" i="1" s="1"/>
  <c r="R1064" i="1" s="1"/>
  <c r="S1064" i="1" s="1"/>
  <c r="T1064" i="1" s="1"/>
  <c r="U1064" i="1" s="1"/>
  <c r="V1064" i="1" s="1"/>
  <c r="W1064" i="1" s="1"/>
  <c r="X1064" i="1" s="1"/>
  <c r="Y1064" i="1" s="1"/>
  <c r="Z1064" i="1" s="1"/>
  <c r="AA1064" i="1" s="1"/>
  <c r="AB1064" i="1" s="1"/>
  <c r="AC1064" i="1" s="1"/>
  <c r="AD1064" i="1" s="1"/>
  <c r="AE1064" i="1" s="1"/>
  <c r="AF1064" i="1" s="1"/>
  <c r="AG1064" i="1" s="1"/>
  <c r="AH1064" i="1" s="1"/>
  <c r="AI1064" i="1" s="1"/>
  <c r="AN1099" i="1"/>
  <c r="AL1097" i="1"/>
  <c r="AM1095" i="1" s="1"/>
  <c r="AN1085" i="1"/>
  <c r="AJ1103" i="1"/>
  <c r="AJ1117" i="1"/>
  <c r="AJ1140" i="1"/>
  <c r="AL1139" i="1"/>
  <c r="AM1137" i="1" s="1"/>
  <c r="AN1141" i="1"/>
  <c r="AJ1112" i="1"/>
  <c r="AN1127" i="1"/>
  <c r="E1136" i="1"/>
  <c r="F1136" i="1" s="1"/>
  <c r="G1136" i="1" s="1"/>
  <c r="H1136" i="1" s="1"/>
  <c r="I1136" i="1" s="1"/>
  <c r="J1136" i="1" s="1"/>
  <c r="K1136" i="1" s="1"/>
  <c r="L1136" i="1" s="1"/>
  <c r="M1136" i="1" s="1"/>
  <c r="N1136" i="1" s="1"/>
  <c r="O1136" i="1" s="1"/>
  <c r="P1136" i="1" s="1"/>
  <c r="Q1136" i="1" s="1"/>
  <c r="R1136" i="1" s="1"/>
  <c r="S1136" i="1" s="1"/>
  <c r="T1136" i="1" s="1"/>
  <c r="U1136" i="1" s="1"/>
  <c r="V1136" i="1" s="1"/>
  <c r="W1136" i="1" s="1"/>
  <c r="X1136" i="1" s="1"/>
  <c r="Y1136" i="1" s="1"/>
  <c r="Z1136" i="1" s="1"/>
  <c r="AA1136" i="1" s="1"/>
  <c r="AB1136" i="1" s="1"/>
  <c r="AC1136" i="1" s="1"/>
  <c r="AD1136" i="1" s="1"/>
  <c r="AE1136" i="1" s="1"/>
  <c r="AF1136" i="1" s="1"/>
  <c r="AG1136" i="1" s="1"/>
  <c r="AH1136" i="1" s="1"/>
  <c r="AI1136" i="1" s="1"/>
  <c r="E1133" i="1"/>
  <c r="F1133" i="1" s="1"/>
  <c r="G1133" i="1" s="1"/>
  <c r="H1133" i="1" s="1"/>
  <c r="I1133" i="1" s="1"/>
  <c r="J1133" i="1" s="1"/>
  <c r="K1133" i="1" s="1"/>
  <c r="L1133" i="1" s="1"/>
  <c r="M1133" i="1" s="1"/>
  <c r="N1133" i="1" s="1"/>
  <c r="O1133" i="1" s="1"/>
  <c r="P1133" i="1" s="1"/>
  <c r="Q1133" i="1" s="1"/>
  <c r="R1133" i="1" s="1"/>
  <c r="S1133" i="1" s="1"/>
  <c r="T1133" i="1" s="1"/>
  <c r="U1133" i="1" s="1"/>
  <c r="V1133" i="1" s="1"/>
  <c r="W1133" i="1" s="1"/>
  <c r="X1133" i="1" s="1"/>
  <c r="Y1133" i="1" s="1"/>
  <c r="Z1133" i="1" s="1"/>
  <c r="AA1133" i="1" s="1"/>
  <c r="AB1133" i="1" s="1"/>
  <c r="AC1133" i="1" s="1"/>
  <c r="AD1133" i="1" s="1"/>
  <c r="AE1133" i="1" s="1"/>
  <c r="AF1133" i="1" s="1"/>
  <c r="AG1133" i="1" s="1"/>
  <c r="AH1133" i="1" s="1"/>
  <c r="AI1133" i="1" s="1"/>
  <c r="E1177" i="1"/>
  <c r="F1177" i="1" s="1"/>
  <c r="G1177" i="1" s="1"/>
  <c r="H1177" i="1" s="1"/>
  <c r="I1177" i="1" s="1"/>
  <c r="J1177" i="1" s="1"/>
  <c r="K1177" i="1" s="1"/>
  <c r="L1177" i="1" s="1"/>
  <c r="M1177" i="1" s="1"/>
  <c r="N1177" i="1" s="1"/>
  <c r="O1177" i="1" s="1"/>
  <c r="P1177" i="1" s="1"/>
  <c r="Q1177" i="1" s="1"/>
  <c r="R1177" i="1" s="1"/>
  <c r="S1177" i="1" s="1"/>
  <c r="T1177" i="1" s="1"/>
  <c r="U1177" i="1" s="1"/>
  <c r="V1177" i="1" s="1"/>
  <c r="W1177" i="1" s="1"/>
  <c r="X1177" i="1" s="1"/>
  <c r="Y1177" i="1" s="1"/>
  <c r="Z1177" i="1" s="1"/>
  <c r="AA1177" i="1" s="1"/>
  <c r="AB1177" i="1" s="1"/>
  <c r="AC1177" i="1" s="1"/>
  <c r="AD1177" i="1" s="1"/>
  <c r="AE1177" i="1" s="1"/>
  <c r="AF1177" i="1" s="1"/>
  <c r="AG1177" i="1" s="1"/>
  <c r="AH1177" i="1" s="1"/>
  <c r="AI1177" i="1" s="1"/>
  <c r="E1149" i="1"/>
  <c r="F1149" i="1" s="1"/>
  <c r="G1149" i="1" s="1"/>
  <c r="H1149" i="1" s="1"/>
  <c r="I1149" i="1" s="1"/>
  <c r="J1149" i="1" s="1"/>
  <c r="K1149" i="1" s="1"/>
  <c r="L1149" i="1" s="1"/>
  <c r="M1149" i="1" s="1"/>
  <c r="N1149" i="1" s="1"/>
  <c r="O1149" i="1" s="1"/>
  <c r="P1149" i="1" s="1"/>
  <c r="Q1149" i="1" s="1"/>
  <c r="R1149" i="1" s="1"/>
  <c r="S1149" i="1" s="1"/>
  <c r="T1149" i="1" s="1"/>
  <c r="U1149" i="1" s="1"/>
  <c r="V1149" i="1" s="1"/>
  <c r="W1149" i="1" s="1"/>
  <c r="X1149" i="1" s="1"/>
  <c r="Y1149" i="1" s="1"/>
  <c r="Z1149" i="1" s="1"/>
  <c r="AA1149" i="1" s="1"/>
  <c r="AB1149" i="1" s="1"/>
  <c r="AC1149" i="1" s="1"/>
  <c r="AD1149" i="1" s="1"/>
  <c r="AE1149" i="1" s="1"/>
  <c r="AF1149" i="1" s="1"/>
  <c r="AG1149" i="1" s="1"/>
  <c r="AH1149" i="1" s="1"/>
  <c r="AI1149" i="1" s="1"/>
  <c r="E1163" i="1"/>
  <c r="F1163" i="1" s="1"/>
  <c r="G1163" i="1" s="1"/>
  <c r="H1163" i="1" s="1"/>
  <c r="I1163" i="1" s="1"/>
  <c r="J1163" i="1" s="1"/>
  <c r="K1163" i="1" s="1"/>
  <c r="L1163" i="1" s="1"/>
  <c r="M1163" i="1" s="1"/>
  <c r="N1163" i="1" s="1"/>
  <c r="O1163" i="1" s="1"/>
  <c r="P1163" i="1" s="1"/>
  <c r="Q1163" i="1" s="1"/>
  <c r="R1163" i="1" s="1"/>
  <c r="S1163" i="1" s="1"/>
  <c r="T1163" i="1" s="1"/>
  <c r="U1163" i="1" s="1"/>
  <c r="V1163" i="1" s="1"/>
  <c r="W1163" i="1" s="1"/>
  <c r="X1163" i="1" s="1"/>
  <c r="Y1163" i="1" s="1"/>
  <c r="Z1163" i="1" s="1"/>
  <c r="AA1163" i="1" s="1"/>
  <c r="AB1163" i="1" s="1"/>
  <c r="AC1163" i="1" s="1"/>
  <c r="AD1163" i="1" s="1"/>
  <c r="AE1163" i="1" s="1"/>
  <c r="AF1163" i="1" s="1"/>
  <c r="AG1163" i="1" s="1"/>
  <c r="AH1163" i="1" s="1"/>
  <c r="AI1163" i="1" s="1"/>
  <c r="AJ1167" i="1"/>
  <c r="AL1168" i="1"/>
  <c r="AM1166" i="1" s="1"/>
  <c r="AL1154" i="1"/>
  <c r="AM1152" i="1" s="1"/>
  <c r="E1190" i="1"/>
  <c r="F1190" i="1" s="1"/>
  <c r="G1190" i="1" s="1"/>
  <c r="H1190" i="1" s="1"/>
  <c r="I1190" i="1" s="1"/>
  <c r="J1190" i="1" s="1"/>
  <c r="K1190" i="1" s="1"/>
  <c r="L1190" i="1" s="1"/>
  <c r="M1190" i="1" s="1"/>
  <c r="N1190" i="1" s="1"/>
  <c r="O1190" i="1" s="1"/>
  <c r="P1190" i="1" s="1"/>
  <c r="Q1190" i="1" s="1"/>
  <c r="R1190" i="1" s="1"/>
  <c r="S1190" i="1" s="1"/>
  <c r="T1190" i="1" s="1"/>
  <c r="U1190" i="1" s="1"/>
  <c r="V1190" i="1" s="1"/>
  <c r="W1190" i="1" s="1"/>
  <c r="X1190" i="1" s="1"/>
  <c r="Y1190" i="1" s="1"/>
  <c r="Z1190" i="1" s="1"/>
  <c r="AA1190" i="1" s="1"/>
  <c r="AB1190" i="1" s="1"/>
  <c r="AC1190" i="1" s="1"/>
  <c r="AD1190" i="1" s="1"/>
  <c r="AE1190" i="1" s="1"/>
  <c r="AF1190" i="1" s="1"/>
  <c r="AG1190" i="1" s="1"/>
  <c r="AH1190" i="1" s="1"/>
  <c r="AI1190" i="1" s="1"/>
  <c r="E1188" i="1"/>
  <c r="F1188" i="1" s="1"/>
  <c r="G1188" i="1" s="1"/>
  <c r="H1188" i="1" s="1"/>
  <c r="I1188" i="1" s="1"/>
  <c r="J1188" i="1" s="1"/>
  <c r="K1188" i="1" s="1"/>
  <c r="L1188" i="1" s="1"/>
  <c r="M1188" i="1" s="1"/>
  <c r="N1188" i="1" s="1"/>
  <c r="O1188" i="1" s="1"/>
  <c r="P1188" i="1" s="1"/>
  <c r="Q1188" i="1" s="1"/>
  <c r="R1188" i="1" s="1"/>
  <c r="S1188" i="1" s="1"/>
  <c r="T1188" i="1" s="1"/>
  <c r="U1188" i="1" s="1"/>
  <c r="V1188" i="1" s="1"/>
  <c r="W1188" i="1" s="1"/>
  <c r="X1188" i="1" s="1"/>
  <c r="Y1188" i="1" s="1"/>
  <c r="Z1188" i="1" s="1"/>
  <c r="AA1188" i="1" s="1"/>
  <c r="AB1188" i="1" s="1"/>
  <c r="AC1188" i="1" s="1"/>
  <c r="AD1188" i="1" s="1"/>
  <c r="AE1188" i="1" s="1"/>
  <c r="AF1188" i="1" s="1"/>
  <c r="AG1188" i="1" s="1"/>
  <c r="AH1188" i="1" s="1"/>
  <c r="AI1188" i="1" s="1"/>
  <c r="L1196" i="1"/>
  <c r="X1196" i="1"/>
  <c r="AB1196" i="1"/>
  <c r="AF1196" i="1"/>
  <c r="U1196" i="1"/>
  <c r="Y1196" i="1"/>
  <c r="AC1196" i="1"/>
  <c r="AG1196" i="1"/>
  <c r="AJ283" i="1"/>
  <c r="AL280" i="1"/>
  <c r="AM278" i="1" s="1"/>
  <c r="AJ392" i="1"/>
  <c r="AL389" i="1"/>
  <c r="AM387" i="1" s="1"/>
  <c r="AJ501" i="1"/>
  <c r="AL498" i="1"/>
  <c r="AM496" i="1" s="1"/>
  <c r="AL932" i="1"/>
  <c r="AM930" i="1" s="1"/>
  <c r="AJ935" i="1"/>
  <c r="AJ1126" i="1"/>
  <c r="AL1123" i="1"/>
  <c r="AM1121" i="1" s="1"/>
  <c r="AL36" i="1"/>
  <c r="AM34" i="1" s="1"/>
  <c r="AL185" i="1"/>
  <c r="AM183" i="1" s="1"/>
  <c r="AJ310" i="1"/>
  <c r="AL307" i="1"/>
  <c r="AM305" i="1" s="1"/>
  <c r="AJ420" i="1"/>
  <c r="AL417" i="1"/>
  <c r="AM415" i="1" s="1"/>
  <c r="AL769" i="1"/>
  <c r="AM767" i="1" s="1"/>
  <c r="AL905" i="1"/>
  <c r="AM903" i="1" s="1"/>
  <c r="AL1095" i="1"/>
  <c r="AM1093" i="1" s="1"/>
  <c r="AJ1098" i="1"/>
  <c r="AJ338" i="1"/>
  <c r="AL335" i="1"/>
  <c r="AM333" i="1" s="1"/>
  <c r="AJ447" i="1"/>
  <c r="AL444" i="1"/>
  <c r="AM442" i="1" s="1"/>
  <c r="AJ989" i="1"/>
  <c r="AL986" i="1"/>
  <c r="AM984" i="1" s="1"/>
  <c r="AL1067" i="1"/>
  <c r="AM1065" i="1" s="1"/>
  <c r="AJ1070" i="1"/>
  <c r="AL1178" i="1"/>
  <c r="AM1176" i="1" s="1"/>
  <c r="AJ1181" i="1"/>
  <c r="AL131" i="1"/>
  <c r="AM129" i="1" s="1"/>
  <c r="AJ365" i="1"/>
  <c r="AL362" i="1"/>
  <c r="AJ474" i="1"/>
  <c r="AL471" i="1"/>
  <c r="AM469" i="1" s="1"/>
  <c r="AL714" i="1"/>
  <c r="AM712" i="1" s="1"/>
  <c r="AL824" i="1"/>
  <c r="AM822" i="1" s="1"/>
  <c r="AJ962" i="1"/>
  <c r="AL959" i="1"/>
  <c r="AM957" i="1" s="1"/>
  <c r="AJ1043" i="1"/>
  <c r="AL1040" i="1"/>
  <c r="AM1038" i="1" s="1"/>
  <c r="AJ1153" i="1"/>
  <c r="AL1150" i="1"/>
  <c r="AM1148" i="1" s="1"/>
  <c r="Q1196" i="1"/>
  <c r="AJ664" i="1"/>
  <c r="T1196" i="1"/>
  <c r="T182" i="6"/>
  <c r="S525" i="4"/>
  <c r="S1196" i="1"/>
  <c r="S182" i="6"/>
  <c r="R1196" i="1"/>
  <c r="R182" i="6"/>
  <c r="Q525" i="4"/>
  <c r="P525" i="4"/>
  <c r="O1196" i="1"/>
  <c r="P1196" i="1"/>
  <c r="Q182" i="6"/>
  <c r="P182" i="6"/>
  <c r="O525" i="4"/>
  <c r="O182" i="6"/>
  <c r="N525" i="4"/>
  <c r="AJ541" i="1"/>
  <c r="AN447" i="3"/>
  <c r="AJ432" i="3"/>
  <c r="AR188" i="6"/>
  <c r="N1196" i="1"/>
  <c r="N182" i="6"/>
  <c r="AJ390" i="3"/>
  <c r="AJ376" i="3"/>
  <c r="AN377" i="3"/>
  <c r="AN391" i="3"/>
  <c r="AN433" i="3"/>
  <c r="AJ446" i="3"/>
  <c r="AJ362" i="3"/>
  <c r="M1196" i="1"/>
  <c r="M182" i="6"/>
  <c r="AJ867" i="1"/>
  <c r="K525" i="4"/>
  <c r="K1196" i="1"/>
  <c r="K182" i="6"/>
  <c r="AN97" i="6"/>
  <c r="J182" i="6"/>
  <c r="I182" i="6"/>
  <c r="AN41" i="6"/>
  <c r="J525" i="4"/>
  <c r="AJ460" i="3"/>
  <c r="AJ560" i="1"/>
  <c r="AN243" i="1"/>
  <c r="J1196" i="1"/>
  <c r="AJ16" i="1"/>
  <c r="I525" i="4"/>
  <c r="AJ1016" i="1"/>
  <c r="I1196" i="1"/>
  <c r="AN868" i="1"/>
  <c r="AN252" i="4"/>
  <c r="H525" i="4"/>
  <c r="AN92" i="4"/>
  <c r="AJ96" i="4"/>
  <c r="AK94" i="4" s="1"/>
  <c r="AN12" i="1"/>
  <c r="AL10" i="1"/>
  <c r="AM8" i="1" s="1"/>
  <c r="AN26" i="1"/>
  <c r="AL24" i="1"/>
  <c r="AM22" i="1" s="1"/>
  <c r="AJ30" i="1"/>
  <c r="AL241" i="1"/>
  <c r="AM239" i="1" s="1"/>
  <c r="AJ242" i="1"/>
  <c r="AJ1021" i="1"/>
  <c r="AN1017" i="1"/>
  <c r="AJ1007" i="1"/>
  <c r="AJ1002" i="1"/>
  <c r="AN1003" i="1"/>
  <c r="AN882" i="1"/>
  <c r="AL880" i="1"/>
  <c r="AM878" i="1" s="1"/>
  <c r="AJ669" i="1"/>
  <c r="AN651" i="1"/>
  <c r="AN637" i="1"/>
  <c r="H1196" i="1"/>
  <c r="AN139" i="6"/>
  <c r="AJ96" i="6"/>
  <c r="H182" i="6"/>
  <c r="AL538" i="1"/>
  <c r="AM536" i="1" s="1"/>
  <c r="AN293" i="3"/>
  <c r="AJ240" i="4"/>
  <c r="AK238" i="4" s="1"/>
  <c r="AJ448" i="4"/>
  <c r="AK446" i="4" s="1"/>
  <c r="AN364" i="4"/>
  <c r="AN268" i="4"/>
  <c r="AJ272" i="4"/>
  <c r="AK270" i="4" s="1"/>
  <c r="AJ256" i="4"/>
  <c r="AK254" i="4" s="1"/>
  <c r="AN172" i="4"/>
  <c r="AJ555" i="1"/>
  <c r="AN556" i="1"/>
  <c r="AJ514" i="1"/>
  <c r="AN515" i="1"/>
  <c r="AJ519" i="1"/>
  <c r="AJ528" i="1"/>
  <c r="AN529" i="1"/>
  <c r="AN542" i="1"/>
  <c r="AJ546" i="1"/>
  <c r="AN83" i="3"/>
  <c r="AN27" i="3"/>
  <c r="AJ26" i="3"/>
  <c r="AN41" i="2"/>
  <c r="AL663" i="1"/>
  <c r="AM661" i="1" s="1"/>
  <c r="AN665" i="1"/>
  <c r="AJ650" i="1"/>
  <c r="AJ655" i="1"/>
  <c r="AJ636" i="1"/>
  <c r="AL635" i="1"/>
  <c r="AM633" i="1" s="1"/>
  <c r="AJ1195" i="1"/>
  <c r="AK1193" i="1" s="1"/>
  <c r="AJ261" i="1"/>
  <c r="G1196" i="1"/>
  <c r="AJ233" i="1"/>
  <c r="AN111" i="6"/>
  <c r="AJ115" i="6"/>
  <c r="AJ73" i="6"/>
  <c r="G182" i="6"/>
  <c r="AL864" i="1"/>
  <c r="AL647" i="1"/>
  <c r="AM645" i="1" s="1"/>
  <c r="AL511" i="1"/>
  <c r="AM509" i="1" s="1"/>
  <c r="AJ881" i="1"/>
  <c r="AA206" i="3"/>
  <c r="AD206" i="3"/>
  <c r="AH206" i="3" s="1"/>
  <c r="AI206" i="3" s="1"/>
  <c r="AD94" i="3"/>
  <c r="AH94" i="3" s="1"/>
  <c r="AI94" i="3" s="1"/>
  <c r="AA94" i="3"/>
  <c r="AD80" i="3"/>
  <c r="AH80" i="3" s="1"/>
  <c r="AI80" i="3" s="1"/>
  <c r="AA80" i="3"/>
  <c r="AA150" i="3"/>
  <c r="AD150" i="3"/>
  <c r="AH150" i="3" s="1"/>
  <c r="AI150" i="3" s="1"/>
  <c r="AD24" i="3"/>
  <c r="AH24" i="3" s="1"/>
  <c r="AI24" i="3" s="1"/>
  <c r="AA24" i="3"/>
  <c r="AJ12" i="3"/>
  <c r="AJ73" i="3"/>
  <c r="E75" i="3"/>
  <c r="F75" i="3" s="1"/>
  <c r="G75" i="3" s="1"/>
  <c r="H75" i="3" s="1"/>
  <c r="I75" i="3" s="1"/>
  <c r="J75" i="3" s="1"/>
  <c r="K75" i="3" s="1"/>
  <c r="L75" i="3" s="1"/>
  <c r="M75" i="3" s="1"/>
  <c r="N75" i="3" s="1"/>
  <c r="O75" i="3" s="1"/>
  <c r="P75" i="3" s="1"/>
  <c r="Q75" i="3" s="1"/>
  <c r="R75" i="3" s="1"/>
  <c r="S75" i="3" s="1"/>
  <c r="T75" i="3" s="1"/>
  <c r="U75" i="3" s="1"/>
  <c r="V75" i="3" s="1"/>
  <c r="W75" i="3" s="1"/>
  <c r="X75" i="3" s="1"/>
  <c r="Y75" i="3" s="1"/>
  <c r="Z75" i="3" s="1"/>
  <c r="AA75" i="3" s="1"/>
  <c r="AB75" i="3" s="1"/>
  <c r="AC75" i="3" s="1"/>
  <c r="AD75" i="3" s="1"/>
  <c r="AE75" i="3" s="1"/>
  <c r="AF75" i="3" s="1"/>
  <c r="AG75" i="3" s="1"/>
  <c r="AH75" i="3" s="1"/>
  <c r="AI75" i="3" s="1"/>
  <c r="AJ166" i="3"/>
  <c r="AN167" i="3"/>
  <c r="AJ68" i="3"/>
  <c r="AJ138" i="3"/>
  <c r="AJ59" i="3"/>
  <c r="AJ82" i="3"/>
  <c r="E61" i="3"/>
  <c r="F61" i="3" s="1"/>
  <c r="G61" i="3" s="1"/>
  <c r="H61" i="3" s="1"/>
  <c r="I61" i="3" s="1"/>
  <c r="J61" i="3" s="1"/>
  <c r="K61" i="3" s="1"/>
  <c r="L61" i="3" s="1"/>
  <c r="M61" i="3" s="1"/>
  <c r="N61" i="3" s="1"/>
  <c r="O61" i="3" s="1"/>
  <c r="P61" i="3" s="1"/>
  <c r="Q61" i="3" s="1"/>
  <c r="R61" i="3" s="1"/>
  <c r="S61" i="3" s="1"/>
  <c r="T61" i="3" s="1"/>
  <c r="U61" i="3" s="1"/>
  <c r="V61" i="3" s="1"/>
  <c r="W61" i="3" s="1"/>
  <c r="X61" i="3" s="1"/>
  <c r="Y61" i="3" s="1"/>
  <c r="Z61" i="3" s="1"/>
  <c r="AA61" i="3" s="1"/>
  <c r="AB61" i="3" s="1"/>
  <c r="AC61" i="3" s="1"/>
  <c r="AD61" i="3" s="1"/>
  <c r="AE61" i="3" s="1"/>
  <c r="AF61" i="3" s="1"/>
  <c r="AG61" i="3" s="1"/>
  <c r="AH61" i="3" s="1"/>
  <c r="AI61" i="3" s="1"/>
  <c r="AJ96" i="3"/>
  <c r="AJ115" i="3"/>
  <c r="AN125" i="3"/>
  <c r="AL125" i="3"/>
  <c r="E190" i="3"/>
  <c r="F190" i="3" s="1"/>
  <c r="G190" i="3" s="1"/>
  <c r="H190" i="3" s="1"/>
  <c r="I190" i="3" s="1"/>
  <c r="J190" i="3" s="1"/>
  <c r="K190" i="3" s="1"/>
  <c r="L190" i="3" s="1"/>
  <c r="M190" i="3" s="1"/>
  <c r="N190" i="3" s="1"/>
  <c r="O190" i="3" s="1"/>
  <c r="P190" i="3" s="1"/>
  <c r="Q190" i="3" s="1"/>
  <c r="R190" i="3" s="1"/>
  <c r="S190" i="3" s="1"/>
  <c r="T190" i="3" s="1"/>
  <c r="U190" i="3" s="1"/>
  <c r="V190" i="3" s="1"/>
  <c r="W190" i="3" s="1"/>
  <c r="X190" i="3" s="1"/>
  <c r="Y190" i="3" s="1"/>
  <c r="Z190" i="3" s="1"/>
  <c r="AA190" i="3" s="1"/>
  <c r="AB190" i="3" s="1"/>
  <c r="AC190" i="3" s="1"/>
  <c r="AD190" i="3" s="1"/>
  <c r="AE190" i="3" s="1"/>
  <c r="AF190" i="3" s="1"/>
  <c r="AG190" i="3" s="1"/>
  <c r="AH190" i="3" s="1"/>
  <c r="AI190" i="3" s="1"/>
  <c r="E187" i="3"/>
  <c r="F187" i="3" s="1"/>
  <c r="G187" i="3" s="1"/>
  <c r="H187" i="3" s="1"/>
  <c r="I187" i="3" s="1"/>
  <c r="J187" i="3" s="1"/>
  <c r="K187" i="3" s="1"/>
  <c r="L187" i="3" s="1"/>
  <c r="M187" i="3" s="1"/>
  <c r="N187" i="3" s="1"/>
  <c r="O187" i="3" s="1"/>
  <c r="P187" i="3" s="1"/>
  <c r="Q187" i="3" s="1"/>
  <c r="R187" i="3" s="1"/>
  <c r="S187" i="3" s="1"/>
  <c r="T187" i="3" s="1"/>
  <c r="U187" i="3" s="1"/>
  <c r="V187" i="3" s="1"/>
  <c r="W187" i="3" s="1"/>
  <c r="X187" i="3" s="1"/>
  <c r="Y187" i="3" s="1"/>
  <c r="Z187" i="3" s="1"/>
  <c r="AA187" i="3" s="1"/>
  <c r="AB187" i="3" s="1"/>
  <c r="AC187" i="3" s="1"/>
  <c r="AD187" i="3" s="1"/>
  <c r="AE187" i="3" s="1"/>
  <c r="AF187" i="3" s="1"/>
  <c r="AG187" i="3" s="1"/>
  <c r="AH187" i="3" s="1"/>
  <c r="AI187" i="3" s="1"/>
  <c r="AJ208" i="3"/>
  <c r="E131" i="3"/>
  <c r="F131" i="3" s="1"/>
  <c r="G131" i="3" s="1"/>
  <c r="H131" i="3" s="1"/>
  <c r="I131" i="3" s="1"/>
  <c r="J131" i="3" s="1"/>
  <c r="K131" i="3" s="1"/>
  <c r="L131" i="3" s="1"/>
  <c r="M131" i="3" s="1"/>
  <c r="N131" i="3" s="1"/>
  <c r="O131" i="3" s="1"/>
  <c r="P131" i="3" s="1"/>
  <c r="Q131" i="3" s="1"/>
  <c r="R131" i="3" s="1"/>
  <c r="S131" i="3" s="1"/>
  <c r="T131" i="3" s="1"/>
  <c r="U131" i="3" s="1"/>
  <c r="V131" i="3" s="1"/>
  <c r="W131" i="3" s="1"/>
  <c r="X131" i="3" s="1"/>
  <c r="Y131" i="3" s="1"/>
  <c r="Z131" i="3" s="1"/>
  <c r="AA131" i="3" s="1"/>
  <c r="AB131" i="3" s="1"/>
  <c r="AC131" i="3" s="1"/>
  <c r="AD131" i="3" s="1"/>
  <c r="AE131" i="3" s="1"/>
  <c r="AF131" i="3" s="1"/>
  <c r="AG131" i="3" s="1"/>
  <c r="AH131" i="3" s="1"/>
  <c r="AI131" i="3" s="1"/>
  <c r="AJ157" i="3"/>
  <c r="AJ236" i="3"/>
  <c r="AN237" i="3"/>
  <c r="AJ110" i="3"/>
  <c r="AA346" i="3"/>
  <c r="AD346" i="3"/>
  <c r="AH346" i="3" s="1"/>
  <c r="AI346" i="3" s="1"/>
  <c r="AJ87" i="3"/>
  <c r="AN97" i="3"/>
  <c r="AJ101" i="3"/>
  <c r="E117" i="3"/>
  <c r="F117" i="3" s="1"/>
  <c r="G117" i="3" s="1"/>
  <c r="H117" i="3" s="1"/>
  <c r="I117" i="3" s="1"/>
  <c r="J117" i="3" s="1"/>
  <c r="K117" i="3" s="1"/>
  <c r="L117" i="3" s="1"/>
  <c r="M117" i="3" s="1"/>
  <c r="N117" i="3" s="1"/>
  <c r="O117" i="3" s="1"/>
  <c r="P117" i="3" s="1"/>
  <c r="Q117" i="3" s="1"/>
  <c r="R117" i="3" s="1"/>
  <c r="S117" i="3" s="1"/>
  <c r="T117" i="3" s="1"/>
  <c r="U117" i="3" s="1"/>
  <c r="V117" i="3" s="1"/>
  <c r="W117" i="3" s="1"/>
  <c r="X117" i="3" s="1"/>
  <c r="Y117" i="3" s="1"/>
  <c r="Z117" i="3" s="1"/>
  <c r="AA117" i="3" s="1"/>
  <c r="AB117" i="3" s="1"/>
  <c r="AC117" i="3" s="1"/>
  <c r="AD117" i="3" s="1"/>
  <c r="AE117" i="3" s="1"/>
  <c r="AF117" i="3" s="1"/>
  <c r="AG117" i="3" s="1"/>
  <c r="AH117" i="3" s="1"/>
  <c r="AI117" i="3" s="1"/>
  <c r="AN181" i="3"/>
  <c r="AD332" i="3"/>
  <c r="AH332" i="3" s="1"/>
  <c r="AI332" i="3" s="1"/>
  <c r="AA332" i="3"/>
  <c r="AJ152" i="3"/>
  <c r="AD290" i="3"/>
  <c r="AH290" i="3" s="1"/>
  <c r="AI290" i="3" s="1"/>
  <c r="AA290" i="3"/>
  <c r="AJ222" i="3"/>
  <c r="AJ227" i="3"/>
  <c r="AJ269" i="3"/>
  <c r="E271" i="3"/>
  <c r="F271" i="3" s="1"/>
  <c r="G271" i="3" s="1"/>
  <c r="H271" i="3" s="1"/>
  <c r="I271" i="3" s="1"/>
  <c r="J271" i="3" s="1"/>
  <c r="K271" i="3" s="1"/>
  <c r="L271" i="3" s="1"/>
  <c r="M271" i="3" s="1"/>
  <c r="N271" i="3" s="1"/>
  <c r="O271" i="3" s="1"/>
  <c r="P271" i="3" s="1"/>
  <c r="Q271" i="3" s="1"/>
  <c r="R271" i="3" s="1"/>
  <c r="S271" i="3" s="1"/>
  <c r="T271" i="3" s="1"/>
  <c r="U271" i="3" s="1"/>
  <c r="V271" i="3" s="1"/>
  <c r="W271" i="3" s="1"/>
  <c r="X271" i="3" s="1"/>
  <c r="Y271" i="3" s="1"/>
  <c r="Z271" i="3" s="1"/>
  <c r="AA271" i="3" s="1"/>
  <c r="AB271" i="3" s="1"/>
  <c r="AC271" i="3" s="1"/>
  <c r="AD271" i="3" s="1"/>
  <c r="AE271" i="3" s="1"/>
  <c r="AF271" i="3" s="1"/>
  <c r="AG271" i="3" s="1"/>
  <c r="AH271" i="3" s="1"/>
  <c r="AI271" i="3" s="1"/>
  <c r="AN279" i="3"/>
  <c r="AJ311" i="3"/>
  <c r="E327" i="3"/>
  <c r="F327" i="3" s="1"/>
  <c r="G327" i="3" s="1"/>
  <c r="H327" i="3" s="1"/>
  <c r="I327" i="3" s="1"/>
  <c r="J327" i="3" s="1"/>
  <c r="K327" i="3" s="1"/>
  <c r="L327" i="3" s="1"/>
  <c r="M327" i="3" s="1"/>
  <c r="N327" i="3" s="1"/>
  <c r="O327" i="3" s="1"/>
  <c r="P327" i="3" s="1"/>
  <c r="Q327" i="3" s="1"/>
  <c r="R327" i="3" s="1"/>
  <c r="S327" i="3" s="1"/>
  <c r="T327" i="3" s="1"/>
  <c r="U327" i="3" s="1"/>
  <c r="V327" i="3" s="1"/>
  <c r="W327" i="3" s="1"/>
  <c r="X327" i="3" s="1"/>
  <c r="Y327" i="3" s="1"/>
  <c r="Z327" i="3" s="1"/>
  <c r="AA327" i="3" s="1"/>
  <c r="AB327" i="3" s="1"/>
  <c r="AC327" i="3" s="1"/>
  <c r="AD327" i="3" s="1"/>
  <c r="AE327" i="3" s="1"/>
  <c r="AF327" i="3" s="1"/>
  <c r="AG327" i="3" s="1"/>
  <c r="AH327" i="3" s="1"/>
  <c r="AI327" i="3" s="1"/>
  <c r="AJ395" i="3"/>
  <c r="AJ418" i="3"/>
  <c r="AN419" i="3"/>
  <c r="AJ199" i="3"/>
  <c r="AJ409" i="3"/>
  <c r="AD458" i="3"/>
  <c r="AH458" i="3" s="1"/>
  <c r="AI458" i="3" s="1"/>
  <c r="AA458" i="3"/>
  <c r="E201" i="3"/>
  <c r="F201" i="3" s="1"/>
  <c r="G201" i="3" s="1"/>
  <c r="H201" i="3" s="1"/>
  <c r="I201" i="3" s="1"/>
  <c r="J201" i="3" s="1"/>
  <c r="K201" i="3" s="1"/>
  <c r="L201" i="3" s="1"/>
  <c r="M201" i="3" s="1"/>
  <c r="N201" i="3" s="1"/>
  <c r="O201" i="3" s="1"/>
  <c r="P201" i="3" s="1"/>
  <c r="Q201" i="3" s="1"/>
  <c r="R201" i="3" s="1"/>
  <c r="S201" i="3" s="1"/>
  <c r="T201" i="3" s="1"/>
  <c r="U201" i="3" s="1"/>
  <c r="V201" i="3" s="1"/>
  <c r="W201" i="3" s="1"/>
  <c r="X201" i="3" s="1"/>
  <c r="Y201" i="3" s="1"/>
  <c r="Z201" i="3" s="1"/>
  <c r="AA201" i="3" s="1"/>
  <c r="AB201" i="3" s="1"/>
  <c r="AC201" i="3" s="1"/>
  <c r="AD201" i="3" s="1"/>
  <c r="AE201" i="3" s="1"/>
  <c r="AF201" i="3" s="1"/>
  <c r="AG201" i="3" s="1"/>
  <c r="AH201" i="3" s="1"/>
  <c r="AI201" i="3" s="1"/>
  <c r="AJ292" i="3"/>
  <c r="AN363" i="3"/>
  <c r="AD486" i="3"/>
  <c r="AH486" i="3" s="1"/>
  <c r="AI486" i="3" s="1"/>
  <c r="AA486" i="3"/>
  <c r="AJ334" i="3"/>
  <c r="AJ348" i="3"/>
  <c r="AN405" i="3"/>
  <c r="AJ404" i="3"/>
  <c r="AJ488" i="3"/>
  <c r="AJ423" i="3"/>
  <c r="E285" i="3"/>
  <c r="F285" i="3" s="1"/>
  <c r="G285" i="3" s="1"/>
  <c r="H285" i="3" s="1"/>
  <c r="I285" i="3" s="1"/>
  <c r="J285" i="3" s="1"/>
  <c r="K285" i="3" s="1"/>
  <c r="L285" i="3" s="1"/>
  <c r="M285" i="3" s="1"/>
  <c r="N285" i="3" s="1"/>
  <c r="O285" i="3" s="1"/>
  <c r="P285" i="3" s="1"/>
  <c r="Q285" i="3" s="1"/>
  <c r="R285" i="3" s="1"/>
  <c r="S285" i="3" s="1"/>
  <c r="T285" i="3" s="1"/>
  <c r="U285" i="3" s="1"/>
  <c r="V285" i="3" s="1"/>
  <c r="W285" i="3" s="1"/>
  <c r="X285" i="3" s="1"/>
  <c r="Y285" i="3" s="1"/>
  <c r="Z285" i="3" s="1"/>
  <c r="AA285" i="3" s="1"/>
  <c r="AB285" i="3" s="1"/>
  <c r="AC285" i="3" s="1"/>
  <c r="AD285" i="3" s="1"/>
  <c r="AE285" i="3" s="1"/>
  <c r="AF285" i="3" s="1"/>
  <c r="AG285" i="3" s="1"/>
  <c r="AH285" i="3" s="1"/>
  <c r="AI285" i="3" s="1"/>
  <c r="AJ367" i="3"/>
  <c r="AJ381" i="3"/>
  <c r="AA570" i="3"/>
  <c r="AD570" i="3"/>
  <c r="AH570" i="3" s="1"/>
  <c r="AI570" i="3" s="1"/>
  <c r="AJ558" i="3"/>
  <c r="AL555" i="3"/>
  <c r="I20" i="13" s="1"/>
  <c r="E397" i="3"/>
  <c r="F397" i="3" s="1"/>
  <c r="G397" i="3" s="1"/>
  <c r="H397" i="3" s="1"/>
  <c r="I397" i="3" s="1"/>
  <c r="J397" i="3" s="1"/>
  <c r="K397" i="3" s="1"/>
  <c r="L397" i="3" s="1"/>
  <c r="M397" i="3" s="1"/>
  <c r="N397" i="3" s="1"/>
  <c r="O397" i="3" s="1"/>
  <c r="P397" i="3" s="1"/>
  <c r="Q397" i="3" s="1"/>
  <c r="R397" i="3" s="1"/>
  <c r="S397" i="3" s="1"/>
  <c r="T397" i="3" s="1"/>
  <c r="U397" i="3" s="1"/>
  <c r="V397" i="3" s="1"/>
  <c r="W397" i="3" s="1"/>
  <c r="X397" i="3" s="1"/>
  <c r="Y397" i="3" s="1"/>
  <c r="Z397" i="3" s="1"/>
  <c r="AA397" i="3" s="1"/>
  <c r="AB397" i="3" s="1"/>
  <c r="AC397" i="3" s="1"/>
  <c r="AD397" i="3" s="1"/>
  <c r="AE397" i="3" s="1"/>
  <c r="AF397" i="3" s="1"/>
  <c r="AG397" i="3" s="1"/>
  <c r="AH397" i="3" s="1"/>
  <c r="AI397" i="3" s="1"/>
  <c r="AJ451" i="3"/>
  <c r="E540" i="3"/>
  <c r="F540" i="3" s="1"/>
  <c r="G540" i="3" s="1"/>
  <c r="H540" i="3" s="1"/>
  <c r="I540" i="3" s="1"/>
  <c r="J540" i="3" s="1"/>
  <c r="K540" i="3" s="1"/>
  <c r="L540" i="3" s="1"/>
  <c r="M540" i="3" s="1"/>
  <c r="N540" i="3" s="1"/>
  <c r="O540" i="3" s="1"/>
  <c r="P540" i="3" s="1"/>
  <c r="Q540" i="3" s="1"/>
  <c r="R540" i="3" s="1"/>
  <c r="S540" i="3" s="1"/>
  <c r="T540" i="3" s="1"/>
  <c r="U540" i="3" s="1"/>
  <c r="V540" i="3" s="1"/>
  <c r="W540" i="3" s="1"/>
  <c r="X540" i="3" s="1"/>
  <c r="Y540" i="3" s="1"/>
  <c r="Z540" i="3" s="1"/>
  <c r="AA540" i="3" s="1"/>
  <c r="AB540" i="3" s="1"/>
  <c r="AC540" i="3" s="1"/>
  <c r="AD540" i="3" s="1"/>
  <c r="AE540" i="3" s="1"/>
  <c r="AF540" i="3" s="1"/>
  <c r="AG540" i="3" s="1"/>
  <c r="AH540" i="3" s="1"/>
  <c r="E537" i="3"/>
  <c r="F537" i="3" s="1"/>
  <c r="G537" i="3" s="1"/>
  <c r="H537" i="3" s="1"/>
  <c r="I537" i="3" s="1"/>
  <c r="J537" i="3" s="1"/>
  <c r="K537" i="3" s="1"/>
  <c r="L537" i="3" s="1"/>
  <c r="M537" i="3" s="1"/>
  <c r="N537" i="3" s="1"/>
  <c r="O537" i="3" s="1"/>
  <c r="P537" i="3" s="1"/>
  <c r="Q537" i="3" s="1"/>
  <c r="R537" i="3" s="1"/>
  <c r="S537" i="3" s="1"/>
  <c r="T537" i="3" s="1"/>
  <c r="U537" i="3" s="1"/>
  <c r="V537" i="3" s="1"/>
  <c r="W537" i="3" s="1"/>
  <c r="X537" i="3" s="1"/>
  <c r="Y537" i="3" s="1"/>
  <c r="Z537" i="3" s="1"/>
  <c r="AA537" i="3" s="1"/>
  <c r="AB537" i="3" s="1"/>
  <c r="AC537" i="3" s="1"/>
  <c r="AD537" i="3" s="1"/>
  <c r="AE537" i="3" s="1"/>
  <c r="AF537" i="3" s="1"/>
  <c r="AG537" i="3" s="1"/>
  <c r="AH537" i="3" s="1"/>
  <c r="AI537" i="3" s="1"/>
  <c r="AJ535" i="3"/>
  <c r="AN349" i="3"/>
  <c r="E383" i="3"/>
  <c r="F383" i="3" s="1"/>
  <c r="G383" i="3" s="1"/>
  <c r="H383" i="3" s="1"/>
  <c r="I383" i="3" s="1"/>
  <c r="J383" i="3" s="1"/>
  <c r="K383" i="3" s="1"/>
  <c r="L383" i="3" s="1"/>
  <c r="M383" i="3" s="1"/>
  <c r="N383" i="3" s="1"/>
  <c r="O383" i="3" s="1"/>
  <c r="P383" i="3" s="1"/>
  <c r="Q383" i="3" s="1"/>
  <c r="R383" i="3" s="1"/>
  <c r="S383" i="3" s="1"/>
  <c r="T383" i="3" s="1"/>
  <c r="U383" i="3" s="1"/>
  <c r="V383" i="3" s="1"/>
  <c r="W383" i="3" s="1"/>
  <c r="X383" i="3" s="1"/>
  <c r="Y383" i="3" s="1"/>
  <c r="Z383" i="3" s="1"/>
  <c r="AA383" i="3" s="1"/>
  <c r="AB383" i="3" s="1"/>
  <c r="AC383" i="3" s="1"/>
  <c r="AD383" i="3" s="1"/>
  <c r="AE383" i="3" s="1"/>
  <c r="AF383" i="3" s="1"/>
  <c r="AG383" i="3" s="1"/>
  <c r="AH383" i="3" s="1"/>
  <c r="AI383" i="3" s="1"/>
  <c r="AJ521" i="3"/>
  <c r="E453" i="3"/>
  <c r="F453" i="3" s="1"/>
  <c r="G453" i="3" s="1"/>
  <c r="H453" i="3" s="1"/>
  <c r="I453" i="3" s="1"/>
  <c r="J453" i="3" s="1"/>
  <c r="K453" i="3" s="1"/>
  <c r="L453" i="3" s="1"/>
  <c r="M453" i="3" s="1"/>
  <c r="N453" i="3" s="1"/>
  <c r="O453" i="3" s="1"/>
  <c r="P453" i="3" s="1"/>
  <c r="Q453" i="3" s="1"/>
  <c r="R453" i="3" s="1"/>
  <c r="S453" i="3" s="1"/>
  <c r="T453" i="3" s="1"/>
  <c r="U453" i="3" s="1"/>
  <c r="V453" i="3" s="1"/>
  <c r="W453" i="3" s="1"/>
  <c r="X453" i="3" s="1"/>
  <c r="Y453" i="3" s="1"/>
  <c r="Z453" i="3" s="1"/>
  <c r="AA453" i="3" s="1"/>
  <c r="AB453" i="3" s="1"/>
  <c r="AC453" i="3" s="1"/>
  <c r="AD453" i="3" s="1"/>
  <c r="AE453" i="3" s="1"/>
  <c r="AF453" i="3" s="1"/>
  <c r="AG453" i="3" s="1"/>
  <c r="AH453" i="3" s="1"/>
  <c r="AI453" i="3" s="1"/>
  <c r="AJ493" i="3"/>
  <c r="AL501" i="3"/>
  <c r="AM499" i="3" s="1"/>
  <c r="AJ502" i="3"/>
  <c r="E512" i="3"/>
  <c r="F512" i="3" s="1"/>
  <c r="G512" i="3" s="1"/>
  <c r="H512" i="3" s="1"/>
  <c r="I512" i="3" s="1"/>
  <c r="J512" i="3" s="1"/>
  <c r="K512" i="3" s="1"/>
  <c r="L512" i="3" s="1"/>
  <c r="M512" i="3" s="1"/>
  <c r="N512" i="3" s="1"/>
  <c r="O512" i="3" s="1"/>
  <c r="P512" i="3" s="1"/>
  <c r="Q512" i="3" s="1"/>
  <c r="R512" i="3" s="1"/>
  <c r="S512" i="3" s="1"/>
  <c r="T512" i="3" s="1"/>
  <c r="U512" i="3" s="1"/>
  <c r="V512" i="3" s="1"/>
  <c r="W512" i="3" s="1"/>
  <c r="X512" i="3" s="1"/>
  <c r="Y512" i="3" s="1"/>
  <c r="Z512" i="3" s="1"/>
  <c r="AA512" i="3" s="1"/>
  <c r="AB512" i="3" s="1"/>
  <c r="AC512" i="3" s="1"/>
  <c r="AD512" i="3" s="1"/>
  <c r="AE512" i="3" s="1"/>
  <c r="AF512" i="3" s="1"/>
  <c r="AG512" i="3" s="1"/>
  <c r="AH512" i="3" s="1"/>
  <c r="AI512" i="3" s="1"/>
  <c r="AJ507" i="3"/>
  <c r="AJ437" i="3"/>
  <c r="AJ465" i="3"/>
  <c r="AN503" i="3"/>
  <c r="AJ516" i="3"/>
  <c r="E439" i="3"/>
  <c r="F439" i="3" s="1"/>
  <c r="G439" i="3" s="1"/>
  <c r="H439" i="3" s="1"/>
  <c r="I439" i="3" s="1"/>
  <c r="J439" i="3" s="1"/>
  <c r="K439" i="3" s="1"/>
  <c r="L439" i="3" s="1"/>
  <c r="M439" i="3" s="1"/>
  <c r="N439" i="3" s="1"/>
  <c r="O439" i="3" s="1"/>
  <c r="P439" i="3" s="1"/>
  <c r="Q439" i="3" s="1"/>
  <c r="R439" i="3" s="1"/>
  <c r="S439" i="3" s="1"/>
  <c r="T439" i="3" s="1"/>
  <c r="U439" i="3" s="1"/>
  <c r="V439" i="3" s="1"/>
  <c r="W439" i="3" s="1"/>
  <c r="X439" i="3" s="1"/>
  <c r="Y439" i="3" s="1"/>
  <c r="Z439" i="3" s="1"/>
  <c r="AA439" i="3" s="1"/>
  <c r="AB439" i="3" s="1"/>
  <c r="AC439" i="3" s="1"/>
  <c r="AD439" i="3" s="1"/>
  <c r="AE439" i="3" s="1"/>
  <c r="AF439" i="3" s="1"/>
  <c r="AG439" i="3" s="1"/>
  <c r="AH439" i="3" s="1"/>
  <c r="AI439" i="3" s="1"/>
  <c r="AN517" i="3"/>
  <c r="E588" i="3"/>
  <c r="AN489" i="3"/>
  <c r="AJ572" i="3"/>
  <c r="AJ563" i="3"/>
  <c r="AS90" i="2"/>
  <c r="AJ496" i="4"/>
  <c r="AK494" i="4" s="1"/>
  <c r="AN492" i="4"/>
  <c r="AJ443" i="4"/>
  <c r="AK441" i="4" s="1"/>
  <c r="AN444" i="4"/>
  <c r="AJ416" i="4"/>
  <c r="AK414" i="4" s="1"/>
  <c r="AN412" i="4"/>
  <c r="AJ368" i="4"/>
  <c r="AK366" i="4" s="1"/>
  <c r="AJ363" i="4"/>
  <c r="AK361" i="4" s="1"/>
  <c r="AJ251" i="4"/>
  <c r="AK249" i="4" s="1"/>
  <c r="AJ176" i="4"/>
  <c r="AK174" i="4" s="1"/>
  <c r="AJ171" i="4"/>
  <c r="AK169" i="4" s="1"/>
  <c r="AJ91" i="4"/>
  <c r="AK89" i="4" s="1"/>
  <c r="F525" i="4"/>
  <c r="AJ32" i="4"/>
  <c r="AK30" i="4" s="1"/>
  <c r="AJ27" i="4"/>
  <c r="AK25" i="4" s="1"/>
  <c r="AN28" i="4"/>
  <c r="AJ577" i="3"/>
  <c r="AN573" i="3"/>
  <c r="AJ549" i="3"/>
  <c r="AN461" i="3"/>
  <c r="AJ353" i="3"/>
  <c r="AJ339" i="3"/>
  <c r="AN335" i="3"/>
  <c r="AJ297" i="3"/>
  <c r="AN209" i="3"/>
  <c r="AJ213" i="3"/>
  <c r="AN153" i="3"/>
  <c r="AJ31" i="3"/>
  <c r="AJ171" i="6"/>
  <c r="AN167" i="6"/>
  <c r="AL1017" i="1"/>
  <c r="AJ886" i="1"/>
  <c r="H890" i="1"/>
  <c r="I890" i="1" s="1"/>
  <c r="J890" i="1" s="1"/>
  <c r="K890" i="1" s="1"/>
  <c r="L890" i="1" s="1"/>
  <c r="M890" i="1" s="1"/>
  <c r="N890" i="1" s="1"/>
  <c r="O890" i="1" s="1"/>
  <c r="P890" i="1" s="1"/>
  <c r="Q890" i="1" s="1"/>
  <c r="R890" i="1" s="1"/>
  <c r="S890" i="1" s="1"/>
  <c r="T890" i="1" s="1"/>
  <c r="U890" i="1" s="1"/>
  <c r="V890" i="1" s="1"/>
  <c r="W890" i="1" s="1"/>
  <c r="X890" i="1" s="1"/>
  <c r="Y890" i="1" s="1"/>
  <c r="Z890" i="1" s="1"/>
  <c r="AA890" i="1" s="1"/>
  <c r="AB890" i="1" s="1"/>
  <c r="AC890" i="1" s="1"/>
  <c r="AD890" i="1" s="1"/>
  <c r="AE890" i="1" s="1"/>
  <c r="AF890" i="1" s="1"/>
  <c r="AG890" i="1" s="1"/>
  <c r="AH890" i="1" s="1"/>
  <c r="AI890" i="1" s="1"/>
  <c r="AJ872" i="1"/>
  <c r="AL665" i="1"/>
  <c r="AM663" i="1" s="1"/>
  <c r="AL556" i="1"/>
  <c r="AM554" i="1" s="1"/>
  <c r="F564" i="1"/>
  <c r="G564" i="1" s="1"/>
  <c r="H564" i="1" s="1"/>
  <c r="I564" i="1" s="1"/>
  <c r="J564" i="1" s="1"/>
  <c r="K564" i="1" s="1"/>
  <c r="L564" i="1" s="1"/>
  <c r="M564" i="1" s="1"/>
  <c r="N564" i="1" s="1"/>
  <c r="O564" i="1" s="1"/>
  <c r="P564" i="1" s="1"/>
  <c r="Q564" i="1" s="1"/>
  <c r="R564" i="1" s="1"/>
  <c r="S564" i="1" s="1"/>
  <c r="T564" i="1" s="1"/>
  <c r="U564" i="1" s="1"/>
  <c r="V564" i="1" s="1"/>
  <c r="W564" i="1" s="1"/>
  <c r="X564" i="1" s="1"/>
  <c r="Y564" i="1" s="1"/>
  <c r="Z564" i="1" s="1"/>
  <c r="AJ533" i="1"/>
  <c r="AJ1194" i="1"/>
  <c r="AK1192" i="1" s="1"/>
  <c r="AL515" i="1"/>
  <c r="AM513" i="1" s="1"/>
  <c r="AJ143" i="6"/>
  <c r="AL255" i="1"/>
  <c r="AM253" i="1" s="1"/>
  <c r="AN257" i="1"/>
  <c r="AJ247" i="1"/>
  <c r="AL227" i="1"/>
  <c r="AM225" i="1" s="1"/>
  <c r="AN229" i="1"/>
  <c r="F1196" i="1"/>
  <c r="AJ25" i="1"/>
  <c r="AL14" i="1"/>
  <c r="AM12" i="1" s="1"/>
  <c r="AV12" i="1"/>
  <c r="AV11" i="1"/>
  <c r="AJ45" i="2"/>
  <c r="AK43" i="2" s="1"/>
  <c r="AN69" i="6"/>
  <c r="AJ101" i="6"/>
  <c r="AJ45" i="6"/>
  <c r="F182" i="6"/>
  <c r="K89" i="13" l="1"/>
  <c r="L89" i="13" s="1"/>
  <c r="K83" i="13"/>
  <c r="L83" i="13" s="1"/>
  <c r="AO55" i="3"/>
  <c r="AE402" i="3"/>
  <c r="AB402" i="3"/>
  <c r="AE416" i="3"/>
  <c r="AB416" i="3"/>
  <c r="Z411" i="3"/>
  <c r="AA411" i="3" s="1"/>
  <c r="AB411" i="3" s="1"/>
  <c r="AC411" i="3" s="1"/>
  <c r="AD411" i="3" s="1"/>
  <c r="AE411" i="3" s="1"/>
  <c r="AF411" i="3" s="1"/>
  <c r="AG411" i="3" s="1"/>
  <c r="AH411" i="3" s="1"/>
  <c r="AI411" i="3" s="1"/>
  <c r="I18" i="4"/>
  <c r="J18" i="4" s="1"/>
  <c r="K18" i="4" s="1"/>
  <c r="L18" i="4" s="1"/>
  <c r="M18" i="4" s="1"/>
  <c r="N18" i="4" s="1"/>
  <c r="O18" i="4" s="1"/>
  <c r="P18" i="4" s="1"/>
  <c r="Q18" i="4" s="1"/>
  <c r="R18" i="4" s="1"/>
  <c r="S18" i="4" s="1"/>
  <c r="T18" i="4" s="1"/>
  <c r="U18" i="4" s="1"/>
  <c r="V18" i="4" s="1"/>
  <c r="W18" i="4" s="1"/>
  <c r="X18" i="4" s="1"/>
  <c r="Y18" i="4" s="1"/>
  <c r="Z18" i="4" s="1"/>
  <c r="AA18" i="4" s="1"/>
  <c r="AB18" i="4" s="1"/>
  <c r="AC18" i="4" s="1"/>
  <c r="AD18" i="4" s="1"/>
  <c r="AE18" i="4" s="1"/>
  <c r="AF18" i="4" s="1"/>
  <c r="AG18" i="4" s="1"/>
  <c r="AH18" i="4" s="1"/>
  <c r="AI18" i="4" s="1"/>
  <c r="H98" i="4"/>
  <c r="I98" i="4" s="1"/>
  <c r="J98" i="4" s="1"/>
  <c r="K98" i="4" s="1"/>
  <c r="L98" i="4" s="1"/>
  <c r="M98" i="4" s="1"/>
  <c r="N98" i="4" s="1"/>
  <c r="O98" i="4" s="1"/>
  <c r="P98" i="4" s="1"/>
  <c r="Q98" i="4" s="1"/>
  <c r="R98" i="4" s="1"/>
  <c r="S98" i="4" s="1"/>
  <c r="T98" i="4" s="1"/>
  <c r="U98" i="4" s="1"/>
  <c r="V98" i="4" s="1"/>
  <c r="W98" i="4" s="1"/>
  <c r="X98" i="4" s="1"/>
  <c r="Y98" i="4" s="1"/>
  <c r="Z98" i="4" s="1"/>
  <c r="AA98" i="4" s="1"/>
  <c r="AB98" i="4" s="1"/>
  <c r="AC98" i="4" s="1"/>
  <c r="AD98" i="4" s="1"/>
  <c r="AE98" i="4" s="1"/>
  <c r="AF98" i="4" s="1"/>
  <c r="AG98" i="4" s="1"/>
  <c r="AH98" i="4" s="1"/>
  <c r="AI98" i="4" s="1"/>
  <c r="H130" i="4"/>
  <c r="I130" i="4" s="1"/>
  <c r="J130" i="4" s="1"/>
  <c r="K130" i="4" s="1"/>
  <c r="L130" i="4" s="1"/>
  <c r="M130" i="4" s="1"/>
  <c r="N130" i="4" s="1"/>
  <c r="O130" i="4" s="1"/>
  <c r="P130" i="4" s="1"/>
  <c r="Q130" i="4" s="1"/>
  <c r="R130" i="4" s="1"/>
  <c r="S130" i="4" s="1"/>
  <c r="T130" i="4" s="1"/>
  <c r="U130" i="4" s="1"/>
  <c r="V130" i="4" s="1"/>
  <c r="W130" i="4" s="1"/>
  <c r="X130" i="4" s="1"/>
  <c r="Y130" i="4" s="1"/>
  <c r="Z130" i="4" s="1"/>
  <c r="AA130" i="4" s="1"/>
  <c r="AB130" i="4" s="1"/>
  <c r="AC130" i="4" s="1"/>
  <c r="AD130" i="4" s="1"/>
  <c r="AE130" i="4" s="1"/>
  <c r="AF130" i="4" s="1"/>
  <c r="AG130" i="4" s="1"/>
  <c r="AH130" i="4" s="1"/>
  <c r="AI130" i="4" s="1"/>
  <c r="T108" i="6"/>
  <c r="U108" i="6" s="1"/>
  <c r="V108" i="6" s="1"/>
  <c r="W108" i="6" s="1"/>
  <c r="X108" i="6" s="1"/>
  <c r="Y108" i="6" s="1"/>
  <c r="Z108" i="6" s="1"/>
  <c r="AA108" i="6" s="1"/>
  <c r="AB108" i="6" s="1"/>
  <c r="AC108" i="6" s="1"/>
  <c r="AD108" i="6" s="1"/>
  <c r="AE108" i="6" s="1"/>
  <c r="AF108" i="6" s="1"/>
  <c r="AG108" i="6" s="1"/>
  <c r="AH108" i="6" s="1"/>
  <c r="AI108" i="6" s="1"/>
  <c r="I22" i="3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AF22" i="3" s="1"/>
  <c r="AG22" i="3" s="1"/>
  <c r="AH22" i="3" s="1"/>
  <c r="AI22" i="3" s="1"/>
  <c r="Q18" i="1"/>
  <c r="R18" i="1" s="1"/>
  <c r="S18" i="1" s="1"/>
  <c r="T18" i="1" s="1"/>
  <c r="U18" i="1" s="1"/>
  <c r="V18" i="1" s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Q21" i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O97" i="6"/>
  <c r="O311" i="4"/>
  <c r="P311" i="4" s="1"/>
  <c r="Q311" i="4" s="1"/>
  <c r="K313" i="4"/>
  <c r="L313" i="4" s="1"/>
  <c r="M313" i="4" s="1"/>
  <c r="N313" i="4" s="1"/>
  <c r="O313" i="4" s="1"/>
  <c r="P313" i="4" s="1"/>
  <c r="Q313" i="4" s="1"/>
  <c r="Z106" i="3"/>
  <c r="AA106" i="3" s="1"/>
  <c r="AB106" i="3" s="1"/>
  <c r="AC106" i="3" s="1"/>
  <c r="AD106" i="3" s="1"/>
  <c r="AE106" i="3" s="1"/>
  <c r="AF106" i="3" s="1"/>
  <c r="AG106" i="3" s="1"/>
  <c r="AH106" i="3" s="1"/>
  <c r="AI106" i="3" s="1"/>
  <c r="F391" i="4"/>
  <c r="G391" i="4" s="1"/>
  <c r="H391" i="4" s="1"/>
  <c r="I391" i="4" s="1"/>
  <c r="J391" i="4" s="1"/>
  <c r="K391" i="4" s="1"/>
  <c r="L391" i="4" s="1"/>
  <c r="M391" i="4" s="1"/>
  <c r="N391" i="4" s="1"/>
  <c r="O391" i="4" s="1"/>
  <c r="P391" i="4" s="1"/>
  <c r="Q391" i="4" s="1"/>
  <c r="R391" i="4" s="1"/>
  <c r="S391" i="4" s="1"/>
  <c r="T391" i="4" s="1"/>
  <c r="U391" i="4" s="1"/>
  <c r="V391" i="4" s="1"/>
  <c r="W391" i="4" s="1"/>
  <c r="X391" i="4" s="1"/>
  <c r="Y391" i="4" s="1"/>
  <c r="Z391" i="4" s="1"/>
  <c r="AA391" i="4" s="1"/>
  <c r="AB391" i="4" s="1"/>
  <c r="AC391" i="4" s="1"/>
  <c r="AD391" i="4" s="1"/>
  <c r="AE391" i="4" s="1"/>
  <c r="AF391" i="4" s="1"/>
  <c r="AG391" i="4" s="1"/>
  <c r="AH391" i="4" s="1"/>
  <c r="AI391" i="4" s="1"/>
  <c r="F484" i="4"/>
  <c r="G484" i="4" s="1"/>
  <c r="H484" i="4" s="1"/>
  <c r="I484" i="4" s="1"/>
  <c r="J484" i="4" s="1"/>
  <c r="K484" i="4" s="1"/>
  <c r="L484" i="4" s="1"/>
  <c r="M484" i="4" s="1"/>
  <c r="N484" i="4" s="1"/>
  <c r="O484" i="4" s="1"/>
  <c r="P484" i="4" s="1"/>
  <c r="Q484" i="4" s="1"/>
  <c r="R484" i="4" s="1"/>
  <c r="S484" i="4" s="1"/>
  <c r="T484" i="4" s="1"/>
  <c r="U484" i="4" s="1"/>
  <c r="V484" i="4" s="1"/>
  <c r="W484" i="4" s="1"/>
  <c r="X484" i="4" s="1"/>
  <c r="Y484" i="4" s="1"/>
  <c r="Z484" i="4" s="1"/>
  <c r="AA484" i="4" s="1"/>
  <c r="AB484" i="4" s="1"/>
  <c r="AC484" i="4" s="1"/>
  <c r="AD484" i="4" s="1"/>
  <c r="AE484" i="4" s="1"/>
  <c r="AF484" i="4" s="1"/>
  <c r="AG484" i="4" s="1"/>
  <c r="AH484" i="4" s="1"/>
  <c r="AI484" i="4" s="1"/>
  <c r="F34" i="4"/>
  <c r="G34" i="4" s="1"/>
  <c r="H34" i="4" s="1"/>
  <c r="I34" i="4" s="1"/>
  <c r="J34" i="4" s="1"/>
  <c r="K34" i="4" s="1"/>
  <c r="L34" i="4" s="1"/>
  <c r="M34" i="4" s="1"/>
  <c r="N34" i="4" s="1"/>
  <c r="O34" i="4" s="1"/>
  <c r="P34" i="4" s="1"/>
  <c r="Q34" i="4" s="1"/>
  <c r="R34" i="4" s="1"/>
  <c r="S34" i="4" s="1"/>
  <c r="T34" i="4" s="1"/>
  <c r="U34" i="4" s="1"/>
  <c r="V34" i="4" s="1"/>
  <c r="W34" i="4" s="1"/>
  <c r="X34" i="4" s="1"/>
  <c r="Y34" i="4" s="1"/>
  <c r="Z34" i="4" s="1"/>
  <c r="AA34" i="4" s="1"/>
  <c r="AB34" i="4" s="1"/>
  <c r="AC34" i="4" s="1"/>
  <c r="AD34" i="4" s="1"/>
  <c r="AE34" i="4" s="1"/>
  <c r="AF34" i="4" s="1"/>
  <c r="AG34" i="4" s="1"/>
  <c r="AH34" i="4" s="1"/>
  <c r="AI34" i="4" s="1"/>
  <c r="G36" i="4"/>
  <c r="H36" i="4" s="1"/>
  <c r="I36" i="4" s="1"/>
  <c r="J36" i="4" s="1"/>
  <c r="K36" i="4" s="1"/>
  <c r="L36" i="4" s="1"/>
  <c r="M36" i="4" s="1"/>
  <c r="N36" i="4" s="1"/>
  <c r="O36" i="4" s="1"/>
  <c r="P36" i="4" s="1"/>
  <c r="Q36" i="4" s="1"/>
  <c r="R36" i="4" s="1"/>
  <c r="S36" i="4" s="1"/>
  <c r="T36" i="4" s="1"/>
  <c r="U36" i="4" s="1"/>
  <c r="V36" i="4" s="1"/>
  <c r="W36" i="4" s="1"/>
  <c r="X36" i="4" s="1"/>
  <c r="Y36" i="4" s="1"/>
  <c r="Z36" i="4" s="1"/>
  <c r="AA36" i="4" s="1"/>
  <c r="AB36" i="4" s="1"/>
  <c r="AC36" i="4" s="1"/>
  <c r="AD36" i="4" s="1"/>
  <c r="AE36" i="4" s="1"/>
  <c r="AF36" i="4" s="1"/>
  <c r="AG36" i="4" s="1"/>
  <c r="AH36" i="4" s="1"/>
  <c r="AI36" i="4" s="1"/>
  <c r="F482" i="4"/>
  <c r="G482" i="4" s="1"/>
  <c r="H482" i="4" s="1"/>
  <c r="I482" i="4" s="1"/>
  <c r="J482" i="4" s="1"/>
  <c r="K482" i="4" s="1"/>
  <c r="L482" i="4" s="1"/>
  <c r="M482" i="4" s="1"/>
  <c r="N482" i="4" s="1"/>
  <c r="O482" i="4" s="1"/>
  <c r="P482" i="4" s="1"/>
  <c r="Q482" i="4" s="1"/>
  <c r="R482" i="4" s="1"/>
  <c r="S482" i="4" s="1"/>
  <c r="T482" i="4" s="1"/>
  <c r="U482" i="4" s="1"/>
  <c r="V482" i="4" s="1"/>
  <c r="W482" i="4" s="1"/>
  <c r="X482" i="4" s="1"/>
  <c r="Y482" i="4" s="1"/>
  <c r="Z482" i="4" s="1"/>
  <c r="AA482" i="4" s="1"/>
  <c r="AB482" i="4" s="1"/>
  <c r="AC482" i="4" s="1"/>
  <c r="AD482" i="4" s="1"/>
  <c r="AE482" i="4" s="1"/>
  <c r="AF482" i="4" s="1"/>
  <c r="AG482" i="4" s="1"/>
  <c r="AH482" i="4" s="1"/>
  <c r="AI482" i="4" s="1"/>
  <c r="AA274" i="4"/>
  <c r="AB274" i="4" s="1"/>
  <c r="AC274" i="4" s="1"/>
  <c r="AD274" i="4" s="1"/>
  <c r="AE274" i="4" s="1"/>
  <c r="AF274" i="4" s="1"/>
  <c r="AG274" i="4" s="1"/>
  <c r="AH274" i="4" s="1"/>
  <c r="AI274" i="4" s="1"/>
  <c r="AB52" i="2"/>
  <c r="AE52" i="2"/>
  <c r="AO332" i="4"/>
  <c r="AO412" i="4"/>
  <c r="AM9" i="6"/>
  <c r="D4" i="11"/>
  <c r="AO77" i="1"/>
  <c r="AO81" i="1" s="1"/>
  <c r="AK63" i="2"/>
  <c r="AK64" i="2"/>
  <c r="AK79" i="2"/>
  <c r="C5" i="11"/>
  <c r="AK520" i="4"/>
  <c r="AV591" i="3"/>
  <c r="AO300" i="4"/>
  <c r="AO172" i="4"/>
  <c r="AO108" i="4"/>
  <c r="AR592" i="3"/>
  <c r="AO139" i="6"/>
  <c r="AO444" i="4"/>
  <c r="AO428" i="4"/>
  <c r="AO380" i="4"/>
  <c r="AO76" i="4"/>
  <c r="AO188" i="4"/>
  <c r="AO284" i="4"/>
  <c r="AO44" i="4"/>
  <c r="AK518" i="4"/>
  <c r="AK519" i="4"/>
  <c r="E5" i="11"/>
  <c r="AU592" i="3"/>
  <c r="AU593" i="3" s="1"/>
  <c r="AO573" i="3"/>
  <c r="AO492" i="4"/>
  <c r="AK37" i="5"/>
  <c r="AO26" i="5"/>
  <c r="AK49" i="5"/>
  <c r="AO125" i="4"/>
  <c r="AK126" i="4"/>
  <c r="AK522" i="4"/>
  <c r="AO13" i="4"/>
  <c r="AK14" i="4"/>
  <c r="AS591" i="3"/>
  <c r="AQ592" i="3"/>
  <c r="AO476" i="4"/>
  <c r="AO268" i="4"/>
  <c r="Q64" i="6"/>
  <c r="R64" i="6" s="1"/>
  <c r="S64" i="6" s="1"/>
  <c r="T64" i="6" s="1"/>
  <c r="U64" i="6" s="1"/>
  <c r="V64" i="6" s="1"/>
  <c r="W64" i="6" s="1"/>
  <c r="X64" i="6" s="1"/>
  <c r="Y64" i="6" s="1"/>
  <c r="Z64" i="6" s="1"/>
  <c r="AA64" i="6" s="1"/>
  <c r="AB64" i="6" s="1"/>
  <c r="AC64" i="6" s="1"/>
  <c r="AD64" i="6" s="1"/>
  <c r="AE64" i="6" s="1"/>
  <c r="AF64" i="6" s="1"/>
  <c r="AG64" i="6" s="1"/>
  <c r="AH64" i="6" s="1"/>
  <c r="AI64" i="6" s="1"/>
  <c r="AJ65" i="6"/>
  <c r="AO27" i="6"/>
  <c r="AO13" i="2"/>
  <c r="AA24" i="2"/>
  <c r="AE24" i="2" s="1"/>
  <c r="AB472" i="3"/>
  <c r="AE472" i="3"/>
  <c r="O245" i="4"/>
  <c r="P245" i="4" s="1"/>
  <c r="Q245" i="4" s="1"/>
  <c r="S245" i="4" s="1"/>
  <c r="T245" i="4" s="1"/>
  <c r="U245" i="4" s="1"/>
  <c r="V245" i="4" s="1"/>
  <c r="W245" i="4" s="1"/>
  <c r="X245" i="4" s="1"/>
  <c r="Y245" i="4" s="1"/>
  <c r="Z245" i="4" s="1"/>
  <c r="AA245" i="4" s="1"/>
  <c r="AB245" i="4" s="1"/>
  <c r="AC245" i="4" s="1"/>
  <c r="AD245" i="4" s="1"/>
  <c r="AE245" i="4" s="1"/>
  <c r="K213" i="4"/>
  <c r="L213" i="4" s="1"/>
  <c r="M213" i="4" s="1"/>
  <c r="N213" i="4" s="1"/>
  <c r="O213" i="4" s="1"/>
  <c r="P213" i="4" s="1"/>
  <c r="Q213" i="4" s="1"/>
  <c r="R213" i="4" s="1"/>
  <c r="S213" i="4" s="1"/>
  <c r="T213" i="4" s="1"/>
  <c r="U213" i="4" s="1"/>
  <c r="V213" i="4" s="1"/>
  <c r="W213" i="4" s="1"/>
  <c r="X213" i="4" s="1"/>
  <c r="Y213" i="4" s="1"/>
  <c r="Z213" i="4" s="1"/>
  <c r="AA213" i="4" s="1"/>
  <c r="AB213" i="4" s="1"/>
  <c r="AC213" i="4" s="1"/>
  <c r="AD213" i="4" s="1"/>
  <c r="AE213" i="4" s="1"/>
  <c r="AA512" i="1"/>
  <c r="AB512" i="1" s="1"/>
  <c r="AC512" i="1" s="1"/>
  <c r="AD512" i="1" s="1"/>
  <c r="AE512" i="1" s="1"/>
  <c r="AF512" i="1" s="1"/>
  <c r="AG512" i="1" s="1"/>
  <c r="AH512" i="1" s="1"/>
  <c r="AI512" i="1" s="1"/>
  <c r="AB136" i="3"/>
  <c r="AE136" i="3"/>
  <c r="AC9" i="4"/>
  <c r="AD9" i="4" s="1"/>
  <c r="AF9" i="4"/>
  <c r="AG9" i="4" s="1"/>
  <c r="AH9" i="4" s="1"/>
  <c r="AI9" i="4" s="1"/>
  <c r="AV530" i="4"/>
  <c r="AO204" i="4"/>
  <c r="AO55" i="2"/>
  <c r="AO27" i="2"/>
  <c r="AD38" i="2"/>
  <c r="AH38" i="2" s="1"/>
  <c r="AI38" i="2" s="1"/>
  <c r="AA38" i="2"/>
  <c r="AB38" i="2" s="1"/>
  <c r="AO41" i="2"/>
  <c r="AO92" i="4"/>
  <c r="AO13" i="3"/>
  <c r="AO13" i="6"/>
  <c r="O61" i="2"/>
  <c r="P61" i="2" s="1"/>
  <c r="Q61" i="2" s="1"/>
  <c r="R61" i="2" s="1"/>
  <c r="S61" i="2" s="1"/>
  <c r="T61" i="2" s="1"/>
  <c r="U61" i="2" s="1"/>
  <c r="V61" i="2" s="1"/>
  <c r="W61" i="2" s="1"/>
  <c r="X61" i="2" s="1"/>
  <c r="Y61" i="2" s="1"/>
  <c r="Z61" i="2" s="1"/>
  <c r="AA61" i="2" s="1"/>
  <c r="AB61" i="2" s="1"/>
  <c r="AC61" i="2" s="1"/>
  <c r="AD61" i="2" s="1"/>
  <c r="AE61" i="2" s="1"/>
  <c r="AF61" i="2" s="1"/>
  <c r="AG61" i="2" s="1"/>
  <c r="AH61" i="2" s="1"/>
  <c r="AI61" i="2" s="1"/>
  <c r="O50" i="2"/>
  <c r="P50" i="2" s="1"/>
  <c r="Q50" i="2" s="1"/>
  <c r="R50" i="2" s="1"/>
  <c r="S50" i="2" s="1"/>
  <c r="T50" i="2" s="1"/>
  <c r="U50" i="2" s="1"/>
  <c r="V50" i="2" s="1"/>
  <c r="W50" i="2" s="1"/>
  <c r="X50" i="2" s="1"/>
  <c r="Y50" i="2" s="1"/>
  <c r="Z50" i="2" s="1"/>
  <c r="AA50" i="2" s="1"/>
  <c r="AB50" i="2" s="1"/>
  <c r="AC50" i="2" s="1"/>
  <c r="AD50" i="2" s="1"/>
  <c r="AE50" i="2" s="1"/>
  <c r="AF50" i="2" s="1"/>
  <c r="AG50" i="2" s="1"/>
  <c r="AH50" i="2" s="1"/>
  <c r="AI50" i="2" s="1"/>
  <c r="O64" i="2"/>
  <c r="P64" i="2" s="1"/>
  <c r="Q64" i="2" s="1"/>
  <c r="R64" i="2" s="1"/>
  <c r="S64" i="2" s="1"/>
  <c r="T64" i="2" s="1"/>
  <c r="U64" i="2" s="1"/>
  <c r="V64" i="2" s="1"/>
  <c r="W64" i="2" s="1"/>
  <c r="X64" i="2" s="1"/>
  <c r="Y64" i="2" s="1"/>
  <c r="Z64" i="2" s="1"/>
  <c r="AA64" i="2" s="1"/>
  <c r="AB64" i="2" s="1"/>
  <c r="AC64" i="2" s="1"/>
  <c r="AD64" i="2" s="1"/>
  <c r="AE64" i="2" s="1"/>
  <c r="AF64" i="2" s="1"/>
  <c r="AG64" i="2" s="1"/>
  <c r="AH64" i="2" s="1"/>
  <c r="AI64" i="2" s="1"/>
  <c r="O47" i="2"/>
  <c r="P47" i="2" s="1"/>
  <c r="Q47" i="2" s="1"/>
  <c r="R47" i="2" s="1"/>
  <c r="S47" i="2" s="1"/>
  <c r="T47" i="2" s="1"/>
  <c r="U47" i="2" s="1"/>
  <c r="V47" i="2" s="1"/>
  <c r="W47" i="2" s="1"/>
  <c r="X47" i="2" s="1"/>
  <c r="Y47" i="2" s="1"/>
  <c r="Z47" i="2" s="1"/>
  <c r="AA47" i="2" s="1"/>
  <c r="AB47" i="2" s="1"/>
  <c r="AC47" i="2" s="1"/>
  <c r="AD47" i="2" s="1"/>
  <c r="AE47" i="2" s="1"/>
  <c r="AF47" i="2" s="1"/>
  <c r="AG47" i="2" s="1"/>
  <c r="AH47" i="2" s="1"/>
  <c r="AI47" i="2" s="1"/>
  <c r="AD10" i="2"/>
  <c r="AH10" i="2" s="1"/>
  <c r="AI10" i="2" s="1"/>
  <c r="O19" i="2"/>
  <c r="P19" i="2" s="1"/>
  <c r="Q19" i="2" s="1"/>
  <c r="R19" i="2" s="1"/>
  <c r="S19" i="2" s="1"/>
  <c r="T19" i="2" s="1"/>
  <c r="U19" i="2" s="1"/>
  <c r="V19" i="2" s="1"/>
  <c r="W19" i="2" s="1"/>
  <c r="X19" i="2" s="1"/>
  <c r="Y19" i="2" s="1"/>
  <c r="Z19" i="2" s="1"/>
  <c r="AA19" i="2" s="1"/>
  <c r="AB19" i="2" s="1"/>
  <c r="AC19" i="2" s="1"/>
  <c r="AD19" i="2" s="1"/>
  <c r="AE19" i="2" s="1"/>
  <c r="AF19" i="2" s="1"/>
  <c r="AG19" i="2" s="1"/>
  <c r="AH19" i="2" s="1"/>
  <c r="AI19" i="2" s="1"/>
  <c r="O22" i="2"/>
  <c r="P22" i="2" s="1"/>
  <c r="Q22" i="2" s="1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AF22" i="2" s="1"/>
  <c r="AG22" i="2" s="1"/>
  <c r="AH22" i="2" s="1"/>
  <c r="AI22" i="2" s="1"/>
  <c r="O33" i="2"/>
  <c r="P33" i="2" s="1"/>
  <c r="Q33" i="2" s="1"/>
  <c r="R33" i="2" s="1"/>
  <c r="S33" i="2" s="1"/>
  <c r="T33" i="2" s="1"/>
  <c r="U33" i="2" s="1"/>
  <c r="V33" i="2" s="1"/>
  <c r="W33" i="2" s="1"/>
  <c r="X33" i="2" s="1"/>
  <c r="Y33" i="2" s="1"/>
  <c r="Z33" i="2" s="1"/>
  <c r="AA33" i="2" s="1"/>
  <c r="AB33" i="2" s="1"/>
  <c r="AC33" i="2" s="1"/>
  <c r="AD33" i="2" s="1"/>
  <c r="AE33" i="2" s="1"/>
  <c r="AF33" i="2" s="1"/>
  <c r="AG33" i="2" s="1"/>
  <c r="AH33" i="2" s="1"/>
  <c r="AI33" i="2" s="1"/>
  <c r="O36" i="2"/>
  <c r="P36" i="2" s="1"/>
  <c r="Q36" i="2" s="1"/>
  <c r="R36" i="2" s="1"/>
  <c r="S36" i="2" s="1"/>
  <c r="T36" i="2" s="1"/>
  <c r="U36" i="2" s="1"/>
  <c r="V36" i="2" s="1"/>
  <c r="W36" i="2" s="1"/>
  <c r="X36" i="2" s="1"/>
  <c r="Y36" i="2" s="1"/>
  <c r="Z36" i="2" s="1"/>
  <c r="AA36" i="2" s="1"/>
  <c r="AB36" i="2" s="1"/>
  <c r="AC36" i="2" s="1"/>
  <c r="AD36" i="2" s="1"/>
  <c r="AE36" i="2" s="1"/>
  <c r="AF36" i="2" s="1"/>
  <c r="AG36" i="2" s="1"/>
  <c r="AH36" i="2" s="1"/>
  <c r="AI36" i="2" s="1"/>
  <c r="AL1194" i="1"/>
  <c r="AM1192" i="1" s="1"/>
  <c r="AL11" i="1"/>
  <c r="AM9" i="1" s="1"/>
  <c r="AL1195" i="1"/>
  <c r="AM1193" i="1" s="1"/>
  <c r="AL80" i="1"/>
  <c r="AM78" i="1" s="1"/>
  <c r="AL1043" i="1"/>
  <c r="AM1041" i="1" s="1"/>
  <c r="AL188" i="1"/>
  <c r="AM186" i="1" s="1"/>
  <c r="AL921" i="1"/>
  <c r="AM919" i="1" s="1"/>
  <c r="AL25" i="1"/>
  <c r="AM23" i="1" s="1"/>
  <c r="AL528" i="1"/>
  <c r="AM526" i="1" s="1"/>
  <c r="AL989" i="1"/>
  <c r="AM987" i="1" s="1"/>
  <c r="AL1126" i="1"/>
  <c r="AM1124" i="1" s="1"/>
  <c r="AL283" i="1"/>
  <c r="AM281" i="1" s="1"/>
  <c r="AL1167" i="1"/>
  <c r="AM1165" i="1" s="1"/>
  <c r="AL256" i="1"/>
  <c r="AL120" i="1"/>
  <c r="AM118" i="1" s="1"/>
  <c r="AL174" i="1"/>
  <c r="AM172" i="1" s="1"/>
  <c r="AL731" i="1"/>
  <c r="AM729" i="1" s="1"/>
  <c r="AL717" i="1"/>
  <c r="AM715" i="1" s="1"/>
  <c r="AL447" i="1"/>
  <c r="AM445" i="1" s="1"/>
  <c r="AL975" i="1"/>
  <c r="AM973" i="1" s="1"/>
  <c r="AL691" i="1"/>
  <c r="AM689" i="1" s="1"/>
  <c r="AL854" i="1"/>
  <c r="AL242" i="1"/>
  <c r="AL134" i="1"/>
  <c r="AM132" i="1" s="1"/>
  <c r="AL595" i="1"/>
  <c r="AM593" i="1" s="1"/>
  <c r="AL636" i="1"/>
  <c r="AM634" i="1" s="1"/>
  <c r="AL514" i="1"/>
  <c r="AM512" i="1" s="1"/>
  <c r="AL541" i="1"/>
  <c r="AM539" i="1" s="1"/>
  <c r="AL962" i="1"/>
  <c r="AM960" i="1" s="1"/>
  <c r="AL1181" i="1"/>
  <c r="AM1179" i="1" s="1"/>
  <c r="AL1029" i="1"/>
  <c r="AM1027" i="1" s="1"/>
  <c r="AL813" i="1"/>
  <c r="AM811" i="1" s="1"/>
  <c r="AL66" i="1"/>
  <c r="AM64" i="1" s="1"/>
  <c r="AL1057" i="1"/>
  <c r="AM1055" i="1" s="1"/>
  <c r="AL840" i="1"/>
  <c r="AL786" i="1"/>
  <c r="AM784" i="1" s="1"/>
  <c r="AL623" i="1"/>
  <c r="AM621" i="1" s="1"/>
  <c r="AL365" i="1"/>
  <c r="AM363" i="1" s="1"/>
  <c r="AL53" i="1"/>
  <c r="AM51" i="1" s="1"/>
  <c r="AL664" i="1"/>
  <c r="AM662" i="1" s="1"/>
  <c r="AL338" i="1"/>
  <c r="AL310" i="1"/>
  <c r="AM308" i="1" s="1"/>
  <c r="AL501" i="1"/>
  <c r="AM499" i="1" s="1"/>
  <c r="AL1112" i="1"/>
  <c r="AM1110" i="1" s="1"/>
  <c r="AL948" i="1"/>
  <c r="AM946" i="1" s="1"/>
  <c r="AL324" i="1"/>
  <c r="AM322" i="1" s="1"/>
  <c r="AL269" i="1"/>
  <c r="AM267" i="1" s="1"/>
  <c r="AL201" i="1"/>
  <c r="AL894" i="1"/>
  <c r="AM892" i="1" s="1"/>
  <c r="AL609" i="1"/>
  <c r="AM607" i="1" s="1"/>
  <c r="AL799" i="1"/>
  <c r="AM797" i="1" s="1"/>
  <c r="AL161" i="1"/>
  <c r="AM159" i="1" s="1"/>
  <c r="AL827" i="1"/>
  <c r="AM825" i="1" s="1"/>
  <c r="AL650" i="1"/>
  <c r="AM648" i="1" s="1"/>
  <c r="AL555" i="1"/>
  <c r="AM553" i="1" s="1"/>
  <c r="AL1002" i="1"/>
  <c r="AL1070" i="1"/>
  <c r="AM1068" i="1" s="1"/>
  <c r="AL1098" i="1"/>
  <c r="AM1096" i="1" s="1"/>
  <c r="AL568" i="1"/>
  <c r="AM566" i="1" s="1"/>
  <c r="AL758" i="1"/>
  <c r="AM756" i="1" s="1"/>
  <c r="AL406" i="1"/>
  <c r="AM404" i="1" s="1"/>
  <c r="AL379" i="1"/>
  <c r="AM377" i="1" s="1"/>
  <c r="AL433" i="1"/>
  <c r="AM431" i="1" s="1"/>
  <c r="AL908" i="1"/>
  <c r="AM906" i="1" s="1"/>
  <c r="AL460" i="1"/>
  <c r="AM458" i="1" s="1"/>
  <c r="AL881" i="1"/>
  <c r="AM879" i="1" s="1"/>
  <c r="AL420" i="1"/>
  <c r="AM418" i="1" s="1"/>
  <c r="AL1016" i="1"/>
  <c r="AL392" i="1"/>
  <c r="AM390" i="1" s="1"/>
  <c r="AL582" i="1"/>
  <c r="AM580" i="1" s="1"/>
  <c r="AL677" i="1"/>
  <c r="AM675" i="1" s="1"/>
  <c r="AL704" i="1"/>
  <c r="AM702" i="1" s="1"/>
  <c r="AL297" i="1"/>
  <c r="AM295" i="1" s="1"/>
  <c r="AL351" i="1"/>
  <c r="AL1084" i="1"/>
  <c r="AM1082" i="1" s="1"/>
  <c r="AL215" i="1"/>
  <c r="AL935" i="1"/>
  <c r="AM933" i="1" s="1"/>
  <c r="AL772" i="1"/>
  <c r="AM770" i="1" s="1"/>
  <c r="AL867" i="1"/>
  <c r="AM865" i="1" s="1"/>
  <c r="AL1153" i="1"/>
  <c r="AM1151" i="1" s="1"/>
  <c r="AL474" i="1"/>
  <c r="AM472" i="1" s="1"/>
  <c r="AL1140" i="1"/>
  <c r="AM1138" i="1" s="1"/>
  <c r="AL147" i="1"/>
  <c r="AM145" i="1" s="1"/>
  <c r="AL39" i="1"/>
  <c r="AM37" i="1" s="1"/>
  <c r="AL487" i="1"/>
  <c r="AM485" i="1" s="1"/>
  <c r="AL228" i="1"/>
  <c r="AL744" i="1"/>
  <c r="AM742" i="1" s="1"/>
  <c r="AB10" i="3"/>
  <c r="AE10" i="3"/>
  <c r="AT593" i="3"/>
  <c r="AJ84" i="2"/>
  <c r="AK82" i="2" s="1"/>
  <c r="AQ1203" i="1"/>
  <c r="AA377" i="4"/>
  <c r="AD377" i="4"/>
  <c r="AJ1196" i="1"/>
  <c r="AK1194" i="1" s="1"/>
  <c r="AE248" i="3"/>
  <c r="AB248" i="3"/>
  <c r="AE542" i="3"/>
  <c r="AB542" i="3"/>
  <c r="T78" i="6"/>
  <c r="U78" i="6" s="1"/>
  <c r="V78" i="6" s="1"/>
  <c r="W78" i="6" s="1"/>
  <c r="X78" i="6" s="1"/>
  <c r="Y78" i="6" s="1"/>
  <c r="Z78" i="6" s="1"/>
  <c r="AA78" i="6" s="1"/>
  <c r="AB78" i="6" s="1"/>
  <c r="AC78" i="6" s="1"/>
  <c r="AD78" i="6" s="1"/>
  <c r="AE78" i="6" s="1"/>
  <c r="AF78" i="6" s="1"/>
  <c r="AG78" i="6" s="1"/>
  <c r="AH78" i="6" s="1"/>
  <c r="AI78" i="6" s="1"/>
  <c r="AL507" i="4"/>
  <c r="AM505" i="4" s="1"/>
  <c r="AB220" i="3"/>
  <c r="AE220" i="3"/>
  <c r="AA508" i="1"/>
  <c r="AB508" i="1" s="1"/>
  <c r="AC508" i="1" s="1"/>
  <c r="AD508" i="1" s="1"/>
  <c r="AE508" i="1" s="1"/>
  <c r="AF508" i="1" s="1"/>
  <c r="AG508" i="1" s="1"/>
  <c r="AH508" i="1" s="1"/>
  <c r="AI508" i="1" s="1"/>
  <c r="AA440" i="1"/>
  <c r="AB440" i="1" s="1"/>
  <c r="AC440" i="1" s="1"/>
  <c r="AD440" i="1" s="1"/>
  <c r="AE440" i="1" s="1"/>
  <c r="AF440" i="1" s="1"/>
  <c r="AG440" i="1" s="1"/>
  <c r="AH440" i="1" s="1"/>
  <c r="AI440" i="1" s="1"/>
  <c r="AA467" i="1"/>
  <c r="AB467" i="1" s="1"/>
  <c r="AC467" i="1" s="1"/>
  <c r="AD467" i="1" s="1"/>
  <c r="AE467" i="1" s="1"/>
  <c r="AF467" i="1" s="1"/>
  <c r="AG467" i="1" s="1"/>
  <c r="AH467" i="1" s="1"/>
  <c r="AI467" i="1" s="1"/>
  <c r="AA454" i="1"/>
  <c r="AB454" i="1" s="1"/>
  <c r="AC454" i="1" s="1"/>
  <c r="AD454" i="1" s="1"/>
  <c r="AE454" i="1" s="1"/>
  <c r="AF454" i="1" s="1"/>
  <c r="AG454" i="1" s="1"/>
  <c r="AH454" i="1" s="1"/>
  <c r="AI454" i="1" s="1"/>
  <c r="AA427" i="1"/>
  <c r="AB427" i="1" s="1"/>
  <c r="AC427" i="1" s="1"/>
  <c r="AD427" i="1" s="1"/>
  <c r="AE427" i="1" s="1"/>
  <c r="AF427" i="1" s="1"/>
  <c r="AG427" i="1" s="1"/>
  <c r="AH427" i="1" s="1"/>
  <c r="AI427" i="1" s="1"/>
  <c r="AA399" i="1"/>
  <c r="AB399" i="1" s="1"/>
  <c r="AC399" i="1" s="1"/>
  <c r="AD399" i="1" s="1"/>
  <c r="AE399" i="1" s="1"/>
  <c r="AF399" i="1" s="1"/>
  <c r="AG399" i="1" s="1"/>
  <c r="AH399" i="1" s="1"/>
  <c r="AI399" i="1" s="1"/>
  <c r="AA331" i="1"/>
  <c r="AB331" i="1" s="1"/>
  <c r="AC331" i="1" s="1"/>
  <c r="AD331" i="1" s="1"/>
  <c r="AE331" i="1" s="1"/>
  <c r="AF331" i="1" s="1"/>
  <c r="AG331" i="1" s="1"/>
  <c r="AH331" i="1" s="1"/>
  <c r="AI331" i="1" s="1"/>
  <c r="AA372" i="1"/>
  <c r="AB372" i="1" s="1"/>
  <c r="AC372" i="1" s="1"/>
  <c r="AD372" i="1" s="1"/>
  <c r="AE372" i="1" s="1"/>
  <c r="AF372" i="1" s="1"/>
  <c r="AG372" i="1" s="1"/>
  <c r="AH372" i="1" s="1"/>
  <c r="AI372" i="1" s="1"/>
  <c r="AA386" i="1"/>
  <c r="AB386" i="1" s="1"/>
  <c r="AC386" i="1" s="1"/>
  <c r="AD386" i="1" s="1"/>
  <c r="AE386" i="1" s="1"/>
  <c r="AF386" i="1" s="1"/>
  <c r="AG386" i="1" s="1"/>
  <c r="AH386" i="1" s="1"/>
  <c r="AI386" i="1" s="1"/>
  <c r="AA358" i="1"/>
  <c r="AB358" i="1" s="1"/>
  <c r="AC358" i="1" s="1"/>
  <c r="AD358" i="1" s="1"/>
  <c r="AE358" i="1" s="1"/>
  <c r="AF358" i="1" s="1"/>
  <c r="AG358" i="1" s="1"/>
  <c r="AH358" i="1" s="1"/>
  <c r="AI358" i="1" s="1"/>
  <c r="AA320" i="1"/>
  <c r="AB320" i="1" s="1"/>
  <c r="AC320" i="1" s="1"/>
  <c r="AD320" i="1" s="1"/>
  <c r="AE320" i="1" s="1"/>
  <c r="AF320" i="1" s="1"/>
  <c r="AG320" i="1" s="1"/>
  <c r="AH320" i="1" s="1"/>
  <c r="AI320" i="1" s="1"/>
  <c r="AA413" i="1"/>
  <c r="AB413" i="1" s="1"/>
  <c r="AC413" i="1" s="1"/>
  <c r="AD413" i="1" s="1"/>
  <c r="AE413" i="1" s="1"/>
  <c r="AF413" i="1" s="1"/>
  <c r="AG413" i="1" s="1"/>
  <c r="AH413" i="1" s="1"/>
  <c r="AI413" i="1" s="1"/>
  <c r="AA317" i="1"/>
  <c r="AB317" i="1" s="1"/>
  <c r="AC317" i="1" s="1"/>
  <c r="AD317" i="1" s="1"/>
  <c r="AE317" i="1" s="1"/>
  <c r="AF317" i="1" s="1"/>
  <c r="AG317" i="1" s="1"/>
  <c r="AH317" i="1" s="1"/>
  <c r="AI317" i="1" s="1"/>
  <c r="AA494" i="1"/>
  <c r="AB494" i="1" s="1"/>
  <c r="AC494" i="1" s="1"/>
  <c r="AD494" i="1" s="1"/>
  <c r="AE494" i="1" s="1"/>
  <c r="AF494" i="1" s="1"/>
  <c r="AG494" i="1" s="1"/>
  <c r="AH494" i="1" s="1"/>
  <c r="AI494" i="1" s="1"/>
  <c r="AA481" i="1"/>
  <c r="AB481" i="1" s="1"/>
  <c r="AC481" i="1" s="1"/>
  <c r="AD481" i="1" s="1"/>
  <c r="AE481" i="1" s="1"/>
  <c r="AF481" i="1" s="1"/>
  <c r="AG481" i="1" s="1"/>
  <c r="AH481" i="1" s="1"/>
  <c r="AI481" i="1" s="1"/>
  <c r="AA497" i="1"/>
  <c r="AB497" i="1" s="1"/>
  <c r="AC497" i="1" s="1"/>
  <c r="AD497" i="1" s="1"/>
  <c r="AE497" i="1" s="1"/>
  <c r="AF497" i="1" s="1"/>
  <c r="AG497" i="1" s="1"/>
  <c r="AH497" i="1" s="1"/>
  <c r="AI497" i="1" s="1"/>
  <c r="AA483" i="1"/>
  <c r="AB483" i="1" s="1"/>
  <c r="AC483" i="1" s="1"/>
  <c r="AD483" i="1" s="1"/>
  <c r="AE483" i="1" s="1"/>
  <c r="AF483" i="1" s="1"/>
  <c r="AG483" i="1" s="1"/>
  <c r="AH483" i="1" s="1"/>
  <c r="AI483" i="1" s="1"/>
  <c r="AA470" i="1"/>
  <c r="AB470" i="1" s="1"/>
  <c r="AC470" i="1" s="1"/>
  <c r="AD470" i="1" s="1"/>
  <c r="AE470" i="1" s="1"/>
  <c r="AF470" i="1" s="1"/>
  <c r="AG470" i="1" s="1"/>
  <c r="AH470" i="1" s="1"/>
  <c r="AI470" i="1" s="1"/>
  <c r="AA456" i="1"/>
  <c r="AB456" i="1" s="1"/>
  <c r="AC456" i="1" s="1"/>
  <c r="AD456" i="1" s="1"/>
  <c r="AE456" i="1" s="1"/>
  <c r="AF456" i="1" s="1"/>
  <c r="AG456" i="1" s="1"/>
  <c r="AH456" i="1" s="1"/>
  <c r="AI456" i="1" s="1"/>
  <c r="AA443" i="1"/>
  <c r="AB443" i="1" s="1"/>
  <c r="AC443" i="1" s="1"/>
  <c r="AD443" i="1" s="1"/>
  <c r="AE443" i="1" s="1"/>
  <c r="AF443" i="1" s="1"/>
  <c r="AG443" i="1" s="1"/>
  <c r="AH443" i="1" s="1"/>
  <c r="AI443" i="1" s="1"/>
  <c r="AA429" i="1"/>
  <c r="AB429" i="1" s="1"/>
  <c r="AC429" i="1" s="1"/>
  <c r="AD429" i="1" s="1"/>
  <c r="AE429" i="1" s="1"/>
  <c r="AF429" i="1" s="1"/>
  <c r="AG429" i="1" s="1"/>
  <c r="AH429" i="1" s="1"/>
  <c r="AI429" i="1" s="1"/>
  <c r="AA416" i="1"/>
  <c r="AB416" i="1" s="1"/>
  <c r="AC416" i="1" s="1"/>
  <c r="AD416" i="1" s="1"/>
  <c r="AE416" i="1" s="1"/>
  <c r="AF416" i="1" s="1"/>
  <c r="AG416" i="1" s="1"/>
  <c r="AH416" i="1" s="1"/>
  <c r="AI416" i="1" s="1"/>
  <c r="AA402" i="1"/>
  <c r="AB402" i="1" s="1"/>
  <c r="AC402" i="1" s="1"/>
  <c r="AD402" i="1" s="1"/>
  <c r="AE402" i="1" s="1"/>
  <c r="AF402" i="1" s="1"/>
  <c r="AG402" i="1" s="1"/>
  <c r="AH402" i="1" s="1"/>
  <c r="AI402" i="1" s="1"/>
  <c r="AA388" i="1"/>
  <c r="AB388" i="1" s="1"/>
  <c r="AC388" i="1" s="1"/>
  <c r="AD388" i="1" s="1"/>
  <c r="AE388" i="1" s="1"/>
  <c r="AF388" i="1" s="1"/>
  <c r="AG388" i="1" s="1"/>
  <c r="AH388" i="1" s="1"/>
  <c r="AI388" i="1" s="1"/>
  <c r="AA375" i="1"/>
  <c r="AB375" i="1" s="1"/>
  <c r="AC375" i="1" s="1"/>
  <c r="AD375" i="1" s="1"/>
  <c r="AE375" i="1" s="1"/>
  <c r="AF375" i="1" s="1"/>
  <c r="AG375" i="1" s="1"/>
  <c r="AH375" i="1" s="1"/>
  <c r="AI375" i="1" s="1"/>
  <c r="AA361" i="1"/>
  <c r="AB361" i="1" s="1"/>
  <c r="AC361" i="1" s="1"/>
  <c r="AD361" i="1" s="1"/>
  <c r="AE361" i="1" s="1"/>
  <c r="AF361" i="1" s="1"/>
  <c r="AG361" i="1" s="1"/>
  <c r="AH361" i="1" s="1"/>
  <c r="AI361" i="1" s="1"/>
  <c r="AA347" i="1"/>
  <c r="AB347" i="1" s="1"/>
  <c r="AC347" i="1" s="1"/>
  <c r="AD347" i="1" s="1"/>
  <c r="AE347" i="1" s="1"/>
  <c r="AF347" i="1" s="1"/>
  <c r="AG347" i="1" s="1"/>
  <c r="AH347" i="1" s="1"/>
  <c r="AI347" i="1" s="1"/>
  <c r="AA334" i="1"/>
  <c r="AB334" i="1" s="1"/>
  <c r="AC334" i="1" s="1"/>
  <c r="AD334" i="1" s="1"/>
  <c r="AE334" i="1" s="1"/>
  <c r="AF334" i="1" s="1"/>
  <c r="AG334" i="1" s="1"/>
  <c r="AH334" i="1" s="1"/>
  <c r="AI334" i="1" s="1"/>
  <c r="AL12" i="6"/>
  <c r="AQ62" i="5"/>
  <c r="AL278" i="3"/>
  <c r="AL502" i="3"/>
  <c r="AL110" i="3"/>
  <c r="AL124" i="3"/>
  <c r="AL558" i="3"/>
  <c r="AN237" i="4"/>
  <c r="AC740" i="1"/>
  <c r="AD740" i="1" s="1"/>
  <c r="AE740" i="1" s="1"/>
  <c r="AF740" i="1" s="1"/>
  <c r="AG740" i="1" s="1"/>
  <c r="AH740" i="1" s="1"/>
  <c r="AI740" i="1" s="1"/>
  <c r="AD510" i="1"/>
  <c r="AE510" i="1" s="1"/>
  <c r="AF510" i="1" s="1"/>
  <c r="AG510" i="1" s="1"/>
  <c r="AH510" i="1" s="1"/>
  <c r="AI510" i="1" s="1"/>
  <c r="AJ55" i="5"/>
  <c r="AK53" i="5" s="1"/>
  <c r="AU60" i="5"/>
  <c r="AT62" i="5"/>
  <c r="AU62" i="5"/>
  <c r="AD92" i="6"/>
  <c r="AE92" i="6" s="1"/>
  <c r="AG92" i="6" s="1"/>
  <c r="AH92" i="6" s="1"/>
  <c r="AI92" i="6" s="1"/>
  <c r="H215" i="3"/>
  <c r="I215" i="3" s="1"/>
  <c r="J215" i="3" s="1"/>
  <c r="K215" i="3" s="1"/>
  <c r="L215" i="3" s="1"/>
  <c r="M215" i="3" s="1"/>
  <c r="N215" i="3" s="1"/>
  <c r="O215" i="3" s="1"/>
  <c r="P215" i="3" s="1"/>
  <c r="Q215" i="3" s="1"/>
  <c r="R215" i="3" s="1"/>
  <c r="S215" i="3" s="1"/>
  <c r="T215" i="3" s="1"/>
  <c r="U215" i="3" s="1"/>
  <c r="V215" i="3" s="1"/>
  <c r="W215" i="3" s="1"/>
  <c r="X215" i="3" s="1"/>
  <c r="Y215" i="3" s="1"/>
  <c r="Z215" i="3" s="1"/>
  <c r="AA215" i="3" s="1"/>
  <c r="AB215" i="3" s="1"/>
  <c r="AC215" i="3" s="1"/>
  <c r="AD215" i="3" s="1"/>
  <c r="AE215" i="3" s="1"/>
  <c r="AF215" i="3" s="1"/>
  <c r="AG215" i="3" s="1"/>
  <c r="AH215" i="3" s="1"/>
  <c r="AI215" i="3" s="1"/>
  <c r="G162" i="3"/>
  <c r="H162" i="3" s="1"/>
  <c r="I162" i="3" s="1"/>
  <c r="S246" i="3"/>
  <c r="T246" i="3" s="1"/>
  <c r="U246" i="3" s="1"/>
  <c r="V246" i="3" s="1"/>
  <c r="W246" i="3" s="1"/>
  <c r="X246" i="3" s="1"/>
  <c r="Y246" i="3" s="1"/>
  <c r="Z246" i="3" s="1"/>
  <c r="AA562" i="1"/>
  <c r="AB562" i="1" s="1"/>
  <c r="AC562" i="1" s="1"/>
  <c r="AD562" i="1" s="1"/>
  <c r="AE562" i="1" s="1"/>
  <c r="AF562" i="1" s="1"/>
  <c r="AG562" i="1" s="1"/>
  <c r="AH562" i="1" s="1"/>
  <c r="AI562" i="1" s="1"/>
  <c r="AA564" i="1"/>
  <c r="AB564" i="1" s="1"/>
  <c r="AC564" i="1" s="1"/>
  <c r="AD564" i="1" s="1"/>
  <c r="AE564" i="1" s="1"/>
  <c r="AF564" i="1" s="1"/>
  <c r="AG564" i="1" s="1"/>
  <c r="AH564" i="1" s="1"/>
  <c r="AI564" i="1" s="1"/>
  <c r="AA548" i="1"/>
  <c r="AB548" i="1" s="1"/>
  <c r="AC548" i="1" s="1"/>
  <c r="AD548" i="1" s="1"/>
  <c r="AE548" i="1" s="1"/>
  <c r="AF548" i="1" s="1"/>
  <c r="AG548" i="1" s="1"/>
  <c r="AH548" i="1" s="1"/>
  <c r="AI548" i="1" s="1"/>
  <c r="AA551" i="1"/>
  <c r="AB551" i="1" s="1"/>
  <c r="AC551" i="1" s="1"/>
  <c r="AD551" i="1" s="1"/>
  <c r="AE551" i="1" s="1"/>
  <c r="AF551" i="1" s="1"/>
  <c r="AG551" i="1" s="1"/>
  <c r="AH551" i="1" s="1"/>
  <c r="AI551" i="1" s="1"/>
  <c r="AA535" i="1"/>
  <c r="AB535" i="1" s="1"/>
  <c r="AC535" i="1" s="1"/>
  <c r="AD535" i="1" s="1"/>
  <c r="AE535" i="1" s="1"/>
  <c r="AF535" i="1" s="1"/>
  <c r="AG535" i="1" s="1"/>
  <c r="AH535" i="1" s="1"/>
  <c r="AI535" i="1" s="1"/>
  <c r="AA537" i="1"/>
  <c r="AB537" i="1" s="1"/>
  <c r="AC537" i="1" s="1"/>
  <c r="AD537" i="1" s="1"/>
  <c r="AE537" i="1" s="1"/>
  <c r="AF537" i="1" s="1"/>
  <c r="AG537" i="1" s="1"/>
  <c r="AH537" i="1" s="1"/>
  <c r="AI537" i="1" s="1"/>
  <c r="AA521" i="1"/>
  <c r="AB521" i="1" s="1"/>
  <c r="AC521" i="1" s="1"/>
  <c r="AD521" i="1" s="1"/>
  <c r="AE521" i="1" s="1"/>
  <c r="AF521" i="1" s="1"/>
  <c r="AG521" i="1" s="1"/>
  <c r="AH521" i="1" s="1"/>
  <c r="AI521" i="1" s="1"/>
  <c r="AA524" i="1"/>
  <c r="AB524" i="1" s="1"/>
  <c r="AC524" i="1" s="1"/>
  <c r="AD524" i="1" s="1"/>
  <c r="AE524" i="1" s="1"/>
  <c r="AF524" i="1" s="1"/>
  <c r="AG524" i="1" s="1"/>
  <c r="AH524" i="1" s="1"/>
  <c r="AI524" i="1" s="1"/>
  <c r="AR62" i="5"/>
  <c r="H106" i="6"/>
  <c r="I106" i="6" s="1"/>
  <c r="J106" i="6" s="1"/>
  <c r="K106" i="6" s="1"/>
  <c r="L106" i="6" s="1"/>
  <c r="M106" i="6" s="1"/>
  <c r="N106" i="6" s="1"/>
  <c r="O106" i="6" s="1"/>
  <c r="P106" i="6" s="1"/>
  <c r="Q106" i="6" s="1"/>
  <c r="R106" i="6" s="1"/>
  <c r="S106" i="6" s="1"/>
  <c r="T106" i="6" s="1"/>
  <c r="U106" i="6" s="1"/>
  <c r="V106" i="6" s="1"/>
  <c r="W106" i="6" s="1"/>
  <c r="X106" i="6" s="1"/>
  <c r="Y106" i="6" s="1"/>
  <c r="Z106" i="6" s="1"/>
  <c r="AA106" i="6" s="1"/>
  <c r="AB106" i="6" s="1"/>
  <c r="AC106" i="6" s="1"/>
  <c r="AD106" i="6" s="1"/>
  <c r="AE106" i="6" s="1"/>
  <c r="AF106" i="6" s="1"/>
  <c r="AG106" i="6" s="1"/>
  <c r="AH106" i="6" s="1"/>
  <c r="AI106" i="6" s="1"/>
  <c r="AE304" i="3"/>
  <c r="AB304" i="3"/>
  <c r="AE234" i="3"/>
  <c r="AB234" i="3"/>
  <c r="AE10" i="2"/>
  <c r="AB10" i="2"/>
  <c r="AT187" i="6"/>
  <c r="AT189" i="6"/>
  <c r="AS62" i="5"/>
  <c r="AE24" i="6"/>
  <c r="AB24" i="6"/>
  <c r="P33" i="6"/>
  <c r="Q33" i="6" s="1"/>
  <c r="R33" i="6" s="1"/>
  <c r="S33" i="6" s="1"/>
  <c r="T33" i="6" s="1"/>
  <c r="U33" i="6" s="1"/>
  <c r="V33" i="6" s="1"/>
  <c r="W33" i="6" s="1"/>
  <c r="X33" i="6" s="1"/>
  <c r="Y33" i="6" s="1"/>
  <c r="Z33" i="6" s="1"/>
  <c r="AA33" i="6" s="1"/>
  <c r="AB33" i="6" s="1"/>
  <c r="AC33" i="6" s="1"/>
  <c r="AD33" i="6" s="1"/>
  <c r="AE33" i="6" s="1"/>
  <c r="AF33" i="6" s="1"/>
  <c r="AG33" i="6" s="1"/>
  <c r="AH33" i="6" s="1"/>
  <c r="AI33" i="6" s="1"/>
  <c r="AR60" i="5"/>
  <c r="AF36" i="6"/>
  <c r="AG36" i="6" s="1"/>
  <c r="AH36" i="6" s="1"/>
  <c r="AI36" i="6" s="1"/>
  <c r="AF57" i="4"/>
  <c r="AG57" i="4" s="1"/>
  <c r="AH57" i="4" s="1"/>
  <c r="AI57" i="4" s="1"/>
  <c r="AC57" i="4"/>
  <c r="AD57" i="4" s="1"/>
  <c r="AD73" i="4"/>
  <c r="AA73" i="4"/>
  <c r="AS60" i="5"/>
  <c r="AV59" i="5"/>
  <c r="AT60" i="5"/>
  <c r="AV58" i="5"/>
  <c r="AV61" i="5"/>
  <c r="AQ60" i="5"/>
  <c r="AU187" i="6"/>
  <c r="AH66" i="6"/>
  <c r="AI66" i="6" s="1"/>
  <c r="AE66" i="6"/>
  <c r="AF66" i="6" s="1"/>
  <c r="AD361" i="4"/>
  <c r="AA361" i="4"/>
  <c r="AR1203" i="1"/>
  <c r="AV1199" i="1"/>
  <c r="AB360" i="3"/>
  <c r="AE360" i="3"/>
  <c r="AV86" i="2"/>
  <c r="AA105" i="4"/>
  <c r="AD105" i="4"/>
  <c r="AU1203" i="1"/>
  <c r="AS189" i="6"/>
  <c r="AQ189" i="6"/>
  <c r="AV188" i="6"/>
  <c r="AU189" i="6"/>
  <c r="AT1203" i="1"/>
  <c r="AV1202" i="1"/>
  <c r="AS187" i="6"/>
  <c r="AF360" i="3"/>
  <c r="AC360" i="3"/>
  <c r="AG360" i="3" s="1"/>
  <c r="AH38" i="6"/>
  <c r="AI38" i="6" s="1"/>
  <c r="AE38" i="6"/>
  <c r="AF38" i="6" s="1"/>
  <c r="AS1203" i="1"/>
  <c r="F211" i="1"/>
  <c r="F184" i="1"/>
  <c r="AL1191" i="1"/>
  <c r="AM1189" i="1" s="1"/>
  <c r="AL1193" i="1"/>
  <c r="AM1191" i="1" s="1"/>
  <c r="AL1192" i="1"/>
  <c r="AM1190" i="1" s="1"/>
  <c r="AJ182" i="6"/>
  <c r="AB458" i="3"/>
  <c r="AE458" i="3"/>
  <c r="AE24" i="3"/>
  <c r="AB24" i="3"/>
  <c r="AB94" i="3"/>
  <c r="AC94" i="3" s="1"/>
  <c r="AE94" i="3"/>
  <c r="AB570" i="3"/>
  <c r="AE570" i="3"/>
  <c r="AB290" i="3"/>
  <c r="AE290" i="3"/>
  <c r="AB332" i="3"/>
  <c r="AE332" i="3"/>
  <c r="AE150" i="3"/>
  <c r="AB150" i="3"/>
  <c r="AB206" i="3"/>
  <c r="AE206" i="3"/>
  <c r="AE80" i="3"/>
  <c r="AB80" i="3"/>
  <c r="AB486" i="3"/>
  <c r="AE486" i="3"/>
  <c r="AB346" i="3"/>
  <c r="AE346" i="3"/>
  <c r="AJ525" i="4"/>
  <c r="AK523" i="4" s="1"/>
  <c r="AQ187" i="6"/>
  <c r="AV1200" i="1"/>
  <c r="AV14" i="1"/>
  <c r="AV13" i="1"/>
  <c r="AV89" i="2"/>
  <c r="AR90" i="2"/>
  <c r="AR189" i="6"/>
  <c r="AV186" i="6"/>
  <c r="AJ177" i="6" l="1"/>
  <c r="G85" i="13"/>
  <c r="K85" i="13" s="1"/>
  <c r="L85" i="13" s="1"/>
  <c r="AF402" i="3"/>
  <c r="AC402" i="3"/>
  <c r="AG402" i="3" s="1"/>
  <c r="AF416" i="3"/>
  <c r="AC416" i="3"/>
  <c r="AG416" i="3" s="1"/>
  <c r="AQ262" i="10"/>
  <c r="AR531" i="4"/>
  <c r="R313" i="4"/>
  <c r="S313" i="4" s="1"/>
  <c r="T313" i="4" s="1"/>
  <c r="U313" i="4" s="1"/>
  <c r="V313" i="4" s="1"/>
  <c r="W313" i="4" s="1"/>
  <c r="X313" i="4" s="1"/>
  <c r="R311" i="4"/>
  <c r="S311" i="4" s="1"/>
  <c r="T311" i="4" s="1"/>
  <c r="U311" i="4" s="1"/>
  <c r="V311" i="4" s="1"/>
  <c r="W311" i="4" s="1"/>
  <c r="X311" i="4" s="1"/>
  <c r="AF52" i="2"/>
  <c r="AC52" i="2"/>
  <c r="E4" i="11"/>
  <c r="I4" i="11" s="1"/>
  <c r="AB24" i="2"/>
  <c r="AC24" i="2" s="1"/>
  <c r="AG24" i="2" s="1"/>
  <c r="AS593" i="3"/>
  <c r="AV592" i="3"/>
  <c r="AO65" i="6"/>
  <c r="AO69" i="6" s="1"/>
  <c r="AJ68" i="6"/>
  <c r="AC472" i="3"/>
  <c r="AG472" i="3" s="1"/>
  <c r="AF472" i="3"/>
  <c r="AV88" i="2"/>
  <c r="AT90" i="2"/>
  <c r="AE38" i="2"/>
  <c r="AC136" i="3"/>
  <c r="AG136" i="3" s="1"/>
  <c r="AF136" i="3"/>
  <c r="J162" i="3"/>
  <c r="K162" i="3" s="1"/>
  <c r="L162" i="3" s="1"/>
  <c r="M162" i="3" s="1"/>
  <c r="N162" i="3" s="1"/>
  <c r="O162" i="3" s="1"/>
  <c r="P162" i="3" s="1"/>
  <c r="Q162" i="3" s="1"/>
  <c r="R162" i="3" s="1"/>
  <c r="S162" i="3" s="1"/>
  <c r="T162" i="3" s="1"/>
  <c r="U162" i="3" s="1"/>
  <c r="V162" i="3" s="1"/>
  <c r="W162" i="3" s="1"/>
  <c r="X162" i="3" s="1"/>
  <c r="Y162" i="3" s="1"/>
  <c r="Z162" i="3" s="1"/>
  <c r="AA162" i="3" s="1"/>
  <c r="AB162" i="3" s="1"/>
  <c r="AC162" i="3" s="1"/>
  <c r="AD162" i="3" s="1"/>
  <c r="AE162" i="3" s="1"/>
  <c r="AF162" i="3" s="1"/>
  <c r="AG162" i="3" s="1"/>
  <c r="AH162" i="3" s="1"/>
  <c r="AI162" i="3" s="1"/>
  <c r="AC10" i="3"/>
  <c r="AG10" i="3" s="1"/>
  <c r="AF10" i="3"/>
  <c r="AR593" i="3"/>
  <c r="AQ593" i="3"/>
  <c r="AB377" i="4"/>
  <c r="AF377" i="4" s="1"/>
  <c r="AG377" i="4" s="1"/>
  <c r="AH377" i="4" s="1"/>
  <c r="AI377" i="4" s="1"/>
  <c r="AE377" i="4"/>
  <c r="AF248" i="3"/>
  <c r="AC248" i="3"/>
  <c r="AG248" i="3" s="1"/>
  <c r="AF542" i="3"/>
  <c r="AC542" i="3"/>
  <c r="AG542" i="3" s="1"/>
  <c r="AF220" i="3"/>
  <c r="AC220" i="3"/>
  <c r="AG220" i="3" s="1"/>
  <c r="AA246" i="3"/>
  <c r="AB246" i="3" s="1"/>
  <c r="AC246" i="3" s="1"/>
  <c r="AD246" i="3" s="1"/>
  <c r="AE246" i="3" s="1"/>
  <c r="AF246" i="3" s="1"/>
  <c r="AG246" i="3" s="1"/>
  <c r="AH246" i="3" s="1"/>
  <c r="AI246" i="3" s="1"/>
  <c r="AF304" i="3"/>
  <c r="AC304" i="3"/>
  <c r="AG304" i="3" s="1"/>
  <c r="AC234" i="3"/>
  <c r="AG234" i="3" s="1"/>
  <c r="AF234" i="3"/>
  <c r="AC10" i="2"/>
  <c r="AG10" i="2" s="1"/>
  <c r="AF10" i="2"/>
  <c r="AF24" i="6"/>
  <c r="AC24" i="6"/>
  <c r="AG24" i="6" s="1"/>
  <c r="AV62" i="5"/>
  <c r="AE73" i="4"/>
  <c r="AB73" i="4"/>
  <c r="AF73" i="4" s="1"/>
  <c r="AG73" i="4" s="1"/>
  <c r="AH73" i="4" s="1"/>
  <c r="AI73" i="4" s="1"/>
  <c r="AV60" i="5"/>
  <c r="AB361" i="4"/>
  <c r="AF361" i="4" s="1"/>
  <c r="AG361" i="4" s="1"/>
  <c r="AH361" i="4" s="1"/>
  <c r="AI361" i="4" s="1"/>
  <c r="AE361" i="4"/>
  <c r="AV1204" i="1"/>
  <c r="AV1205" i="1"/>
  <c r="AC38" i="2"/>
  <c r="AG38" i="2" s="1"/>
  <c r="AF38" i="2"/>
  <c r="AE105" i="4"/>
  <c r="AB105" i="4"/>
  <c r="AF105" i="4" s="1"/>
  <c r="AG105" i="4" s="1"/>
  <c r="AH105" i="4" s="1"/>
  <c r="AI105" i="4" s="1"/>
  <c r="AV1203" i="1"/>
  <c r="G211" i="1"/>
  <c r="F224" i="1"/>
  <c r="G184" i="1"/>
  <c r="F197" i="1"/>
  <c r="AV1201" i="1"/>
  <c r="AL1196" i="1"/>
  <c r="AM1194" i="1" s="1"/>
  <c r="AV189" i="6"/>
  <c r="AF458" i="3"/>
  <c r="AC458" i="3"/>
  <c r="AG458" i="3" s="1"/>
  <c r="AC346" i="3"/>
  <c r="AG346" i="3" s="1"/>
  <c r="AF346" i="3"/>
  <c r="AF332" i="3"/>
  <c r="AC332" i="3"/>
  <c r="AG332" i="3" s="1"/>
  <c r="AF94" i="3"/>
  <c r="AG94" i="3"/>
  <c r="AF80" i="3"/>
  <c r="AC80" i="3"/>
  <c r="AG80" i="3" s="1"/>
  <c r="AF486" i="3"/>
  <c r="AC486" i="3"/>
  <c r="AG486" i="3" s="1"/>
  <c r="AF570" i="3"/>
  <c r="AC570" i="3"/>
  <c r="AG570" i="3" s="1"/>
  <c r="AF206" i="3"/>
  <c r="AC206" i="3"/>
  <c r="AG206" i="3" s="1"/>
  <c r="AF290" i="3"/>
  <c r="AC290" i="3"/>
  <c r="AG290" i="3" s="1"/>
  <c r="AF150" i="3"/>
  <c r="AC150" i="3"/>
  <c r="AG150" i="3" s="1"/>
  <c r="AF24" i="3"/>
  <c r="AC24" i="3"/>
  <c r="AG24" i="3" s="1"/>
  <c r="AV87" i="2"/>
  <c r="E15" i="11" s="1"/>
  <c r="AQ116" i="2" l="1"/>
  <c r="Y311" i="4"/>
  <c r="Z311" i="4" s="1"/>
  <c r="AA311" i="4" s="1"/>
  <c r="AB311" i="4" s="1"/>
  <c r="AC311" i="4" s="1"/>
  <c r="AD311" i="4" s="1"/>
  <c r="AE311" i="4" s="1"/>
  <c r="AS531" i="4"/>
  <c r="Y313" i="4"/>
  <c r="Z313" i="4" s="1"/>
  <c r="AA313" i="4" s="1"/>
  <c r="AB313" i="4" s="1"/>
  <c r="AC313" i="4" s="1"/>
  <c r="AD313" i="4" s="1"/>
  <c r="AE313" i="4" s="1"/>
  <c r="AF24" i="2"/>
  <c r="C7" i="11"/>
  <c r="C18" i="11" s="1"/>
  <c r="C15" i="11"/>
  <c r="C6" i="11"/>
  <c r="C16" i="11" s="1"/>
  <c r="AV593" i="3"/>
  <c r="AV90" i="2"/>
  <c r="G197" i="1"/>
  <c r="H184" i="1"/>
  <c r="G224" i="1"/>
  <c r="H211" i="1"/>
  <c r="AF311" i="4" l="1"/>
  <c r="AT531" i="4"/>
  <c r="AF313" i="4"/>
  <c r="AG313" i="4" s="1"/>
  <c r="AH313" i="4" s="1"/>
  <c r="AI313" i="4" s="1"/>
  <c r="AS262" i="10"/>
  <c r="AS116" i="2"/>
  <c r="H197" i="1"/>
  <c r="I184" i="1"/>
  <c r="I211" i="1"/>
  <c r="H224" i="1"/>
  <c r="AG311" i="4" l="1"/>
  <c r="AH311" i="4" s="1"/>
  <c r="AI311" i="4" s="1"/>
  <c r="AT262" i="10"/>
  <c r="AT116" i="2"/>
  <c r="J184" i="1"/>
  <c r="I197" i="1"/>
  <c r="J211" i="1"/>
  <c r="I224" i="1"/>
  <c r="AV528" i="4" l="1"/>
  <c r="K211" i="1"/>
  <c r="J224" i="1"/>
  <c r="K184" i="1"/>
  <c r="J197" i="1"/>
  <c r="AV527" i="4" l="1"/>
  <c r="C17" i="11" s="1"/>
  <c r="AV531" i="4"/>
  <c r="K197" i="1"/>
  <c r="L184" i="1"/>
  <c r="K224" i="1"/>
  <c r="L211" i="1"/>
  <c r="AV529" i="4" l="1"/>
  <c r="L197" i="1"/>
  <c r="M184" i="1"/>
  <c r="M211" i="1"/>
  <c r="L224" i="1"/>
  <c r="N184" i="1" l="1"/>
  <c r="M197" i="1"/>
  <c r="N211" i="1"/>
  <c r="M224" i="1"/>
  <c r="O211" i="1" l="1"/>
  <c r="N224" i="1"/>
  <c r="O184" i="1"/>
  <c r="N197" i="1"/>
  <c r="O197" i="1" l="1"/>
  <c r="P184" i="1"/>
  <c r="O224" i="1"/>
  <c r="P211" i="1"/>
  <c r="Q211" i="1" l="1"/>
  <c r="P224" i="1"/>
  <c r="P197" i="1"/>
  <c r="Q184" i="1"/>
  <c r="R184" i="1" l="1"/>
  <c r="Q197" i="1"/>
  <c r="R211" i="1"/>
  <c r="Q224" i="1"/>
  <c r="S211" i="1" l="1"/>
  <c r="R224" i="1"/>
  <c r="S184" i="1"/>
  <c r="R197" i="1"/>
  <c r="S197" i="1" l="1"/>
  <c r="T184" i="1"/>
  <c r="S224" i="1"/>
  <c r="T211" i="1"/>
  <c r="T197" i="1" l="1"/>
  <c r="U184" i="1"/>
  <c r="U211" i="1"/>
  <c r="T224" i="1"/>
  <c r="V184" i="1" l="1"/>
  <c r="U197" i="1"/>
  <c r="V211" i="1"/>
  <c r="U224" i="1"/>
  <c r="W211" i="1" l="1"/>
  <c r="V224" i="1"/>
  <c r="W184" i="1"/>
  <c r="V197" i="1"/>
  <c r="W197" i="1" l="1"/>
  <c r="X184" i="1"/>
  <c r="W224" i="1"/>
  <c r="X211" i="1"/>
  <c r="X197" i="1" l="1"/>
  <c r="Y184" i="1"/>
  <c r="Y211" i="1"/>
  <c r="X224" i="1"/>
  <c r="Z184" i="1" l="1"/>
  <c r="Y197" i="1"/>
  <c r="Z211" i="1"/>
  <c r="Y224" i="1"/>
  <c r="AA211" i="1" l="1"/>
  <c r="Z224" i="1"/>
  <c r="AA184" i="1"/>
  <c r="Z197" i="1"/>
  <c r="AA197" i="1" l="1"/>
  <c r="AB184" i="1"/>
  <c r="AA224" i="1"/>
  <c r="AB211" i="1"/>
  <c r="AC211" i="1" l="1"/>
  <c r="AB224" i="1"/>
  <c r="AB197" i="1"/>
  <c r="AC184" i="1"/>
  <c r="AD184" i="1" l="1"/>
  <c r="AC197" i="1"/>
  <c r="AD211" i="1"/>
  <c r="AC224" i="1"/>
  <c r="AE211" i="1" l="1"/>
  <c r="AD224" i="1"/>
  <c r="AE184" i="1"/>
  <c r="AD197" i="1"/>
  <c r="AE197" i="1" l="1"/>
  <c r="AF184" i="1"/>
  <c r="AE224" i="1"/>
  <c r="AF211" i="1"/>
  <c r="AG211" i="1" l="1"/>
  <c r="AF224" i="1"/>
  <c r="AF197" i="1"/>
  <c r="AG184" i="1"/>
  <c r="AH184" i="1" l="1"/>
  <c r="AG197" i="1"/>
  <c r="AH211" i="1"/>
  <c r="AG224" i="1"/>
  <c r="AI211" i="1" l="1"/>
  <c r="AH224" i="1"/>
  <c r="AI184" i="1"/>
  <c r="AH197" i="1"/>
  <c r="AI197" i="1" l="1"/>
  <c r="AI224" i="1"/>
  <c r="E91" i="1" l="1"/>
  <c r="F91" i="1" s="1"/>
  <c r="G91" i="1" s="1"/>
  <c r="H91" i="1" s="1"/>
  <c r="I91" i="1" s="1"/>
  <c r="J91" i="1" s="1"/>
  <c r="K91" i="1" s="1"/>
  <c r="L91" i="1" s="1"/>
  <c r="M91" i="1" s="1"/>
  <c r="N91" i="1" s="1"/>
  <c r="O91" i="1" s="1"/>
  <c r="P91" i="1" s="1"/>
  <c r="Q91" i="1" s="1"/>
  <c r="R91" i="1" s="1"/>
  <c r="S91" i="1" s="1"/>
  <c r="T91" i="1" s="1"/>
  <c r="U91" i="1" s="1"/>
  <c r="V91" i="1" s="1"/>
  <c r="W91" i="1" s="1"/>
  <c r="X91" i="1" s="1"/>
  <c r="Y91" i="1" s="1"/>
  <c r="Z91" i="1" s="1"/>
  <c r="AA91" i="1" s="1"/>
  <c r="AB91" i="1" s="1"/>
  <c r="AC91" i="1" s="1"/>
  <c r="AD91" i="1" s="1"/>
  <c r="AE91" i="1" s="1"/>
  <c r="AF91" i="1" s="1"/>
  <c r="AG91" i="1" s="1"/>
  <c r="AH91" i="1" s="1"/>
  <c r="AI91" i="1" s="1"/>
  <c r="E93" i="1"/>
  <c r="AR185" i="6" l="1"/>
  <c r="AR116" i="2" s="1"/>
  <c r="AR262" i="10" l="1"/>
  <c r="AR187" i="6"/>
  <c r="AV187" i="6" s="1"/>
  <c r="AV185" i="6"/>
  <c r="E17" i="11" s="1"/>
  <c r="E6" i="11" l="1"/>
  <c r="E16" i="11" s="1"/>
  <c r="E7" i="11"/>
  <c r="E18" i="11" s="1"/>
  <c r="E70" i="9" l="1"/>
  <c r="E12" i="9"/>
  <c r="AJ11" i="9"/>
  <c r="AJ66" i="9" s="1"/>
  <c r="AK65" i="9" s="1"/>
  <c r="E17" i="9"/>
  <c r="E22" i="9" s="1"/>
  <c r="F22" i="9" l="1"/>
  <c r="G22" i="9" s="1"/>
  <c r="H22" i="9" s="1"/>
  <c r="I22" i="9" s="1"/>
  <c r="J22" i="9" s="1"/>
  <c r="K22" i="9" s="1"/>
  <c r="L22" i="9" s="1"/>
  <c r="M22" i="9" s="1"/>
  <c r="N22" i="9" s="1"/>
  <c r="O22" i="9" s="1"/>
  <c r="P22" i="9" s="1"/>
  <c r="Q22" i="9" s="1"/>
  <c r="R22" i="9" s="1"/>
  <c r="S22" i="9" s="1"/>
  <c r="T22" i="9" s="1"/>
  <c r="U22" i="9" s="1"/>
  <c r="V22" i="9" s="1"/>
  <c r="W22" i="9" s="1"/>
  <c r="X22" i="9" s="1"/>
  <c r="Y22" i="9" s="1"/>
  <c r="Z22" i="9" s="1"/>
  <c r="AA22" i="9" s="1"/>
  <c r="AB22" i="9" s="1"/>
  <c r="AC22" i="9" s="1"/>
  <c r="AD22" i="9" s="1"/>
  <c r="AE22" i="9" s="1"/>
  <c r="AF22" i="9" s="1"/>
  <c r="AG22" i="9" s="1"/>
  <c r="AH22" i="9" s="1"/>
  <c r="AI22" i="9" s="1"/>
  <c r="E20" i="9"/>
  <c r="F20" i="9" s="1"/>
  <c r="G20" i="9" s="1"/>
  <c r="H20" i="9" s="1"/>
  <c r="I20" i="9" s="1"/>
  <c r="J20" i="9" s="1"/>
  <c r="K20" i="9" s="1"/>
  <c r="L20" i="9" s="1"/>
  <c r="M20" i="9" s="1"/>
  <c r="N20" i="9" s="1"/>
  <c r="O20" i="9" s="1"/>
  <c r="P20" i="9" s="1"/>
  <c r="Q20" i="9" s="1"/>
  <c r="AK9" i="9"/>
  <c r="H25" i="13" s="1"/>
  <c r="K25" i="13" s="1"/>
  <c r="L25" i="13" s="1"/>
  <c r="AQ77" i="9"/>
  <c r="AN13" i="9"/>
  <c r="AJ70" i="9"/>
  <c r="AK68" i="9" s="1"/>
  <c r="E19" i="9"/>
  <c r="F19" i="9" s="1"/>
  <c r="G19" i="9" s="1"/>
  <c r="H19" i="9" s="1"/>
  <c r="I19" i="9" s="1"/>
  <c r="J19" i="9" s="1"/>
  <c r="K19" i="9" s="1"/>
  <c r="L19" i="9" s="1"/>
  <c r="M19" i="9" s="1"/>
  <c r="N19" i="9" s="1"/>
  <c r="O19" i="9" s="1"/>
  <c r="P19" i="9" s="1"/>
  <c r="Q19" i="9" s="1"/>
  <c r="R19" i="9" s="1"/>
  <c r="S19" i="9" s="1"/>
  <c r="T19" i="9" s="1"/>
  <c r="U19" i="9" s="1"/>
  <c r="V19" i="9" s="1"/>
  <c r="W19" i="9" s="1"/>
  <c r="X19" i="9" s="1"/>
  <c r="Y19" i="9" s="1"/>
  <c r="Z19" i="9" s="1"/>
  <c r="AA19" i="9" s="1"/>
  <c r="AB19" i="9" s="1"/>
  <c r="AC19" i="9" s="1"/>
  <c r="AD19" i="9" s="1"/>
  <c r="AE19" i="9" s="1"/>
  <c r="AF19" i="9" s="1"/>
  <c r="AG19" i="9" s="1"/>
  <c r="AH19" i="9" s="1"/>
  <c r="AI19" i="9" s="1"/>
  <c r="AJ17" i="9"/>
  <c r="AK15" i="9" s="1"/>
  <c r="AJ12" i="9"/>
  <c r="AO11" i="9"/>
  <c r="AO13" i="9" s="1"/>
  <c r="D17" i="11" l="1"/>
  <c r="AK64" i="9"/>
  <c r="AK10" i="9"/>
  <c r="AQ75" i="9"/>
  <c r="AV75" i="9" s="1"/>
  <c r="AV74" i="9"/>
  <c r="AV77" i="9" s="1"/>
  <c r="K4" i="11" l="1"/>
  <c r="I17" i="11"/>
  <c r="AO543" i="3" l="1"/>
  <c r="AO545" i="3" s="1"/>
  <c r="AJ544" i="3"/>
  <c r="AN545" i="3"/>
  <c r="AK541" i="3"/>
  <c r="H19" i="13" s="1"/>
  <c r="K19" i="13" s="1"/>
  <c r="L19" i="13" s="1"/>
  <c r="AK583" i="3" l="1"/>
  <c r="D5" i="11"/>
  <c r="AJ588" i="3"/>
  <c r="D15" i="11" l="1"/>
  <c r="I5" i="11"/>
  <c r="D6" i="11"/>
  <c r="D16" i="11" s="1"/>
  <c r="D7" i="11"/>
  <c r="D18" i="11" s="1"/>
  <c r="K5" i="11" l="1"/>
  <c r="I15" i="11"/>
  <c r="I6" i="11"/>
  <c r="I16" i="11" s="1"/>
  <c r="I7" i="11"/>
  <c r="I18" i="11" s="1"/>
  <c r="K6" i="11" l="1"/>
  <c r="K7" i="11"/>
  <c r="AL40" i="2" l="1"/>
  <c r="AM38" i="2" s="1"/>
  <c r="AL43" i="2"/>
  <c r="AM41" i="2" s="1"/>
  <c r="AL41" i="2"/>
  <c r="AM39" i="2" s="1"/>
  <c r="AL42" i="2"/>
  <c r="AM40" i="2" s="1"/>
  <c r="AL37" i="2"/>
  <c r="AL39" i="2"/>
  <c r="AM37" i="2" s="1"/>
  <c r="AM35" i="2" l="1"/>
  <c r="AR14" i="10" l="1"/>
  <c r="AS15" i="10"/>
  <c r="AR15" i="10"/>
  <c r="AL13" i="10"/>
  <c r="AM11" i="10" s="1"/>
  <c r="AU14" i="10"/>
  <c r="AT14" i="10"/>
  <c r="AU15" i="10"/>
  <c r="AQ14" i="10"/>
  <c r="AL14" i="10"/>
  <c r="AM12" i="10" s="1"/>
  <c r="AS14" i="10"/>
  <c r="AQ15" i="10"/>
  <c r="AL15" i="10"/>
  <c r="AM13" i="10" s="1"/>
  <c r="AL12" i="10"/>
  <c r="AM10" i="10" s="1"/>
  <c r="AT15" i="10"/>
  <c r="AL11" i="10"/>
  <c r="AM9" i="10" s="1"/>
  <c r="J64" i="13" s="1"/>
  <c r="AL9" i="10"/>
  <c r="I64" i="13" s="1"/>
  <c r="AV15" i="10" l="1"/>
  <c r="AV14" i="10"/>
  <c r="AU40" i="10" l="1"/>
  <c r="AS41" i="10"/>
  <c r="AT41" i="10"/>
  <c r="AL41" i="10"/>
  <c r="AM39" i="10" s="1"/>
  <c r="AL38" i="10"/>
  <c r="AM36" i="10" s="1"/>
  <c r="AR41" i="10"/>
  <c r="AR40" i="10"/>
  <c r="AS40" i="10"/>
  <c r="AU41" i="10"/>
  <c r="AL37" i="10"/>
  <c r="AM35" i="10" s="1"/>
  <c r="J66" i="13" s="1"/>
  <c r="AQ41" i="10"/>
  <c r="AT40" i="10"/>
  <c r="AL39" i="10"/>
  <c r="AM37" i="10" s="1"/>
  <c r="AL35" i="10"/>
  <c r="I66" i="13" s="1"/>
  <c r="AQ40" i="10"/>
  <c r="AV41" i="10" l="1"/>
  <c r="AV40" i="10"/>
  <c r="AM33" i="10"/>
  <c r="AT68" i="10"/>
  <c r="AU68" i="10"/>
  <c r="AR68" i="10"/>
  <c r="AU67" i="10"/>
  <c r="AL66" i="10"/>
  <c r="AL65" i="10"/>
  <c r="AM63" i="10" s="1"/>
  <c r="AR67" i="10"/>
  <c r="AL68" i="10"/>
  <c r="AM66" i="10" s="1"/>
  <c r="AS68" i="10"/>
  <c r="AQ67" i="10"/>
  <c r="AS67" i="10"/>
  <c r="AT67" i="10"/>
  <c r="AQ68" i="10"/>
  <c r="AL62" i="10"/>
  <c r="AM60" i="10" s="1"/>
  <c r="AL64" i="10"/>
  <c r="AM62" i="10" s="1"/>
  <c r="AV68" i="10" l="1"/>
  <c r="AM64" i="10"/>
  <c r="AV67" i="10"/>
  <c r="AU154" i="3" l="1"/>
  <c r="AU155" i="3"/>
  <c r="AT154" i="3"/>
  <c r="AR154" i="3"/>
  <c r="AL154" i="3"/>
  <c r="AL155" i="3"/>
  <c r="AR155" i="3"/>
  <c r="AT155" i="3"/>
  <c r="AS155" i="3"/>
  <c r="AL153" i="3"/>
  <c r="AS154" i="3"/>
  <c r="AL152" i="3"/>
  <c r="AQ154" i="3"/>
  <c r="AQ155" i="3"/>
  <c r="AL149" i="3"/>
  <c r="I8" i="13" s="1"/>
  <c r="AL151" i="3"/>
  <c r="AM149" i="3" s="1"/>
  <c r="J8" i="13" s="1"/>
  <c r="AV154" i="3" l="1"/>
  <c r="AV155" i="3"/>
  <c r="AS169" i="3"/>
  <c r="AL169" i="3"/>
  <c r="AT169" i="3"/>
  <c r="AR169" i="3"/>
  <c r="AU169" i="3"/>
  <c r="AT168" i="3"/>
  <c r="AU168" i="3"/>
  <c r="AS168" i="3"/>
  <c r="AR168" i="3"/>
  <c r="AL167" i="3"/>
  <c r="AL165" i="3"/>
  <c r="AM163" i="3" s="1"/>
  <c r="AQ169" i="3"/>
  <c r="AL168" i="3"/>
  <c r="AL166" i="3"/>
  <c r="AL163" i="3"/>
  <c r="I11" i="13" s="1"/>
  <c r="AQ168" i="3"/>
  <c r="AV169" i="3" l="1"/>
  <c r="AV168" i="3"/>
  <c r="AS183" i="3"/>
  <c r="AT183" i="3"/>
  <c r="AU182" i="3"/>
  <c r="AL182" i="3"/>
  <c r="AT182" i="3"/>
  <c r="AS182" i="3"/>
  <c r="AL181" i="3"/>
  <c r="AR182" i="3"/>
  <c r="AL183" i="3"/>
  <c r="AR183" i="3"/>
  <c r="AQ183" i="3"/>
  <c r="AL179" i="3"/>
  <c r="AM177" i="3" s="1"/>
  <c r="AU183" i="3"/>
  <c r="AL180" i="3"/>
  <c r="AL177" i="3"/>
  <c r="I10" i="13" s="1"/>
  <c r="AQ182" i="3"/>
  <c r="AV182" i="3" l="1"/>
  <c r="AV183" i="3"/>
  <c r="AU196" i="3"/>
  <c r="AL196" i="3"/>
  <c r="AS196" i="3"/>
  <c r="AR196" i="3"/>
  <c r="AT197" i="3"/>
  <c r="AS197" i="3"/>
  <c r="AL197" i="3"/>
  <c r="AT196" i="3"/>
  <c r="AU197" i="3"/>
  <c r="AR197" i="3"/>
  <c r="AL193" i="3"/>
  <c r="AM191" i="3" s="1"/>
  <c r="AL194" i="3"/>
  <c r="AQ196" i="3"/>
  <c r="AL195" i="3"/>
  <c r="AQ197" i="3"/>
  <c r="AL191" i="3"/>
  <c r="AV196" i="3" l="1"/>
  <c r="AV197" i="3"/>
  <c r="AR224" i="3" l="1"/>
  <c r="AL223" i="3"/>
  <c r="AS224" i="3"/>
  <c r="AS225" i="3"/>
  <c r="AL224" i="3"/>
  <c r="AL225" i="3"/>
  <c r="AU224" i="3"/>
  <c r="AU225" i="3"/>
  <c r="AT224" i="3"/>
  <c r="AL222" i="3"/>
  <c r="AT225" i="3"/>
  <c r="AQ225" i="3"/>
  <c r="AR225" i="3"/>
  <c r="AL221" i="3"/>
  <c r="AM219" i="3" s="1"/>
  <c r="AL219" i="3"/>
  <c r="AQ224" i="3"/>
  <c r="AV225" i="3" l="1"/>
  <c r="AV224" i="3"/>
  <c r="AS252" i="3" l="1"/>
  <c r="AL251" i="3"/>
  <c r="AQ252" i="3"/>
  <c r="AS253" i="3"/>
  <c r="AT253" i="3"/>
  <c r="AT252" i="3"/>
  <c r="AL253" i="3"/>
  <c r="AR252" i="3"/>
  <c r="AR253" i="3"/>
  <c r="AQ253" i="3"/>
  <c r="AL249" i="3"/>
  <c r="AM247" i="3" s="1"/>
  <c r="AU252" i="3"/>
  <c r="AL252" i="3"/>
  <c r="AL250" i="3"/>
  <c r="AL247" i="3"/>
  <c r="AU253" i="3"/>
  <c r="AV253" i="3" l="1"/>
  <c r="AV252" i="3"/>
  <c r="AL266" i="3"/>
  <c r="AL267" i="3"/>
  <c r="AS266" i="3"/>
  <c r="AS267" i="3"/>
  <c r="AT267" i="3"/>
  <c r="AR267" i="3"/>
  <c r="AU266" i="3"/>
  <c r="AT266" i="3"/>
  <c r="AR266" i="3"/>
  <c r="AL263" i="3"/>
  <c r="AM261" i="3" s="1"/>
  <c r="AL265" i="3"/>
  <c r="AQ267" i="3"/>
  <c r="AU267" i="3"/>
  <c r="AL264" i="3"/>
  <c r="AL261" i="3"/>
  <c r="AQ266" i="3"/>
  <c r="AV266" i="3" l="1"/>
  <c r="AV267" i="3"/>
  <c r="AL294" i="3"/>
  <c r="AR295" i="3"/>
  <c r="AL295" i="3"/>
  <c r="AR294" i="3"/>
  <c r="AL293" i="3"/>
  <c r="AS295" i="3"/>
  <c r="AS294" i="3"/>
  <c r="AT295" i="3"/>
  <c r="AQ295" i="3"/>
  <c r="AU295" i="3"/>
  <c r="AT294" i="3"/>
  <c r="AQ294" i="3"/>
  <c r="AU294" i="3"/>
  <c r="AL292" i="3"/>
  <c r="AL289" i="3"/>
  <c r="AL291" i="3"/>
  <c r="AM289" i="3" l="1"/>
  <c r="AV294" i="3"/>
  <c r="AV295" i="3"/>
  <c r="AL308" i="3"/>
  <c r="AR309" i="3"/>
  <c r="AL309" i="3"/>
  <c r="AT308" i="3"/>
  <c r="AU309" i="3"/>
  <c r="AU308" i="3"/>
  <c r="AL307" i="3"/>
  <c r="AS308" i="3"/>
  <c r="AQ309" i="3"/>
  <c r="AR308" i="3"/>
  <c r="AQ308" i="3"/>
  <c r="AT309" i="3"/>
  <c r="AL306" i="3"/>
  <c r="AS309" i="3"/>
  <c r="AL303" i="3"/>
  <c r="I13" i="13" s="1"/>
  <c r="AL305" i="3"/>
  <c r="AM303" i="3" s="1"/>
  <c r="J13" i="13" s="1"/>
  <c r="AV308" i="3" l="1"/>
  <c r="AV309" i="3"/>
  <c r="AR322" i="3"/>
  <c r="AS323" i="3"/>
  <c r="AS322" i="3"/>
  <c r="AU322" i="3"/>
  <c r="AT322" i="3"/>
  <c r="AU323" i="3"/>
  <c r="AT323" i="3"/>
  <c r="AL321" i="3"/>
  <c r="AQ322" i="3"/>
  <c r="AL323" i="3"/>
  <c r="AL322" i="3"/>
  <c r="AR323" i="3"/>
  <c r="AQ323" i="3"/>
  <c r="AL320" i="3"/>
  <c r="AL317" i="3"/>
  <c r="I12" i="13" s="1"/>
  <c r="AL319" i="3"/>
  <c r="AM317" i="3" s="1"/>
  <c r="J12" i="13" s="1"/>
  <c r="AV322" i="3" l="1"/>
  <c r="AV323" i="3"/>
  <c r="AR378" i="3" l="1"/>
  <c r="AL378" i="3"/>
  <c r="AS378" i="3"/>
  <c r="AR379" i="3"/>
  <c r="AS379" i="3"/>
  <c r="AU378" i="3"/>
  <c r="AU379" i="3"/>
  <c r="AL379" i="3"/>
  <c r="AT378" i="3"/>
  <c r="AQ378" i="3"/>
  <c r="AL375" i="3"/>
  <c r="AM373" i="3" s="1"/>
  <c r="AT379" i="3"/>
  <c r="AL376" i="3"/>
  <c r="AQ379" i="3"/>
  <c r="AL373" i="3"/>
  <c r="AL377" i="3"/>
  <c r="AV378" i="3" l="1"/>
  <c r="AV379" i="3"/>
  <c r="AR393" i="3"/>
  <c r="AL392" i="3"/>
  <c r="AU393" i="3"/>
  <c r="AR392" i="3"/>
  <c r="AU392" i="3"/>
  <c r="AS393" i="3"/>
  <c r="AQ392" i="3"/>
  <c r="AT393" i="3"/>
  <c r="AT392" i="3"/>
  <c r="AL391" i="3"/>
  <c r="AL393" i="3"/>
  <c r="AS392" i="3"/>
  <c r="AQ393" i="3"/>
  <c r="AL390" i="3"/>
  <c r="AL387" i="3"/>
  <c r="I15" i="13" s="1"/>
  <c r="AL389" i="3"/>
  <c r="AV392" i="3" l="1"/>
  <c r="AV393" i="3"/>
  <c r="AM387" i="3"/>
  <c r="J15" i="13" s="1"/>
  <c r="AU435" i="3" l="1"/>
  <c r="AS435" i="3"/>
  <c r="AR434" i="3"/>
  <c r="AS434" i="3"/>
  <c r="AT434" i="3"/>
  <c r="AL433" i="3"/>
  <c r="AU434" i="3"/>
  <c r="AT435" i="3"/>
  <c r="AR435" i="3"/>
  <c r="AL434" i="3"/>
  <c r="AQ434" i="3"/>
  <c r="AL432" i="3"/>
  <c r="AQ435" i="3"/>
  <c r="AL435" i="3"/>
  <c r="AL429" i="3"/>
  <c r="AL431" i="3"/>
  <c r="AM429" i="3" s="1"/>
  <c r="AV434" i="3" l="1"/>
  <c r="AV435" i="3"/>
  <c r="AL463" i="3"/>
  <c r="AS462" i="3"/>
  <c r="AR462" i="3"/>
  <c r="AU462" i="3"/>
  <c r="AU463" i="3"/>
  <c r="AT462" i="3"/>
  <c r="AL462" i="3"/>
  <c r="AQ463" i="3"/>
  <c r="AQ462" i="3"/>
  <c r="AT463" i="3"/>
  <c r="AL461" i="3"/>
  <c r="AS463" i="3"/>
  <c r="AR463" i="3"/>
  <c r="AL459" i="3"/>
  <c r="AM457" i="3" s="1"/>
  <c r="J16" i="13" s="1"/>
  <c r="AL460" i="3"/>
  <c r="AV463" i="3" l="1"/>
  <c r="AV462" i="3"/>
  <c r="AS490" i="3" l="1"/>
  <c r="AL491" i="3"/>
  <c r="AS491" i="3"/>
  <c r="AL490" i="3"/>
  <c r="AL489" i="3"/>
  <c r="AT490" i="3"/>
  <c r="AU490" i="3"/>
  <c r="AT491" i="3"/>
  <c r="AR490" i="3"/>
  <c r="AQ490" i="3"/>
  <c r="AR491" i="3"/>
  <c r="AU491" i="3"/>
  <c r="AQ491" i="3"/>
  <c r="AL488" i="3"/>
  <c r="AL485" i="3"/>
  <c r="AL487" i="3"/>
  <c r="AM485" i="3" s="1"/>
  <c r="AV491" i="3" l="1"/>
  <c r="AV490" i="3"/>
  <c r="AT519" i="3"/>
  <c r="AT518" i="3"/>
  <c r="AS518" i="3"/>
  <c r="AL517" i="3"/>
  <c r="AR519" i="3"/>
  <c r="AL519" i="3"/>
  <c r="AU518" i="3"/>
  <c r="AL518" i="3"/>
  <c r="AU519" i="3"/>
  <c r="AR518" i="3"/>
  <c r="AS519" i="3"/>
  <c r="AL516" i="3"/>
  <c r="AQ519" i="3"/>
  <c r="AV519" i="3" s="1"/>
  <c r="AL515" i="3"/>
  <c r="AM513" i="3" s="1"/>
  <c r="AL513" i="3"/>
  <c r="AQ518" i="3"/>
  <c r="AV518" i="3" l="1"/>
  <c r="AT533" i="3"/>
  <c r="AL533" i="3"/>
  <c r="AR532" i="3"/>
  <c r="AL531" i="3"/>
  <c r="AS532" i="3"/>
  <c r="AR533" i="3"/>
  <c r="AU533" i="3"/>
  <c r="AS533" i="3"/>
  <c r="AT532" i="3"/>
  <c r="AQ532" i="3"/>
  <c r="AL529" i="3"/>
  <c r="AL532" i="3"/>
  <c r="AL530" i="3"/>
  <c r="AU532" i="3"/>
  <c r="AL527" i="3"/>
  <c r="AQ533" i="3"/>
  <c r="AV532" i="3" l="1"/>
  <c r="AV533" i="3"/>
  <c r="AM527" i="3"/>
  <c r="AL27" i="4" l="1"/>
  <c r="AM25" i="4" s="1"/>
  <c r="AL30" i="4"/>
  <c r="AM28" i="4" s="1"/>
  <c r="AL28" i="4"/>
  <c r="AM26" i="4" s="1"/>
  <c r="AL29" i="4"/>
  <c r="AM27" i="4" s="1"/>
  <c r="AL24" i="4"/>
  <c r="AM22" i="4" s="1"/>
  <c r="AL26" i="4"/>
  <c r="AM24" i="4" s="1"/>
  <c r="J31" i="13" s="1"/>
  <c r="AL107" i="4" l="1"/>
  <c r="AM105" i="4" s="1"/>
  <c r="AL110" i="4"/>
  <c r="AL109" i="4"/>
  <c r="AM107" i="4" s="1"/>
  <c r="AL108" i="4"/>
  <c r="AM106" i="4" s="1"/>
  <c r="AL104" i="4"/>
  <c r="AL106" i="4"/>
  <c r="AM104" i="4" s="1"/>
  <c r="AM102" i="4" l="1"/>
  <c r="AM108" i="4"/>
  <c r="AL171" i="4" l="1"/>
  <c r="AM169" i="4" s="1"/>
  <c r="AL172" i="4"/>
  <c r="AL174" i="4"/>
  <c r="AM172" i="4" s="1"/>
  <c r="AL173" i="4"/>
  <c r="AM171" i="4" s="1"/>
  <c r="AL168" i="4"/>
  <c r="I41" i="13" s="1"/>
  <c r="AL170" i="4"/>
  <c r="AM168" i="4" s="1"/>
  <c r="J41" i="13" s="1"/>
  <c r="AM170" i="4" l="1"/>
  <c r="AM166" i="4"/>
  <c r="AL187" i="4"/>
  <c r="AM185" i="4" s="1"/>
  <c r="AL186" i="4"/>
  <c r="AL190" i="4"/>
  <c r="AM188" i="4" s="1"/>
  <c r="AL189" i="4"/>
  <c r="AM187" i="4" s="1"/>
  <c r="AL188" i="4"/>
  <c r="AM186" i="4" s="1"/>
  <c r="AL184" i="4"/>
  <c r="AM182" i="4" l="1"/>
  <c r="I42" i="13"/>
  <c r="AM184" i="4"/>
  <c r="J42" i="13" s="1"/>
  <c r="AL219" i="4" l="1"/>
  <c r="AM217" i="4" s="1"/>
  <c r="AL220" i="4"/>
  <c r="AM218" i="4" s="1"/>
  <c r="AL221" i="4"/>
  <c r="AM219" i="4" s="1"/>
  <c r="AL222" i="4"/>
  <c r="AM220" i="4" s="1"/>
  <c r="AL218" i="4"/>
  <c r="AM216" i="4" s="1"/>
  <c r="J44" i="13" s="1"/>
  <c r="AL216" i="4"/>
  <c r="AM214" i="4" l="1"/>
  <c r="I44" i="13"/>
  <c r="AL235" i="4"/>
  <c r="AM233" i="4" s="1"/>
  <c r="AL236" i="4"/>
  <c r="AM234" i="4" s="1"/>
  <c r="AL237" i="4"/>
  <c r="AM235" i="4" s="1"/>
  <c r="AL238" i="4"/>
  <c r="AM236" i="4" s="1"/>
  <c r="AL234" i="4"/>
  <c r="AL232" i="4"/>
  <c r="AM230" i="4" s="1"/>
  <c r="AM232" i="4" l="1"/>
  <c r="J45" i="13" s="1"/>
  <c r="AL283" i="4" l="1"/>
  <c r="AM281" i="4" s="1"/>
  <c r="AL285" i="4"/>
  <c r="AM283" i="4" s="1"/>
  <c r="AL284" i="4"/>
  <c r="AM282" i="4" s="1"/>
  <c r="AL282" i="4"/>
  <c r="AM280" i="4" s="1"/>
  <c r="J48" i="13" s="1"/>
  <c r="AL286" i="4"/>
  <c r="AM284" i="4" s="1"/>
  <c r="AL280" i="4"/>
  <c r="AM278" i="4" l="1"/>
  <c r="I48" i="13"/>
  <c r="AL302" i="4"/>
  <c r="AM300" i="4" s="1"/>
  <c r="AL301" i="4"/>
  <c r="AL299" i="4"/>
  <c r="AM297" i="4" s="1"/>
  <c r="AL300" i="4"/>
  <c r="AL298" i="4"/>
  <c r="AM296" i="4" s="1"/>
  <c r="J49" i="13" s="1"/>
  <c r="AL296" i="4"/>
  <c r="AM294" i="4" l="1"/>
  <c r="I49" i="13"/>
  <c r="AM299" i="4"/>
  <c r="AM298" i="4"/>
  <c r="AL315" i="4"/>
  <c r="AM313" i="4" s="1"/>
  <c r="AL318" i="4"/>
  <c r="AM316" i="4" s="1"/>
  <c r="AL316" i="4"/>
  <c r="AM314" i="4" s="1"/>
  <c r="AL317" i="4"/>
  <c r="AM315" i="4" s="1"/>
  <c r="AL314" i="4"/>
  <c r="AL312" i="4"/>
  <c r="I50" i="13" s="1"/>
  <c r="AM310" i="4" l="1"/>
  <c r="AM312" i="4"/>
  <c r="J50" i="13" s="1"/>
  <c r="AL350" i="4" l="1"/>
  <c r="AM348" i="4" s="1"/>
  <c r="AL347" i="4"/>
  <c r="AM345" i="4" s="1"/>
  <c r="AL349" i="4"/>
  <c r="AM347" i="4" s="1"/>
  <c r="AL346" i="4"/>
  <c r="AM344" i="4" s="1"/>
  <c r="AL348" i="4"/>
  <c r="AM346" i="4" s="1"/>
  <c r="AL344" i="4"/>
  <c r="AM342" i="4" s="1"/>
  <c r="AL12" i="8" l="1"/>
  <c r="AM10" i="8" s="1"/>
  <c r="AT15" i="8"/>
  <c r="AU15" i="8"/>
  <c r="AL14" i="8"/>
  <c r="AM12" i="8" s="1"/>
  <c r="AR14" i="8"/>
  <c r="AS14" i="8"/>
  <c r="AQ15" i="8"/>
  <c r="AQ14" i="8"/>
  <c r="AS15" i="8"/>
  <c r="AR15" i="8"/>
  <c r="AT14" i="8"/>
  <c r="AU14" i="8"/>
  <c r="AL15" i="8"/>
  <c r="AL55" i="8" s="1"/>
  <c r="AM53" i="8" s="1"/>
  <c r="AL13" i="8"/>
  <c r="AM11" i="8" s="1"/>
  <c r="AL9" i="8"/>
  <c r="I27" i="13" s="1"/>
  <c r="AL11" i="8"/>
  <c r="AM9" i="8" s="1"/>
  <c r="J27" i="13" s="1"/>
  <c r="AM13" i="8" l="1"/>
  <c r="AV14" i="8"/>
  <c r="AV15" i="8"/>
  <c r="AR29" i="6" l="1"/>
  <c r="AL28" i="6"/>
  <c r="AU29" i="6"/>
  <c r="AS28" i="6"/>
  <c r="AL27" i="6"/>
  <c r="AS29" i="6"/>
  <c r="AT28" i="6"/>
  <c r="AL29" i="6"/>
  <c r="AL26" i="6"/>
  <c r="AT29" i="6"/>
  <c r="AR28" i="6"/>
  <c r="AU28" i="6"/>
  <c r="AQ29" i="6"/>
  <c r="AQ28" i="6"/>
  <c r="AL23" i="6"/>
  <c r="I82" i="13" s="1"/>
  <c r="AL25" i="6"/>
  <c r="AM23" i="6" s="1"/>
  <c r="J82" i="13" s="1"/>
  <c r="AV28" i="6" l="1"/>
  <c r="AV29" i="6"/>
  <c r="AL99" i="6" l="1"/>
  <c r="AL98" i="6"/>
  <c r="AL97" i="6"/>
  <c r="AL96" i="6"/>
  <c r="AL93" i="6"/>
  <c r="I87" i="13" s="1"/>
  <c r="AL95" i="6"/>
  <c r="AM93" i="6" l="1"/>
  <c r="J87" i="13" s="1"/>
  <c r="AL113" i="6"/>
  <c r="AL111" i="6"/>
  <c r="AL112" i="6"/>
  <c r="AL110" i="6"/>
  <c r="AL107" i="6"/>
  <c r="I88" i="13" s="1"/>
  <c r="AL109" i="6"/>
  <c r="AM107" i="6" s="1"/>
  <c r="J88" i="13" s="1"/>
  <c r="AL126" i="6" l="1"/>
  <c r="AL127" i="6"/>
  <c r="AL125" i="6"/>
  <c r="AL124" i="6"/>
  <c r="AL121" i="6"/>
  <c r="AL123" i="6"/>
  <c r="AM121" i="6" s="1"/>
  <c r="AL121" i="10" l="1"/>
  <c r="AM119" i="10" s="1"/>
  <c r="AL123" i="10"/>
  <c r="AL122" i="10"/>
  <c r="AL124" i="10"/>
  <c r="AM122" i="10" s="1"/>
  <c r="AL120" i="10"/>
  <c r="AM118" i="10" s="1"/>
  <c r="AL118" i="10"/>
  <c r="AM116" i="10" s="1"/>
  <c r="AM120" i="10" l="1"/>
  <c r="AM121" i="10"/>
  <c r="AS13" i="5" l="1"/>
  <c r="AL11" i="5"/>
  <c r="AM9" i="5" s="1"/>
  <c r="AL13" i="5"/>
  <c r="AM11" i="5" s="1"/>
  <c r="AQ14" i="5"/>
  <c r="AU14" i="5"/>
  <c r="AR13" i="5"/>
  <c r="AT14" i="5"/>
  <c r="AS14" i="5"/>
  <c r="AL12" i="5"/>
  <c r="AM10" i="5" s="1"/>
  <c r="AT13" i="5"/>
  <c r="AL10" i="5"/>
  <c r="AM8" i="5" s="1"/>
  <c r="AU13" i="5"/>
  <c r="AQ13" i="5"/>
  <c r="AL8" i="5"/>
  <c r="AR14" i="5"/>
  <c r="AV13" i="5" l="1"/>
  <c r="AV14" i="5"/>
  <c r="AL25" i="5"/>
  <c r="AM23" i="5" s="1"/>
  <c r="AL26" i="5"/>
  <c r="AM24" i="5" s="1"/>
  <c r="AL27" i="5"/>
  <c r="AM25" i="5" s="1"/>
  <c r="AL28" i="5"/>
  <c r="AM26" i="5" s="1"/>
  <c r="AL24" i="5"/>
  <c r="AL22" i="5"/>
  <c r="AM20" i="5" l="1"/>
  <c r="I21" i="13"/>
  <c r="AM22" i="5"/>
  <c r="J21" i="13" s="1"/>
  <c r="AS41" i="5"/>
  <c r="AS63" i="5" s="1"/>
  <c r="AL39" i="5"/>
  <c r="AM37" i="5" s="1"/>
  <c r="AU41" i="5"/>
  <c r="AU63" i="5" s="1"/>
  <c r="AS42" i="5"/>
  <c r="AS64" i="5" s="1"/>
  <c r="AL40" i="5"/>
  <c r="AM38" i="5" s="1"/>
  <c r="AU42" i="5"/>
  <c r="AU64" i="5" s="1"/>
  <c r="AR42" i="5"/>
  <c r="AR64" i="5" s="1"/>
  <c r="AT42" i="5"/>
  <c r="AT64" i="5" s="1"/>
  <c r="AT41" i="5"/>
  <c r="AT63" i="5" s="1"/>
  <c r="AQ42" i="5"/>
  <c r="AL42" i="5"/>
  <c r="AL54" i="5" s="1"/>
  <c r="AM52" i="5" s="1"/>
  <c r="AR41" i="5"/>
  <c r="AR63" i="5" s="1"/>
  <c r="AL41" i="5"/>
  <c r="AL53" i="5" s="1"/>
  <c r="AM51" i="5" s="1"/>
  <c r="AM39" i="5"/>
  <c r="AL38" i="5"/>
  <c r="AL51" i="5" s="1"/>
  <c r="AM36" i="5"/>
  <c r="AL36" i="5"/>
  <c r="AL50" i="5" s="1"/>
  <c r="AQ41" i="5"/>
  <c r="AQ63" i="5" s="1"/>
  <c r="AM34" i="5" l="1"/>
  <c r="AM50" i="5"/>
  <c r="AM49" i="5"/>
  <c r="AV63" i="5"/>
  <c r="AV42" i="5"/>
  <c r="AM40" i="5"/>
  <c r="AM48" i="5"/>
  <c r="AL52" i="5"/>
  <c r="AL55" i="5" s="1"/>
  <c r="AM53" i="5" s="1"/>
  <c r="AQ64" i="5"/>
  <c r="AV41" i="5"/>
  <c r="AV64" i="5" l="1"/>
  <c r="AS56" i="3" l="1"/>
  <c r="AT57" i="3"/>
  <c r="AR57" i="3"/>
  <c r="AL57" i="3"/>
  <c r="AU57" i="3"/>
  <c r="AU56" i="3"/>
  <c r="AT56" i="3"/>
  <c r="AL55" i="3"/>
  <c r="AR56" i="3"/>
  <c r="AL56" i="3"/>
  <c r="AL53" i="3"/>
  <c r="AM51" i="3" s="1"/>
  <c r="J5" i="13" s="1"/>
  <c r="AL54" i="3"/>
  <c r="AQ57" i="3"/>
  <c r="AS57" i="3"/>
  <c r="AL51" i="3"/>
  <c r="I5" i="13" s="1"/>
  <c r="AQ56" i="3"/>
  <c r="AV56" i="3" l="1"/>
  <c r="AV57" i="3"/>
  <c r="AL71" i="3"/>
  <c r="AL69" i="3"/>
  <c r="AT71" i="3"/>
  <c r="AU70" i="3"/>
  <c r="AR71" i="3"/>
  <c r="AT70" i="3"/>
  <c r="AU71" i="3"/>
  <c r="AL70" i="3"/>
  <c r="AS71" i="3"/>
  <c r="AS70" i="3"/>
  <c r="AQ70" i="3"/>
  <c r="AQ71" i="3"/>
  <c r="AL68" i="3"/>
  <c r="AL67" i="3"/>
  <c r="AM65" i="3" s="1"/>
  <c r="AL65" i="3"/>
  <c r="AR70" i="3"/>
  <c r="AV70" i="3" l="1"/>
  <c r="AV71" i="3"/>
  <c r="AL85" i="3"/>
  <c r="AL83" i="3"/>
  <c r="AL82" i="3"/>
  <c r="AL84" i="3"/>
  <c r="AL79" i="3"/>
  <c r="I4" i="13" s="1"/>
  <c r="AL81" i="3"/>
  <c r="AM79" i="3" s="1"/>
  <c r="J4" i="13" s="1"/>
  <c r="AL574" i="3" l="1"/>
  <c r="AL572" i="3"/>
  <c r="AL571" i="3"/>
  <c r="AM569" i="3" s="1"/>
  <c r="AL569" i="3"/>
  <c r="AL573" i="3"/>
  <c r="L73" i="2" l="1"/>
  <c r="AJ71" i="2"/>
  <c r="L78" i="2" l="1"/>
  <c r="M78" i="2" s="1"/>
  <c r="N78" i="2" s="1"/>
  <c r="O78" i="2" s="1"/>
  <c r="P78" i="2" s="1"/>
  <c r="Q78" i="2" s="1"/>
  <c r="R78" i="2" s="1"/>
  <c r="S78" i="2" s="1"/>
  <c r="T78" i="2" s="1"/>
  <c r="U78" i="2" s="1"/>
  <c r="V78" i="2" s="1"/>
  <c r="W78" i="2" s="1"/>
  <c r="X78" i="2" s="1"/>
  <c r="Y78" i="2" s="1"/>
  <c r="Z78" i="2" s="1"/>
  <c r="AA78" i="2" s="1"/>
  <c r="AB78" i="2" s="1"/>
  <c r="AC78" i="2" s="1"/>
  <c r="AD78" i="2" s="1"/>
  <c r="AE78" i="2" s="1"/>
  <c r="AF78" i="2" s="1"/>
  <c r="AG78" i="2" s="1"/>
  <c r="AH78" i="2" s="1"/>
  <c r="AI78" i="2" s="1"/>
  <c r="L76" i="2"/>
  <c r="M76" i="2" s="1"/>
  <c r="N76" i="2" s="1"/>
  <c r="O76" i="2" s="1"/>
  <c r="P76" i="2" s="1"/>
  <c r="Q76" i="2" s="1"/>
  <c r="R76" i="2" s="1"/>
  <c r="S76" i="2" s="1"/>
  <c r="T76" i="2" s="1"/>
  <c r="U76" i="2" s="1"/>
  <c r="V76" i="2" s="1"/>
  <c r="W76" i="2" s="1"/>
  <c r="X76" i="2" s="1"/>
  <c r="Y76" i="2" s="1"/>
  <c r="Z76" i="2" s="1"/>
  <c r="AJ73" i="2"/>
  <c r="AK71" i="2" s="1"/>
  <c r="L75" i="2"/>
  <c r="M75" i="2" s="1"/>
  <c r="N75" i="2" s="1"/>
  <c r="O75" i="2" s="1"/>
  <c r="P75" i="2" s="1"/>
  <c r="Q75" i="2" s="1"/>
  <c r="R75" i="2" s="1"/>
  <c r="S75" i="2" s="1"/>
  <c r="T75" i="2" s="1"/>
  <c r="U75" i="2" s="1"/>
  <c r="V75" i="2" s="1"/>
  <c r="W75" i="2" s="1"/>
  <c r="X75" i="2" s="1"/>
  <c r="Y75" i="2" s="1"/>
  <c r="Z75" i="2" s="1"/>
  <c r="AA75" i="2" s="1"/>
  <c r="AB75" i="2" s="1"/>
  <c r="AC75" i="2" s="1"/>
  <c r="AD75" i="2" s="1"/>
  <c r="AE75" i="2" s="1"/>
  <c r="AF75" i="2" s="1"/>
  <c r="AG75" i="2" s="1"/>
  <c r="AH75" i="2" s="1"/>
  <c r="AI75" i="2" s="1"/>
  <c r="AO67" i="2"/>
  <c r="AO69" i="2" s="1"/>
  <c r="AK69" i="2"/>
  <c r="AJ83" i="2"/>
  <c r="AK81" i="2" s="1"/>
  <c r="AE53" i="8"/>
  <c r="AE56" i="8" s="1"/>
  <c r="AE31" i="8"/>
  <c r="AJ27" i="8"/>
  <c r="AK25" i="8" s="1"/>
  <c r="AU62" i="8"/>
  <c r="AJ31" i="8" l="1"/>
  <c r="AK29" i="8" s="1"/>
  <c r="AE34" i="8"/>
  <c r="AF34" i="8" s="1"/>
  <c r="AG34" i="8" s="1"/>
  <c r="AH34" i="8" s="1"/>
  <c r="AI34" i="8" s="1"/>
  <c r="AU63" i="8"/>
  <c r="AV62" i="8"/>
  <c r="AV63" i="8" s="1"/>
  <c r="AE36" i="8"/>
  <c r="AF36" i="8" s="1"/>
  <c r="AG36" i="8" s="1"/>
  <c r="AH36" i="8" s="1"/>
  <c r="AI36" i="8" s="1"/>
  <c r="AO25" i="8"/>
  <c r="AO27" i="8" s="1"/>
  <c r="AN27" i="8"/>
  <c r="AE33" i="8"/>
  <c r="AF33" i="8" s="1"/>
  <c r="AG33" i="8" s="1"/>
  <c r="AH33" i="8" s="1"/>
  <c r="AI33" i="8" s="1"/>
  <c r="AJ53" i="8"/>
  <c r="AJ56" i="8" s="1"/>
  <c r="AK54" i="8" s="1"/>
  <c r="AL70" i="2" l="1"/>
  <c r="AM68" i="2" s="1"/>
  <c r="AL69" i="2"/>
  <c r="AM67" i="2" s="1"/>
  <c r="AT71" i="2"/>
  <c r="AS71" i="2"/>
  <c r="AQ71" i="2"/>
  <c r="AQ70" i="2"/>
  <c r="AU71" i="2"/>
  <c r="AR71" i="2"/>
  <c r="AL68" i="2"/>
  <c r="AM66" i="2" s="1"/>
  <c r="AL71" i="2"/>
  <c r="AM69" i="2" s="1"/>
  <c r="AL67" i="2"/>
  <c r="AM65" i="2" s="1"/>
  <c r="J63" i="13" s="1"/>
  <c r="AR70" i="2"/>
  <c r="AU70" i="2"/>
  <c r="AS70" i="2"/>
  <c r="AL65" i="2"/>
  <c r="I63" i="13" s="1"/>
  <c r="AT70" i="2"/>
  <c r="AV71" i="2" l="1"/>
  <c r="AV70" i="2"/>
  <c r="AL26" i="2"/>
  <c r="AM24" i="2" s="1"/>
  <c r="AU29" i="2"/>
  <c r="AT29" i="2"/>
  <c r="AS28" i="2"/>
  <c r="AU28" i="2"/>
  <c r="AR28" i="2"/>
  <c r="AS29" i="2"/>
  <c r="AR29" i="2"/>
  <c r="AL28" i="2"/>
  <c r="AM26" i="2" s="1"/>
  <c r="AL27" i="2"/>
  <c r="AM25" i="2" s="1"/>
  <c r="AL29" i="2"/>
  <c r="AM27" i="2" s="1"/>
  <c r="AT28" i="2"/>
  <c r="AQ28" i="2"/>
  <c r="AQ29" i="2"/>
  <c r="AL23" i="2"/>
  <c r="AL25" i="2"/>
  <c r="AM23" i="2" s="1"/>
  <c r="J62" i="13" s="1"/>
  <c r="AM21" i="2" l="1"/>
  <c r="I62" i="13"/>
  <c r="AV29" i="2"/>
  <c r="AV28" i="2"/>
  <c r="AT14" i="2"/>
  <c r="AR14" i="2"/>
  <c r="AR15" i="2"/>
  <c r="AU15" i="2"/>
  <c r="AQ14" i="2"/>
  <c r="AT15" i="2"/>
  <c r="AS14" i="2"/>
  <c r="AL13" i="2"/>
  <c r="AL12" i="2"/>
  <c r="AM10" i="2" s="1"/>
  <c r="AS15" i="2"/>
  <c r="AL14" i="2"/>
  <c r="AL15" i="2"/>
  <c r="AL11" i="2"/>
  <c r="AM9" i="2" s="1"/>
  <c r="J61" i="13" s="1"/>
  <c r="AQ15" i="2"/>
  <c r="AL9" i="2"/>
  <c r="I61" i="13" s="1"/>
  <c r="AU14" i="2"/>
  <c r="AV14" i="2" l="1"/>
  <c r="AV15" i="2"/>
  <c r="AM11" i="2"/>
  <c r="AM13" i="2"/>
  <c r="AM12" i="2"/>
  <c r="AR56" i="2"/>
  <c r="AR91" i="2" s="1"/>
  <c r="AT57" i="2"/>
  <c r="AT92" i="2" s="1"/>
  <c r="AL54" i="2"/>
  <c r="AM52" i="2" s="1"/>
  <c r="AU57" i="2"/>
  <c r="AU92" i="2" s="1"/>
  <c r="AT56" i="2"/>
  <c r="AT91" i="2" s="1"/>
  <c r="AS57" i="2"/>
  <c r="AS92" i="2" s="1"/>
  <c r="AL55" i="2"/>
  <c r="AL81" i="2" s="1"/>
  <c r="AU56" i="2"/>
  <c r="AU91" i="2" s="1"/>
  <c r="AQ57" i="2"/>
  <c r="AQ92" i="2" s="1"/>
  <c r="AQ56" i="2"/>
  <c r="AQ91" i="2" s="1"/>
  <c r="AS56" i="2"/>
  <c r="AS91" i="2" s="1"/>
  <c r="AL53" i="2"/>
  <c r="AM51" i="2" s="1"/>
  <c r="AL80" i="2"/>
  <c r="AM64" i="2" s="1"/>
  <c r="AL56" i="2"/>
  <c r="AL82" i="2" s="1"/>
  <c r="AM80" i="2" s="1"/>
  <c r="AR57" i="2"/>
  <c r="AR92" i="2" s="1"/>
  <c r="AL51" i="2"/>
  <c r="AM49" i="2" s="1"/>
  <c r="AL57" i="2"/>
  <c r="AL83" i="2" s="1"/>
  <c r="AM81" i="2" s="1"/>
  <c r="AM55" i="2"/>
  <c r="AV56" i="2" l="1"/>
  <c r="AL79" i="2"/>
  <c r="AM63" i="2" s="1"/>
  <c r="AM79" i="2"/>
  <c r="AM78" i="2"/>
  <c r="AM53" i="2"/>
  <c r="AM54" i="2"/>
  <c r="AL84" i="2"/>
  <c r="AM82" i="2" s="1"/>
  <c r="AV57" i="2"/>
  <c r="AV92" i="2"/>
  <c r="AV91" i="2"/>
  <c r="AM77" i="2"/>
  <c r="AL15" i="3" l="1"/>
  <c r="AT14" i="3"/>
  <c r="AU15" i="3"/>
  <c r="AQ14" i="3"/>
  <c r="AL14" i="3"/>
  <c r="AS15" i="3"/>
  <c r="AR14" i="3"/>
  <c r="AL13" i="3"/>
  <c r="AT15" i="3"/>
  <c r="AU14" i="3"/>
  <c r="AS14" i="3"/>
  <c r="AQ15" i="3"/>
  <c r="AL12" i="3"/>
  <c r="AL11" i="3"/>
  <c r="AM9" i="3" s="1"/>
  <c r="J2" i="13" s="1"/>
  <c r="AL9" i="3"/>
  <c r="I2" i="13" s="1"/>
  <c r="AR15" i="3"/>
  <c r="AV14" i="3" l="1"/>
  <c r="AV15" i="3"/>
  <c r="AT28" i="3"/>
  <c r="AR29" i="3"/>
  <c r="AU28" i="3"/>
  <c r="AL27" i="3"/>
  <c r="AS29" i="3"/>
  <c r="AQ28" i="3"/>
  <c r="AL28" i="3"/>
  <c r="AS28" i="3"/>
  <c r="AL29" i="3"/>
  <c r="AL26" i="3"/>
  <c r="AT29" i="3"/>
  <c r="AR28" i="3"/>
  <c r="AQ29" i="3"/>
  <c r="AU29" i="3"/>
  <c r="AL23" i="3"/>
  <c r="I3" i="13" s="1"/>
  <c r="AL25" i="3"/>
  <c r="AM23" i="3" s="1"/>
  <c r="J3" i="13" s="1"/>
  <c r="AV29" i="3" l="1"/>
  <c r="AV28" i="3"/>
  <c r="AQ414" i="4" l="1"/>
  <c r="AL413" i="4"/>
  <c r="AM411" i="4" s="1"/>
  <c r="AT413" i="4"/>
  <c r="AL411" i="4"/>
  <c r="AM409" i="4" s="1"/>
  <c r="AL412" i="4"/>
  <c r="AM410" i="4" s="1"/>
  <c r="AS413" i="4"/>
  <c r="AR413" i="4"/>
  <c r="AQ413" i="4"/>
  <c r="AU413" i="4"/>
  <c r="AL414" i="4"/>
  <c r="AR414" i="4"/>
  <c r="AU414" i="4"/>
  <c r="AT414" i="4"/>
  <c r="AS414" i="4"/>
  <c r="AL408" i="4"/>
  <c r="AL410" i="4"/>
  <c r="AM408" i="4" s="1"/>
  <c r="J55" i="13" s="1"/>
  <c r="AM406" i="4" l="1"/>
  <c r="I55" i="13"/>
  <c r="AV414" i="4"/>
  <c r="AM412" i="4"/>
  <c r="AV413" i="4"/>
  <c r="AT46" i="4"/>
  <c r="AS46" i="4"/>
  <c r="AL43" i="4"/>
  <c r="AM41" i="4" s="1"/>
  <c r="AL44" i="4"/>
  <c r="AM42" i="4" s="1"/>
  <c r="AT45" i="4"/>
  <c r="AR46" i="4"/>
  <c r="AS45" i="4"/>
  <c r="AL46" i="4"/>
  <c r="AM44" i="4" s="1"/>
  <c r="AL45" i="4"/>
  <c r="AM43" i="4" s="1"/>
  <c r="AQ46" i="4"/>
  <c r="AU45" i="4"/>
  <c r="AU46" i="4"/>
  <c r="AR45" i="4"/>
  <c r="AQ45" i="4"/>
  <c r="AL40" i="4"/>
  <c r="I32" i="13" s="1"/>
  <c r="AL42" i="4"/>
  <c r="AM40" i="4" s="1"/>
  <c r="J32" i="13" s="1"/>
  <c r="AM38" i="4" l="1"/>
  <c r="AV46" i="4"/>
  <c r="AV45" i="4"/>
  <c r="AR61" i="4"/>
  <c r="AL59" i="4"/>
  <c r="AM57" i="4" s="1"/>
  <c r="AS62" i="4"/>
  <c r="AR62" i="4"/>
  <c r="AL60" i="4"/>
  <c r="AU61" i="4"/>
  <c r="AQ62" i="4"/>
  <c r="AL61" i="4"/>
  <c r="AM59" i="4" s="1"/>
  <c r="AT61" i="4"/>
  <c r="AU62" i="4"/>
  <c r="AL62" i="4"/>
  <c r="AM60" i="4" s="1"/>
  <c r="AS61" i="4"/>
  <c r="AQ61" i="4"/>
  <c r="AT62" i="4"/>
  <c r="AL58" i="4"/>
  <c r="AM56" i="4" s="1"/>
  <c r="J33" i="13" s="1"/>
  <c r="AL56" i="4"/>
  <c r="AM54" i="4" l="1"/>
  <c r="I33" i="13"/>
  <c r="AV62" i="4"/>
  <c r="AM58" i="4"/>
  <c r="AV61" i="4"/>
  <c r="AT420" i="3" l="1"/>
  <c r="AS420" i="3"/>
  <c r="AR421" i="3"/>
  <c r="AR420" i="3"/>
  <c r="AU420" i="3"/>
  <c r="AU421" i="3"/>
  <c r="AL419" i="3"/>
  <c r="AL421" i="3"/>
  <c r="AL420" i="3"/>
  <c r="AQ420" i="3"/>
  <c r="AQ421" i="3"/>
  <c r="AT421" i="3"/>
  <c r="AL417" i="3"/>
  <c r="AM415" i="3" s="1"/>
  <c r="J18" i="13" s="1"/>
  <c r="AL418" i="3"/>
  <c r="AL415" i="3"/>
  <c r="I18" i="13" s="1"/>
  <c r="AS421" i="3"/>
  <c r="AV421" i="3" l="1"/>
  <c r="AV420" i="3"/>
  <c r="AR78" i="4" l="1"/>
  <c r="AS78" i="4"/>
  <c r="AU78" i="4"/>
  <c r="AT78" i="4"/>
  <c r="AL75" i="4"/>
  <c r="AM73" i="4" s="1"/>
  <c r="AL78" i="4"/>
  <c r="AM76" i="4"/>
  <c r="AT77" i="4"/>
  <c r="AS77" i="4"/>
  <c r="AR77" i="4"/>
  <c r="AQ77" i="4"/>
  <c r="AL74" i="4"/>
  <c r="AM72" i="4" s="1"/>
  <c r="J34" i="13" s="1"/>
  <c r="AL77" i="4"/>
  <c r="AM75" i="4"/>
  <c r="AL76" i="4"/>
  <c r="AM74" i="4" s="1"/>
  <c r="AU77" i="4"/>
  <c r="AL72" i="4"/>
  <c r="AQ78" i="4"/>
  <c r="AM70" i="4" l="1"/>
  <c r="I34" i="13"/>
  <c r="AV78" i="4"/>
  <c r="AV77" i="4"/>
  <c r="AS142" i="4" l="1"/>
  <c r="AT142" i="4"/>
  <c r="AL139" i="4"/>
  <c r="AM137" i="4" s="1"/>
  <c r="AU142" i="4"/>
  <c r="AL141" i="4"/>
  <c r="AQ142" i="4"/>
  <c r="AR142" i="4"/>
  <c r="AT141" i="4"/>
  <c r="AL140" i="4"/>
  <c r="AM138" i="4" s="1"/>
  <c r="AQ141" i="4"/>
  <c r="AS141" i="4"/>
  <c r="AL142" i="4"/>
  <c r="AU141" i="4"/>
  <c r="AR141" i="4"/>
  <c r="AL136" i="4"/>
  <c r="AM134" i="4" s="1"/>
  <c r="AL138" i="4"/>
  <c r="AM136" i="4" s="1"/>
  <c r="J39" i="13" s="1"/>
  <c r="AV141" i="4" l="1"/>
  <c r="AV142" i="4"/>
  <c r="AM139" i="4"/>
  <c r="AM140" i="4"/>
  <c r="AU93" i="4"/>
  <c r="AR93" i="4"/>
  <c r="AS94" i="4"/>
  <c r="AU94" i="4"/>
  <c r="AS93" i="4"/>
  <c r="AR94" i="4"/>
  <c r="AL91" i="4"/>
  <c r="AM89" i="4" s="1"/>
  <c r="AT94" i="4"/>
  <c r="AT93" i="4"/>
  <c r="AL93" i="4"/>
  <c r="AM91" i="4" s="1"/>
  <c r="AQ94" i="4"/>
  <c r="AL90" i="4"/>
  <c r="AL92" i="4"/>
  <c r="AL94" i="4"/>
  <c r="AM92" i="4" s="1"/>
  <c r="AL88" i="4"/>
  <c r="AM86" i="4" s="1"/>
  <c r="AQ93" i="4"/>
  <c r="AV93" i="4" l="1"/>
  <c r="AM90" i="4"/>
  <c r="AV94" i="4"/>
  <c r="AM88" i="4"/>
  <c r="J35" i="13" s="1"/>
  <c r="AS334" i="4"/>
  <c r="AL331" i="4"/>
  <c r="AM329" i="4" s="1"/>
  <c r="AT334" i="4"/>
  <c r="AS333" i="4"/>
  <c r="AU334" i="4"/>
  <c r="AU333" i="4"/>
  <c r="AL332" i="4"/>
  <c r="AM330" i="4" s="1"/>
  <c r="AQ333" i="4"/>
  <c r="AR334" i="4"/>
  <c r="AR333" i="4"/>
  <c r="AL333" i="4"/>
  <c r="AM331" i="4" s="1"/>
  <c r="AQ334" i="4"/>
  <c r="AL334" i="4"/>
  <c r="AM332" i="4" s="1"/>
  <c r="AT333" i="4"/>
  <c r="AL328" i="4"/>
  <c r="AL330" i="4"/>
  <c r="AM328" i="4" s="1"/>
  <c r="J36" i="13" s="1"/>
  <c r="AV334" i="4" l="1"/>
  <c r="AM326" i="4"/>
  <c r="AV333" i="4"/>
  <c r="AL379" i="4"/>
  <c r="AM377" i="4" s="1"/>
  <c r="AL382" i="4"/>
  <c r="AL380" i="4"/>
  <c r="AM378" i="4" s="1"/>
  <c r="AL381" i="4"/>
  <c r="AM379" i="4" s="1"/>
  <c r="AL376" i="4"/>
  <c r="AM374" i="4" s="1"/>
  <c r="AL378" i="4"/>
  <c r="AM376" i="4" s="1"/>
  <c r="J53" i="13" s="1"/>
  <c r="AM380" i="4" l="1"/>
  <c r="AR125" i="4"/>
  <c r="AL123" i="4"/>
  <c r="AM121" i="4" s="1"/>
  <c r="AT125" i="4"/>
  <c r="AR126" i="4"/>
  <c r="AL124" i="4"/>
  <c r="AS126" i="4"/>
  <c r="AU126" i="4"/>
  <c r="AS125" i="4"/>
  <c r="AT126" i="4"/>
  <c r="AQ126" i="4"/>
  <c r="AL125" i="4"/>
  <c r="AM123" i="4" s="1"/>
  <c r="AL126" i="4"/>
  <c r="AM124" i="4" s="1"/>
  <c r="AU125" i="4"/>
  <c r="AL122" i="4"/>
  <c r="AM120" i="4" s="1"/>
  <c r="J38" i="13" s="1"/>
  <c r="AL120" i="4"/>
  <c r="AM118" i="4" s="1"/>
  <c r="AQ125" i="4"/>
  <c r="AV125" i="4" l="1"/>
  <c r="AV126" i="4"/>
  <c r="AM122" i="4"/>
  <c r="AR397" i="4"/>
  <c r="AS398" i="4"/>
  <c r="AT398" i="4"/>
  <c r="AU398" i="4"/>
  <c r="AU397" i="4"/>
  <c r="AL395" i="4"/>
  <c r="AM393" i="4" s="1"/>
  <c r="AL397" i="4"/>
  <c r="AM395" i="4" s="1"/>
  <c r="AS397" i="4"/>
  <c r="AL398" i="4"/>
  <c r="AM396" i="4" s="1"/>
  <c r="AQ397" i="4"/>
  <c r="AL396" i="4"/>
  <c r="AR398" i="4"/>
  <c r="AQ398" i="4"/>
  <c r="AL394" i="4"/>
  <c r="AM392" i="4" s="1"/>
  <c r="J54" i="13" s="1"/>
  <c r="AL392" i="4"/>
  <c r="AT397" i="4"/>
  <c r="AM390" i="4" l="1"/>
  <c r="I54" i="13"/>
  <c r="AV397" i="4"/>
  <c r="AM394" i="4"/>
  <c r="AV398" i="4"/>
  <c r="AT15" i="9" l="1"/>
  <c r="AU15" i="9"/>
  <c r="AR15" i="9"/>
  <c r="AT14" i="9"/>
  <c r="AU14" i="9"/>
  <c r="AS15" i="9"/>
  <c r="AS14" i="9"/>
  <c r="AL13" i="9"/>
  <c r="AR14" i="9"/>
  <c r="AL12" i="9"/>
  <c r="AM10" i="9" s="1"/>
  <c r="AQ14" i="9"/>
  <c r="AL14" i="9"/>
  <c r="AQ15" i="9"/>
  <c r="AL9" i="9"/>
  <c r="I25" i="13" s="1"/>
  <c r="AL11" i="9"/>
  <c r="AM9" i="9" s="1"/>
  <c r="J25" i="13" s="1"/>
  <c r="AV15" i="9" l="1"/>
  <c r="AM12" i="9"/>
  <c r="AV14" i="9"/>
  <c r="AM11" i="9"/>
  <c r="AS28" i="9"/>
  <c r="AR29" i="9"/>
  <c r="AT29" i="9"/>
  <c r="AL26" i="9"/>
  <c r="AM24" i="9" s="1"/>
  <c r="AU28" i="9"/>
  <c r="AQ29" i="9"/>
  <c r="AT28" i="9"/>
  <c r="AQ28" i="9"/>
  <c r="AR28" i="9"/>
  <c r="AU29" i="9"/>
  <c r="AL28" i="9"/>
  <c r="AM26" i="9" s="1"/>
  <c r="AS29" i="9"/>
  <c r="AL27" i="9"/>
  <c r="AM25" i="9" s="1"/>
  <c r="AL23" i="9"/>
  <c r="AM21" i="9" s="1"/>
  <c r="AL25" i="9"/>
  <c r="AM23" i="9" s="1"/>
  <c r="J26" i="13" s="1"/>
  <c r="AV28" i="9" l="1"/>
  <c r="AV29" i="9"/>
  <c r="AS29" i="8"/>
  <c r="AU29" i="8"/>
  <c r="AL26" i="8"/>
  <c r="AM24" i="8" s="1"/>
  <c r="AS28" i="8"/>
  <c r="AL28" i="8"/>
  <c r="AM26" i="8" s="1"/>
  <c r="AR28" i="8"/>
  <c r="AT29" i="8"/>
  <c r="AT28" i="8"/>
  <c r="AL27" i="8"/>
  <c r="AM25" i="8" s="1"/>
  <c r="AR29" i="8"/>
  <c r="AQ28" i="8"/>
  <c r="AU28" i="8"/>
  <c r="AL25" i="8"/>
  <c r="AM23" i="8" s="1"/>
  <c r="J28" i="13" s="1"/>
  <c r="AL23" i="8"/>
  <c r="AM21" i="8" s="1"/>
  <c r="AQ29" i="8"/>
  <c r="AV29" i="8" l="1"/>
  <c r="AV28" i="8"/>
  <c r="AR43" i="8"/>
  <c r="AR65" i="8" s="1"/>
  <c r="AR42" i="8"/>
  <c r="AR64" i="8" s="1"/>
  <c r="AT43" i="8"/>
  <c r="AT65" i="8" s="1"/>
  <c r="AS43" i="8"/>
  <c r="AS65" i="8"/>
  <c r="AU42" i="8"/>
  <c r="AU64" i="8" s="1"/>
  <c r="AQ43" i="8"/>
  <c r="AQ65" i="8"/>
  <c r="AS42" i="8"/>
  <c r="AS64" i="8" s="1"/>
  <c r="AU43" i="8"/>
  <c r="AU65" i="8" s="1"/>
  <c r="AM35" i="8"/>
  <c r="AT42" i="8"/>
  <c r="AT64" i="8" s="1"/>
  <c r="AQ42" i="8"/>
  <c r="AQ64" i="8" s="1"/>
  <c r="AL40" i="8"/>
  <c r="AM38" i="8" s="1"/>
  <c r="AL41" i="8"/>
  <c r="AL53" i="8" s="1"/>
  <c r="AL42" i="8"/>
  <c r="AL54" i="8" s="1"/>
  <c r="AM52" i="8" s="1"/>
  <c r="AL37" i="8"/>
  <c r="AL51" i="8" s="1"/>
  <c r="AL39" i="8"/>
  <c r="AL52" i="8" s="1"/>
  <c r="AV42" i="8" l="1"/>
  <c r="AM37" i="8"/>
  <c r="J29" i="13" s="1"/>
  <c r="AM49" i="8"/>
  <c r="AM40" i="8"/>
  <c r="AM50" i="8"/>
  <c r="AM51" i="8"/>
  <c r="AL56" i="8"/>
  <c r="AM54" i="8" s="1"/>
  <c r="AV65" i="8"/>
  <c r="AV64" i="8"/>
  <c r="AV43" i="8"/>
  <c r="AM39" i="8"/>
  <c r="AL336" i="3"/>
  <c r="AR336" i="3"/>
  <c r="AT337" i="3"/>
  <c r="AU337" i="3"/>
  <c r="AT336" i="3"/>
  <c r="AL337" i="3"/>
  <c r="AS336" i="3"/>
  <c r="AR337" i="3"/>
  <c r="AQ336" i="3"/>
  <c r="AQ337" i="3"/>
  <c r="AS337" i="3"/>
  <c r="AU336" i="3"/>
  <c r="AL335" i="3"/>
  <c r="AL334" i="3"/>
  <c r="AL331" i="3"/>
  <c r="AL333" i="3"/>
  <c r="AM331" i="3" s="1"/>
  <c r="J11" i="13" s="1"/>
  <c r="AV336" i="3" l="1"/>
  <c r="AV337" i="3"/>
  <c r="AR239" i="3"/>
  <c r="AU238" i="3"/>
  <c r="AU239" i="3"/>
  <c r="AS239" i="3"/>
  <c r="AL239" i="3"/>
  <c r="AL238" i="3"/>
  <c r="AR238" i="3"/>
  <c r="AS238" i="3"/>
  <c r="AT239" i="3"/>
  <c r="AQ238" i="3"/>
  <c r="AT238" i="3"/>
  <c r="AL236" i="3"/>
  <c r="AQ239" i="3"/>
  <c r="AL237" i="3"/>
  <c r="AL233" i="3"/>
  <c r="AL235" i="3"/>
  <c r="AM233" i="3" s="1"/>
  <c r="J10" i="13" s="1"/>
  <c r="AV238" i="3" l="1"/>
  <c r="AV239" i="3"/>
  <c r="AS365" i="3"/>
  <c r="AR365" i="3"/>
  <c r="AT364" i="3"/>
  <c r="AS364" i="3"/>
  <c r="AT365" i="3"/>
  <c r="AL364" i="3"/>
  <c r="AL363" i="3"/>
  <c r="AQ364" i="3"/>
  <c r="AL365" i="3"/>
  <c r="AU365" i="3"/>
  <c r="AU364" i="3"/>
  <c r="AQ365" i="3"/>
  <c r="AL362" i="3"/>
  <c r="AR364" i="3"/>
  <c r="AL359" i="3"/>
  <c r="AL361" i="3"/>
  <c r="AM359" i="3" s="1"/>
  <c r="AV364" i="3" l="1"/>
  <c r="AV365" i="3"/>
  <c r="AU449" i="3"/>
  <c r="AT448" i="3"/>
  <c r="AU448" i="3"/>
  <c r="AR449" i="3"/>
  <c r="AS448" i="3"/>
  <c r="AL448" i="3"/>
  <c r="AS449" i="3"/>
  <c r="AQ449" i="3"/>
  <c r="AL447" i="3"/>
  <c r="AR448" i="3"/>
  <c r="AQ448" i="3"/>
  <c r="AL446" i="3"/>
  <c r="AT449" i="3"/>
  <c r="AL443" i="3"/>
  <c r="AL445" i="3"/>
  <c r="AM443" i="3" s="1"/>
  <c r="AV448" i="3" l="1"/>
  <c r="AV449" i="3"/>
  <c r="AU477" i="3"/>
  <c r="AL477" i="3"/>
  <c r="AL476" i="3"/>
  <c r="AS477" i="3"/>
  <c r="AQ476" i="3"/>
  <c r="AL475" i="3"/>
  <c r="AQ477" i="3"/>
  <c r="AT477" i="3"/>
  <c r="AT476" i="3"/>
  <c r="AT594" i="3" s="1"/>
  <c r="AT595" i="3" s="1"/>
  <c r="AS476" i="3"/>
  <c r="AU476" i="3"/>
  <c r="AU594" i="3" s="1"/>
  <c r="AU595" i="3" s="1"/>
  <c r="AL474" i="3"/>
  <c r="AR476" i="3"/>
  <c r="AR594" i="3" s="1"/>
  <c r="AR477" i="3"/>
  <c r="AL471" i="3"/>
  <c r="AL473" i="3"/>
  <c r="AM471" i="3" s="1"/>
  <c r="AV477" i="3" l="1"/>
  <c r="AV476" i="3"/>
  <c r="AQ594" i="3"/>
  <c r="AQ595" i="3" s="1"/>
  <c r="AR595" i="3"/>
  <c r="AS594" i="3"/>
  <c r="AS595" i="3" s="1"/>
  <c r="AV594" i="3" l="1"/>
  <c r="AV595" i="3" s="1"/>
  <c r="AR13" i="4"/>
  <c r="AS14" i="4"/>
  <c r="AL11" i="4"/>
  <c r="AM9" i="4" s="1"/>
  <c r="AU13" i="4"/>
  <c r="AL12" i="4"/>
  <c r="AM10" i="4" s="1"/>
  <c r="AS13" i="4"/>
  <c r="AL14" i="4"/>
  <c r="AR14" i="4"/>
  <c r="AU14" i="4"/>
  <c r="AT14" i="4"/>
  <c r="AL10" i="4"/>
  <c r="AM8" i="4" s="1"/>
  <c r="J30" i="13" s="1"/>
  <c r="AQ13" i="4"/>
  <c r="AQ14" i="4"/>
  <c r="AL13" i="4"/>
  <c r="AM11" i="4" s="1"/>
  <c r="AT13" i="4"/>
  <c r="AL8" i="4"/>
  <c r="I30" i="13" s="1"/>
  <c r="AV14" i="4" l="1"/>
  <c r="AV13" i="4"/>
  <c r="AM12" i="4"/>
  <c r="AR350" i="3" l="1"/>
  <c r="AL351" i="3"/>
  <c r="AS350" i="3"/>
  <c r="AL350" i="3"/>
  <c r="AS351" i="3"/>
  <c r="AU350" i="3"/>
  <c r="AQ350" i="3"/>
  <c r="AT351" i="3"/>
  <c r="AT350" i="3"/>
  <c r="AR351" i="3"/>
  <c r="AU351" i="3"/>
  <c r="AL347" i="3"/>
  <c r="AM345" i="3" s="1"/>
  <c r="J14" i="13" s="1"/>
  <c r="AL349" i="3"/>
  <c r="AL348" i="3"/>
  <c r="AL345" i="3"/>
  <c r="I14" i="13" s="1"/>
  <c r="AQ351" i="3"/>
  <c r="AV350" i="3" l="1"/>
  <c r="AV351" i="3"/>
  <c r="AL427" i="4" l="1"/>
  <c r="AM425" i="4" s="1"/>
  <c r="AL429" i="4"/>
  <c r="AM427" i="4" s="1"/>
  <c r="AR429" i="4"/>
  <c r="AU429" i="4"/>
  <c r="AQ429" i="4"/>
  <c r="AQ430" i="4"/>
  <c r="AL428" i="4"/>
  <c r="AL430" i="4"/>
  <c r="AM428" i="4" s="1"/>
  <c r="AR430" i="4"/>
  <c r="AU430" i="4"/>
  <c r="AS430" i="4"/>
  <c r="AT430" i="4"/>
  <c r="AT429" i="4"/>
  <c r="AL426" i="4"/>
  <c r="AM424" i="4" s="1"/>
  <c r="J56" i="13" s="1"/>
  <c r="AL424" i="4"/>
  <c r="AS429" i="4"/>
  <c r="AM422" i="4" l="1"/>
  <c r="I56" i="13"/>
  <c r="AM426" i="4"/>
  <c r="AV430" i="4"/>
  <c r="AV429" i="4"/>
  <c r="AS407" i="3" l="1"/>
  <c r="AT406" i="3"/>
  <c r="AU406" i="3"/>
  <c r="AL407" i="3"/>
  <c r="AR407" i="3"/>
  <c r="AR406" i="3"/>
  <c r="AU407" i="3"/>
  <c r="AQ406" i="3"/>
  <c r="AL406" i="3"/>
  <c r="AS406" i="3"/>
  <c r="AL405" i="3"/>
  <c r="AT407" i="3"/>
  <c r="AL404" i="3"/>
  <c r="AQ407" i="3"/>
  <c r="AL401" i="3"/>
  <c r="I17" i="13" s="1"/>
  <c r="AL403" i="3"/>
  <c r="AM401" i="3" s="1"/>
  <c r="J17" i="13" s="1"/>
  <c r="AV407" i="3" l="1"/>
  <c r="AV406" i="3"/>
  <c r="AS547" i="3"/>
  <c r="AL546" i="3"/>
  <c r="AR546" i="3"/>
  <c r="AL545" i="3"/>
  <c r="AS546" i="3"/>
  <c r="AT546" i="3"/>
  <c r="AL547" i="3"/>
  <c r="AT547" i="3"/>
  <c r="AR547" i="3"/>
  <c r="AU546" i="3"/>
  <c r="AQ547" i="3"/>
  <c r="AU547" i="3"/>
  <c r="AL544" i="3"/>
  <c r="AL543" i="3"/>
  <c r="AM541" i="3" s="1"/>
  <c r="J19" i="13" s="1"/>
  <c r="AL541" i="3"/>
  <c r="AQ546" i="3"/>
  <c r="AV546" i="3" l="1"/>
  <c r="AV547" i="3"/>
  <c r="AU365" i="4" l="1"/>
  <c r="AS365" i="4"/>
  <c r="AR365" i="4"/>
  <c r="AQ365" i="4"/>
  <c r="AU366" i="4"/>
  <c r="AS366" i="4"/>
  <c r="AT366" i="4"/>
  <c r="AT365" i="4"/>
  <c r="AL365" i="4"/>
  <c r="AM363" i="4" s="1"/>
  <c r="AR366" i="4"/>
  <c r="AL364" i="4"/>
  <c r="AM362" i="4" s="1"/>
  <c r="AL363" i="4"/>
  <c r="AM361" i="4" s="1"/>
  <c r="AQ366" i="4"/>
  <c r="AL366" i="4"/>
  <c r="AM364" i="4" s="1"/>
  <c r="AL360" i="4"/>
  <c r="AL362" i="4"/>
  <c r="AM360" i="4" s="1"/>
  <c r="J52" i="13" s="1"/>
  <c r="AV366" i="4" l="1"/>
  <c r="AM358" i="4"/>
  <c r="AV365" i="4"/>
  <c r="AL155" i="4"/>
  <c r="AM153" i="4" s="1"/>
  <c r="AT158" i="4"/>
  <c r="AU157" i="4"/>
  <c r="AR158" i="4"/>
  <c r="AR157" i="4"/>
  <c r="AS158" i="4"/>
  <c r="AS157" i="4"/>
  <c r="AL156" i="4"/>
  <c r="AM154" i="4" s="1"/>
  <c r="AT157" i="4"/>
  <c r="AL158" i="4"/>
  <c r="AM156" i="4" s="1"/>
  <c r="AQ158" i="4"/>
  <c r="AQ157" i="4"/>
  <c r="AL157" i="4"/>
  <c r="AM155" i="4" s="1"/>
  <c r="AU158" i="4"/>
  <c r="AL152" i="4"/>
  <c r="AM150" i="4" s="1"/>
  <c r="AL154" i="4"/>
  <c r="AV157" i="4" l="1"/>
  <c r="AV158" i="4"/>
  <c r="AM152" i="4"/>
  <c r="J40" i="13" s="1"/>
  <c r="AR210" i="3" l="1"/>
  <c r="AT211" i="3"/>
  <c r="AL209" i="3"/>
  <c r="AS210" i="3"/>
  <c r="AR211" i="3"/>
  <c r="AL211" i="3"/>
  <c r="AU211" i="3"/>
  <c r="AL210" i="3"/>
  <c r="AQ211" i="3"/>
  <c r="AU210" i="3"/>
  <c r="AS211" i="3"/>
  <c r="AL207" i="3"/>
  <c r="AM205" i="3" s="1"/>
  <c r="J9" i="13" s="1"/>
  <c r="AT210" i="3"/>
  <c r="AQ210" i="3"/>
  <c r="AL205" i="3"/>
  <c r="I9" i="13" s="1"/>
  <c r="AL208" i="3"/>
  <c r="AV210" i="3" l="1"/>
  <c r="AV211" i="3"/>
  <c r="AT254" i="4" l="1"/>
  <c r="AU253" i="4"/>
  <c r="AR254" i="4"/>
  <c r="AQ253" i="4"/>
  <c r="AS254" i="4"/>
  <c r="AT253" i="4"/>
  <c r="AL252" i="4"/>
  <c r="AL251" i="4"/>
  <c r="AM249" i="4" s="1"/>
  <c r="AL253" i="4"/>
  <c r="AM251" i="4" s="1"/>
  <c r="AU254" i="4"/>
  <c r="AS253" i="4"/>
  <c r="AR253" i="4"/>
  <c r="AQ254" i="4"/>
  <c r="AM246" i="4"/>
  <c r="AL254" i="4"/>
  <c r="AL248" i="4"/>
  <c r="AL250" i="4"/>
  <c r="AM248" i="4" s="1"/>
  <c r="J46" i="13" s="1"/>
  <c r="AV254" i="4" l="1"/>
  <c r="AV253" i="4"/>
  <c r="AM252" i="4"/>
  <c r="AM250" i="4"/>
  <c r="AR140" i="3" l="1"/>
  <c r="AT140" i="3"/>
  <c r="AS141" i="3"/>
  <c r="AL139" i="3"/>
  <c r="AL141" i="3"/>
  <c r="AT141" i="3"/>
  <c r="AS140" i="3"/>
  <c r="AU140" i="3"/>
  <c r="AU141" i="3"/>
  <c r="AL137" i="3"/>
  <c r="AM135" i="3" s="1"/>
  <c r="J7" i="13" s="1"/>
  <c r="AR141" i="3"/>
  <c r="AQ141" i="3"/>
  <c r="AQ140" i="3"/>
  <c r="AL135" i="3"/>
  <c r="I7" i="13" s="1"/>
  <c r="AL138" i="3"/>
  <c r="AV141" i="3" l="1"/>
  <c r="AV140" i="3"/>
  <c r="AS98" i="3"/>
  <c r="AS596" i="3" s="1"/>
  <c r="AU99" i="3"/>
  <c r="AU597" i="3" s="1"/>
  <c r="AU98" i="3"/>
  <c r="AU596" i="3" s="1"/>
  <c r="AL98" i="3"/>
  <c r="AL586" i="3" s="1"/>
  <c r="AS99" i="3"/>
  <c r="AS597" i="3" s="1"/>
  <c r="AT98" i="3"/>
  <c r="AT596" i="3" s="1"/>
  <c r="AQ98" i="3"/>
  <c r="AQ596" i="3" s="1"/>
  <c r="AL99" i="3"/>
  <c r="AL587" i="3" s="1"/>
  <c r="AR98" i="3"/>
  <c r="AR596" i="3" s="1"/>
  <c r="AL97" i="3"/>
  <c r="AL585" i="3" s="1"/>
  <c r="AT99" i="3"/>
  <c r="AT597" i="3" s="1"/>
  <c r="AR99" i="3"/>
  <c r="AR597" i="3" s="1"/>
  <c r="AL96" i="3"/>
  <c r="AQ99" i="3"/>
  <c r="AQ597" i="3" s="1"/>
  <c r="AL93" i="3"/>
  <c r="AL95" i="3"/>
  <c r="AL584" i="3" s="1"/>
  <c r="AL583" i="3" l="1"/>
  <c r="I6" i="13"/>
  <c r="AV597" i="3"/>
  <c r="AV99" i="3"/>
  <c r="AV98" i="3"/>
  <c r="AM93" i="3"/>
  <c r="J6" i="13" s="1"/>
  <c r="AV596" i="3"/>
  <c r="AM583" i="3"/>
  <c r="AL588" i="3"/>
  <c r="AT478" i="4" l="1"/>
  <c r="AT477" i="4"/>
  <c r="AR478" i="4"/>
  <c r="AS477" i="4"/>
  <c r="AS478" i="4"/>
  <c r="AL478" i="4"/>
  <c r="AM476" i="4" s="1"/>
  <c r="AL475" i="4"/>
  <c r="AM473" i="4" s="1"/>
  <c r="AL477" i="4"/>
  <c r="AU477" i="4"/>
  <c r="AR477" i="4"/>
  <c r="AQ478" i="4"/>
  <c r="AL476" i="4"/>
  <c r="AM474" i="4" s="1"/>
  <c r="AQ477" i="4"/>
  <c r="AL474" i="4"/>
  <c r="AM472" i="4" s="1"/>
  <c r="J59" i="13" s="1"/>
  <c r="AL472" i="4"/>
  <c r="AU478" i="4"/>
  <c r="AM470" i="4" l="1"/>
  <c r="I59" i="13"/>
  <c r="AM475" i="4"/>
  <c r="AV478" i="4"/>
  <c r="AV477" i="4"/>
  <c r="AT493" i="4"/>
  <c r="AS493" i="4"/>
  <c r="AR494" i="4"/>
  <c r="AT494" i="4"/>
  <c r="AL491" i="4"/>
  <c r="AM489" i="4" s="1"/>
  <c r="AL493" i="4"/>
  <c r="AM491" i="4" s="1"/>
  <c r="AR493" i="4"/>
  <c r="AU494" i="4"/>
  <c r="AS494" i="4"/>
  <c r="AU493" i="4"/>
  <c r="AQ493" i="4"/>
  <c r="AL492" i="4"/>
  <c r="AM490" i="4" s="1"/>
  <c r="AL494" i="4"/>
  <c r="AQ494" i="4"/>
  <c r="AL488" i="4"/>
  <c r="AL490" i="4"/>
  <c r="AM488" i="4" s="1"/>
  <c r="J60" i="13" s="1"/>
  <c r="AV494" i="4" l="1"/>
  <c r="AV493" i="4"/>
  <c r="AM486" i="4"/>
  <c r="AM492" i="4"/>
  <c r="AL443" i="4"/>
  <c r="AM441" i="4" s="1"/>
  <c r="AL445" i="4"/>
  <c r="AM443" i="4" s="1"/>
  <c r="AQ446" i="4"/>
  <c r="AS445" i="4"/>
  <c r="AL442" i="4"/>
  <c r="AM440" i="4" s="1"/>
  <c r="J57" i="13" s="1"/>
  <c r="AL444" i="4"/>
  <c r="AM442" i="4" s="1"/>
  <c r="AU445" i="4"/>
  <c r="AR446" i="4"/>
  <c r="AT446" i="4"/>
  <c r="AU446" i="4"/>
  <c r="AS446" i="4"/>
  <c r="AQ445" i="4"/>
  <c r="AT445" i="4"/>
  <c r="AR445" i="4"/>
  <c r="AL440" i="4"/>
  <c r="I57" i="13" s="1"/>
  <c r="AL446" i="4"/>
  <c r="AM444" i="4" l="1"/>
  <c r="AV445" i="4"/>
  <c r="AV446" i="4"/>
  <c r="AM438" i="4"/>
  <c r="AR269" i="4"/>
  <c r="AR270" i="4"/>
  <c r="AU269" i="4"/>
  <c r="AL268" i="4"/>
  <c r="AS270" i="4"/>
  <c r="AQ270" i="4"/>
  <c r="AS269" i="4"/>
  <c r="AT270" i="4"/>
  <c r="AT269" i="4"/>
  <c r="AL269" i="4"/>
  <c r="AM267" i="4" s="1"/>
  <c r="AL267" i="4"/>
  <c r="AM265" i="4" s="1"/>
  <c r="AU270" i="4"/>
  <c r="AL266" i="4"/>
  <c r="AM264" i="4" s="1"/>
  <c r="J47" i="13" s="1"/>
  <c r="AL270" i="4"/>
  <c r="AM268" i="4" s="1"/>
  <c r="AL264" i="4"/>
  <c r="AM262" i="4" s="1"/>
  <c r="AQ269" i="4"/>
  <c r="AV270" i="4" l="1"/>
  <c r="AV269" i="4"/>
  <c r="AM266" i="4"/>
  <c r="AT206" i="4"/>
  <c r="AR205" i="4"/>
  <c r="AL203" i="4"/>
  <c r="AM201" i="4" s="1"/>
  <c r="AS206" i="4"/>
  <c r="AR206" i="4"/>
  <c r="AU205" i="4"/>
  <c r="AL204" i="4"/>
  <c r="AM202" i="4" s="1"/>
  <c r="AQ205" i="4"/>
  <c r="AU206" i="4"/>
  <c r="AT205" i="4"/>
  <c r="AL206" i="4"/>
  <c r="AM204" i="4" s="1"/>
  <c r="AS205" i="4"/>
  <c r="AL205" i="4"/>
  <c r="AM203" i="4" s="1"/>
  <c r="AL202" i="4"/>
  <c r="AM200" i="4" s="1"/>
  <c r="J43" i="13" s="1"/>
  <c r="AL200" i="4"/>
  <c r="AQ206" i="4"/>
  <c r="AV206" i="4" l="1"/>
  <c r="AV205" i="4"/>
  <c r="AM198" i="4"/>
  <c r="AR461" i="4"/>
  <c r="AR532" i="4" s="1"/>
  <c r="AT462" i="4"/>
  <c r="AT533" i="4" s="1"/>
  <c r="AS462" i="4"/>
  <c r="AS533" i="4" s="1"/>
  <c r="AS461" i="4"/>
  <c r="AS532" i="4" s="1"/>
  <c r="AQ461" i="4"/>
  <c r="AQ532" i="4" s="1"/>
  <c r="AQ462" i="4"/>
  <c r="AQ533" i="4" s="1"/>
  <c r="AR462" i="4"/>
  <c r="AR533" i="4" s="1"/>
  <c r="AU461" i="4"/>
  <c r="AU532" i="4" s="1"/>
  <c r="AL461" i="4"/>
  <c r="AL523" i="4" s="1"/>
  <c r="AM521" i="4" s="1"/>
  <c r="AT461" i="4"/>
  <c r="AL459" i="4"/>
  <c r="AM457" i="4" s="1"/>
  <c r="AL460" i="4"/>
  <c r="AM458" i="4" s="1"/>
  <c r="AL458" i="4"/>
  <c r="AM456" i="4" s="1"/>
  <c r="J58" i="13" s="1"/>
  <c r="AU462" i="4"/>
  <c r="AU533" i="4" s="1"/>
  <c r="AL462" i="4"/>
  <c r="AL524" i="4" s="1"/>
  <c r="AM522" i="4" s="1"/>
  <c r="AL456" i="4"/>
  <c r="AM454" i="4" s="1"/>
  <c r="AL520" i="4"/>
  <c r="AM518" i="4" s="1"/>
  <c r="C8" i="11" l="1"/>
  <c r="C21" i="11" s="1"/>
  <c r="AM460" i="4"/>
  <c r="AL521" i="4"/>
  <c r="AM520" i="4" s="1"/>
  <c r="AL522" i="4"/>
  <c r="AV462" i="4"/>
  <c r="AV461" i="4"/>
  <c r="AT532" i="4"/>
  <c r="AV532" i="4" s="1"/>
  <c r="C12" i="11" s="1"/>
  <c r="AM459" i="4"/>
  <c r="C9" i="11" l="1"/>
  <c r="C10" i="11" s="1"/>
  <c r="C20" i="11" s="1"/>
  <c r="AM519" i="4"/>
  <c r="AL525" i="4"/>
  <c r="AM523" i="4" s="1"/>
  <c r="AV533" i="4"/>
  <c r="C13" i="11"/>
  <c r="AL56" i="9"/>
  <c r="AM54" i="9" s="1"/>
  <c r="AL54" i="9"/>
  <c r="AM52" i="9" s="1"/>
  <c r="AL55" i="9"/>
  <c r="AM53" i="9" s="1"/>
  <c r="AL53" i="9"/>
  <c r="AM51" i="9" s="1"/>
  <c r="J23" i="13" s="1"/>
  <c r="AL51" i="9"/>
  <c r="AM49" i="9" s="1"/>
  <c r="C19" i="11" l="1"/>
  <c r="C11" i="11"/>
  <c r="C22" i="11" s="1"/>
  <c r="AU79" i="9"/>
  <c r="AR78" i="9"/>
  <c r="AT79" i="9"/>
  <c r="AT78" i="9"/>
  <c r="AL65" i="9"/>
  <c r="AM63" i="9" s="1"/>
  <c r="D8" i="11"/>
  <c r="AS78" i="9"/>
  <c r="AL40" i="9"/>
  <c r="AM38" i="9" s="1"/>
  <c r="AR79" i="9"/>
  <c r="AS79" i="9"/>
  <c r="AL42" i="9"/>
  <c r="AM40" i="9" s="1"/>
  <c r="AL41" i="9"/>
  <c r="AL67" i="9" s="1"/>
  <c r="AL39" i="9"/>
  <c r="AL66" i="9" s="1"/>
  <c r="AQ79" i="9"/>
  <c r="AL37" i="9"/>
  <c r="AM35" i="9" s="1"/>
  <c r="AQ78" i="9"/>
  <c r="AM39" i="9" l="1"/>
  <c r="AL68" i="9"/>
  <c r="AM66" i="9" s="1"/>
  <c r="AM37" i="9"/>
  <c r="J24" i="13" s="1"/>
  <c r="D9" i="11"/>
  <c r="AM65" i="9"/>
  <c r="AM64" i="9"/>
  <c r="AL70" i="9"/>
  <c r="AM68" i="9" s="1"/>
  <c r="D21" i="11"/>
  <c r="AU78" i="9"/>
  <c r="AV78" i="9" s="1"/>
  <c r="D12" i="11" s="1"/>
  <c r="D13" i="11" l="1"/>
  <c r="AV79" i="9"/>
  <c r="D19" i="11"/>
  <c r="D10" i="11"/>
  <c r="D20" i="11" s="1"/>
  <c r="D11" i="11"/>
  <c r="D22" i="11" s="1"/>
  <c r="AS36" i="7"/>
  <c r="AR36" i="7"/>
  <c r="AU36" i="7"/>
  <c r="AT37" i="7"/>
  <c r="AR37" i="7"/>
  <c r="AS37" i="7"/>
  <c r="AL12" i="7"/>
  <c r="AM10" i="7" s="1"/>
  <c r="AQ36" i="7"/>
  <c r="AL11" i="7"/>
  <c r="AM9" i="7" s="1"/>
  <c r="AT36" i="7"/>
  <c r="AL14" i="7"/>
  <c r="AL26" i="7" s="1"/>
  <c r="AM24" i="7" s="1"/>
  <c r="AL13" i="7"/>
  <c r="AL25" i="7" s="1"/>
  <c r="AQ37" i="7"/>
  <c r="AL9" i="7"/>
  <c r="AL23" i="7" s="1"/>
  <c r="AU37" i="7"/>
  <c r="AL24" i="7" l="1"/>
  <c r="AM23" i="7" s="1"/>
  <c r="AM21" i="7"/>
  <c r="F8" i="11"/>
  <c r="AV37" i="7"/>
  <c r="F9" i="11" s="1"/>
  <c r="AV36" i="7"/>
  <c r="F12" i="11" s="1"/>
  <c r="AM12" i="7"/>
  <c r="AM22" i="7"/>
  <c r="AM11" i="7"/>
  <c r="AL28" i="7" l="1"/>
  <c r="AM26" i="7" s="1"/>
  <c r="F13" i="11"/>
  <c r="F10" i="11"/>
  <c r="F20" i="11" s="1"/>
  <c r="F11" i="11"/>
  <c r="F22" i="11" s="1"/>
  <c r="F19" i="11"/>
  <c r="F21" i="11"/>
  <c r="AL25" i="10"/>
  <c r="AM23" i="10" s="1"/>
  <c r="AT28" i="10"/>
  <c r="AT27" i="10"/>
  <c r="AU28" i="10"/>
  <c r="AR28" i="10"/>
  <c r="AL27" i="10"/>
  <c r="AM25" i="10" s="1"/>
  <c r="AR27" i="10"/>
  <c r="AS27" i="10"/>
  <c r="AL26" i="10"/>
  <c r="AL28" i="10"/>
  <c r="AQ27" i="10"/>
  <c r="AU27" i="10"/>
  <c r="AQ28" i="10"/>
  <c r="AS28" i="10"/>
  <c r="AL22" i="10"/>
  <c r="AL24" i="10"/>
  <c r="AM22" i="10" s="1"/>
  <c r="J65" i="13" s="1"/>
  <c r="AM20" i="10" l="1"/>
  <c r="I65" i="13"/>
  <c r="AV27" i="10"/>
  <c r="AM24" i="10"/>
  <c r="AV28" i="10"/>
  <c r="AM26" i="10"/>
  <c r="AU229" i="10"/>
  <c r="AL226" i="10"/>
  <c r="AM224" i="10" s="1"/>
  <c r="AS228" i="10"/>
  <c r="AR228" i="10"/>
  <c r="AT228" i="10"/>
  <c r="AT229" i="10"/>
  <c r="AQ228" i="10"/>
  <c r="AR229" i="10"/>
  <c r="AS229" i="10"/>
  <c r="AL227" i="10"/>
  <c r="AM225" i="10"/>
  <c r="AQ229" i="10"/>
  <c r="AL229" i="10"/>
  <c r="AU228" i="10"/>
  <c r="AL223" i="10"/>
  <c r="AL225" i="10"/>
  <c r="AM223" i="10" s="1"/>
  <c r="AV228" i="10" l="1"/>
  <c r="AV229" i="10"/>
  <c r="AM221" i="10"/>
  <c r="AM227" i="10"/>
  <c r="AU53" i="10"/>
  <c r="AS54" i="10"/>
  <c r="AU54" i="10"/>
  <c r="AS53" i="10"/>
  <c r="AT54" i="10"/>
  <c r="AQ53" i="10"/>
  <c r="AR53" i="10"/>
  <c r="AL51" i="10"/>
  <c r="AM49" i="10" s="1"/>
  <c r="AR54" i="10"/>
  <c r="AQ54" i="10"/>
  <c r="AL54" i="10"/>
  <c r="AM52" i="10" s="1"/>
  <c r="AT53" i="10"/>
  <c r="AL52" i="10"/>
  <c r="AM50" i="10" s="1"/>
  <c r="AL48" i="10"/>
  <c r="AL50" i="10"/>
  <c r="AM48" i="10" s="1"/>
  <c r="J67" i="13" s="1"/>
  <c r="AM46" i="10" l="1"/>
  <c r="I67" i="13"/>
  <c r="AV53" i="10"/>
  <c r="AV54" i="10"/>
  <c r="AR110" i="10"/>
  <c r="AL107" i="10"/>
  <c r="AM105" i="10" s="1"/>
  <c r="AR109" i="10"/>
  <c r="AS110" i="10"/>
  <c r="AU109" i="10"/>
  <c r="AT109" i="10"/>
  <c r="AQ109" i="10"/>
  <c r="AL108" i="10"/>
  <c r="AL109" i="10"/>
  <c r="AM107" i="10"/>
  <c r="AS109" i="10"/>
  <c r="AL110" i="10"/>
  <c r="AU110" i="10"/>
  <c r="AT110" i="10"/>
  <c r="AQ110" i="10"/>
  <c r="AL104" i="10"/>
  <c r="AM102" i="10" s="1"/>
  <c r="AL106" i="10"/>
  <c r="AM104" i="10" s="1"/>
  <c r="AV110" i="10" l="1"/>
  <c r="AV109" i="10"/>
  <c r="AM108" i="10"/>
  <c r="AM106" i="10"/>
  <c r="AR96" i="10"/>
  <c r="AU96" i="10"/>
  <c r="AT95" i="10"/>
  <c r="AS96" i="10"/>
  <c r="AL94" i="10"/>
  <c r="AM92" i="10" s="1"/>
  <c r="AS95" i="10"/>
  <c r="AU95" i="10"/>
  <c r="AL95" i="10"/>
  <c r="AM93" i="10" s="1"/>
  <c r="AQ95" i="10"/>
  <c r="AL96" i="10"/>
  <c r="AM94" i="10" s="1"/>
  <c r="AT96" i="10"/>
  <c r="AL93" i="10"/>
  <c r="AM91" i="10" s="1"/>
  <c r="AQ96" i="10"/>
  <c r="AR95" i="10"/>
  <c r="AL90" i="10"/>
  <c r="AL92" i="10"/>
  <c r="AM90" i="10" s="1"/>
  <c r="AV95" i="10" l="1"/>
  <c r="AM88" i="10"/>
  <c r="AV96" i="10"/>
  <c r="AT81" i="10"/>
  <c r="AT249" i="10" s="1"/>
  <c r="AL79" i="10"/>
  <c r="AM77" i="10" s="1"/>
  <c r="AR81" i="10"/>
  <c r="AR249" i="10" s="1"/>
  <c r="AU82" i="10"/>
  <c r="AU250" i="10"/>
  <c r="AR82" i="10"/>
  <c r="AR250" i="10" s="1"/>
  <c r="AL80" i="10"/>
  <c r="AL239" i="10" s="1"/>
  <c r="AT82" i="10"/>
  <c r="AT250" i="10" s="1"/>
  <c r="AL81" i="10"/>
  <c r="AL240" i="10" s="1"/>
  <c r="AM238" i="10" s="1"/>
  <c r="AU81" i="10"/>
  <c r="AU249" i="10" s="1"/>
  <c r="AS81" i="10"/>
  <c r="AS249" i="10" s="1"/>
  <c r="AL82" i="10"/>
  <c r="AL241" i="10" s="1"/>
  <c r="AM239" i="10" s="1"/>
  <c r="AM80" i="10"/>
  <c r="AQ82" i="10"/>
  <c r="AQ250" i="10"/>
  <c r="AL78" i="10"/>
  <c r="AL238" i="10" s="1"/>
  <c r="AS82" i="10"/>
  <c r="AS250" i="10" s="1"/>
  <c r="AL76" i="10"/>
  <c r="AL237" i="10" s="1"/>
  <c r="AQ81" i="10"/>
  <c r="AV81" i="10" s="1"/>
  <c r="AM76" i="10" l="1"/>
  <c r="AM78" i="10"/>
  <c r="AQ249" i="10"/>
  <c r="AM79" i="10"/>
  <c r="AV249" i="10"/>
  <c r="AV82" i="10"/>
  <c r="AV250" i="10"/>
  <c r="AM236" i="10"/>
  <c r="AL242" i="10"/>
  <c r="AM240" i="10" s="1"/>
  <c r="AM237" i="10"/>
  <c r="AM235" i="10"/>
  <c r="AM74" i="10"/>
  <c r="AS43" i="6"/>
  <c r="AL43" i="6"/>
  <c r="AR42" i="6"/>
  <c r="AL41" i="6"/>
  <c r="AU42" i="6"/>
  <c r="AQ43" i="6"/>
  <c r="AT42" i="6"/>
  <c r="AL42" i="6"/>
  <c r="AQ42" i="6"/>
  <c r="AT43" i="6"/>
  <c r="AR43" i="6"/>
  <c r="AL40" i="6"/>
  <c r="AS42" i="6"/>
  <c r="AU43" i="6"/>
  <c r="AL37" i="6"/>
  <c r="AL39" i="6"/>
  <c r="AM37" i="6" s="1"/>
  <c r="J89" i="13" l="1"/>
  <c r="J83" i="13"/>
  <c r="I89" i="13"/>
  <c r="I83" i="13"/>
  <c r="AV43" i="6"/>
  <c r="AV42" i="6"/>
  <c r="AL56" i="6"/>
  <c r="AR56" i="6"/>
  <c r="AR57" i="6"/>
  <c r="AL55" i="6"/>
  <c r="AS57" i="6"/>
  <c r="AT57" i="6"/>
  <c r="AQ57" i="6"/>
  <c r="AQ56" i="6"/>
  <c r="AL53" i="6"/>
  <c r="AM51" i="6" s="1"/>
  <c r="AU57" i="6"/>
  <c r="AS56" i="6"/>
  <c r="AT56" i="6"/>
  <c r="AL54" i="6"/>
  <c r="AL51" i="6"/>
  <c r="AU56" i="6"/>
  <c r="AV56" i="6" l="1"/>
  <c r="AV57" i="6"/>
  <c r="AR70" i="6"/>
  <c r="AU71" i="6"/>
  <c r="AR71" i="6"/>
  <c r="AS71" i="6"/>
  <c r="AQ71" i="6"/>
  <c r="AS70" i="6"/>
  <c r="AL69" i="6"/>
  <c r="AT70" i="6"/>
  <c r="AL70" i="6"/>
  <c r="AU70" i="6"/>
  <c r="AL67" i="6"/>
  <c r="AM65" i="6" s="1"/>
  <c r="J85" i="13" s="1"/>
  <c r="AL68" i="6"/>
  <c r="AQ70" i="6"/>
  <c r="AL65" i="6"/>
  <c r="I85" i="13" s="1"/>
  <c r="AT71" i="6"/>
  <c r="AV71" i="6" l="1"/>
  <c r="AV70" i="6"/>
  <c r="AT84" i="6"/>
  <c r="AR85" i="6"/>
  <c r="AS84" i="6"/>
  <c r="AT85" i="6"/>
  <c r="AU84" i="6"/>
  <c r="AR84" i="6"/>
  <c r="AS85" i="6"/>
  <c r="AL83" i="6"/>
  <c r="AL84" i="6"/>
  <c r="AU85" i="6"/>
  <c r="AQ84" i="6"/>
  <c r="AL81" i="6"/>
  <c r="AM79" i="6" s="1"/>
  <c r="J86" i="13" s="1"/>
  <c r="AL82" i="6"/>
  <c r="AL79" i="6"/>
  <c r="I86" i="13" s="1"/>
  <c r="AQ85" i="6"/>
  <c r="AV85" i="6" l="1"/>
  <c r="AV84" i="6"/>
  <c r="AT141" i="6"/>
  <c r="AS140" i="6"/>
  <c r="AL141" i="6"/>
  <c r="AR141" i="6"/>
  <c r="AL139" i="6"/>
  <c r="AT140" i="6"/>
  <c r="AL140" i="6"/>
  <c r="AU141" i="6"/>
  <c r="AU140" i="6"/>
  <c r="AL137" i="6"/>
  <c r="AM135" i="6" s="1"/>
  <c r="J84" i="13" s="1"/>
  <c r="AQ140" i="6"/>
  <c r="AR140" i="6"/>
  <c r="AS141" i="6"/>
  <c r="AL138" i="6"/>
  <c r="AL135" i="6"/>
  <c r="I84" i="13" s="1"/>
  <c r="AQ141" i="6"/>
  <c r="AV141" i="6" l="1"/>
  <c r="AV140" i="6"/>
  <c r="AU154" i="6"/>
  <c r="AT155" i="6"/>
  <c r="AQ154" i="6"/>
  <c r="AR155" i="6"/>
  <c r="AL153" i="6"/>
  <c r="AL154" i="6"/>
  <c r="AU155" i="6"/>
  <c r="AL155" i="6"/>
  <c r="AS154" i="6"/>
  <c r="AS155" i="6"/>
  <c r="AQ155" i="6"/>
  <c r="AT154" i="6"/>
  <c r="AL152" i="6"/>
  <c r="AR154" i="6"/>
  <c r="AL149" i="6"/>
  <c r="I81" i="13" s="1"/>
  <c r="AL151" i="6"/>
  <c r="AV155" i="6" l="1"/>
  <c r="AV154" i="6"/>
  <c r="AM149" i="6"/>
  <c r="J81" i="13" s="1"/>
  <c r="AT168" i="6"/>
  <c r="AT190" i="6" s="1"/>
  <c r="AL167" i="6"/>
  <c r="AL179" i="6" s="1"/>
  <c r="AU169" i="6"/>
  <c r="AU191" i="6" s="1"/>
  <c r="AU93" i="2" s="1"/>
  <c r="AQ169" i="6"/>
  <c r="AL169" i="6"/>
  <c r="AL181" i="6" s="1"/>
  <c r="AS169" i="6"/>
  <c r="AS191" i="6" s="1"/>
  <c r="AS93" i="2" s="1"/>
  <c r="AT169" i="6"/>
  <c r="AT191" i="6" s="1"/>
  <c r="AT93" i="2" s="1"/>
  <c r="AR168" i="6"/>
  <c r="AR190" i="6" s="1"/>
  <c r="AR169" i="6"/>
  <c r="AR191" i="6" s="1"/>
  <c r="AR93" i="2" s="1"/>
  <c r="AU168" i="6"/>
  <c r="AU190" i="6" s="1"/>
  <c r="AS168" i="6"/>
  <c r="AS190" i="6" s="1"/>
  <c r="AL166" i="6"/>
  <c r="AQ168" i="6"/>
  <c r="AL168" i="6"/>
  <c r="AL180" i="6"/>
  <c r="AL163" i="6"/>
  <c r="AL165" i="6"/>
  <c r="AL178" i="6" s="1"/>
  <c r="AL177" i="6" l="1"/>
  <c r="E8" i="11" s="1"/>
  <c r="I90" i="13"/>
  <c r="AV168" i="6"/>
  <c r="AM163" i="6"/>
  <c r="J90" i="13" s="1"/>
  <c r="AV169" i="6"/>
  <c r="I8" i="11"/>
  <c r="I21" i="11" s="1"/>
  <c r="E21" i="11"/>
  <c r="AM177" i="6"/>
  <c r="E9" i="11"/>
  <c r="AL182" i="6"/>
  <c r="AQ190" i="6"/>
  <c r="AV190" i="6" s="1"/>
  <c r="E12" i="11" s="1"/>
  <c r="AQ191" i="6"/>
  <c r="AQ93" i="2" l="1"/>
  <c r="AV93" i="2" s="1"/>
  <c r="AV191" i="6"/>
  <c r="E19" i="11"/>
  <c r="E11" i="11"/>
  <c r="E22" i="11" s="1"/>
  <c r="I9" i="11"/>
  <c r="E10" i="11"/>
  <c r="E20" i="11" s="1"/>
  <c r="I12" i="11"/>
  <c r="E13" i="11"/>
  <c r="I13" i="11" l="1"/>
  <c r="I19" i="11"/>
  <c r="K9" i="11"/>
  <c r="I11" i="11"/>
  <c r="I22" i="11" s="1"/>
  <c r="I10" i="11"/>
  <c r="I20" i="11" s="1"/>
  <c r="AF27" i="4"/>
  <c r="T4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Ms.Nareekarn Soiwatee</author>
  </authors>
  <commentList>
    <comment ref="D3" authorId="0" shapeId="0" xr:uid="{E8ADE510-135C-4625-9546-089D2104406A}">
      <text>
        <r>
          <rPr>
            <sz val="9"/>
            <color indexed="81"/>
            <rFont val="Tahoma"/>
            <family val="2"/>
          </rPr>
          <t xml:space="preserve">Included Belton &amp; Fujikura 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INJ Dept2</author>
  </authors>
  <commentList>
    <comment ref="F139" authorId="0" shapeId="0" xr:uid="{465E0122-48DB-4778-AB06-C8199D233AFE}">
      <text>
        <r>
          <rPr>
            <b/>
            <sz val="9"/>
            <color indexed="81"/>
            <rFont val="Tahoma"/>
            <family val="2"/>
          </rPr>
          <t>Test jig nogo=1348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Mr.Chalit Kairat</author>
  </authors>
  <commentList>
    <comment ref="O137" authorId="0" shapeId="0" xr:uid="{71BC06FC-74C1-45EF-AE97-5719FAD7D3C8}">
      <text>
        <r>
          <rPr>
            <b/>
            <sz val="9"/>
            <color indexed="81"/>
            <rFont val="Tahoma"/>
            <family val="2"/>
          </rPr>
          <t>Mr.Chalit Kairat:</t>
        </r>
        <r>
          <rPr>
            <sz val="9"/>
            <color indexed="81"/>
            <rFont val="Tahoma"/>
            <family val="2"/>
          </rPr>
          <t xml:space="preserve">
gate broken cav.11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Sirichanya  Ouywong</author>
  </authors>
  <commentList>
    <comment ref="C39" authorId="0" shapeId="0" xr:uid="{B3AAF94A-1831-4B60-B10B-2F69F6C1FE29}">
      <text>
        <r>
          <rPr>
            <sz val="11"/>
            <color indexed="81"/>
            <rFont val="Tahoma"/>
            <family val="2"/>
          </rPr>
          <t>Monitor from 50k shot to 100K shot
Refer CN No.
IN2004001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INJ Dept2</author>
    <author>Mr.Chalit Kairat</author>
  </authors>
  <commentList>
    <comment ref="H90" authorId="0" shapeId="0" xr:uid="{754B2D29-0C2D-456E-80E8-85381D9ABC99}">
      <text>
        <r>
          <rPr>
            <b/>
            <sz val="9"/>
            <color indexed="81"/>
            <rFont val="Tahoma"/>
            <family val="2"/>
          </rPr>
          <t>เปลี่ยนใช้ sleeve 3.5 NSI lot 04.00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202" authorId="1" shapeId="0" xr:uid="{7317F9D2-29BA-4F6E-8331-188F9B300563}">
      <text>
        <r>
          <rPr>
            <b/>
            <sz val="9"/>
            <color indexed="81"/>
            <rFont val="Tahoma"/>
            <family val="2"/>
          </rPr>
          <t>Mr.Chalit Kairat:
Used sleeve SOHWA = CN issue</t>
        </r>
      </text>
    </comment>
    <comment ref="H250" authorId="1" shapeId="0" xr:uid="{7BB39237-BB1B-43AB-8EEF-DF5A8BF70FE8}">
      <text>
        <r>
          <rPr>
            <b/>
            <sz val="9"/>
            <color indexed="81"/>
            <rFont val="Tahoma"/>
            <family val="2"/>
          </rPr>
          <t>Mr.Chalit Kairat:</t>
        </r>
        <r>
          <rPr>
            <sz val="9"/>
            <color indexed="81"/>
            <rFont val="Tahoma"/>
            <family val="2"/>
          </rPr>
          <t xml:space="preserve">
short tray supply</t>
        </r>
      </text>
    </comment>
    <comment ref="L266" authorId="1" shapeId="0" xr:uid="{C1B9CE3C-2227-4C22-A733-5D031B5D5BE9}">
      <text>
        <r>
          <rPr>
            <b/>
            <sz val="9"/>
            <color indexed="81"/>
            <rFont val="Tahoma"/>
            <family val="2"/>
          </rPr>
          <t>Mr.Chalit Kairat:</t>
        </r>
        <r>
          <rPr>
            <sz val="9"/>
            <color indexed="81"/>
            <rFont val="Tahoma"/>
            <family val="2"/>
          </rPr>
          <t xml:space="preserve">
Change kissing part</t>
        </r>
      </text>
    </comment>
    <comment ref="O330" authorId="1" shapeId="0" xr:uid="{9BC6B80F-4C28-4438-AA5C-F79E2C5CA7B2}">
      <text>
        <r>
          <rPr>
            <b/>
            <sz val="9"/>
            <color indexed="81"/>
            <rFont val="Tahoma"/>
            <family val="2"/>
          </rPr>
          <t>Mr.Chalit Kairat:</t>
        </r>
        <r>
          <rPr>
            <sz val="9"/>
            <color indexed="81"/>
            <rFont val="Tahoma"/>
            <family val="2"/>
          </rPr>
          <t xml:space="preserve">
Insert dent &amp;broken cav.9(clamp sleeve)</t>
        </r>
      </text>
    </comment>
    <comment ref="U458" authorId="1" shapeId="0" xr:uid="{E9FF1ED0-8310-48E7-88D9-95E0CC56D127}">
      <text>
        <r>
          <rPr>
            <b/>
            <sz val="9"/>
            <color indexed="81"/>
            <rFont val="Tahoma"/>
            <charset val="1"/>
          </rPr>
          <t>Mr.Chalit Kairat:</t>
        </r>
        <r>
          <rPr>
            <sz val="9"/>
            <color indexed="81"/>
            <rFont val="Tahoma"/>
            <charset val="1"/>
          </rPr>
          <t xml:space="preserve">
Use sleeve SOHWA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INJ Dept2</author>
  </authors>
  <commentList>
    <comment ref="F41" authorId="0" shapeId="0" xr:uid="{0711FD6E-C319-4D1E-BEAC-B3526427E09A}">
      <text>
        <r>
          <rPr>
            <b/>
            <sz val="9"/>
            <color indexed="81"/>
            <rFont val="Tahoma"/>
            <family val="2"/>
          </rPr>
          <t>New FA&amp; Gate burr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<sst xmlns="http://schemas.openxmlformats.org/spreadsheetml/2006/main" count="9437" uniqueCount="722">
  <si>
    <t xml:space="preserve">1. Monitoring PD Output accumulated (each Product group) </t>
  </si>
  <si>
    <t>PD Output</t>
  </si>
  <si>
    <t>Ramp</t>
  </si>
  <si>
    <t>AUTO</t>
  </si>
  <si>
    <t>SEAGATE</t>
  </si>
  <si>
    <t>Belton</t>
  </si>
  <si>
    <t>TTL Product</t>
  </si>
  <si>
    <t xml:space="preserve">Tray </t>
  </si>
  <si>
    <t>TTL w/ Tray</t>
  </si>
  <si>
    <t>Quantity</t>
  </si>
  <si>
    <t>Plan</t>
  </si>
  <si>
    <t>Pcs.</t>
  </si>
  <si>
    <t>Actual</t>
  </si>
  <si>
    <t>Diff. (pcs.)</t>
  </si>
  <si>
    <t>%Achievement</t>
  </si>
  <si>
    <t>Amount</t>
  </si>
  <si>
    <t>THB</t>
  </si>
  <si>
    <t>Diff. (THB)</t>
  </si>
  <si>
    <t>% Achievement</t>
  </si>
  <si>
    <t>Throwaway cost (THB)</t>
  </si>
  <si>
    <t>% Throwaway</t>
  </si>
  <si>
    <t>Q'ty</t>
  </si>
  <si>
    <t>Diff.</t>
  </si>
  <si>
    <t>2. Material Usage Monitoring</t>
  </si>
  <si>
    <t>No.</t>
  </si>
  <si>
    <t>Material name</t>
  </si>
  <si>
    <t>Ratio</t>
  </si>
  <si>
    <t>Plan Usage (kg.)</t>
  </si>
  <si>
    <t>Actual Usage (kg.)</t>
  </si>
  <si>
    <t>%Usage</t>
  </si>
  <si>
    <t>Tenac-C_RD450 V66810R</t>
  </si>
  <si>
    <t>50:50</t>
  </si>
  <si>
    <t>Rev.1</t>
  </si>
  <si>
    <t>INJ sent to TL and related section before noon.</t>
  </si>
  <si>
    <t>M/C No.</t>
  </si>
  <si>
    <t>Part Name</t>
  </si>
  <si>
    <t>Std. O/H (Shot)</t>
  </si>
  <si>
    <t>Date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</si>
  <si>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</si>
  <si>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</si>
  <si>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</si>
  <si>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</si>
  <si>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</si>
  <si>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</si>
  <si>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</si>
  <si>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</si>
  <si>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</si>
  <si>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</si>
  <si>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</si>
  <si>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</si>
  <si>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</si>
  <si>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</si>
  <si>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</si>
  <si>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</si>
  <si>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</si>
  <si>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</si>
  <si>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</si>
  <si>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</si>
  <si>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</si>
  <si>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</si>
  <si>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</si>
  <si>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</si>
  <si>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Column242</t>
  </si>
  <si>
    <t>Column243</t>
  </si>
  <si>
    <t>Column244</t>
  </si>
  <si>
    <t>Column25</t>
  </si>
  <si>
    <t>Column26</t>
  </si>
  <si>
    <t>Column27</t>
  </si>
  <si>
    <t>Total</t>
  </si>
  <si>
    <t>Total Act. (pcs.)</t>
  </si>
  <si>
    <t>Sale/Bahts.</t>
  </si>
  <si>
    <t>Total Amount (THB)</t>
  </si>
  <si>
    <t>Price/Pcs.</t>
  </si>
  <si>
    <t>Material usage (Kg)</t>
  </si>
  <si>
    <t>Column28</t>
  </si>
  <si>
    <t>Column29</t>
  </si>
  <si>
    <t>Column30</t>
  </si>
  <si>
    <t>Column31</t>
  </si>
  <si>
    <t>Column32</t>
  </si>
  <si>
    <t>Column33</t>
  </si>
  <si>
    <t>Column35</t>
  </si>
  <si>
    <t>Tray for Ramp Vela-A (Color Green)</t>
  </si>
  <si>
    <t>Plan (pcs.)</t>
  </si>
  <si>
    <t>M/C A6</t>
  </si>
  <si>
    <t>WK1</t>
  </si>
  <si>
    <t>WK2</t>
  </si>
  <si>
    <t>WK3</t>
  </si>
  <si>
    <t>WK4</t>
  </si>
  <si>
    <t>WK5</t>
  </si>
  <si>
    <t>AME3962-00</t>
  </si>
  <si>
    <t>Accumulated shot count</t>
  </si>
  <si>
    <t>Plan (pcs)</t>
  </si>
  <si>
    <t>1/1 cav.</t>
  </si>
  <si>
    <t>Actual (pcs.)</t>
  </si>
  <si>
    <t>Actual (pcs)</t>
  </si>
  <si>
    <t>STD. shot mold O/H</t>
  </si>
  <si>
    <t>Diff.from plan (pcs.)</t>
  </si>
  <si>
    <t>% Defect</t>
  </si>
  <si>
    <t>Deff.(pcs.)</t>
  </si>
  <si>
    <t>A6 (75tons)</t>
  </si>
  <si>
    <t>1time/month</t>
  </si>
  <si>
    <t>Throw away  (pcs.)</t>
  </si>
  <si>
    <t>Throwaway(pcs)</t>
  </si>
  <si>
    <t>QC Sample partrol (pcs.)</t>
  </si>
  <si>
    <t>Screw O/H</t>
  </si>
  <si>
    <t>INJ. Sample partrol (pcs.)</t>
  </si>
  <si>
    <t>Production amount(THB)</t>
  </si>
  <si>
    <t>Actual cav.</t>
  </si>
  <si>
    <t>Trigger line</t>
  </si>
  <si>
    <t>Shot cont</t>
  </si>
  <si>
    <t>Mold O/H</t>
  </si>
  <si>
    <t>Actual accumulated shot count</t>
  </si>
  <si>
    <t>Total Mold Shot counter Actual</t>
  </si>
  <si>
    <t>Bar for Ramp Vela-A (Color Green)</t>
  </si>
  <si>
    <t>-</t>
  </si>
  <si>
    <t>Tray for Ramp Vela-A1 (Carina2) Color Blue</t>
  </si>
  <si>
    <t>C53610</t>
  </si>
  <si>
    <t>Bar for Ramp Vela-A1 (Carina2) Color Blue</t>
  </si>
  <si>
    <t>Tray for Ramp Sydney-E (N) (NEW DESIGN)</t>
  </si>
  <si>
    <t>0F58558-T1</t>
  </si>
  <si>
    <t>Bar for Ramp Sydney-E (N)</t>
  </si>
  <si>
    <t>Tray for Ramp London-D (N) Color Green</t>
  </si>
  <si>
    <t>0F42969-T1</t>
  </si>
  <si>
    <t>Bar for Ramp London-D (N) Color Green</t>
  </si>
  <si>
    <t>0F42969-B1</t>
  </si>
  <si>
    <t>Tray for Ramp London-D (L) Color Gray</t>
  </si>
  <si>
    <t>0F42970-T1</t>
  </si>
  <si>
    <t>Bar for Ramp London-D (L) Color Gray</t>
  </si>
  <si>
    <t>0F42970-B1</t>
  </si>
  <si>
    <t>Tray for Ramp PDQ (Color Green)</t>
  </si>
  <si>
    <t>0F40969-T1</t>
  </si>
  <si>
    <t>Bar for Ramp PDQ (Color Green)</t>
  </si>
  <si>
    <t>0F40969-B1</t>
  </si>
  <si>
    <t>Tray Air Spoiler London</t>
  </si>
  <si>
    <t>M/C A7</t>
  </si>
  <si>
    <t>A7 (80tons)</t>
  </si>
  <si>
    <t>Bar forTray Air Spoiler London</t>
  </si>
  <si>
    <t>2063-778178-B1</t>
  </si>
  <si>
    <t>Tray for VLA Air Spoiler 4D (Color Black)</t>
  </si>
  <si>
    <t>0B30534-T1</t>
  </si>
  <si>
    <t>Cover for VLA Air Spoiler 4D (Color Black)</t>
  </si>
  <si>
    <t>0B30534-C1</t>
  </si>
  <si>
    <t>Bar for VLA Air Spoiler 4D (Color Black)</t>
  </si>
  <si>
    <t>0B30534-B1</t>
  </si>
  <si>
    <t>Tray for Air Spoiler Paris-C (Color Gray)</t>
  </si>
  <si>
    <t>M/C A9</t>
  </si>
  <si>
    <t>AME4908</t>
  </si>
  <si>
    <t>A9(80tons)</t>
  </si>
  <si>
    <t>Cover for Air Spoiler Paris-C (Color Gray)</t>
  </si>
  <si>
    <t>0F40957-C1</t>
  </si>
  <si>
    <t>A9 (80tons)</t>
  </si>
  <si>
    <t>Bar for Air Spoiler Paris-C (Color Gray)</t>
  </si>
  <si>
    <t>0F40957-B1</t>
  </si>
  <si>
    <t>Tray for Vela-AP Air Spoiler (Color Gray)</t>
  </si>
  <si>
    <t>0B35813-T1/ 0B35771-T1</t>
  </si>
  <si>
    <t>Cover for Vela-AX  Air Spoiler (Color Blue)</t>
  </si>
  <si>
    <t>Bar for Vela-AX  Air Spoiler (Color Blue)</t>
  </si>
  <si>
    <t>Tray for Air Spolier Vela-AX</t>
  </si>
  <si>
    <t>Cover for Air Spolier London-D (Color Green)</t>
  </si>
  <si>
    <t>0F42941-C1</t>
  </si>
  <si>
    <t>Bar for Air Spolier London-D (Color Green)</t>
  </si>
  <si>
    <t>0F42941-B1</t>
  </si>
  <si>
    <t>Tary Ramp Sydney -E (H) Color Bright Blue</t>
  </si>
  <si>
    <t>0F58558-B1</t>
  </si>
  <si>
    <t>Bar Ramp Sydney -E (H) Color Bright Blue</t>
  </si>
  <si>
    <t>Bar for Ramp Caymus/Trails (Color Black)</t>
  </si>
  <si>
    <t>M/C A8</t>
  </si>
  <si>
    <t>A8 (80tons)</t>
  </si>
  <si>
    <t>Tray for Ramp Paris-C (Color Gray)</t>
  </si>
  <si>
    <t>Bar for Ramp Paris-C (Color Gray)</t>
  </si>
  <si>
    <t>Tray Ramp Sydney -E (H)  Color Bright Blue</t>
  </si>
  <si>
    <t>(NEW DESIGN)</t>
  </si>
  <si>
    <t>0F58557-T1</t>
  </si>
  <si>
    <t>0F58557-B1</t>
  </si>
  <si>
    <t>Tray Ramp Sydney -E (L) Color Gray</t>
  </si>
  <si>
    <t>0F58559-T1</t>
  </si>
  <si>
    <t>Bar Ramp Sydney -E (L) Color Gray</t>
  </si>
  <si>
    <t>0F58559-B1</t>
  </si>
  <si>
    <t>A9 (100tons)</t>
  </si>
  <si>
    <t>M/C H18</t>
  </si>
  <si>
    <t>H18 (130tons)</t>
  </si>
  <si>
    <t>H18(130tons)</t>
  </si>
  <si>
    <t>TY100-0050</t>
  </si>
  <si>
    <t>Tray Ramp Paris-D</t>
  </si>
  <si>
    <t xml:space="preserve">A8 </t>
  </si>
  <si>
    <t>Bar Ramp paris-D</t>
  </si>
  <si>
    <t>A8</t>
  </si>
  <si>
    <t>Cover Air Spoiler Sydney-E</t>
  </si>
  <si>
    <t>H18 (100tons)</t>
  </si>
  <si>
    <t xml:space="preserve">Tray for Air Spolier Sydney-E </t>
  </si>
  <si>
    <t xml:space="preserve">Cover for Air Spolier Sydney-E </t>
  </si>
  <si>
    <t>Bar for Air Spolier Spolier Sydney-E</t>
  </si>
  <si>
    <t>Tray for Air Spoiler Vela-AX (Color Blue)</t>
  </si>
  <si>
    <t>M/C A10</t>
  </si>
  <si>
    <t>AME4534</t>
  </si>
  <si>
    <t>A10 (100tons)</t>
  </si>
  <si>
    <t>Cover for Air Spoiler Vela-AX (Color Blue)</t>
  </si>
  <si>
    <t>AME4535</t>
  </si>
  <si>
    <t>Bar for Air Spoiler Vela-AX (Color Blue)</t>
  </si>
  <si>
    <t>AME4536</t>
  </si>
  <si>
    <t>Tray for Ramp Venice RP (Color Green)</t>
  </si>
  <si>
    <t>2006-830500-000</t>
  </si>
  <si>
    <t>A10 (150tons)</t>
  </si>
  <si>
    <t>Bar for Ramp Venice RP (Color Green)</t>
  </si>
  <si>
    <t>Spyglass Ramp IM Tray (Color Black)</t>
  </si>
  <si>
    <t>T0125150301</t>
  </si>
  <si>
    <t>Spyglass Ramp  IM Bar (Color Black)</t>
  </si>
  <si>
    <t>T0125150302</t>
  </si>
  <si>
    <t>Ramp Palmer IM Tray (Color Black)</t>
  </si>
  <si>
    <t>T0127160301</t>
  </si>
  <si>
    <t>Ramp Palmer IM Bar (Color Black)</t>
  </si>
  <si>
    <t>Venice Ramp Tray (Color Light Gray)</t>
  </si>
  <si>
    <t>2006-820518-000</t>
  </si>
  <si>
    <t>Venice Ramp Bar (Color Light Gray)</t>
  </si>
  <si>
    <t>Ramp Tray Carmel NEO (Color Black)</t>
  </si>
  <si>
    <t>2006-820523-000</t>
  </si>
  <si>
    <t>Ramp Bar Carmel NEO  (Color Black)</t>
  </si>
  <si>
    <t>Okamont2 Ramp Tray (Color Black)</t>
  </si>
  <si>
    <t>P005-000128-000</t>
  </si>
  <si>
    <t>Okamont2 Ramp Bar (Color Black)</t>
  </si>
  <si>
    <t>Venice Spoiler Tray (Color Light Gray)</t>
  </si>
  <si>
    <t>2006-820517-000</t>
  </si>
  <si>
    <t>Venice Spoiler Bar (Color Light Gray)</t>
  </si>
  <si>
    <t>Tray Ramp Carmel 2D</t>
  </si>
  <si>
    <t>Bar for  Ramp Carmel 2D</t>
  </si>
  <si>
    <t>Bar for Vela-AP Air Spoiler (Color Gray)</t>
  </si>
  <si>
    <t>0B35813-B1/ 0B35771-B1</t>
  </si>
  <si>
    <t>Tray for Air Spolier London-D (Color Green)</t>
  </si>
  <si>
    <t>0F42941-T1</t>
  </si>
  <si>
    <t>NG (pcs.)</t>
  </si>
  <si>
    <t>Reject rate</t>
  </si>
  <si>
    <t>Summary data Tray products</t>
  </si>
  <si>
    <t>Wk1</t>
  </si>
  <si>
    <t>Wk2</t>
  </si>
  <si>
    <t>Wk3</t>
  </si>
  <si>
    <t>Wk4</t>
  </si>
  <si>
    <t>Wk5</t>
  </si>
  <si>
    <t>Deff. (pcs)</t>
  </si>
  <si>
    <t>Throw away (pcs.)</t>
  </si>
  <si>
    <t>Column262</t>
  </si>
  <si>
    <t>Column263</t>
  </si>
  <si>
    <t>Column264</t>
  </si>
  <si>
    <t>A3</t>
  </si>
  <si>
    <t>M/C A3</t>
  </si>
  <si>
    <t>113233-40010-C</t>
  </si>
  <si>
    <t>A15</t>
  </si>
  <si>
    <t>4/4 Cav.</t>
  </si>
  <si>
    <t>Part weight (g)</t>
  </si>
  <si>
    <t>A3(50Ton)</t>
  </si>
  <si>
    <t>PA66 AMILAN CM3006 Z31 B2 BLACK</t>
  </si>
  <si>
    <t>DV200-0000-90-0003</t>
  </si>
  <si>
    <t>M/C A15</t>
  </si>
  <si>
    <t>113241-40010-A</t>
  </si>
  <si>
    <t>A15(50Ton)</t>
  </si>
  <si>
    <t>DV200-0000-90-0002</t>
  </si>
  <si>
    <t>113232-45020</t>
  </si>
  <si>
    <t>PA66 AMILAN CM3006G-30 B1 BLACK</t>
  </si>
  <si>
    <t>DV200-0000-90-0001</t>
  </si>
  <si>
    <t>Actual accumulated</t>
  </si>
  <si>
    <t>Summary data TRT and Advics products</t>
  </si>
  <si>
    <t>Total Production amount(THB)</t>
  </si>
  <si>
    <t>M/C A4</t>
  </si>
  <si>
    <t>412871-2</t>
  </si>
  <si>
    <t>2/2 Cav.</t>
  </si>
  <si>
    <t>TC200-0000-90-0004</t>
  </si>
  <si>
    <t>M/C A5</t>
  </si>
  <si>
    <t>758684-0061</t>
  </si>
  <si>
    <t>A5 (B2)</t>
  </si>
  <si>
    <t>2/2 Cav..</t>
  </si>
  <si>
    <t>TR200-0000-90-0002</t>
  </si>
  <si>
    <t>LENS PUSH (355W)</t>
  </si>
  <si>
    <t>75D330-0020</t>
  </si>
  <si>
    <t>8/8 Cav.</t>
  </si>
  <si>
    <t xml:space="preserve">TR200-0000-90-0028 </t>
  </si>
  <si>
    <t>LENS (D40D) (Natural)</t>
  </si>
  <si>
    <t xml:space="preserve">77B008-0020  </t>
  </si>
  <si>
    <t>(PC) IUPILON S-3000UR - NATURAL</t>
  </si>
  <si>
    <t>(PC) IUPILON DS3002R 7031A NATURAL</t>
  </si>
  <si>
    <t>TR200-0000-90-0005</t>
  </si>
  <si>
    <t>PUSHER W/L (RT50)</t>
  </si>
  <si>
    <t>515483-0071</t>
  </si>
  <si>
    <t>TR200-0000-90-0053</t>
  </si>
  <si>
    <t>KNOB ROTARY (D40D)</t>
  </si>
  <si>
    <t>77B008-0012</t>
  </si>
  <si>
    <t>A7 (D1)</t>
  </si>
  <si>
    <t>TR200-0000-90-0043</t>
  </si>
  <si>
    <t>77B625-0010</t>
  </si>
  <si>
    <t>(ABS) TECHNO H565 SAA3E0 BLACK</t>
  </si>
  <si>
    <t>TR200-0000-90-0056</t>
  </si>
  <si>
    <t>A9</t>
  </si>
  <si>
    <t xml:space="preserve">A9 </t>
  </si>
  <si>
    <t>A10</t>
  </si>
  <si>
    <t>(ABS) TECHNO MUH E1500 TJA5808T BLACK</t>
  </si>
  <si>
    <t>KNOB RR DEF</t>
  </si>
  <si>
    <t>M/C A11</t>
  </si>
  <si>
    <t>75D330-0010C</t>
  </si>
  <si>
    <t>A11 (D6)</t>
  </si>
  <si>
    <t>TR200-0000-90-0027</t>
  </si>
  <si>
    <t>KNOB BLOWER (956L)</t>
  </si>
  <si>
    <t>75D973-0010</t>
  </si>
  <si>
    <t>TR200-0000-90-0034</t>
  </si>
  <si>
    <t>M/C A12</t>
  </si>
  <si>
    <t>75D328-7010A</t>
  </si>
  <si>
    <t xml:space="preserve">INSULATOR CP (D49A) </t>
  </si>
  <si>
    <t>(75H200-7010)</t>
  </si>
  <si>
    <t>A12 (C7)</t>
  </si>
  <si>
    <t>TR200-0000-90-0057</t>
  </si>
  <si>
    <t>INSULATOR CP, A/M &amp; RR DEF (355W)</t>
  </si>
  <si>
    <t>75D330-7020A</t>
  </si>
  <si>
    <t>TR200-0000-90-0029</t>
  </si>
  <si>
    <t xml:space="preserve">INSULATOR CP MODE &amp; A/C (D49A) </t>
  </si>
  <si>
    <t>75H199-7020</t>
  </si>
  <si>
    <t>TR200-0000-90-0058</t>
  </si>
  <si>
    <t xml:space="preserve">INSULATOR CP MODE &amp; A/C (800A) </t>
  </si>
  <si>
    <t>75D326-7010A</t>
  </si>
  <si>
    <t>TR200-0000-90-0023</t>
  </si>
  <si>
    <t>758684-7011</t>
  </si>
  <si>
    <t>TR200-0000-90-0003</t>
  </si>
  <si>
    <t>Part name</t>
  </si>
  <si>
    <t>Column252</t>
  </si>
  <si>
    <t>Column274</t>
  </si>
  <si>
    <t>M/C A1</t>
  </si>
  <si>
    <t>A1 (75 Ton)</t>
  </si>
  <si>
    <t>7186-6939</t>
  </si>
  <si>
    <t>4/4 CAV.</t>
  </si>
  <si>
    <t>0.64 II 16P CAN OUTER HSG</t>
  </si>
  <si>
    <t>7186-6940</t>
  </si>
  <si>
    <t>PBT DURANEX PBT-H01 C7000LE NE-700   NAT</t>
  </si>
  <si>
    <t>0.64 II 20P CAN INNER HSG</t>
  </si>
  <si>
    <t>7186-9155</t>
  </si>
  <si>
    <t>YA200-0000-90-0003</t>
  </si>
  <si>
    <t>0.64 II 20P CAN OUTER HSG</t>
  </si>
  <si>
    <t>7186-9156</t>
  </si>
  <si>
    <t>YA200-0000-90-0004</t>
  </si>
  <si>
    <t>M/C A2</t>
  </si>
  <si>
    <t>A2 (100 Ton)</t>
  </si>
  <si>
    <t>7182-9631-40</t>
  </si>
  <si>
    <t>16/16 Cav.</t>
  </si>
  <si>
    <t>YA200-0000-90-0009</t>
  </si>
  <si>
    <t>7182-9632-30 #2</t>
  </si>
  <si>
    <t>16/16 CAV.</t>
  </si>
  <si>
    <t>YA200-0000-90-0012</t>
  </si>
  <si>
    <t>7182-9633-40</t>
  </si>
  <si>
    <t>PBT DURANEX CS7000NY EG-7006 LIGHT GRAY</t>
  </si>
  <si>
    <t xml:space="preserve">0.64 II 20P CAN REAR HOLDER  </t>
  </si>
  <si>
    <t>7172-0706</t>
  </si>
  <si>
    <t>YA200-0000-90-0005</t>
  </si>
  <si>
    <t>A8 (D2)</t>
  </si>
  <si>
    <t>PBT 5101 H01 NAT</t>
  </si>
  <si>
    <t>YA200-0000-90-0006</t>
  </si>
  <si>
    <t>M/C A14</t>
  </si>
  <si>
    <t>A14 (100 Ton)</t>
  </si>
  <si>
    <t>7182-9632-30 M.3</t>
  </si>
  <si>
    <t>PBT DURANEX CS7000NY EB-7001 BLACK</t>
  </si>
  <si>
    <t>Summary data YAZAKI products</t>
  </si>
  <si>
    <t>13-Mar</t>
  </si>
  <si>
    <t>14-Mar</t>
  </si>
  <si>
    <t>15-Mar</t>
  </si>
  <si>
    <t>16-Mar</t>
  </si>
  <si>
    <t>17-Mar</t>
  </si>
  <si>
    <t>18-Mar</t>
  </si>
  <si>
    <t>19-Mar</t>
  </si>
  <si>
    <t>20-Mar</t>
  </si>
  <si>
    <t>21-Mar</t>
  </si>
  <si>
    <t>22-Mar</t>
  </si>
  <si>
    <t>23-Mar</t>
  </si>
  <si>
    <t>24-Mar</t>
  </si>
  <si>
    <t>25-Mar</t>
  </si>
  <si>
    <t>26-Mar</t>
  </si>
  <si>
    <t>27-Mar</t>
  </si>
  <si>
    <t>28-Mar</t>
  </si>
  <si>
    <t>29-Mar</t>
  </si>
  <si>
    <t>30-Mar</t>
  </si>
  <si>
    <t>31-Mar</t>
  </si>
  <si>
    <t>Column222</t>
  </si>
  <si>
    <t>Column233</t>
  </si>
  <si>
    <t>H2</t>
  </si>
  <si>
    <t>M/C H2</t>
  </si>
  <si>
    <t>2063-778008-001</t>
  </si>
  <si>
    <t>H2 (B8)</t>
  </si>
  <si>
    <t>2 Week / Time</t>
  </si>
  <si>
    <t>(RTP) 899 X 120646 NATURAL</t>
  </si>
  <si>
    <t>DW300-0000-90-0008</t>
  </si>
  <si>
    <t>2053-800196-000</t>
  </si>
  <si>
    <t>M/C H3</t>
  </si>
  <si>
    <t>0F40957</t>
  </si>
  <si>
    <t>H3 (A3)</t>
  </si>
  <si>
    <t>1 time/ month</t>
  </si>
  <si>
    <t>M039-000000-000IPX</t>
  </si>
  <si>
    <t>H6 (C2)</t>
  </si>
  <si>
    <t>(PC) HIPERSITE W2000 BLACK</t>
  </si>
  <si>
    <t>M/C H5</t>
  </si>
  <si>
    <t>H5 (C2)</t>
  </si>
  <si>
    <t>M/C H6</t>
  </si>
  <si>
    <t>0F42941</t>
  </si>
  <si>
    <t>OB31105</t>
  </si>
  <si>
    <t>0B31105</t>
  </si>
  <si>
    <t>0F28442</t>
  </si>
  <si>
    <t>M/C H7</t>
  </si>
  <si>
    <t>M/C H8</t>
  </si>
  <si>
    <t>0F26847</t>
  </si>
  <si>
    <t>H8 (B5)</t>
  </si>
  <si>
    <t xml:space="preserve">H9 </t>
  </si>
  <si>
    <t>H9</t>
  </si>
  <si>
    <t>HI300-0000-90-0065</t>
  </si>
  <si>
    <t>M/C H9</t>
  </si>
  <si>
    <t>0B35813</t>
  </si>
  <si>
    <t>M/C H10</t>
  </si>
  <si>
    <t>0B42600</t>
  </si>
  <si>
    <t>1time/Month</t>
  </si>
  <si>
    <t>H10 (B4)</t>
  </si>
  <si>
    <t>2053-800796</t>
  </si>
  <si>
    <t>M/C H11</t>
  </si>
  <si>
    <t>H11 (B7)</t>
  </si>
  <si>
    <t>H11(50Ton)</t>
  </si>
  <si>
    <t>H11</t>
  </si>
  <si>
    <t>H12</t>
  </si>
  <si>
    <t>H11 (50Ton)</t>
  </si>
  <si>
    <t>M/C H12</t>
  </si>
  <si>
    <t>H15</t>
  </si>
  <si>
    <t>H16</t>
  </si>
  <si>
    <t>H12(50Ton)</t>
  </si>
  <si>
    <t>M/C H15</t>
  </si>
  <si>
    <t>H15(50Ton)</t>
  </si>
  <si>
    <t>H17</t>
  </si>
  <si>
    <t>H15 (50Ton)</t>
  </si>
  <si>
    <t>M/C H16</t>
  </si>
  <si>
    <t>Summary data WDC products</t>
  </si>
  <si>
    <t>Rev.0</t>
  </si>
  <si>
    <t>RD450</t>
  </si>
  <si>
    <t>M/C R1</t>
  </si>
  <si>
    <t>0B40888 / 0B41190</t>
  </si>
  <si>
    <t>Part weight RD450 (g)</t>
  </si>
  <si>
    <t>ULTEM</t>
  </si>
  <si>
    <t>Part weight ULTEM EX10304C (g)</t>
  </si>
  <si>
    <t>Blade Cutter O/H</t>
  </si>
  <si>
    <t>ULTEM EX10304C-BK1D414</t>
  </si>
  <si>
    <t>HI300-0000-90-0078</t>
  </si>
  <si>
    <t>M/C R2</t>
  </si>
  <si>
    <t>0F45458</t>
  </si>
  <si>
    <t>HI300-0000-90-0084</t>
  </si>
  <si>
    <t>M/C R3</t>
  </si>
  <si>
    <t>2063-779589-400</t>
  </si>
  <si>
    <t>DW300-0000-90-0045</t>
  </si>
  <si>
    <t>M/C R4</t>
  </si>
  <si>
    <t>M/C R5</t>
  </si>
  <si>
    <t>2053-800709-400</t>
  </si>
  <si>
    <t>DW300-0000-90-0051</t>
  </si>
  <si>
    <t>2053-810286-400</t>
  </si>
  <si>
    <t>DW300-0000-90-0054</t>
  </si>
  <si>
    <t>M/C R6</t>
  </si>
  <si>
    <t>M/C R7</t>
  </si>
  <si>
    <t>2053-810483-000</t>
  </si>
  <si>
    <t>8/8 cav.</t>
  </si>
  <si>
    <t>M/C R8</t>
  </si>
  <si>
    <t>2053-810201-000</t>
  </si>
  <si>
    <t>DW300-0000-90-0053</t>
  </si>
  <si>
    <t>M/C R9</t>
  </si>
  <si>
    <t>0F42969 / 0F49276</t>
  </si>
  <si>
    <t>0F42968 / 0F49275</t>
  </si>
  <si>
    <t>HI300-0000-90-0088</t>
  </si>
  <si>
    <t>M/C R11</t>
  </si>
  <si>
    <t>M017-000006-N00IPX</t>
  </si>
  <si>
    <t>(POM) TENAC-C RD457 V11612R</t>
  </si>
  <si>
    <t>M/C R12</t>
  </si>
  <si>
    <t>M/C R13</t>
  </si>
  <si>
    <t>0B46683</t>
  </si>
  <si>
    <t>HI300-0000-00-0096</t>
  </si>
  <si>
    <t>M/C R14</t>
  </si>
  <si>
    <t>HI300-0000-90-0099</t>
  </si>
  <si>
    <t>M017-000006-H00IPX</t>
  </si>
  <si>
    <t>HI300-0000-90-0098</t>
  </si>
  <si>
    <t>M017-000006-L00IPX</t>
  </si>
  <si>
    <t>HI300-0000-90-0100</t>
  </si>
  <si>
    <t>0F24126 / 0F26804</t>
  </si>
  <si>
    <t>HI300-0000-90-0066</t>
  </si>
  <si>
    <t>M/C R16</t>
  </si>
  <si>
    <t>0F43578 / 0F3580</t>
  </si>
  <si>
    <t>HI300-0000-90-0083</t>
  </si>
  <si>
    <t>M/C R17</t>
  </si>
  <si>
    <t>M/C R18</t>
  </si>
  <si>
    <t>2053-810350-000</t>
  </si>
  <si>
    <t>M/C R19</t>
  </si>
  <si>
    <t>M/C R20</t>
  </si>
  <si>
    <t>2053-800721-400</t>
  </si>
  <si>
    <t>trigger line</t>
    <phoneticPr fontId="19"/>
  </si>
  <si>
    <t>WD300-0000-90-0042</t>
  </si>
  <si>
    <t>M/C R21</t>
  </si>
  <si>
    <t>M/C R22</t>
  </si>
  <si>
    <t>Form</t>
  </si>
  <si>
    <t xml:space="preserve">M/C </t>
  </si>
  <si>
    <t>XXXX</t>
  </si>
  <si>
    <t>Reject Rate</t>
  </si>
  <si>
    <t xml:space="preserve">  </t>
  </si>
  <si>
    <t>Summary data RAMP products</t>
  </si>
  <si>
    <t>GM9041422</t>
  </si>
  <si>
    <t>4/4 cav.</t>
  </si>
  <si>
    <t>TO300-0000-90-0098</t>
  </si>
  <si>
    <t>Summary data NIDEC products</t>
  </si>
  <si>
    <t xml:space="preserve">TRAY,PLASTIC,SLIDER,WASH,DPEMTO  </t>
  </si>
  <si>
    <t>M/C H17</t>
  </si>
  <si>
    <t>1/1 Cav.</t>
  </si>
  <si>
    <t>CARBO-RITE(TM) A-1441</t>
  </si>
  <si>
    <t>SG300-0000-90-0001</t>
  </si>
  <si>
    <t>Summary data Seagate products</t>
  </si>
  <si>
    <t>451P559</t>
  </si>
  <si>
    <t>A3 (H3)</t>
  </si>
  <si>
    <t>(Old mat'l)</t>
  </si>
  <si>
    <t>FJ300-0000-90-0026</t>
  </si>
  <si>
    <t>451P707</t>
  </si>
  <si>
    <t>(New mat'l)</t>
  </si>
  <si>
    <t>(LCP) UENO 2140GM-HV</t>
  </si>
  <si>
    <t>Summary data Fujikura products</t>
  </si>
  <si>
    <t>ULTEM  ATX200-1100 NATURAL</t>
  </si>
  <si>
    <t>M/C H19</t>
  </si>
  <si>
    <t>Summary data Belton product</t>
  </si>
  <si>
    <t xml:space="preserve"> </t>
  </si>
  <si>
    <t>2053-810286400</t>
  </si>
  <si>
    <t>Tray For GMN Ramp</t>
  </si>
  <si>
    <t>0F12676-T1</t>
  </si>
  <si>
    <t>Bar For GMN Ramp</t>
  </si>
  <si>
    <t>A5 (70tons)</t>
  </si>
  <si>
    <t>2053-810290</t>
  </si>
  <si>
    <t xml:space="preserve"> CAV.</t>
  </si>
  <si>
    <t>A7 (75tons)</t>
  </si>
  <si>
    <t>Tray Ramp London (N)</t>
  </si>
  <si>
    <t>Bar Ramp London (N)</t>
  </si>
  <si>
    <t>Bar for Ramp Sydney-E (N) (NEW DESIGN)</t>
  </si>
  <si>
    <t>HI300-0000-90-0089</t>
  </si>
  <si>
    <t>DW300-0000-90-0039</t>
  </si>
  <si>
    <t>0F46430</t>
  </si>
  <si>
    <t>0f43248</t>
  </si>
  <si>
    <t>PEI-9011 COLOR 1000</t>
  </si>
  <si>
    <t>M/C R15</t>
  </si>
  <si>
    <t>O/H</t>
  </si>
  <si>
    <t>HDD (Air/Bobbin/Latch/ Filter case/TC/BR)</t>
  </si>
  <si>
    <t>Tray Ramp London (H)</t>
  </si>
  <si>
    <t>Bar Ramp London (H)</t>
  </si>
  <si>
    <t xml:space="preserve">Tray Ramp Sydney -E (H) </t>
  </si>
  <si>
    <t xml:space="preserve">Bar Ramp Sydney -E (H) </t>
  </si>
  <si>
    <t>HI300-0000-90-0102</t>
  </si>
  <si>
    <t>HI300-0000-90-0101</t>
  </si>
  <si>
    <t>FJ300-0000-90-0032</t>
  </si>
  <si>
    <t>DW300-0000-90-0056</t>
  </si>
  <si>
    <t>DW300-0000-90-0055</t>
  </si>
  <si>
    <t>DW300-0000-90-0057</t>
  </si>
  <si>
    <t>HI300-0000-90-0086</t>
  </si>
  <si>
    <t>HI300-0000-90-0097</t>
  </si>
  <si>
    <t>HI300-0000-90-0091</t>
  </si>
  <si>
    <t>HI300-0000-90-0072</t>
  </si>
  <si>
    <t>HI300-0000-90-0073</t>
  </si>
  <si>
    <t>HI300-0000-90-0082</t>
  </si>
  <si>
    <t>DW300-0000-90-0049</t>
  </si>
  <si>
    <t>YA200-0000-00-0017</t>
  </si>
  <si>
    <t>YA200-0000-90-0013</t>
  </si>
  <si>
    <t xml:space="preserve">Tray Air Spoiler Sydney -E </t>
  </si>
  <si>
    <t xml:space="preserve">Cover Air Spoiler Sydney -E </t>
  </si>
  <si>
    <t>H18</t>
  </si>
  <si>
    <t>M/C H22</t>
  </si>
  <si>
    <t>M/C R24</t>
  </si>
  <si>
    <t>Production Daily Output for HDD in June  2026</t>
  </si>
  <si>
    <t>June'2026</t>
  </si>
  <si>
    <t>Production Daily Output for HDD in june  2026</t>
  </si>
  <si>
    <t>Production Daily Output for Ramp in June 2026</t>
  </si>
  <si>
    <t>Production Daily Output for HDD in June 2026</t>
  </si>
  <si>
    <t>Production Daily Output for Automotive part in June  2026</t>
  </si>
  <si>
    <t>Production Daily Output for Automotive part in June 2026</t>
  </si>
  <si>
    <t xml:space="preserve"> June'2026</t>
  </si>
  <si>
    <t>Production Daily Output for Tray Air Spoiler and Ramp in June 2026</t>
  </si>
  <si>
    <t>FJ300-0000-90-0033</t>
  </si>
  <si>
    <t>451P715</t>
  </si>
  <si>
    <t>YAZAKI</t>
  </si>
  <si>
    <t>0.64 II 16P CAN INNER HSG</t>
  </si>
  <si>
    <t>TRT</t>
  </si>
  <si>
    <t>INSULATOR CP (800A)</t>
  </si>
  <si>
    <t>ADVICS</t>
  </si>
  <si>
    <t>RAMP</t>
  </si>
  <si>
    <t>WDC</t>
  </si>
  <si>
    <t>HDD</t>
  </si>
  <si>
    <t>FECL</t>
  </si>
  <si>
    <t>ACTUAL AMOUNT (THB)</t>
  </si>
  <si>
    <t>PLAN AMOUNT (THB)</t>
  </si>
  <si>
    <t>ACTUAL OUTPUT (pcs.)</t>
  </si>
  <si>
    <t>PLAN OUTPUT (pcs.)</t>
  </si>
  <si>
    <t>PRODUCT NAME</t>
  </si>
  <si>
    <t>M/C NO.</t>
  </si>
  <si>
    <t>GROUP</t>
  </si>
  <si>
    <t>CUSTOMER</t>
  </si>
  <si>
    <t>MONTH</t>
  </si>
  <si>
    <t>YEAR</t>
  </si>
  <si>
    <t>JUN</t>
  </si>
  <si>
    <t>R2(18ton)</t>
  </si>
  <si>
    <t>R5(18ton)</t>
  </si>
  <si>
    <t>R7(75*75ton)</t>
  </si>
  <si>
    <t>R8(18ton)</t>
  </si>
  <si>
    <t>R9(18ton)</t>
  </si>
  <si>
    <t>R11(50ton)</t>
  </si>
  <si>
    <t>R12(18ton)</t>
  </si>
  <si>
    <t>R13(75*75ton)</t>
  </si>
  <si>
    <t>R14(50ton)</t>
  </si>
  <si>
    <t xml:space="preserve">R16(18 ton) </t>
  </si>
  <si>
    <t>R17(18ton)</t>
  </si>
  <si>
    <t>R22(50ton)</t>
  </si>
  <si>
    <t>R24(50ton)</t>
  </si>
  <si>
    <t>A1(75ton)</t>
  </si>
  <si>
    <t>H12(50ton)</t>
  </si>
  <si>
    <t>H7(50ton)</t>
  </si>
  <si>
    <t>A2(100ton)</t>
  </si>
  <si>
    <t>A8(80ton)</t>
  </si>
  <si>
    <t>A14(100ton)</t>
  </si>
  <si>
    <t>A12(50Ton)</t>
  </si>
  <si>
    <t>RETAINER , INLET VALVE M2</t>
  </si>
  <si>
    <t>LIGHT GUIDE M2</t>
  </si>
  <si>
    <t>KNOB ROTARY M2</t>
  </si>
  <si>
    <t>RH10M-J/C (Black)7182-9632-30 M2</t>
  </si>
  <si>
    <t>Latch Spyglass M1</t>
  </si>
  <si>
    <t>Air Spoiler Sydney-E M2</t>
  </si>
  <si>
    <t>Air Spoiler Sydney-E M1</t>
  </si>
  <si>
    <t>Air Spoiler Sydney-E M3</t>
  </si>
  <si>
    <t>Air Spoiler Vela-A M1</t>
  </si>
  <si>
    <t>Air Spoiler Vela-A M2</t>
  </si>
  <si>
    <t>Air Spoiler Vela-AX M1</t>
  </si>
  <si>
    <t>Air Spoiler Paris-C M4</t>
  </si>
  <si>
    <t>Air Spoiler Venice M3</t>
  </si>
  <si>
    <t>Air Spoiler Paris-C M5</t>
  </si>
  <si>
    <t>Air Spoiler Sydney-E M4</t>
  </si>
  <si>
    <t>Filter Case Test TYD M2</t>
  </si>
  <si>
    <t>Filter Case Test TYD M3</t>
  </si>
  <si>
    <t>Ramp Carmel RP M1</t>
  </si>
  <si>
    <t>Ramp, Spoiler - Dual shot Carmel 2D M1</t>
  </si>
  <si>
    <t>Ramp Spyglass M2</t>
  </si>
  <si>
    <t>Ramp Vela-A1 (Carina2) M1</t>
  </si>
  <si>
    <t>Ramp Sydney-E M1 (Nominal)</t>
  </si>
  <si>
    <t>Ramp Sydney-E M3 (Low)</t>
  </si>
  <si>
    <t>Ramp Sydney-E M4 (Nominal)</t>
  </si>
  <si>
    <t>TYU Bobbin (New material) M1</t>
  </si>
  <si>
    <t>TYX BOBBIN(B) M1</t>
  </si>
  <si>
    <t>Flex Bracket Sydney-E M2</t>
  </si>
  <si>
    <t>Flex Bracket Sydney-F M1</t>
  </si>
  <si>
    <t>Ramp Sydney-E M3 (High)</t>
  </si>
  <si>
    <t>Ramp Oakmont2 M1</t>
  </si>
  <si>
    <t>R18(18ton)</t>
  </si>
  <si>
    <t>R20(18ton)</t>
  </si>
  <si>
    <t>R21(18ton)</t>
  </si>
  <si>
    <t>R15(18ton)</t>
  </si>
  <si>
    <t>Ramp LHC M3 (RD450)</t>
  </si>
  <si>
    <t>Ramp Sydney-E M1 (Low)</t>
  </si>
  <si>
    <t>Ramp Sydney-E M1 (High)</t>
  </si>
  <si>
    <t>R1(75*75ton)</t>
  </si>
  <si>
    <t>Ramp Tressels M3 (RD450)</t>
  </si>
  <si>
    <t>R3(18ton)</t>
  </si>
  <si>
    <t>Ramp Tressels M4 (RD450)</t>
  </si>
  <si>
    <t>R4(18ton)</t>
  </si>
  <si>
    <t>Ramp Laguna97/Carmel M1</t>
  </si>
  <si>
    <t>R6(18ton)</t>
  </si>
  <si>
    <t>Ramp Fblite M2</t>
  </si>
  <si>
    <t>Ramp VL6, 4D (Vela-A) M1</t>
  </si>
  <si>
    <t>Ramp London-D M4 (Nominal)</t>
  </si>
  <si>
    <t>Ramp London-D M4 (High)</t>
  </si>
  <si>
    <t>Ramp London-D M2 (Nominal)</t>
  </si>
  <si>
    <t>Ramp Sydney-E M2 (Nominal)</t>
  </si>
  <si>
    <t>Ramp Sydney-E M2 (High)</t>
  </si>
  <si>
    <t>Ramp London-D M3 (Nominal)</t>
  </si>
  <si>
    <t>Ramp London-D M3 (High)</t>
  </si>
  <si>
    <t>Ramp Palmer M2</t>
  </si>
  <si>
    <t>Ramp Sydney-E M3 (Nominal)</t>
  </si>
  <si>
    <t>Tail Receiver LDS M2</t>
  </si>
  <si>
    <t>Ramp Paris-D M2</t>
  </si>
  <si>
    <t>Ramp Paris-D M1</t>
  </si>
  <si>
    <t>Ramp Paris-C M2</t>
  </si>
  <si>
    <t>RING , FEED M1</t>
  </si>
  <si>
    <t>CYLINDER , PUMP M1</t>
  </si>
  <si>
    <t>RETAINER , INLET VALVE M1</t>
  </si>
  <si>
    <t>RH10M-J/C (Black) 7182-9632-30 M3</t>
  </si>
  <si>
    <t>Connector M1</t>
  </si>
  <si>
    <t>Latch Esprit M5</t>
  </si>
  <si>
    <t>Air Spoiler Paris-C M3</t>
  </si>
  <si>
    <t>Air Spoiler Paris-C M1</t>
  </si>
  <si>
    <t>Air Spoiler LEE (LEO-B) M1</t>
  </si>
  <si>
    <t>Air Spoiler LHC M2</t>
  </si>
  <si>
    <t>Air Spoiler Paris-C M2</t>
  </si>
  <si>
    <t>Air Spoiler Vela-AP M2</t>
  </si>
  <si>
    <t>Air Spoiler Vela-AP M1</t>
  </si>
  <si>
    <t>Air Spoiler Venice M1</t>
  </si>
  <si>
    <t>Air Spoiler Venice M2</t>
  </si>
  <si>
    <t>Air Spoiler London-D M3</t>
  </si>
  <si>
    <t>Air Spoiler London-D M2</t>
  </si>
  <si>
    <t>Air Spoiler 8D LHC M1</t>
  </si>
  <si>
    <t xml:space="preserve">Air Spoiler London-D M1 </t>
  </si>
  <si>
    <t>TYJ BOBBIN M1</t>
  </si>
  <si>
    <t>INSULATOR CP BLOWER (692N) M3</t>
  </si>
  <si>
    <t>BIT</t>
  </si>
  <si>
    <t>BIT / FECL</t>
  </si>
  <si>
    <t>Ramp Venice-RP M1</t>
  </si>
  <si>
    <t>R19(75*75ton)</t>
  </si>
  <si>
    <t>A4(40ton)</t>
  </si>
  <si>
    <t>A5(50ton)</t>
  </si>
  <si>
    <t>A7(80ton)</t>
  </si>
  <si>
    <t>A9(100ton)</t>
  </si>
  <si>
    <t>A11(100*100ton)</t>
  </si>
  <si>
    <t>H16(50ton)</t>
  </si>
  <si>
    <t>H22(50ton)</t>
  </si>
  <si>
    <t>H15(50ton)</t>
  </si>
  <si>
    <t>H11(50ton)</t>
  </si>
  <si>
    <t>H10(50ton)</t>
  </si>
  <si>
    <t>H9(50ton)</t>
  </si>
  <si>
    <t>H8(50ton)</t>
  </si>
  <si>
    <t>H6(50ton)</t>
  </si>
  <si>
    <t>H5(50ton)</t>
  </si>
  <si>
    <t>H3(50ton)</t>
  </si>
  <si>
    <t>H2(40ton)</t>
  </si>
  <si>
    <t>H17(50ton)</t>
  </si>
  <si>
    <t>H18(110ton)</t>
  </si>
  <si>
    <t>H19(110ton)</t>
  </si>
  <si>
    <t>A6(80ton)</t>
  </si>
  <si>
    <t>Tail Receiver Paris-C M3</t>
  </si>
  <si>
    <t>Ramp Carmel RP M2</t>
  </si>
  <si>
    <t>NET</t>
  </si>
  <si>
    <t>PD Output ratio</t>
  </si>
  <si>
    <t>RH06M-J/C (Light gray)7182-9631-40 M2</t>
  </si>
  <si>
    <t>RH10M-J/C (Light gray)7182-9633-40 M2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</si>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</sst>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4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??_-;_-@_-"/>
    <numFmt numFmtId="165" formatCode="[$-1010409]d\ mmmm\ yyyy;@"/>
    <numFmt numFmtId="166" formatCode="[$-409]d\-mmm;@"/>
    <numFmt numFmtId="167" formatCode="[$฿-41E]#,##0.00"/>
    <numFmt numFmtId="168" formatCode="0.000"/>
    <numFmt numFmtId="169" formatCode="_(* #,##0_);_(* \(#,##0\);_(* &quot;-&quot;??_);_(@_)"/>
    <numFmt numFmtId="170" formatCode="0.0"/>
    <numFmt numFmtId="171" formatCode="0.0%"/>
    <numFmt numFmtId="172" formatCode="\t&quot;$&quot;#,##0.00_);[Red]\(\t&quot;$&quot;#,##0.00\)"/>
    <numFmt numFmtId="173" formatCode="_-* #,##0.00_-;\-* #,##0.00_-;_-* &quot;-&quot;??_-;_-@_-"/>
    <numFmt numFmtId="174" formatCode="0.00_)"/>
    <numFmt numFmtId="175" formatCode="#,##0.0_);\(#,##0.0\)"/>
    <numFmt numFmtId="176" formatCode="_-* #,##0\ &quot;F&quot;_-;\-* #,##0\ &quot;F&quot;_-;_-* &quot;-&quot;\ &quot;F&quot;_-;_-@_-"/>
    <numFmt numFmtId="177" formatCode="mm/dd/yy"/>
    <numFmt numFmtId="178" formatCode="&quot;$&quot;#,##0.0000_);\(&quot;$&quot;#,##0.0000\)"/>
    <numFmt numFmtId="179" formatCode="&quot;L&quot;#,##0_);[Red]\(&quot;L&quot;#,##0\)"/>
    <numFmt numFmtId="180" formatCode="&quot;L&quot;#,##0.00_);\(&quot;L&quot;#,##0.00\)"/>
    <numFmt numFmtId="181" formatCode="&quot;L&quot;#,##0.00_);[Red]\(&quot;L&quot;#,##0.00\)"/>
    <numFmt numFmtId="182" formatCode="_-* #,##0\ _E_s_c_._-;\-* #,##0\ _E_s_c_._-;_-* &quot;-&quot;\ _E_s_c_._-;_-@_-"/>
    <numFmt numFmtId="183" formatCode="_(* #,##0.0000_);_(* \(#,##0.0000\);_(* &quot;-&quot;??_);_(@_)"/>
    <numFmt numFmtId="184" formatCode="0.0%;[Red]\(0.0%\)"/>
    <numFmt numFmtId="185" formatCode="0%;[Red]\(0%\)"/>
    <numFmt numFmtId="186" formatCode="0.0%;\(0.0%\)"/>
    <numFmt numFmtId="187" formatCode="General_)"/>
    <numFmt numFmtId="188" formatCode="_(&quot;$&quot;* #,##0.0_);_(&quot;$&quot;* \(#,##0.0\);_(&quot;$&quot;* &quot;-&quot;??_);_(@_)"/>
    <numFmt numFmtId="189" formatCode="0%;\(0%\)"/>
    <numFmt numFmtId="190" formatCode="&quot;   &quot;@"/>
    <numFmt numFmtId="191" formatCode="_(* #,##0_);_(* \(#,##0\);_(* &quot;-&quot;_)"/>
    <numFmt numFmtId="192" formatCode="&quot;(&quot;0%&quot;)   &quot;;[Red]\-&quot;(&quot;0%&quot;)   &quot;;&quot;－    &quot;"/>
    <numFmt numFmtId="193" formatCode="&quot;(&quot;0.00%&quot;)   &quot;;[Red]\-&quot;(&quot;0.00%&quot;)   &quot;;&quot;－    &quot;"/>
    <numFmt numFmtId="194" formatCode="0.00%&quot;   &quot;;[Red]\-0.00%&quot;   &quot;;&quot;－    &quot;"/>
    <numFmt numFmtId="195" formatCode="#,##0.0;[Red]&quot;¥&quot;&quot;¥&quot;\!\!\-#,##0.0"/>
    <numFmt numFmtId="196" formatCode="&quot;¥&quot;#,##0.00;[Red]\-&quot;¥&quot;#,##0.00"/>
    <numFmt numFmtId="197" formatCode="&quot;¥&quot;#,##0;[Red]\-&quot;¥&quot;#,##0"/>
    <numFmt numFmtId="198" formatCode="_(* #,##0.0_);_(* \(#,##0.0\);_(* &quot;-&quot;??_);_(@_)"/>
    <numFmt numFmtId="199" formatCode="#,##0;[Red]#,##0"/>
    <numFmt numFmtId="200" formatCode="0.00;[Red]0.00"/>
  </numFmts>
  <fonts count="315"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Times New Roman"/>
      <family val="1"/>
    </font>
    <font>
      <b/>
      <sz val="8"/>
      <name val="Times New Roman"/>
      <family val="1"/>
    </font>
    <font>
      <b/>
      <i/>
      <sz val="8"/>
      <color rgb="FFFF00FF"/>
      <name val="Times New Roman"/>
      <family val="1"/>
    </font>
    <font>
      <b/>
      <sz val="28"/>
      <name val="Times New Roman"/>
      <family val="1"/>
    </font>
    <font>
      <b/>
      <sz val="18"/>
      <name val="Times New Roman"/>
      <family val="1"/>
    </font>
    <font>
      <b/>
      <sz val="18"/>
      <color indexed="12"/>
      <name val="Times New Roman"/>
      <family val="1"/>
    </font>
    <font>
      <b/>
      <i/>
      <sz val="8"/>
      <color indexed="12"/>
      <name val="Times New Roman"/>
      <family val="1"/>
    </font>
    <font>
      <b/>
      <sz val="8"/>
      <color indexed="12"/>
      <name val="Times New Roman"/>
      <family val="1"/>
    </font>
    <font>
      <b/>
      <i/>
      <sz val="18"/>
      <color indexed="12"/>
      <name val="Times New Roman"/>
      <family val="1"/>
    </font>
    <font>
      <b/>
      <sz val="16"/>
      <name val="Times New Roman"/>
      <family val="1"/>
    </font>
    <font>
      <b/>
      <sz val="16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4"/>
      <color theme="8" tint="0.3999755851924192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0"/>
      <name val="Times New Roman"/>
      <family val="1"/>
    </font>
    <font>
      <b/>
      <i/>
      <sz val="16"/>
      <color rgb="FFFF00FF"/>
      <name val="Times New Roman"/>
      <family val="1"/>
    </font>
    <font>
      <sz val="10"/>
      <name val="Times New Roman"/>
      <family val="1"/>
    </font>
    <font>
      <b/>
      <sz val="9"/>
      <name val="Times New Roman"/>
      <family val="1"/>
    </font>
    <font>
      <b/>
      <sz val="13"/>
      <color rgb="FFFFFFFF"/>
      <name val="Times New Roman"/>
      <family val="1"/>
    </font>
    <font>
      <b/>
      <sz val="12"/>
      <color rgb="FF0000FF"/>
      <name val="Times New Roman"/>
      <family val="1"/>
    </font>
    <font>
      <b/>
      <i/>
      <sz val="10"/>
      <color rgb="FFFF00FF"/>
      <name val="Times New Roman"/>
      <family val="1"/>
    </font>
    <font>
      <b/>
      <sz val="14"/>
      <name val="Times New Roman"/>
      <family val="1"/>
    </font>
    <font>
      <b/>
      <u/>
      <sz val="48"/>
      <color rgb="FF0000FF"/>
      <name val="Times New Roman"/>
      <family val="1"/>
    </font>
    <font>
      <i/>
      <sz val="10"/>
      <name val="Times New Roman"/>
      <family val="1"/>
    </font>
    <font>
      <sz val="11"/>
      <color theme="1"/>
      <name val="Calibri"/>
      <family val="2"/>
    </font>
    <font>
      <b/>
      <sz val="11"/>
      <color rgb="FF0000FF"/>
      <name val="Times New Roman"/>
      <family val="1"/>
    </font>
    <font>
      <b/>
      <sz val="10"/>
      <color rgb="FF0000FF"/>
      <name val="Times New Roman"/>
      <family val="1"/>
    </font>
    <font>
      <b/>
      <sz val="14"/>
      <color rgb="FF0000FF"/>
      <name val="Times New Roman"/>
      <family val="1"/>
    </font>
    <font>
      <b/>
      <sz val="16"/>
      <color rgb="FF0000FF"/>
      <name val="Times New Roman"/>
      <family val="1"/>
    </font>
    <font>
      <b/>
      <sz val="11"/>
      <color indexed="60"/>
      <name val="Times New Roman"/>
      <family val="1"/>
    </font>
    <font>
      <b/>
      <sz val="10"/>
      <color indexed="60"/>
      <name val="Times New Roman"/>
      <family val="1"/>
    </font>
    <font>
      <b/>
      <sz val="14"/>
      <color indexed="60"/>
      <name val="Times New Roman"/>
      <family val="1"/>
    </font>
    <font>
      <b/>
      <sz val="12"/>
      <color rgb="FFFF0000"/>
      <name val="Times New Roman"/>
      <family val="1"/>
    </font>
    <font>
      <b/>
      <sz val="13"/>
      <color theme="1"/>
      <name val="Times New Roman"/>
      <family val="1"/>
    </font>
    <font>
      <sz val="14"/>
      <color rgb="FFFF00FF"/>
      <name val="Times New Roman"/>
      <family val="1"/>
    </font>
    <font>
      <b/>
      <sz val="11"/>
      <color indexed="10"/>
      <name val="Times New Roman"/>
      <family val="1"/>
    </font>
    <font>
      <b/>
      <sz val="10"/>
      <color indexed="10"/>
      <name val="Times New Roman"/>
      <family val="1"/>
    </font>
    <font>
      <b/>
      <sz val="14"/>
      <color indexed="10"/>
      <name val="Times New Roman"/>
      <family val="1"/>
    </font>
    <font>
      <b/>
      <sz val="11"/>
      <color rgb="FFFF0000"/>
      <name val="Times New Roman"/>
      <family val="1"/>
    </font>
    <font>
      <b/>
      <sz val="10"/>
      <color indexed="8"/>
      <name val="Times New Roman"/>
      <family val="1"/>
    </font>
    <font>
      <sz val="10"/>
      <color rgb="FFFF00FF"/>
      <name val="Times New Roman"/>
      <family val="1"/>
    </font>
    <font>
      <b/>
      <sz val="11"/>
      <color indexed="14"/>
      <name val="Times New Roman"/>
      <family val="1"/>
    </font>
    <font>
      <b/>
      <sz val="10"/>
      <color indexed="14"/>
      <name val="Times New Roman"/>
      <family val="1"/>
    </font>
    <font>
      <b/>
      <sz val="14"/>
      <color indexed="14"/>
      <name val="Times New Roman"/>
      <family val="1"/>
    </font>
    <font>
      <b/>
      <sz val="50"/>
      <color indexed="12"/>
      <name val="Times New Roman"/>
      <family val="1"/>
    </font>
    <font>
      <b/>
      <sz val="11"/>
      <color rgb="FF00A249"/>
      <name val="Times New Roman"/>
      <family val="1"/>
    </font>
    <font>
      <b/>
      <sz val="10"/>
      <color rgb="FF00A249"/>
      <name val="Times New Roman"/>
      <family val="1"/>
    </font>
    <font>
      <b/>
      <sz val="14"/>
      <color rgb="FF00A249"/>
      <name val="Times New Roman"/>
      <family val="1"/>
    </font>
    <font>
      <b/>
      <sz val="14"/>
      <color rgb="FFFF00FF"/>
      <name val="Times New Roman"/>
      <family val="1"/>
    </font>
    <font>
      <b/>
      <sz val="11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4"/>
      <color indexed="12"/>
      <name val="Times New Roman"/>
      <family val="1"/>
    </font>
    <font>
      <b/>
      <sz val="12"/>
      <color rgb="FF00A249"/>
      <name val="Times New Roman"/>
      <family val="1"/>
    </font>
    <font>
      <b/>
      <sz val="11"/>
      <color theme="1"/>
      <name val="Times New Roman"/>
      <family val="1"/>
    </font>
    <font>
      <b/>
      <sz val="13"/>
      <color theme="9" tint="0.79998168889431442"/>
      <name val="Times New Roman"/>
      <family val="1"/>
    </font>
    <font>
      <b/>
      <sz val="10"/>
      <color rgb="FFFF0000"/>
      <name val="Times New Roman"/>
      <family val="1"/>
    </font>
    <font>
      <b/>
      <sz val="10"/>
      <color rgb="FFFF33CC"/>
      <name val="Times New Roman"/>
      <family val="1"/>
    </font>
    <font>
      <b/>
      <sz val="10"/>
      <color rgb="FF00B050"/>
      <name val="Times New Roman"/>
      <family val="1"/>
    </font>
    <font>
      <b/>
      <sz val="28"/>
      <color indexed="12"/>
      <name val="Times New Roman"/>
      <family val="1"/>
    </font>
    <font>
      <b/>
      <sz val="12"/>
      <color rgb="FFFF33CC"/>
      <name val="Times New Roman"/>
      <family val="1"/>
    </font>
    <font>
      <b/>
      <sz val="12"/>
      <color rgb="FF00B050"/>
      <name val="Times New Roman"/>
      <family val="1"/>
    </font>
    <font>
      <b/>
      <sz val="16"/>
      <color rgb="FFFF0000"/>
      <name val="Times New Roman"/>
      <family val="1"/>
    </font>
    <font>
      <b/>
      <u/>
      <sz val="14"/>
      <color indexed="14"/>
      <name val="Times New Roman"/>
      <family val="1"/>
    </font>
    <font>
      <sz val="10"/>
      <color indexed="14"/>
      <name val="Times New Roman"/>
      <family val="1"/>
    </font>
    <font>
      <sz val="11"/>
      <color indexed="8"/>
      <name val="Calibri"/>
      <family val="2"/>
    </font>
    <font>
      <b/>
      <u/>
      <sz val="14"/>
      <name val="Times New Roman"/>
      <family val="1"/>
    </font>
    <font>
      <sz val="12"/>
      <name val="Times New Roman"/>
      <family val="1"/>
    </font>
    <font>
      <i/>
      <sz val="12"/>
      <color rgb="FFFF00FF"/>
      <name val="Times New Roman"/>
      <family val="1"/>
    </font>
    <font>
      <b/>
      <sz val="16"/>
      <color indexed="12"/>
      <name val="Times New Roman"/>
      <family val="1"/>
    </font>
    <font>
      <sz val="12"/>
      <color indexed="12"/>
      <name val="Times New Roman"/>
      <family val="1"/>
    </font>
    <font>
      <sz val="10"/>
      <color rgb="FF0000FF"/>
      <name val="Times New Roman"/>
      <family val="1"/>
    </font>
    <font>
      <sz val="12"/>
      <color rgb="FF0000FF"/>
      <name val="Times New Roman"/>
      <family val="1"/>
    </font>
    <font>
      <sz val="12"/>
      <color rgb="FFFF0000"/>
      <name val="Times New Roman"/>
      <family val="1"/>
    </font>
    <font>
      <b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2"/>
      <color indexed="61"/>
      <name val="Times New Roman"/>
      <family val="1"/>
    </font>
    <font>
      <b/>
      <sz val="11"/>
      <color indexed="8"/>
      <name val="Times New Roman"/>
      <family val="1"/>
    </font>
    <font>
      <sz val="11"/>
      <name val="Times New Roman"/>
      <family val="1"/>
    </font>
    <font>
      <b/>
      <u val="doubleAccounting"/>
      <sz val="12"/>
      <color rgb="FF0000FF"/>
      <name val="Times New Roman"/>
      <family val="1"/>
    </font>
    <font>
      <b/>
      <sz val="10"/>
      <color indexed="61"/>
      <name val="Times New Roman"/>
      <family val="1"/>
    </font>
    <font>
      <b/>
      <sz val="10"/>
      <color theme="8" tint="0.39997558519241921"/>
      <name val="Times New Roman"/>
      <family val="1"/>
    </font>
    <font>
      <b/>
      <sz val="13"/>
      <color theme="0"/>
      <name val="Times New Roman"/>
      <family val="1"/>
    </font>
    <font>
      <b/>
      <sz val="10"/>
      <color theme="1"/>
      <name val="Times New Roman"/>
      <family val="1"/>
    </font>
    <font>
      <sz val="14"/>
      <name val="Times New Roman"/>
      <family val="1"/>
    </font>
    <font>
      <b/>
      <sz val="10"/>
      <color indexed="56"/>
      <name val="Times New Roman"/>
      <family val="1"/>
    </font>
    <font>
      <b/>
      <sz val="14"/>
      <color rgb="FF00B050"/>
      <name val="Times New Roman"/>
      <family val="1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b/>
      <sz val="14"/>
      <color theme="0"/>
      <name val="Times New Roman"/>
      <family val="1"/>
    </font>
    <font>
      <sz val="9"/>
      <name val="Times New Roman"/>
      <family val="1"/>
    </font>
    <font>
      <b/>
      <sz val="14"/>
      <color rgb="FFFF33CC"/>
      <name val="Times New Roman"/>
      <family val="1"/>
    </font>
    <font>
      <b/>
      <sz val="14"/>
      <color indexed="12"/>
      <name val="Cordia New"/>
      <family val="2"/>
    </font>
    <font>
      <b/>
      <sz val="24"/>
      <color theme="1"/>
      <name val="Times New Roman"/>
      <family val="1"/>
    </font>
    <font>
      <b/>
      <sz val="22"/>
      <name val="Times New Roman"/>
      <family val="1"/>
    </font>
    <font>
      <sz val="16"/>
      <name val="Times New Roman"/>
      <family val="1"/>
    </font>
    <font>
      <b/>
      <sz val="22"/>
      <color rgb="FF0000FF"/>
      <name val="Times New Roman"/>
      <family val="1"/>
    </font>
    <font>
      <sz val="16"/>
      <color rgb="FF0000FF"/>
      <name val="Times New Roman"/>
      <family val="1"/>
    </font>
    <font>
      <b/>
      <sz val="16"/>
      <color theme="1"/>
      <name val="Times New Roman"/>
      <family val="1"/>
    </font>
    <font>
      <sz val="16"/>
      <color rgb="FFFF0000"/>
      <name val="Times New Roman"/>
      <family val="1"/>
    </font>
    <font>
      <b/>
      <sz val="20"/>
      <color rgb="FF0000FF"/>
      <name val="Times New Roman"/>
      <family val="1"/>
    </font>
    <font>
      <b/>
      <u val="doubleAccounting"/>
      <sz val="22"/>
      <color rgb="FF0000FF"/>
      <name val="Times New Roman"/>
      <family val="1"/>
    </font>
    <font>
      <b/>
      <sz val="48"/>
      <color rgb="FF0000FF"/>
      <name val="Times New Roman"/>
      <family val="1"/>
    </font>
    <font>
      <b/>
      <u val="doubleAccounting"/>
      <sz val="16"/>
      <color rgb="FF0000FF"/>
      <name val="Times New Roman"/>
      <family val="1"/>
    </font>
    <font>
      <sz val="8"/>
      <color rgb="FFFF0000"/>
      <name val="Times New Roman"/>
      <family val="1"/>
    </font>
    <font>
      <b/>
      <i/>
      <sz val="8"/>
      <color rgb="FFFF0000"/>
      <name val="Times New Roman"/>
      <family val="1"/>
    </font>
    <font>
      <b/>
      <sz val="10"/>
      <color theme="0"/>
      <name val="Times New Roman"/>
      <family val="1"/>
    </font>
    <font>
      <i/>
      <sz val="10"/>
      <color rgb="FFFF00FF"/>
      <name val="Times New Roman"/>
      <family val="1"/>
    </font>
    <font>
      <sz val="10"/>
      <color rgb="FFFF0000"/>
      <name val="Times New Roman"/>
      <family val="1"/>
    </font>
    <font>
      <b/>
      <i/>
      <sz val="10"/>
      <name val="Times New Roman"/>
      <family val="1"/>
    </font>
    <font>
      <b/>
      <sz val="10"/>
      <color rgb="FF00CC00"/>
      <name val="Times New Roman"/>
      <family val="1"/>
    </font>
    <font>
      <b/>
      <sz val="14"/>
      <color rgb="FF00CC00"/>
      <name val="Times New Roman"/>
      <family val="1"/>
    </font>
    <font>
      <b/>
      <sz val="12"/>
      <color rgb="FFFF00FF"/>
      <name val="Times New Roman"/>
      <family val="1"/>
    </font>
    <font>
      <b/>
      <sz val="10"/>
      <color theme="5" tint="-0.249977111117893"/>
      <name val="Times New Roman"/>
      <family val="1"/>
    </font>
    <font>
      <b/>
      <u/>
      <sz val="12"/>
      <color indexed="14"/>
      <name val="Times New Roman"/>
      <family val="1"/>
    </font>
    <font>
      <b/>
      <sz val="8"/>
      <color indexed="8"/>
      <name val="Times New Roman"/>
      <family val="1"/>
    </font>
    <font>
      <b/>
      <sz val="8"/>
      <color rgb="FFFF00FF"/>
      <name val="Times New Roman"/>
      <family val="1"/>
    </font>
    <font>
      <b/>
      <sz val="28"/>
      <color theme="1"/>
      <name val="Times New Roman"/>
      <family val="1"/>
    </font>
    <font>
      <b/>
      <i/>
      <sz val="11"/>
      <color indexed="12"/>
      <name val="Times New Roman"/>
      <family val="1"/>
    </font>
    <font>
      <b/>
      <sz val="16"/>
      <color theme="9" tint="0.39997558519241921"/>
      <name val="Times New Roman"/>
      <family val="1"/>
    </font>
    <font>
      <b/>
      <sz val="12"/>
      <color indexed="60"/>
      <name val="Times New Roman"/>
      <family val="1"/>
    </font>
    <font>
      <b/>
      <sz val="12"/>
      <color indexed="10"/>
      <name val="Times New Roman"/>
      <family val="1"/>
    </font>
    <font>
      <b/>
      <sz val="12"/>
      <color indexed="14"/>
      <name val="Times New Roman"/>
      <family val="1"/>
    </font>
    <font>
      <b/>
      <sz val="12"/>
      <color indexed="12"/>
      <name val="Times New Roman"/>
      <family val="1"/>
    </font>
    <font>
      <b/>
      <sz val="10"/>
      <color rgb="FFFF00FF"/>
      <name val="Times New Roman"/>
      <family val="1"/>
    </font>
    <font>
      <b/>
      <sz val="12"/>
      <color indexed="18"/>
      <name val="Times New Roman"/>
      <family val="1"/>
    </font>
    <font>
      <b/>
      <sz val="8"/>
      <color rgb="FF0000FF"/>
      <name val="Times New Roman"/>
      <family val="1"/>
    </font>
    <font>
      <b/>
      <sz val="8"/>
      <color rgb="FFFF0000"/>
      <name val="Times New Roman"/>
      <family val="1"/>
    </font>
    <font>
      <sz val="12"/>
      <color rgb="FFFF00FF"/>
      <name val="Times New Roman"/>
      <family val="1"/>
    </font>
    <font>
      <b/>
      <i/>
      <sz val="14"/>
      <color rgb="FFFF00FF"/>
      <name val="Times New Roman"/>
      <family val="1"/>
    </font>
    <font>
      <b/>
      <sz val="16"/>
      <color rgb="FFFF00FF"/>
      <name val="Times New Roman"/>
      <family val="1"/>
    </font>
    <font>
      <b/>
      <sz val="16"/>
      <color rgb="FF00A249"/>
      <name val="Times New Roman"/>
      <family val="1"/>
    </font>
    <font>
      <sz val="11"/>
      <color indexed="81"/>
      <name val="Tahoma"/>
      <family val="2"/>
    </font>
    <font>
      <b/>
      <sz val="26"/>
      <color indexed="8"/>
      <name val="Times New Roman"/>
      <family val="1"/>
    </font>
    <font>
      <b/>
      <i/>
      <sz val="10"/>
      <color rgb="FFFF0000"/>
      <name val="Times New Roman"/>
      <family val="1"/>
    </font>
    <font>
      <b/>
      <sz val="50"/>
      <name val="Times New Roman"/>
      <family val="1"/>
    </font>
    <font>
      <sz val="14"/>
      <color rgb="FFFF0000"/>
      <name val="Times New Roman"/>
      <family val="1"/>
    </font>
    <font>
      <sz val="8"/>
      <name val="Calibri"/>
      <family val="2"/>
    </font>
    <font>
      <sz val="14"/>
      <name val="Cordia New"/>
      <family val="2"/>
      <charset val="222"/>
    </font>
    <font>
      <sz val="8"/>
      <name val="Arial"/>
      <family val="2"/>
    </font>
    <font>
      <u/>
      <sz val="8"/>
      <color indexed="12"/>
      <name val="Arial"/>
      <family val="2"/>
    </font>
    <font>
      <b/>
      <i/>
      <sz val="16"/>
      <name val="Helv"/>
      <family val="2"/>
    </font>
    <font>
      <sz val="14"/>
      <name val="Cordia New"/>
      <family val="2"/>
    </font>
    <font>
      <sz val="11"/>
      <name val="ＭＳ Ｐゴシック"/>
      <family val="3"/>
      <charset val="128"/>
    </font>
    <font>
      <u/>
      <sz val="11"/>
      <color indexed="12"/>
      <name val="Times New Roman"/>
      <family val="1"/>
    </font>
    <font>
      <u/>
      <sz val="11"/>
      <color indexed="36"/>
      <name val="Times New Roman"/>
      <family val="1"/>
    </font>
    <font>
      <sz val="10"/>
      <name val="MS Serif"/>
      <family val="1"/>
    </font>
    <font>
      <sz val="10"/>
      <name val="Courier"/>
      <family val="3"/>
    </font>
    <font>
      <sz val="10"/>
      <color indexed="16"/>
      <name val="MS Serif"/>
      <family val="1"/>
    </font>
    <font>
      <b/>
      <sz val="12"/>
      <name val="Arial"/>
      <family val="2"/>
    </font>
    <font>
      <sz val="12"/>
      <name val="Helv"/>
    </font>
    <font>
      <sz val="12"/>
      <color indexed="9"/>
      <name val="Helv"/>
    </font>
    <font>
      <sz val="10"/>
      <name val="Tms Rmn"/>
    </font>
    <font>
      <sz val="10"/>
      <name val="MS Sans Serif"/>
      <family val="2"/>
      <charset val="222"/>
    </font>
    <font>
      <sz val="8"/>
      <name val="Helv"/>
    </font>
    <font>
      <b/>
      <sz val="8"/>
      <color indexed="8"/>
      <name val="Helv"/>
    </font>
    <font>
      <u/>
      <sz val="14"/>
      <color indexed="12"/>
      <name val="Cordia New"/>
      <family val="2"/>
    </font>
    <font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1"/>
      <name val="明朝"/>
      <family val="3"/>
      <charset val="128"/>
    </font>
    <font>
      <sz val="10"/>
      <name val="Helv"/>
      <family val="2"/>
    </font>
    <font>
      <b/>
      <sz val="18"/>
      <color indexed="56"/>
      <name val="lr oSVbN"/>
      <family val="3"/>
      <charset val="128"/>
    </font>
    <font>
      <b/>
      <sz val="11"/>
      <color indexed="9"/>
      <name val="lr oSVbN"/>
      <family val="3"/>
      <charset val="128"/>
    </font>
    <font>
      <sz val="11"/>
      <color indexed="20"/>
      <name val="lr oSVbN"/>
      <family val="3"/>
      <charset val="128"/>
    </font>
    <font>
      <b/>
      <sz val="15"/>
      <color indexed="56"/>
      <name val="lr oSVbN"/>
      <family val="3"/>
      <charset val="128"/>
    </font>
    <font>
      <b/>
      <sz val="13"/>
      <color indexed="56"/>
      <name val="lr oSVbN"/>
      <family val="3"/>
      <charset val="128"/>
    </font>
    <font>
      <b/>
      <sz val="11"/>
      <color indexed="56"/>
      <name val="lr oSVbN"/>
      <family val="3"/>
      <charset val="128"/>
    </font>
    <font>
      <sz val="11"/>
      <color indexed="8"/>
      <name val="lr oSVbN"/>
      <family val="3"/>
      <charset val="128"/>
    </font>
    <font>
      <sz val="11"/>
      <color indexed="52"/>
      <name val="lr oSVbN"/>
      <family val="3"/>
      <charset val="128"/>
    </font>
    <font>
      <i/>
      <sz val="11"/>
      <color indexed="23"/>
      <name val="lr oSVbN"/>
      <family val="3"/>
      <charset val="128"/>
    </font>
    <font>
      <sz val="11"/>
      <color indexed="9"/>
      <name val="lr oSVbN"/>
      <family val="3"/>
      <charset val="128"/>
    </font>
    <font>
      <sz val="11"/>
      <color indexed="60"/>
      <name val="lr oSVbN"/>
      <family val="3"/>
      <charset val="128"/>
    </font>
    <font>
      <sz val="11"/>
      <color indexed="17"/>
      <name val="lr oSVbN"/>
      <family val="3"/>
      <charset val="128"/>
    </font>
    <font>
      <b/>
      <sz val="11"/>
      <color indexed="63"/>
      <name val="lr oSVbN"/>
      <family val="3"/>
      <charset val="128"/>
    </font>
    <font>
      <sz val="11"/>
      <color indexed="62"/>
      <name val="lr oSVbN"/>
      <family val="3"/>
      <charset val="128"/>
    </font>
    <font>
      <b/>
      <sz val="11"/>
      <color indexed="52"/>
      <name val="lr oSVbN"/>
      <family val="3"/>
      <charset val="128"/>
    </font>
    <font>
      <sz val="11"/>
      <name val="¾©"/>
      <family val="1"/>
    </font>
    <font>
      <b/>
      <sz val="11"/>
      <color indexed="8"/>
      <name val="lr oSVbN"/>
      <family val="3"/>
      <charset val="128"/>
    </font>
    <font>
      <sz val="11"/>
      <color indexed="10"/>
      <name val="lr oSVbN"/>
      <family val="3"/>
      <charset val="128"/>
    </font>
    <font>
      <sz val="11"/>
      <name val="ＭＳ 明朝"/>
      <family val="1"/>
      <charset val="128"/>
    </font>
    <font>
      <sz val="11"/>
      <color indexed="8"/>
      <name val="Tahoma"/>
      <family val="2"/>
    </font>
    <font>
      <sz val="11"/>
      <color indexed="9"/>
      <name val="Tahoma"/>
      <family val="2"/>
    </font>
    <font>
      <sz val="14"/>
      <name val="AngsanaUPC"/>
      <family val="1"/>
      <charset val="222"/>
    </font>
    <font>
      <sz val="8"/>
      <name val="ＭＳ Ｐゴシック"/>
      <family val="3"/>
      <charset val="128"/>
    </font>
    <font>
      <sz val="11"/>
      <color indexed="20"/>
      <name val="Tahoma"/>
      <family val="2"/>
    </font>
    <font>
      <b/>
      <sz val="11"/>
      <color indexed="52"/>
      <name val="Tahoma"/>
      <family val="2"/>
    </font>
    <font>
      <b/>
      <sz val="11"/>
      <color indexed="9"/>
      <name val="Tahoma"/>
      <family val="2"/>
    </font>
    <font>
      <b/>
      <sz val="12"/>
      <name val="Helv"/>
      <family val="2"/>
    </font>
    <font>
      <sz val="12"/>
      <name val="Helv"/>
      <family val="2"/>
    </font>
    <font>
      <sz val="10"/>
      <color indexed="8"/>
      <name val="Arial"/>
      <family val="2"/>
    </font>
    <font>
      <i/>
      <sz val="11"/>
      <color indexed="23"/>
      <name val="Tahoma"/>
      <family val="2"/>
    </font>
    <font>
      <sz val="11"/>
      <color indexed="17"/>
      <name val="Tahoma"/>
      <family val="2"/>
    </font>
    <font>
      <b/>
      <sz val="11"/>
      <name val="Arial"/>
      <family val="2"/>
    </font>
    <font>
      <b/>
      <sz val="15"/>
      <color indexed="56"/>
      <name val="Tahoma"/>
      <family val="2"/>
    </font>
    <font>
      <b/>
      <sz val="13"/>
      <color indexed="56"/>
      <name val="Tahoma"/>
      <family val="2"/>
    </font>
    <font>
      <b/>
      <sz val="11"/>
      <color indexed="56"/>
      <name val="Tahoma"/>
      <family val="2"/>
    </font>
    <font>
      <sz val="10"/>
      <name val="ＭＳ ゴシック"/>
      <family val="3"/>
      <charset val="128"/>
    </font>
    <font>
      <sz val="11"/>
      <color indexed="62"/>
      <name val="Tahoma"/>
      <family val="2"/>
    </font>
    <font>
      <sz val="11"/>
      <color indexed="52"/>
      <name val="Tahoma"/>
      <family val="2"/>
    </font>
    <font>
      <sz val="10"/>
      <name val="MS Sans Serif"/>
      <family val="2"/>
    </font>
    <font>
      <sz val="11"/>
      <color indexed="60"/>
      <name val="Tahoma"/>
      <family val="2"/>
    </font>
    <font>
      <b/>
      <sz val="11"/>
      <color indexed="63"/>
      <name val="Tahoma"/>
      <family val="2"/>
    </font>
    <font>
      <b/>
      <sz val="10"/>
      <name val="MS Sans Serif"/>
      <family val="2"/>
    </font>
    <font>
      <sz val="8"/>
      <color indexed="16"/>
      <name val="Century Schoolbook"/>
      <family val="1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62"/>
      <name val="Cambria"/>
      <family val="1"/>
    </font>
    <font>
      <sz val="10"/>
      <color indexed="8"/>
      <name val="ＭＳ Ｐゴシック"/>
      <family val="3"/>
      <charset val="128"/>
    </font>
    <font>
      <sz val="12"/>
      <name val="Arial"/>
      <family val="2"/>
    </font>
    <font>
      <b/>
      <sz val="11"/>
      <name val="Helv"/>
      <family val="2"/>
    </font>
    <font>
      <b/>
      <sz val="18"/>
      <color indexed="56"/>
      <name val="Tahoma"/>
      <family val="2"/>
    </font>
    <font>
      <b/>
      <sz val="11"/>
      <color indexed="8"/>
      <name val="Tahoma"/>
      <family val="2"/>
    </font>
    <font>
      <sz val="11"/>
      <color indexed="10"/>
      <name val="Tahoma"/>
      <family val="2"/>
    </font>
    <font>
      <sz val="11"/>
      <name val="ＭＳ ゴシック"/>
      <family val="3"/>
      <charset val="128"/>
    </font>
    <font>
      <sz val="12"/>
      <name val="นูลมรผ"/>
      <family val="2"/>
      <charset val="129"/>
    </font>
    <font>
      <sz val="12"/>
      <name val="นูลมรผ"/>
      <family val="2"/>
    </font>
    <font>
      <sz val="11"/>
      <name val="明朝"/>
      <family val="1"/>
      <charset val="128"/>
    </font>
    <font>
      <u val="double"/>
      <sz val="11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0"/>
      <name val="ＭＳ Ｐゴシック"/>
      <family val="3"/>
      <charset val="128"/>
    </font>
    <font>
      <sz val="10"/>
      <name val="ＭＳ 明朝"/>
      <family val="1"/>
      <charset val="128"/>
    </font>
    <font>
      <sz val="11"/>
      <name val="・団"/>
      <family val="3"/>
      <charset val="128"/>
    </font>
    <font>
      <b/>
      <sz val="14"/>
      <name val="ＭＳ Ｐゴシック"/>
      <family val="3"/>
      <charset val="128"/>
    </font>
    <font>
      <sz val="11"/>
      <color indexed="12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4"/>
      <color rgb="FF0000FF"/>
      <name val="Times New Roman"/>
      <family val="1"/>
    </font>
    <font>
      <sz val="12"/>
      <color theme="0"/>
      <name val="Times New Roman"/>
      <family val="1"/>
    </font>
    <font>
      <sz val="11"/>
      <color rgb="FF0000FF"/>
      <name val="Times New Roman"/>
      <family val="1"/>
    </font>
    <font>
      <b/>
      <sz val="36"/>
      <name val="Times New Roman"/>
      <family val="1"/>
    </font>
    <font>
      <sz val="28"/>
      <color rgb="FF0000FF"/>
      <name val="Times New Roman"/>
      <family val="1"/>
    </font>
    <font>
      <b/>
      <sz val="26"/>
      <color rgb="FF0000FF"/>
      <name val="Times New Roman"/>
      <family val="1"/>
    </font>
    <font>
      <b/>
      <sz val="24"/>
      <color rgb="FF0000FF"/>
      <name val="Times New Roman"/>
      <family val="1"/>
    </font>
    <font>
      <b/>
      <sz val="24"/>
      <name val="Times New Roman"/>
      <family val="1"/>
    </font>
    <font>
      <sz val="26"/>
      <name val="Times New Roman"/>
      <family val="1"/>
    </font>
    <font>
      <sz val="26"/>
      <color rgb="FF0000FF"/>
      <name val="Times New Roman"/>
      <family val="1"/>
    </font>
    <font>
      <sz val="9"/>
      <color indexed="81"/>
      <name val="Tahoma"/>
      <family val="2"/>
    </font>
    <font>
      <b/>
      <u/>
      <sz val="16"/>
      <name val="Times New Roman"/>
      <family val="1"/>
    </font>
    <font>
      <b/>
      <sz val="9"/>
      <color rgb="FF0000FF"/>
      <name val="Times New Roman"/>
      <family val="1"/>
    </font>
    <font>
      <b/>
      <u/>
      <sz val="8"/>
      <color rgb="FF0000FF"/>
      <name val="Times New Roman"/>
      <family val="1"/>
    </font>
    <font>
      <b/>
      <sz val="8"/>
      <color indexed="12"/>
      <name val="Cordia New"/>
      <family val="2"/>
    </font>
    <font>
      <sz val="8"/>
      <color theme="1"/>
      <name val="Calibri"/>
      <family val="2"/>
    </font>
    <font>
      <sz val="12"/>
      <color theme="1"/>
      <name val="Times New Roman"/>
      <family val="1"/>
    </font>
    <font>
      <sz val="8"/>
      <color theme="1"/>
      <name val="Times New Roman"/>
      <family val="1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8" tint="0.79998168889431442"/>
      <name val="Times New Roman"/>
      <family val="1"/>
    </font>
    <font>
      <b/>
      <sz val="11"/>
      <color theme="8" tint="0.79998168889431442"/>
      <name val="Calibri"/>
      <family val="2"/>
      <scheme val="minor"/>
    </font>
    <font>
      <b/>
      <sz val="10"/>
      <color theme="4" tint="0.79998168889431442"/>
      <name val="Times New Roman"/>
      <family val="1"/>
    </font>
    <font>
      <b/>
      <sz val="11"/>
      <color theme="4" tint="0.79998168889431442"/>
      <name val="Calibri"/>
      <family val="2"/>
      <scheme val="minor"/>
    </font>
    <font>
      <b/>
      <sz val="14"/>
      <color theme="4" tint="0.79998168889431442"/>
      <name val="Times New Roman"/>
      <family val="1"/>
    </font>
    <font>
      <sz val="10"/>
      <color theme="1"/>
      <name val="Calibri"/>
      <family val="2"/>
    </font>
    <font>
      <b/>
      <sz val="14"/>
      <color theme="1"/>
      <name val="Calibri"/>
      <family val="2"/>
    </font>
    <font>
      <b/>
      <sz val="18"/>
      <color theme="1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</font>
    <font>
      <b/>
      <sz val="10"/>
      <color rgb="FFC00000"/>
      <name val="Times New Roman"/>
      <family val="1"/>
    </font>
    <font>
      <b/>
      <sz val="12"/>
      <color rgb="FFC00000"/>
      <name val="Times New Roman"/>
      <family val="1"/>
    </font>
    <font>
      <b/>
      <sz val="10"/>
      <name val="Arial"/>
      <family val="2"/>
    </font>
    <font>
      <b/>
      <sz val="10"/>
      <color theme="0" tint="-0.34998626667073579"/>
      <name val="Times New Roman"/>
      <family val="1"/>
    </font>
    <font>
      <b/>
      <u val="doubleAccounting"/>
      <sz val="14"/>
      <color rgb="FF0000FF"/>
      <name val="Times New Roman"/>
      <family val="1"/>
    </font>
    <font>
      <sz val="12"/>
      <color rgb="FF0000FF"/>
      <name val="Calibri"/>
      <family val="2"/>
    </font>
    <font>
      <sz val="14"/>
      <color rgb="FF0000FF"/>
      <name val="Calibri"/>
      <family val="2"/>
    </font>
    <font>
      <sz val="9"/>
      <color theme="1"/>
      <name val="Calibri"/>
      <family val="2"/>
    </font>
    <font>
      <b/>
      <sz val="12"/>
      <color theme="1"/>
      <name val="Calibri"/>
      <family val="2"/>
    </font>
    <font>
      <b/>
      <sz val="11"/>
      <name val="Calibri"/>
      <family val="2"/>
    </font>
    <font>
      <b/>
      <sz val="12"/>
      <name val="Calibri (Body)"/>
    </font>
    <font>
      <b/>
      <sz val="9"/>
      <name val="Calibri (Body)"/>
    </font>
    <font>
      <b/>
      <sz val="11"/>
      <name val="Calibri (Body)"/>
    </font>
    <font>
      <b/>
      <sz val="9"/>
      <color rgb="FF0000FF"/>
      <name val="Calibri (Body)"/>
    </font>
    <font>
      <b/>
      <sz val="14"/>
      <name val="Calibri (Body)"/>
    </font>
    <font>
      <b/>
      <sz val="10"/>
      <name val="Calibri (Body)"/>
    </font>
    <font>
      <sz val="11"/>
      <name val="Calibri (Body)"/>
    </font>
    <font>
      <sz val="8"/>
      <name val="Calibri (Body)"/>
    </font>
    <font>
      <b/>
      <sz val="10"/>
      <color rgb="FF0000FF"/>
      <name val="Calibri (Body)"/>
    </font>
    <font>
      <sz val="11"/>
      <color rgb="FF0000FF"/>
      <name val="Calibri (Body)"/>
    </font>
    <font>
      <sz val="8"/>
      <color rgb="FF0000FF"/>
      <name val="Calibri (Body)"/>
    </font>
    <font>
      <b/>
      <sz val="12"/>
      <color rgb="FF0000FF"/>
      <name val="Calibri (Body)"/>
    </font>
    <font>
      <sz val="10"/>
      <name val="Calibri (Body)"/>
    </font>
    <font>
      <sz val="12"/>
      <name val="Calibri (Body)"/>
    </font>
    <font>
      <sz val="10"/>
      <color rgb="FF0000FF"/>
      <name val="Calibri (Body)"/>
    </font>
    <font>
      <sz val="12"/>
      <color rgb="FF0000FF"/>
      <name val="Calibri (Body)"/>
    </font>
    <font>
      <b/>
      <sz val="10"/>
      <color rgb="FF0000FF"/>
      <name val="Calibri"/>
      <family val="2"/>
    </font>
    <font>
      <b/>
      <sz val="10"/>
      <color theme="5" tint="0.59999389629810485"/>
      <name val="Times New Roman"/>
      <family val="1"/>
    </font>
    <font>
      <b/>
      <sz val="14"/>
      <color theme="5" tint="0.59999389629810485"/>
      <name val="Times New Roman"/>
      <family val="1"/>
    </font>
    <font>
      <b/>
      <sz val="12"/>
      <color theme="5" tint="0.59999389629810485"/>
      <name val="Times New Roman"/>
      <family val="1"/>
    </font>
    <font>
      <b/>
      <sz val="12"/>
      <color theme="8" tint="0.39997558519241921"/>
      <name val="Times New Roman"/>
      <family val="1"/>
    </font>
    <font>
      <b/>
      <sz val="16"/>
      <color theme="8" tint="0.39997558519241921"/>
      <name val="Times New Roman"/>
      <family val="1"/>
    </font>
    <font>
      <b/>
      <sz val="16"/>
      <color theme="5" tint="0.59999389629810485"/>
      <name val="Times New Roman"/>
      <family val="1"/>
    </font>
    <font>
      <b/>
      <sz val="10"/>
      <color rgb="FF21DF2F"/>
      <name val="Times New Roman"/>
      <family val="1"/>
    </font>
    <font>
      <b/>
      <i/>
      <sz val="10"/>
      <color theme="0"/>
      <name val="Times New Roman"/>
      <family val="1"/>
    </font>
    <font>
      <b/>
      <sz val="12"/>
      <color theme="0"/>
      <name val="Times New Roman"/>
      <family val="1"/>
    </font>
    <font>
      <b/>
      <sz val="10"/>
      <color theme="5" tint="-0.499984740745262"/>
      <name val="Times New Roman"/>
      <family val="1"/>
    </font>
    <font>
      <b/>
      <sz val="22"/>
      <color rgb="FFFF0000"/>
      <name val="Times New Roman"/>
      <family val="1"/>
    </font>
    <font>
      <b/>
      <sz val="9"/>
      <color indexed="81"/>
      <name val="Tahoma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0070C0"/>
      <name val="Calibri"/>
      <family val="2"/>
    </font>
    <font>
      <sz val="11"/>
      <color rgb="FF0000FF"/>
      <name val="Calibri"/>
      <family val="2"/>
    </font>
    <font>
      <sz val="11"/>
      <color rgb="FFFF33CC"/>
      <name val="Calibri"/>
      <family val="2"/>
    </font>
    <font>
      <b/>
      <sz val="12"/>
      <color rgb="FF0000FF"/>
      <name val="Calibri"/>
      <family val="2"/>
    </font>
    <font>
      <b/>
      <sz val="18"/>
      <color rgb="FFFF0000"/>
      <name val="Times New Roman"/>
      <family val="1"/>
    </font>
    <font>
      <b/>
      <sz val="20"/>
      <color rgb="FFFF0000"/>
      <name val="Times New Roman"/>
      <family val="1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6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55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42"/>
      </patternFill>
    </fill>
    <fill>
      <patternFill patternType="solid">
        <fgColor indexed="22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2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4"/>
        <bgColor indexed="24"/>
      </patternFill>
    </fill>
    <fill>
      <patternFill patternType="solid">
        <fgColor indexed="15"/>
        <bgColor indexed="15"/>
      </patternFill>
    </fill>
    <fill>
      <patternFill patternType="solid">
        <fgColor indexed="45"/>
        <bgColor indexed="45"/>
      </patternFill>
    </fill>
    <fill>
      <patternFill patternType="solid">
        <fgColor indexed="55"/>
        <bgColor indexed="55"/>
      </patternFill>
    </fill>
    <fill>
      <patternFill patternType="solid">
        <fgColor indexed="41"/>
        <bgColor indexed="41"/>
      </patternFill>
    </fill>
    <fill>
      <patternFill patternType="solid">
        <fgColor indexed="40"/>
        <bgColor indexed="40"/>
      </patternFill>
    </fill>
    <fill>
      <patternFill patternType="solid">
        <fgColor indexed="22"/>
        <bgColor indexed="22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57"/>
      </patternFill>
    </fill>
    <fill>
      <patternFill patternType="solid">
        <fgColor indexed="15"/>
      </patternFill>
    </fill>
    <fill>
      <patternFill patternType="solid">
        <fgColor indexed="12"/>
      </patternFill>
    </fill>
    <fill>
      <patternFill patternType="mediumGray">
        <fgColor indexed="22"/>
      </patternFill>
    </fill>
    <fill>
      <patternFill patternType="solid">
        <fgColor indexed="40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gray125">
        <bgColor indexed="9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1FEDA"/>
        <bgColor indexed="64"/>
      </patternFill>
    </fill>
    <fill>
      <patternFill patternType="solid">
        <fgColor rgb="FFCBF6FD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57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thick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thick">
        <color indexed="64"/>
      </right>
      <top style="hair">
        <color indexed="64"/>
      </top>
      <bottom/>
      <diagonal/>
    </border>
    <border>
      <left style="double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ck">
        <color indexed="64"/>
      </right>
      <top style="hair">
        <color indexed="64"/>
      </top>
      <bottom/>
      <diagonal/>
    </border>
    <border>
      <left style="thick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hair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thick">
        <color indexed="64"/>
      </bottom>
      <diagonal/>
    </border>
    <border>
      <left/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/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 style="thick">
        <color indexed="64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 style="thin">
        <color indexed="64"/>
      </left>
      <right/>
      <top style="medium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/>
      <top style="thick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ashed">
        <color indexed="64"/>
      </bottom>
      <diagonal/>
    </border>
    <border>
      <left style="thin">
        <color indexed="64"/>
      </left>
      <right/>
      <top style="thick">
        <color indexed="64"/>
      </top>
      <bottom style="dashed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dashed">
        <color indexed="64"/>
      </bottom>
      <diagonal/>
    </border>
    <border>
      <left style="thick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double">
        <color indexed="64"/>
      </left>
      <right style="thick">
        <color indexed="64"/>
      </right>
      <top/>
      <bottom style="hair">
        <color indexed="64"/>
      </bottom>
      <diagonal/>
    </border>
    <border>
      <left style="thick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thick">
        <color indexed="64"/>
      </top>
      <bottom style="dashed">
        <color indexed="64"/>
      </bottom>
      <diagonal/>
    </border>
    <border>
      <left style="double">
        <color indexed="64"/>
      </left>
      <right style="thick">
        <color indexed="64"/>
      </right>
      <top style="thick">
        <color indexed="64"/>
      </top>
      <bottom style="dashed">
        <color indexed="64"/>
      </bottom>
      <diagonal/>
    </border>
    <border>
      <left/>
      <right style="double">
        <color indexed="64"/>
      </right>
      <top style="dashed">
        <color indexed="64"/>
      </top>
      <bottom style="dashed">
        <color indexed="64"/>
      </bottom>
      <diagonal/>
    </border>
    <border>
      <left style="double">
        <color indexed="64"/>
      </left>
      <right style="thick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dashed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ashed">
        <color indexed="64"/>
      </bottom>
      <diagonal/>
    </border>
    <border>
      <left style="double">
        <color indexed="64"/>
      </left>
      <right style="double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ashed">
        <color indexed="64"/>
      </bottom>
      <diagonal/>
    </border>
    <border>
      <left style="thick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ck">
        <color indexed="64"/>
      </left>
      <right style="thick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ck">
        <color indexed="64"/>
      </right>
      <top style="thick">
        <color indexed="64"/>
      </top>
      <bottom style="dashed">
        <color indexed="64"/>
      </bottom>
      <diagonal/>
    </border>
    <border>
      <left/>
      <right style="thick">
        <color indexed="64"/>
      </right>
      <top style="dashed">
        <color indexed="64"/>
      </top>
      <bottom style="dashed">
        <color indexed="64"/>
      </bottom>
      <diagonal/>
    </border>
    <border>
      <left/>
      <right style="thick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dashed">
        <color indexed="64"/>
      </bottom>
      <diagonal/>
    </border>
    <border>
      <left style="double">
        <color indexed="64"/>
      </left>
      <right/>
      <top style="hair">
        <color indexed="64"/>
      </top>
      <bottom/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double">
        <color auto="1"/>
      </left>
      <right style="thick">
        <color indexed="64"/>
      </right>
      <top/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ck">
        <color indexed="64"/>
      </bottom>
      <diagonal/>
    </border>
    <border>
      <left style="thick">
        <color indexed="64"/>
      </left>
      <right style="medium">
        <color auto="1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 style="medium">
        <color auto="1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 style="medium">
        <color auto="1"/>
      </right>
      <top style="hair">
        <color indexed="64"/>
      </top>
      <bottom style="thick">
        <color indexed="64"/>
      </bottom>
      <diagonal/>
    </border>
    <border>
      <left/>
      <right style="double">
        <color indexed="64"/>
      </right>
      <top style="hair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</borders>
  <cellStyleXfs count="787">
    <xf numFmtId="0" fontId="0" fillId="0" borderId="0"/>
    <xf numFmtId="43" fontId="3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3" fontId="71" fillId="0" borderId="0" applyFont="0" applyFill="0" applyBorder="0" applyAlignment="0" applyProtection="0"/>
    <xf numFmtId="9" fontId="31" fillId="0" borderId="0" applyFont="0" applyFill="0" applyBorder="0" applyAlignment="0" applyProtection="0"/>
    <xf numFmtId="41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/>
    <xf numFmtId="44" fontId="5" fillId="0" borderId="0" applyFont="0" applyFill="0" applyBorder="0" applyAlignment="0" applyProtection="0"/>
    <xf numFmtId="42" fontId="5" fillId="0" borderId="0" applyFont="0" applyFill="0" applyBorder="0" applyAlignment="0" applyProtection="0"/>
    <xf numFmtId="0" fontId="5" fillId="0" borderId="0"/>
    <xf numFmtId="0" fontId="165" fillId="0" borderId="0" applyNumberFormat="0" applyFill="0" applyBorder="0" applyAlignment="0" applyProtection="0"/>
    <xf numFmtId="0" fontId="166" fillId="0" borderId="0"/>
    <xf numFmtId="0" fontId="165" fillId="0" borderId="0" applyNumberFormat="0" applyFill="0" applyBorder="0" applyAlignment="0" applyProtection="0"/>
    <xf numFmtId="0" fontId="165" fillId="0" borderId="0" applyNumberFormat="0" applyFill="0" applyBorder="0" applyAlignment="0" applyProtection="0"/>
    <xf numFmtId="0" fontId="166" fillId="0" borderId="0"/>
    <xf numFmtId="0" fontId="165" fillId="0" borderId="0" applyNumberFormat="0" applyFill="0" applyBorder="0" applyAlignment="0" applyProtection="0"/>
    <xf numFmtId="0" fontId="166" fillId="0" borderId="0"/>
    <xf numFmtId="0" fontId="167" fillId="0" borderId="0" applyNumberFormat="0" applyFill="0" applyBorder="0" applyAlignment="0" applyProtection="0">
      <alignment vertical="center"/>
    </xf>
    <xf numFmtId="0" fontId="168" fillId="12" borderId="104" applyNumberFormat="0" applyAlignment="0" applyProtection="0">
      <alignment vertical="center"/>
    </xf>
    <xf numFmtId="0" fontId="169" fillId="13" borderId="0" applyNumberFormat="0" applyBorder="0" applyAlignment="0" applyProtection="0">
      <alignment vertical="center"/>
    </xf>
    <xf numFmtId="0" fontId="170" fillId="0" borderId="105" applyNumberFormat="0" applyFill="0" applyAlignment="0" applyProtection="0">
      <alignment vertical="center"/>
    </xf>
    <xf numFmtId="0" fontId="171" fillId="0" borderId="106" applyNumberFormat="0" applyFill="0" applyAlignment="0" applyProtection="0">
      <alignment vertical="center"/>
    </xf>
    <xf numFmtId="0" fontId="172" fillId="0" borderId="107" applyNumberFormat="0" applyFill="0" applyAlignment="0" applyProtection="0">
      <alignment vertical="center"/>
    </xf>
    <xf numFmtId="0" fontId="172" fillId="0" borderId="0" applyNumberFormat="0" applyFill="0" applyBorder="0" applyAlignment="0" applyProtection="0">
      <alignment vertical="center"/>
    </xf>
    <xf numFmtId="0" fontId="173" fillId="14" borderId="108" applyNumberFormat="0" applyFont="0" applyAlignment="0" applyProtection="0">
      <alignment vertical="center"/>
    </xf>
    <xf numFmtId="0" fontId="174" fillId="0" borderId="109" applyNumberFormat="0" applyFill="0" applyAlignment="0" applyProtection="0">
      <alignment vertical="center"/>
    </xf>
    <xf numFmtId="0" fontId="175" fillId="0" borderId="0" applyNumberFormat="0" applyFill="0" applyBorder="0" applyAlignment="0" applyProtection="0">
      <alignment vertical="center"/>
    </xf>
    <xf numFmtId="0" fontId="176" fillId="15" borderId="0" applyNumberFormat="0" applyBorder="0" applyAlignment="0" applyProtection="0">
      <alignment vertical="center"/>
    </xf>
    <xf numFmtId="0" fontId="176" fillId="16" borderId="0" applyNumberFormat="0" applyBorder="0" applyAlignment="0" applyProtection="0">
      <alignment vertical="center"/>
    </xf>
    <xf numFmtId="0" fontId="176" fillId="17" borderId="0" applyNumberFormat="0" applyBorder="0" applyAlignment="0" applyProtection="0">
      <alignment vertical="center"/>
    </xf>
    <xf numFmtId="0" fontId="176" fillId="18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20" borderId="0" applyNumberFormat="0" applyBorder="0" applyAlignment="0" applyProtection="0">
      <alignment vertical="center"/>
    </xf>
    <xf numFmtId="0" fontId="177" fillId="21" borderId="0" applyNumberFormat="0" applyBorder="0" applyAlignment="0" applyProtection="0">
      <alignment vertical="center"/>
    </xf>
    <xf numFmtId="0" fontId="178" fillId="22" borderId="0" applyNumberFormat="0" applyBorder="0" applyAlignment="0" applyProtection="0">
      <alignment vertical="center"/>
    </xf>
    <xf numFmtId="0" fontId="179" fillId="23" borderId="110" applyNumberFormat="0" applyAlignment="0" applyProtection="0">
      <alignment vertical="center"/>
    </xf>
    <xf numFmtId="0" fontId="180" fillId="23" borderId="111" applyNumberFormat="0" applyAlignment="0" applyProtection="0">
      <alignment vertical="center"/>
    </xf>
    <xf numFmtId="0" fontId="181" fillId="23" borderId="111" applyNumberFormat="0" applyAlignment="0" applyProtection="0">
      <alignment vertical="center"/>
    </xf>
    <xf numFmtId="0" fontId="182" fillId="0" borderId="0"/>
    <xf numFmtId="0" fontId="183" fillId="0" borderId="112" applyNumberFormat="0" applyFill="0" applyAlignment="0" applyProtection="0">
      <alignment vertical="center"/>
    </xf>
    <xf numFmtId="0" fontId="184" fillId="0" borderId="0" applyNumberFormat="0" applyFill="0" applyBorder="0" applyAlignment="0" applyProtection="0">
      <alignment vertical="center"/>
    </xf>
    <xf numFmtId="0" fontId="185" fillId="0" borderId="0"/>
    <xf numFmtId="0" fontId="185" fillId="0" borderId="0"/>
    <xf numFmtId="0" fontId="173" fillId="24" borderId="0" applyNumberFormat="0" applyBorder="0" applyAlignment="0" applyProtection="0">
      <alignment vertical="center"/>
    </xf>
    <xf numFmtId="0" fontId="173" fillId="13" borderId="0" applyNumberFormat="0" applyBorder="0" applyAlignment="0" applyProtection="0">
      <alignment vertical="center"/>
    </xf>
    <xf numFmtId="0" fontId="173" fillId="22" borderId="0" applyNumberFormat="0" applyBorder="0" applyAlignment="0" applyProtection="0">
      <alignment vertical="center"/>
    </xf>
    <xf numFmtId="0" fontId="173" fillId="25" borderId="0" applyNumberFormat="0" applyBorder="0" applyAlignment="0" applyProtection="0">
      <alignment vertical="center"/>
    </xf>
    <xf numFmtId="0" fontId="173" fillId="26" borderId="0" applyNumberFormat="0" applyBorder="0" applyAlignment="0" applyProtection="0">
      <alignment vertical="center"/>
    </xf>
    <xf numFmtId="0" fontId="173" fillId="23" borderId="0" applyNumberFormat="0" applyBorder="0" applyAlignment="0" applyProtection="0">
      <alignment vertical="center"/>
    </xf>
    <xf numFmtId="0" fontId="186" fillId="24" borderId="0" applyNumberFormat="0" applyBorder="0" applyAlignment="0" applyProtection="0"/>
    <xf numFmtId="0" fontId="186" fillId="24" borderId="0" applyNumberFormat="0" applyBorder="0" applyAlignment="0" applyProtection="0"/>
    <xf numFmtId="0" fontId="186" fillId="24" borderId="0" applyNumberFormat="0" applyBorder="0" applyAlignment="0" applyProtection="0"/>
    <xf numFmtId="0" fontId="186" fillId="13" borderId="0" applyNumberFormat="0" applyBorder="0" applyAlignment="0" applyProtection="0"/>
    <xf numFmtId="0" fontId="186" fillId="13" borderId="0" applyNumberFormat="0" applyBorder="0" applyAlignment="0" applyProtection="0"/>
    <xf numFmtId="0" fontId="186" fillId="13" borderId="0" applyNumberFormat="0" applyBorder="0" applyAlignment="0" applyProtection="0"/>
    <xf numFmtId="0" fontId="186" fillId="22" borderId="0" applyNumberFormat="0" applyBorder="0" applyAlignment="0" applyProtection="0"/>
    <xf numFmtId="0" fontId="186" fillId="22" borderId="0" applyNumberFormat="0" applyBorder="0" applyAlignment="0" applyProtection="0"/>
    <xf numFmtId="0" fontId="186" fillId="22" borderId="0" applyNumberFormat="0" applyBorder="0" applyAlignment="0" applyProtection="0"/>
    <xf numFmtId="0" fontId="186" fillId="25" borderId="0" applyNumberFormat="0" applyBorder="0" applyAlignment="0" applyProtection="0"/>
    <xf numFmtId="0" fontId="186" fillId="25" borderId="0" applyNumberFormat="0" applyBorder="0" applyAlignment="0" applyProtection="0"/>
    <xf numFmtId="0" fontId="186" fillId="25" borderId="0" applyNumberFormat="0" applyBorder="0" applyAlignment="0" applyProtection="0"/>
    <xf numFmtId="0" fontId="186" fillId="26" borderId="0" applyNumberFormat="0" applyBorder="0" applyAlignment="0" applyProtection="0"/>
    <xf numFmtId="0" fontId="186" fillId="26" borderId="0" applyNumberFormat="0" applyBorder="0" applyAlignment="0" applyProtection="0"/>
    <xf numFmtId="0" fontId="186" fillId="26" borderId="0" applyNumberFormat="0" applyBorder="0" applyAlignment="0" applyProtection="0"/>
    <xf numFmtId="0" fontId="186" fillId="27" borderId="0" applyNumberFormat="0" applyBorder="0" applyAlignment="0" applyProtection="0"/>
    <xf numFmtId="0" fontId="186" fillId="27" borderId="0" applyNumberFormat="0" applyBorder="0" applyAlignment="0" applyProtection="0"/>
    <xf numFmtId="0" fontId="186" fillId="27" borderId="0" applyNumberFormat="0" applyBorder="0" applyAlignment="0" applyProtection="0"/>
    <xf numFmtId="0" fontId="173" fillId="28" borderId="0" applyNumberFormat="0" applyBorder="0" applyAlignment="0" applyProtection="0">
      <alignment vertical="center"/>
    </xf>
    <xf numFmtId="0" fontId="173" fillId="29" borderId="0" applyNumberFormat="0" applyBorder="0" applyAlignment="0" applyProtection="0">
      <alignment vertical="center"/>
    </xf>
    <xf numFmtId="0" fontId="173" fillId="30" borderId="0" applyNumberFormat="0" applyBorder="0" applyAlignment="0" applyProtection="0">
      <alignment vertical="center"/>
    </xf>
    <xf numFmtId="0" fontId="173" fillId="25" borderId="0" applyNumberFormat="0" applyBorder="0" applyAlignment="0" applyProtection="0">
      <alignment vertical="center"/>
    </xf>
    <xf numFmtId="0" fontId="173" fillId="28" borderId="0" applyNumberFormat="0" applyBorder="0" applyAlignment="0" applyProtection="0">
      <alignment vertical="center"/>
    </xf>
    <xf numFmtId="0" fontId="173" fillId="31" borderId="0" applyNumberFormat="0" applyBorder="0" applyAlignment="0" applyProtection="0">
      <alignment vertical="center"/>
    </xf>
    <xf numFmtId="0" fontId="186" fillId="28" borderId="0" applyNumberFormat="0" applyBorder="0" applyAlignment="0" applyProtection="0"/>
    <xf numFmtId="0" fontId="186" fillId="28" borderId="0" applyNumberFormat="0" applyBorder="0" applyAlignment="0" applyProtection="0"/>
    <xf numFmtId="0" fontId="186" fillId="28" borderId="0" applyNumberFormat="0" applyBorder="0" applyAlignment="0" applyProtection="0"/>
    <xf numFmtId="0" fontId="186" fillId="29" borderId="0" applyNumberFormat="0" applyBorder="0" applyAlignment="0" applyProtection="0"/>
    <xf numFmtId="0" fontId="186" fillId="29" borderId="0" applyNumberFormat="0" applyBorder="0" applyAlignment="0" applyProtection="0"/>
    <xf numFmtId="0" fontId="186" fillId="29" borderId="0" applyNumberFormat="0" applyBorder="0" applyAlignment="0" applyProtection="0"/>
    <xf numFmtId="0" fontId="186" fillId="30" borderId="0" applyNumberFormat="0" applyBorder="0" applyAlignment="0" applyProtection="0"/>
    <xf numFmtId="0" fontId="186" fillId="30" borderId="0" applyNumberFormat="0" applyBorder="0" applyAlignment="0" applyProtection="0"/>
    <xf numFmtId="0" fontId="186" fillId="30" borderId="0" applyNumberFormat="0" applyBorder="0" applyAlignment="0" applyProtection="0"/>
    <xf numFmtId="0" fontId="186" fillId="25" borderId="0" applyNumberFormat="0" applyBorder="0" applyAlignment="0" applyProtection="0"/>
    <xf numFmtId="0" fontId="186" fillId="25" borderId="0" applyNumberFormat="0" applyBorder="0" applyAlignment="0" applyProtection="0"/>
    <xf numFmtId="0" fontId="186" fillId="25" borderId="0" applyNumberFormat="0" applyBorder="0" applyAlignment="0" applyProtection="0"/>
    <xf numFmtId="0" fontId="186" fillId="28" borderId="0" applyNumberFormat="0" applyBorder="0" applyAlignment="0" applyProtection="0"/>
    <xf numFmtId="0" fontId="186" fillId="28" borderId="0" applyNumberFormat="0" applyBorder="0" applyAlignment="0" applyProtection="0"/>
    <xf numFmtId="0" fontId="186" fillId="28" borderId="0" applyNumberFormat="0" applyBorder="0" applyAlignment="0" applyProtection="0"/>
    <xf numFmtId="0" fontId="186" fillId="31" borderId="0" applyNumberFormat="0" applyBorder="0" applyAlignment="0" applyProtection="0"/>
    <xf numFmtId="0" fontId="186" fillId="31" borderId="0" applyNumberFormat="0" applyBorder="0" applyAlignment="0" applyProtection="0"/>
    <xf numFmtId="0" fontId="186" fillId="31" borderId="0" applyNumberFormat="0" applyBorder="0" applyAlignment="0" applyProtection="0"/>
    <xf numFmtId="0" fontId="176" fillId="32" borderId="0" applyNumberFormat="0" applyBorder="0" applyAlignment="0" applyProtection="0">
      <alignment vertical="center"/>
    </xf>
    <xf numFmtId="0" fontId="176" fillId="29" borderId="0" applyNumberFormat="0" applyBorder="0" applyAlignment="0" applyProtection="0">
      <alignment vertical="center"/>
    </xf>
    <xf numFmtId="0" fontId="176" fillId="30" borderId="0" applyNumberFormat="0" applyBorder="0" applyAlignment="0" applyProtection="0">
      <alignment vertical="center"/>
    </xf>
    <xf numFmtId="0" fontId="176" fillId="18" borderId="0" applyNumberFormat="0" applyBorder="0" applyAlignment="0" applyProtection="0">
      <alignment vertical="center"/>
    </xf>
    <xf numFmtId="0" fontId="176" fillId="19" borderId="0" applyNumberFormat="0" applyBorder="0" applyAlignment="0" applyProtection="0">
      <alignment vertical="center"/>
    </xf>
    <xf numFmtId="0" fontId="176" fillId="33" borderId="0" applyNumberFormat="0" applyBorder="0" applyAlignment="0" applyProtection="0">
      <alignment vertical="center"/>
    </xf>
    <xf numFmtId="0" fontId="187" fillId="32" borderId="0" applyNumberFormat="0" applyBorder="0" applyAlignment="0" applyProtection="0"/>
    <xf numFmtId="0" fontId="187" fillId="32" borderId="0" applyNumberFormat="0" applyBorder="0" applyAlignment="0" applyProtection="0"/>
    <xf numFmtId="0" fontId="187" fillId="32" borderId="0" applyNumberFormat="0" applyBorder="0" applyAlignment="0" applyProtection="0"/>
    <xf numFmtId="0" fontId="187" fillId="29" borderId="0" applyNumberFormat="0" applyBorder="0" applyAlignment="0" applyProtection="0"/>
    <xf numFmtId="0" fontId="187" fillId="29" borderId="0" applyNumberFormat="0" applyBorder="0" applyAlignment="0" applyProtection="0"/>
    <xf numFmtId="0" fontId="187" fillId="29" borderId="0" applyNumberFormat="0" applyBorder="0" applyAlignment="0" applyProtection="0"/>
    <xf numFmtId="0" fontId="187" fillId="30" borderId="0" applyNumberFormat="0" applyBorder="0" applyAlignment="0" applyProtection="0"/>
    <xf numFmtId="0" fontId="187" fillId="30" borderId="0" applyNumberFormat="0" applyBorder="0" applyAlignment="0" applyProtection="0"/>
    <xf numFmtId="0" fontId="187" fillId="30" borderId="0" applyNumberFormat="0" applyBorder="0" applyAlignment="0" applyProtection="0"/>
    <xf numFmtId="0" fontId="187" fillId="18" borderId="0" applyNumberFormat="0" applyBorder="0" applyAlignment="0" applyProtection="0"/>
    <xf numFmtId="0" fontId="187" fillId="18" borderId="0" applyNumberFormat="0" applyBorder="0" applyAlignment="0" applyProtection="0"/>
    <xf numFmtId="0" fontId="187" fillId="18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33" borderId="0" applyNumberFormat="0" applyBorder="0" applyAlignment="0" applyProtection="0"/>
    <xf numFmtId="0" fontId="187" fillId="33" borderId="0" applyNumberFormat="0" applyBorder="0" applyAlignment="0" applyProtection="0"/>
    <xf numFmtId="0" fontId="187" fillId="33" borderId="0" applyNumberFormat="0" applyBorder="0" applyAlignment="0" applyProtection="0"/>
    <xf numFmtId="9" fontId="188" fillId="0" borderId="0"/>
    <xf numFmtId="0" fontId="71" fillId="34" borderId="0" applyNumberFormat="0" applyBorder="0" applyAlignment="0" applyProtection="0"/>
    <xf numFmtId="0" fontId="71" fillId="34" borderId="0" applyNumberFormat="0" applyBorder="0" applyAlignment="0" applyProtection="0"/>
    <xf numFmtId="0" fontId="71" fillId="35" borderId="0" applyNumberFormat="0" applyBorder="0" applyAlignment="0" applyProtection="0"/>
    <xf numFmtId="0" fontId="71" fillId="35" borderId="0" applyNumberFormat="0" applyBorder="0" applyAlignment="0" applyProtection="0"/>
    <xf numFmtId="0" fontId="163" fillId="36" borderId="0" applyNumberFormat="0" applyBorder="0" applyAlignment="0" applyProtection="0"/>
    <xf numFmtId="0" fontId="187" fillId="15" borderId="0" applyNumberFormat="0" applyBorder="0" applyAlignment="0" applyProtection="0"/>
    <xf numFmtId="0" fontId="187" fillId="15" borderId="0" applyNumberFormat="0" applyBorder="0" applyAlignment="0" applyProtection="0"/>
    <xf numFmtId="0" fontId="187" fillId="15" borderId="0" applyNumberFormat="0" applyBorder="0" applyAlignment="0" applyProtection="0"/>
    <xf numFmtId="0" fontId="71" fillId="37" borderId="0" applyNumberFormat="0" applyBorder="0" applyAlignment="0" applyProtection="0"/>
    <xf numFmtId="0" fontId="71" fillId="37" borderId="0" applyNumberFormat="0" applyBorder="0" applyAlignment="0" applyProtection="0"/>
    <xf numFmtId="0" fontId="71" fillId="38" borderId="0" applyNumberFormat="0" applyBorder="0" applyAlignment="0" applyProtection="0"/>
    <xf numFmtId="0" fontId="71" fillId="38" borderId="0" applyNumberFormat="0" applyBorder="0" applyAlignment="0" applyProtection="0"/>
    <xf numFmtId="0" fontId="163" fillId="39" borderId="0" applyNumberFormat="0" applyBorder="0" applyAlignment="0" applyProtection="0"/>
    <xf numFmtId="0" fontId="187" fillId="16" borderId="0" applyNumberFormat="0" applyBorder="0" applyAlignment="0" applyProtection="0"/>
    <xf numFmtId="0" fontId="187" fillId="16" borderId="0" applyNumberFormat="0" applyBorder="0" applyAlignment="0" applyProtection="0"/>
    <xf numFmtId="0" fontId="187" fillId="16" borderId="0" applyNumberFormat="0" applyBorder="0" applyAlignment="0" applyProtection="0"/>
    <xf numFmtId="0" fontId="71" fillId="40" borderId="0" applyNumberFormat="0" applyBorder="0" applyAlignment="0" applyProtection="0"/>
    <xf numFmtId="0" fontId="71" fillId="40" borderId="0" applyNumberFormat="0" applyBorder="0" applyAlignment="0" applyProtection="0"/>
    <xf numFmtId="0" fontId="71" fillId="41" borderId="0" applyNumberFormat="0" applyBorder="0" applyAlignment="0" applyProtection="0"/>
    <xf numFmtId="0" fontId="71" fillId="41" borderId="0" applyNumberFormat="0" applyBorder="0" applyAlignment="0" applyProtection="0"/>
    <xf numFmtId="0" fontId="163" fillId="42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187" fillId="17" borderId="0" applyNumberFormat="0" applyBorder="0" applyAlignment="0" applyProtection="0"/>
    <xf numFmtId="0" fontId="71" fillId="41" borderId="0" applyNumberFormat="0" applyBorder="0" applyAlignment="0" applyProtection="0"/>
    <xf numFmtId="0" fontId="71" fillId="41" borderId="0" applyNumberFormat="0" applyBorder="0" applyAlignment="0" applyProtection="0"/>
    <xf numFmtId="0" fontId="71" fillId="42" borderId="0" applyNumberFormat="0" applyBorder="0" applyAlignment="0" applyProtection="0"/>
    <xf numFmtId="0" fontId="71" fillId="42" borderId="0" applyNumberFormat="0" applyBorder="0" applyAlignment="0" applyProtection="0"/>
    <xf numFmtId="0" fontId="163" fillId="42" borderId="0" applyNumberFormat="0" applyBorder="0" applyAlignment="0" applyProtection="0"/>
    <xf numFmtId="0" fontId="187" fillId="18" borderId="0" applyNumberFormat="0" applyBorder="0" applyAlignment="0" applyProtection="0"/>
    <xf numFmtId="0" fontId="187" fillId="18" borderId="0" applyNumberFormat="0" applyBorder="0" applyAlignment="0" applyProtection="0"/>
    <xf numFmtId="0" fontId="187" fillId="18" borderId="0" applyNumberFormat="0" applyBorder="0" applyAlignment="0" applyProtection="0"/>
    <xf numFmtId="0" fontId="71" fillId="34" borderId="0" applyNumberFormat="0" applyBorder="0" applyAlignment="0" applyProtection="0"/>
    <xf numFmtId="0" fontId="71" fillId="34" borderId="0" applyNumberFormat="0" applyBorder="0" applyAlignment="0" applyProtection="0"/>
    <xf numFmtId="0" fontId="71" fillId="35" borderId="0" applyNumberFormat="0" applyBorder="0" applyAlignment="0" applyProtection="0"/>
    <xf numFmtId="0" fontId="71" fillId="35" borderId="0" applyNumberFormat="0" applyBorder="0" applyAlignment="0" applyProtection="0"/>
    <xf numFmtId="0" fontId="163" fillId="35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187" fillId="19" borderId="0" applyNumberFormat="0" applyBorder="0" applyAlignment="0" applyProtection="0"/>
    <xf numFmtId="0" fontId="71" fillId="43" borderId="0" applyNumberFormat="0" applyBorder="0" applyAlignment="0" applyProtection="0"/>
    <xf numFmtId="0" fontId="71" fillId="43" borderId="0" applyNumberFormat="0" applyBorder="0" applyAlignment="0" applyProtection="0"/>
    <xf numFmtId="0" fontId="71" fillId="38" borderId="0" applyNumberFormat="0" applyBorder="0" applyAlignment="0" applyProtection="0"/>
    <xf numFmtId="0" fontId="71" fillId="38" borderId="0" applyNumberFormat="0" applyBorder="0" applyAlignment="0" applyProtection="0"/>
    <xf numFmtId="0" fontId="163" fillId="44" borderId="0" applyNumberFormat="0" applyBorder="0" applyAlignment="0" applyProtection="0"/>
    <xf numFmtId="0" fontId="187" fillId="20" borderId="0" applyNumberFormat="0" applyBorder="0" applyAlignment="0" applyProtection="0"/>
    <xf numFmtId="0" fontId="187" fillId="20" borderId="0" applyNumberFormat="0" applyBorder="0" applyAlignment="0" applyProtection="0"/>
    <xf numFmtId="0" fontId="187" fillId="20" borderId="0" applyNumberFormat="0" applyBorder="0" applyAlignment="0" applyProtection="0"/>
    <xf numFmtId="0" fontId="189" fillId="0" borderId="0">
      <alignment vertical="center"/>
    </xf>
    <xf numFmtId="0" fontId="6" fillId="0" borderId="0">
      <alignment horizontal="center" wrapText="1"/>
      <protection locked="0"/>
    </xf>
    <xf numFmtId="0" fontId="190" fillId="13" borderId="0" applyNumberFormat="0" applyBorder="0" applyAlignment="0" applyProtection="0"/>
    <xf numFmtId="0" fontId="190" fillId="13" borderId="0" applyNumberFormat="0" applyBorder="0" applyAlignment="0" applyProtection="0"/>
    <xf numFmtId="0" fontId="190" fillId="13" borderId="0" applyNumberFormat="0" applyBorder="0" applyAlignment="0" applyProtection="0"/>
    <xf numFmtId="182" fontId="149" fillId="0" borderId="0" applyFont="0" applyFill="0" applyBorder="0" applyAlignment="0" applyProtection="0">
      <alignment horizontal="right"/>
    </xf>
    <xf numFmtId="178" fontId="5" fillId="0" borderId="0" applyFill="0" applyBorder="0" applyAlignment="0"/>
    <xf numFmtId="175" fontId="166" fillId="0" borderId="0" applyFill="0" applyBorder="0" applyAlignment="0"/>
    <xf numFmtId="183" fontId="166" fillId="0" borderId="0" applyFill="0" applyBorder="0" applyAlignment="0"/>
    <xf numFmtId="184" fontId="166" fillId="0" borderId="0" applyFill="0" applyBorder="0" applyAlignment="0"/>
    <xf numFmtId="185" fontId="166" fillId="0" borderId="0" applyFill="0" applyBorder="0" applyAlignment="0"/>
    <xf numFmtId="44" fontId="166" fillId="0" borderId="0" applyFill="0" applyBorder="0" applyAlignment="0"/>
    <xf numFmtId="186" fontId="166" fillId="0" borderId="0" applyFill="0" applyBorder="0" applyAlignment="0"/>
    <xf numFmtId="175" fontId="166" fillId="0" borderId="0" applyFill="0" applyBorder="0" applyAlignment="0"/>
    <xf numFmtId="0" fontId="191" fillId="23" borderId="111" applyNumberFormat="0" applyAlignment="0" applyProtection="0"/>
    <xf numFmtId="0" fontId="191" fillId="23" borderId="111" applyNumberFormat="0" applyAlignment="0" applyProtection="0"/>
    <xf numFmtId="0" fontId="191" fillId="23" borderId="111" applyNumberFormat="0" applyAlignment="0" applyProtection="0"/>
    <xf numFmtId="0" fontId="192" fillId="12" borderId="104" applyNumberFormat="0" applyAlignment="0" applyProtection="0"/>
    <xf numFmtId="0" fontId="192" fillId="12" borderId="104" applyNumberFormat="0" applyAlignment="0" applyProtection="0"/>
    <xf numFmtId="0" fontId="192" fillId="12" borderId="104" applyNumberFormat="0" applyAlignment="0" applyProtection="0"/>
    <xf numFmtId="43" fontId="4" fillId="0" borderId="0" applyFont="0" applyFill="0" applyBorder="0" applyAlignment="0" applyProtection="0"/>
    <xf numFmtId="187" fontId="193" fillId="0" borderId="0"/>
    <xf numFmtId="187" fontId="194" fillId="0" borderId="0"/>
    <xf numFmtId="187" fontId="194" fillId="0" borderId="0"/>
    <xf numFmtId="187" fontId="194" fillId="0" borderId="0"/>
    <xf numFmtId="187" fontId="194" fillId="0" borderId="0"/>
    <xf numFmtId="187" fontId="194" fillId="0" borderId="0"/>
    <xf numFmtId="187" fontId="194" fillId="0" borderId="0"/>
    <xf numFmtId="187" fontId="194" fillId="0" borderId="0"/>
    <xf numFmtId="41" fontId="5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1" fontId="71" fillId="0" borderId="0" applyFont="0" applyFill="0" applyBorder="0" applyAlignment="0" applyProtection="0"/>
    <xf numFmtId="44" fontId="166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71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86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72" fontId="144" fillId="0" borderId="0" applyFont="0" applyFill="0" applyBorder="0" applyAlignment="0" applyProtection="0"/>
    <xf numFmtId="17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52" fillId="0" borderId="0" applyNumberFormat="0" applyAlignment="0">
      <alignment horizontal="left"/>
    </xf>
    <xf numFmtId="0" fontId="153" fillId="0" borderId="0" applyNumberFormat="0" applyAlignment="0"/>
    <xf numFmtId="175" fontId="166" fillId="0" borderId="0" applyFont="0" applyFill="0" applyBorder="0" applyAlignment="0" applyProtection="0"/>
    <xf numFmtId="0" fontId="193" fillId="0" borderId="113" applyNumberFormat="0" applyBorder="0">
      <alignment horizontal="centerContinuous"/>
    </xf>
    <xf numFmtId="14" fontId="195" fillId="0" borderId="0" applyFill="0" applyBorder="0" applyAlignment="0"/>
    <xf numFmtId="0" fontId="164" fillId="45" borderId="0" applyNumberFormat="0" applyBorder="0" applyAlignment="0" applyProtection="0"/>
    <xf numFmtId="0" fontId="164" fillId="46" borderId="0" applyNumberFormat="0" applyBorder="0" applyAlignment="0" applyProtection="0"/>
    <xf numFmtId="0" fontId="164" fillId="47" borderId="0" applyNumberFormat="0" applyBorder="0" applyAlignment="0" applyProtection="0"/>
    <xf numFmtId="44" fontId="166" fillId="0" borderId="0" applyFill="0" applyBorder="0" applyAlignment="0"/>
    <xf numFmtId="175" fontId="166" fillId="0" borderId="0" applyFill="0" applyBorder="0" applyAlignment="0"/>
    <xf numFmtId="44" fontId="166" fillId="0" borderId="0" applyFill="0" applyBorder="0" applyAlignment="0"/>
    <xf numFmtId="186" fontId="166" fillId="0" borderId="0" applyFill="0" applyBorder="0" applyAlignment="0"/>
    <xf numFmtId="175" fontId="166" fillId="0" borderId="0" applyFill="0" applyBorder="0" applyAlignment="0"/>
    <xf numFmtId="0" fontId="154" fillId="0" borderId="0" applyNumberFormat="0" applyAlignment="0">
      <alignment horizontal="left"/>
    </xf>
    <xf numFmtId="0" fontId="96" fillId="0" borderId="0">
      <alignment horizontal="left"/>
    </xf>
    <xf numFmtId="0" fontId="196" fillId="0" borderId="0" applyNumberFormat="0" applyFill="0" applyBorder="0" applyAlignment="0" applyProtection="0"/>
    <xf numFmtId="0" fontId="196" fillId="0" borderId="0" applyNumberFormat="0" applyFill="0" applyBorder="0" applyAlignment="0" applyProtection="0"/>
    <xf numFmtId="0" fontId="196" fillId="0" borderId="0" applyNumberFormat="0" applyFill="0" applyBorder="0" applyAlignment="0" applyProtection="0"/>
    <xf numFmtId="0" fontId="197" fillId="22" borderId="0" applyNumberFormat="0" applyBorder="0" applyAlignment="0" applyProtection="0"/>
    <xf numFmtId="0" fontId="197" fillId="22" borderId="0" applyNumberFormat="0" applyBorder="0" applyAlignment="0" applyProtection="0"/>
    <xf numFmtId="0" fontId="197" fillId="22" borderId="0" applyNumberFormat="0" applyBorder="0" applyAlignment="0" applyProtection="0"/>
    <xf numFmtId="38" fontId="145" fillId="9" borderId="0" applyNumberFormat="0" applyBorder="0" applyAlignment="0" applyProtection="0"/>
    <xf numFmtId="188" fontId="198" fillId="0" borderId="0" applyNumberFormat="0" applyFill="0" applyBorder="0" applyProtection="0">
      <alignment horizontal="right"/>
    </xf>
    <xf numFmtId="0" fontId="155" fillId="0" borderId="114" applyNumberFormat="0" applyAlignment="0" applyProtection="0">
      <alignment horizontal="left" vertical="center"/>
    </xf>
    <xf numFmtId="0" fontId="155" fillId="0" borderId="115">
      <alignment horizontal="left" vertical="center"/>
    </xf>
    <xf numFmtId="0" fontId="199" fillId="0" borderId="105" applyNumberFormat="0" applyFill="0" applyAlignment="0" applyProtection="0"/>
    <xf numFmtId="0" fontId="199" fillId="0" borderId="105" applyNumberFormat="0" applyFill="0" applyAlignment="0" applyProtection="0"/>
    <xf numFmtId="0" fontId="199" fillId="0" borderId="105" applyNumberFormat="0" applyFill="0" applyAlignment="0" applyProtection="0"/>
    <xf numFmtId="0" fontId="200" fillId="0" borderId="106" applyNumberFormat="0" applyFill="0" applyAlignment="0" applyProtection="0"/>
    <xf numFmtId="0" fontId="200" fillId="0" borderId="106" applyNumberFormat="0" applyFill="0" applyAlignment="0" applyProtection="0"/>
    <xf numFmtId="0" fontId="200" fillId="0" borderId="106" applyNumberFormat="0" applyFill="0" applyAlignment="0" applyProtection="0"/>
    <xf numFmtId="0" fontId="201" fillId="0" borderId="107" applyNumberFormat="0" applyFill="0" applyAlignment="0" applyProtection="0"/>
    <xf numFmtId="0" fontId="201" fillId="0" borderId="107" applyNumberFormat="0" applyFill="0" applyAlignment="0" applyProtection="0"/>
    <xf numFmtId="0" fontId="201" fillId="0" borderId="107" applyNumberFormat="0" applyFill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201" fillId="0" borderId="0" applyNumberFormat="0" applyFill="0" applyBorder="0" applyAlignment="0" applyProtection="0"/>
    <xf numFmtId="0" fontId="146" fillId="0" borderId="0" applyNumberFormat="0" applyFill="0" applyBorder="0" applyAlignment="0" applyProtection="0">
      <alignment vertical="top"/>
      <protection locked="0"/>
    </xf>
    <xf numFmtId="0" fontId="202" fillId="0" borderId="0" applyBorder="0"/>
    <xf numFmtId="10" fontId="145" fillId="9" borderId="116" applyNumberFormat="0" applyBorder="0" applyAlignment="0" applyProtection="0"/>
    <xf numFmtId="0" fontId="203" fillId="27" borderId="111" applyNumberFormat="0" applyAlignment="0" applyProtection="0"/>
    <xf numFmtId="0" fontId="203" fillId="27" borderId="111" applyNumberFormat="0" applyAlignment="0" applyProtection="0"/>
    <xf numFmtId="0" fontId="203" fillId="27" borderId="111" applyNumberFormat="0" applyAlignment="0" applyProtection="0"/>
    <xf numFmtId="175" fontId="156" fillId="48" borderId="0"/>
    <xf numFmtId="0" fontId="202" fillId="0" borderId="0"/>
    <xf numFmtId="1" fontId="202" fillId="0" borderId="0" applyProtection="0">
      <protection locked="0"/>
    </xf>
    <xf numFmtId="44" fontId="166" fillId="0" borderId="0" applyFill="0" applyBorder="0" applyAlignment="0"/>
    <xf numFmtId="175" fontId="166" fillId="0" borderId="0" applyFill="0" applyBorder="0" applyAlignment="0"/>
    <xf numFmtId="44" fontId="166" fillId="0" borderId="0" applyFill="0" applyBorder="0" applyAlignment="0"/>
    <xf numFmtId="186" fontId="166" fillId="0" borderId="0" applyFill="0" applyBorder="0" applyAlignment="0"/>
    <xf numFmtId="175" fontId="166" fillId="0" borderId="0" applyFill="0" applyBorder="0" applyAlignment="0"/>
    <xf numFmtId="0" fontId="204" fillId="0" borderId="109" applyNumberFormat="0" applyFill="0" applyAlignment="0" applyProtection="0"/>
    <xf numFmtId="0" fontId="204" fillId="0" borderId="109" applyNumberFormat="0" applyFill="0" applyAlignment="0" applyProtection="0"/>
    <xf numFmtId="0" fontId="204" fillId="0" borderId="109" applyNumberFormat="0" applyFill="0" applyAlignment="0" applyProtection="0"/>
    <xf numFmtId="175" fontId="157" fillId="49" borderId="0"/>
    <xf numFmtId="179" fontId="156" fillId="0" borderId="0" applyFont="0" applyFill="0" applyBorder="0" applyAlignment="0" applyProtection="0"/>
    <xf numFmtId="181" fontId="156" fillId="0" borderId="0" applyFont="0" applyFill="0" applyBorder="0" applyAlignment="0" applyProtection="0"/>
    <xf numFmtId="176" fontId="5" fillId="0" borderId="0" applyFont="0" applyFill="0" applyBorder="0" applyAlignment="0" applyProtection="0"/>
    <xf numFmtId="180" fontId="156" fillId="0" borderId="0" applyFont="0" applyFill="0" applyBorder="0" applyAlignment="0" applyProtection="0"/>
    <xf numFmtId="6" fontId="205" fillId="0" borderId="0" applyFont="0" applyFill="0" applyBorder="0" applyAlignment="0" applyProtection="0"/>
    <xf numFmtId="8" fontId="205" fillId="0" borderId="0" applyFont="0" applyFill="0" applyBorder="0" applyAlignment="0" applyProtection="0"/>
    <xf numFmtId="0" fontId="206" fillId="21" borderId="0" applyNumberFormat="0" applyBorder="0" applyAlignment="0" applyProtection="0"/>
    <xf numFmtId="0" fontId="206" fillId="21" borderId="0" applyNumberFormat="0" applyBorder="0" applyAlignment="0" applyProtection="0"/>
    <xf numFmtId="0" fontId="206" fillId="21" borderId="0" applyNumberFormat="0" applyBorder="0" applyAlignment="0" applyProtection="0"/>
    <xf numFmtId="2" fontId="96" fillId="9" borderId="0"/>
    <xf numFmtId="174" fontId="147" fillId="0" borderId="0"/>
    <xf numFmtId="0" fontId="5" fillId="0" borderId="0"/>
    <xf numFmtId="0" fontId="5" fillId="0" borderId="0"/>
    <xf numFmtId="43" fontId="4" fillId="0" borderId="0" applyFont="0" applyFill="0" applyBorder="0" applyAlignment="0" applyProtection="0"/>
    <xf numFmtId="0" fontId="148" fillId="0" borderId="0"/>
    <xf numFmtId="0" fontId="5" fillId="0" borderId="0"/>
    <xf numFmtId="0" fontId="148" fillId="0" borderId="0"/>
    <xf numFmtId="0" fontId="5" fillId="0" borderId="0"/>
    <xf numFmtId="0" fontId="149" fillId="0" borderId="0">
      <alignment vertical="center"/>
    </xf>
    <xf numFmtId="0" fontId="144" fillId="0" borderId="0"/>
    <xf numFmtId="0" fontId="4" fillId="0" borderId="0"/>
    <xf numFmtId="0" fontId="31" fillId="0" borderId="0"/>
    <xf numFmtId="0" fontId="5" fillId="14" borderId="108" applyNumberFormat="0" applyFont="0" applyAlignment="0" applyProtection="0"/>
    <xf numFmtId="0" fontId="5" fillId="14" borderId="108" applyNumberFormat="0" applyFont="0" applyAlignment="0" applyProtection="0"/>
    <xf numFmtId="0" fontId="5" fillId="14" borderId="108" applyNumberFormat="0" applyFont="0" applyAlignment="0" applyProtection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207" fillId="23" borderId="110" applyNumberFormat="0" applyAlignment="0" applyProtection="0"/>
    <xf numFmtId="0" fontId="207" fillId="23" borderId="110" applyNumberFormat="0" applyAlignment="0" applyProtection="0"/>
    <xf numFmtId="0" fontId="207" fillId="23" borderId="110" applyNumberFormat="0" applyAlignment="0" applyProtection="0"/>
    <xf numFmtId="14" fontId="6" fillId="0" borderId="0">
      <alignment horizontal="center" wrapText="1"/>
      <protection locked="0"/>
    </xf>
    <xf numFmtId="171" fontId="5" fillId="0" borderId="0" applyFont="0" applyFill="0" applyBorder="0" applyAlignment="0" applyProtection="0"/>
    <xf numFmtId="185" fontId="166" fillId="0" borderId="0" applyFont="0" applyFill="0" applyBorder="0" applyAlignment="0" applyProtection="0"/>
    <xf numFmtId="189" fontId="5" fillId="0" borderId="0" applyFont="0" applyFill="0" applyBorder="0" applyAlignment="0" applyProtection="0"/>
    <xf numFmtId="10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9" fontId="71" fillId="0" borderId="0" applyFont="0" applyFill="0" applyBorder="0" applyAlignment="0" applyProtection="0"/>
    <xf numFmtId="44" fontId="166" fillId="0" borderId="0" applyFill="0" applyBorder="0" applyAlignment="0"/>
    <xf numFmtId="175" fontId="166" fillId="0" borderId="0" applyFill="0" applyBorder="0" applyAlignment="0"/>
    <xf numFmtId="44" fontId="166" fillId="0" borderId="0" applyFill="0" applyBorder="0" applyAlignment="0"/>
    <xf numFmtId="186" fontId="166" fillId="0" borderId="0" applyFill="0" applyBorder="0" applyAlignment="0"/>
    <xf numFmtId="175" fontId="166" fillId="0" borderId="0" applyFill="0" applyBorder="0" applyAlignment="0"/>
    <xf numFmtId="4" fontId="96" fillId="0" borderId="0">
      <alignment horizontal="right"/>
    </xf>
    <xf numFmtId="5" fontId="158" fillId="0" borderId="0"/>
    <xf numFmtId="0" fontId="159" fillId="0" borderId="0" applyNumberFormat="0" applyFont="0" applyFill="0" applyBorder="0" applyAlignment="0" applyProtection="0">
      <alignment horizontal="left"/>
    </xf>
    <xf numFmtId="15" fontId="205" fillId="0" borderId="0" applyFont="0" applyFill="0" applyBorder="0" applyAlignment="0" applyProtection="0"/>
    <xf numFmtId="4" fontId="205" fillId="0" borderId="0" applyFont="0" applyFill="0" applyBorder="0" applyAlignment="0" applyProtection="0"/>
    <xf numFmtId="0" fontId="208" fillId="0" borderId="67">
      <alignment horizontal="center"/>
    </xf>
    <xf numFmtId="3" fontId="205" fillId="0" borderId="0" applyFont="0" applyFill="0" applyBorder="0" applyAlignment="0" applyProtection="0"/>
    <xf numFmtId="0" fontId="205" fillId="50" borderId="0" applyNumberFormat="0" applyFont="0" applyBorder="0" applyAlignment="0" applyProtection="0"/>
    <xf numFmtId="4" fontId="209" fillId="0" borderId="0">
      <alignment horizontal="right"/>
    </xf>
    <xf numFmtId="177" fontId="160" fillId="0" borderId="0" applyNumberFormat="0" applyFill="0" applyBorder="0" applyAlignment="0" applyProtection="0">
      <alignment horizontal="left"/>
    </xf>
    <xf numFmtId="4" fontId="210" fillId="21" borderId="117" applyNumberFormat="0" applyProtection="0">
      <alignment vertical="center"/>
    </xf>
    <xf numFmtId="4" fontId="211" fillId="21" borderId="117" applyNumberFormat="0" applyProtection="0">
      <alignment vertical="center"/>
    </xf>
    <xf numFmtId="4" fontId="210" fillId="21" borderId="117" applyNumberFormat="0" applyProtection="0">
      <alignment horizontal="left" vertical="center" indent="1"/>
    </xf>
    <xf numFmtId="0" fontId="210" fillId="21" borderId="117" applyNumberFormat="0" applyProtection="0">
      <alignment horizontal="left" vertical="top" indent="1"/>
    </xf>
    <xf numFmtId="4" fontId="210" fillId="51" borderId="0" applyNumberFormat="0" applyProtection="0">
      <alignment horizontal="left" vertical="center" indent="1"/>
    </xf>
    <xf numFmtId="4" fontId="195" fillId="13" borderId="117" applyNumberFormat="0" applyProtection="0">
      <alignment horizontal="right" vertical="center"/>
    </xf>
    <xf numFmtId="4" fontId="195" fillId="29" borderId="117" applyNumberFormat="0" applyProtection="0">
      <alignment horizontal="right" vertical="center"/>
    </xf>
    <xf numFmtId="4" fontId="195" fillId="16" borderId="117" applyNumberFormat="0" applyProtection="0">
      <alignment horizontal="right" vertical="center"/>
    </xf>
    <xf numFmtId="4" fontId="195" fillId="31" borderId="117" applyNumberFormat="0" applyProtection="0">
      <alignment horizontal="right" vertical="center"/>
    </xf>
    <xf numFmtId="4" fontId="195" fillId="33" borderId="117" applyNumberFormat="0" applyProtection="0">
      <alignment horizontal="right" vertical="center"/>
    </xf>
    <xf numFmtId="4" fontId="195" fillId="20" borderId="117" applyNumberFormat="0" applyProtection="0">
      <alignment horizontal="right" vertical="center"/>
    </xf>
    <xf numFmtId="4" fontId="195" fillId="17" borderId="117" applyNumberFormat="0" applyProtection="0">
      <alignment horizontal="right" vertical="center"/>
    </xf>
    <xf numFmtId="4" fontId="195" fillId="52" borderId="117" applyNumberFormat="0" applyProtection="0">
      <alignment horizontal="right" vertical="center"/>
    </xf>
    <xf numFmtId="4" fontId="195" fillId="30" borderId="117" applyNumberFormat="0" applyProtection="0">
      <alignment horizontal="right" vertical="center"/>
    </xf>
    <xf numFmtId="4" fontId="210" fillId="53" borderId="118" applyNumberFormat="0" applyProtection="0">
      <alignment horizontal="left" vertical="center" indent="1"/>
    </xf>
    <xf numFmtId="4" fontId="195" fillId="54" borderId="0" applyNumberFormat="0" applyProtection="0">
      <alignment horizontal="left" vertical="center" indent="1"/>
    </xf>
    <xf numFmtId="4" fontId="212" fillId="55" borderId="0" applyNumberFormat="0" applyProtection="0">
      <alignment horizontal="left" vertical="center" indent="1"/>
    </xf>
    <xf numFmtId="4" fontId="195" fillId="51" borderId="117" applyNumberFormat="0" applyProtection="0">
      <alignment horizontal="right" vertical="center"/>
    </xf>
    <xf numFmtId="4" fontId="195" fillId="54" borderId="0" applyNumberFormat="0" applyProtection="0">
      <alignment horizontal="left" vertical="center" indent="1"/>
    </xf>
    <xf numFmtId="4" fontId="195" fillId="51" borderId="0" applyNumberFormat="0" applyProtection="0">
      <alignment horizontal="left" vertical="center" indent="1"/>
    </xf>
    <xf numFmtId="0" fontId="5" fillId="55" borderId="117" applyNumberFormat="0" applyProtection="0">
      <alignment horizontal="left" vertical="center" indent="1"/>
    </xf>
    <xf numFmtId="0" fontId="5" fillId="55" borderId="117" applyNumberFormat="0" applyProtection="0">
      <alignment horizontal="left" vertical="top" indent="1"/>
    </xf>
    <xf numFmtId="0" fontId="5" fillId="51" borderId="117" applyNumberFormat="0" applyProtection="0">
      <alignment horizontal="left" vertical="center" indent="1"/>
    </xf>
    <xf numFmtId="0" fontId="5" fillId="51" borderId="117" applyNumberFormat="0" applyProtection="0">
      <alignment horizontal="left" vertical="top" indent="1"/>
    </xf>
    <xf numFmtId="0" fontId="5" fillId="28" borderId="117" applyNumberFormat="0" applyProtection="0">
      <alignment horizontal="left" vertical="center" indent="1"/>
    </xf>
    <xf numFmtId="0" fontId="5" fillId="28" borderId="117" applyNumberFormat="0" applyProtection="0">
      <alignment horizontal="left" vertical="top" indent="1"/>
    </xf>
    <xf numFmtId="0" fontId="5" fillId="54" borderId="117" applyNumberFormat="0" applyProtection="0">
      <alignment horizontal="left" vertical="center" indent="1"/>
    </xf>
    <xf numFmtId="0" fontId="5" fillId="54" borderId="117" applyNumberFormat="0" applyProtection="0">
      <alignment horizontal="left" vertical="top" indent="1"/>
    </xf>
    <xf numFmtId="0" fontId="5" fillId="56" borderId="116" applyNumberFormat="0">
      <protection locked="0"/>
    </xf>
    <xf numFmtId="4" fontId="195" fillId="14" borderId="117" applyNumberFormat="0" applyProtection="0">
      <alignment vertical="center"/>
    </xf>
    <xf numFmtId="4" fontId="213" fillId="14" borderId="117" applyNumberFormat="0" applyProtection="0">
      <alignment vertical="center"/>
    </xf>
    <xf numFmtId="4" fontId="195" fillId="14" borderId="117" applyNumberFormat="0" applyProtection="0">
      <alignment horizontal="left" vertical="center" indent="1"/>
    </xf>
    <xf numFmtId="0" fontId="195" fillId="14" borderId="117" applyNumberFormat="0" applyProtection="0">
      <alignment horizontal="left" vertical="top" indent="1"/>
    </xf>
    <xf numFmtId="4" fontId="195" fillId="54" borderId="117" applyNumberFormat="0" applyProtection="0">
      <alignment horizontal="right" vertical="center"/>
    </xf>
    <xf numFmtId="4" fontId="213" fillId="54" borderId="117" applyNumberFormat="0" applyProtection="0">
      <alignment horizontal="right" vertical="center"/>
    </xf>
    <xf numFmtId="4" fontId="195" fillId="51" borderId="117" applyNumberFormat="0" applyProtection="0">
      <alignment horizontal="left" vertical="center" indent="1"/>
    </xf>
    <xf numFmtId="0" fontId="195" fillId="51" borderId="117" applyNumberFormat="0" applyProtection="0">
      <alignment horizontal="left" vertical="top" indent="1"/>
    </xf>
    <xf numFmtId="4" fontId="214" fillId="48" borderId="0" applyNumberFormat="0" applyProtection="0">
      <alignment horizontal="left" vertical="center" indent="1"/>
    </xf>
    <xf numFmtId="4" fontId="215" fillId="54" borderId="117" applyNumberFormat="0" applyProtection="0">
      <alignment horizontal="right" vertical="center"/>
    </xf>
    <xf numFmtId="0" fontId="115" fillId="0" borderId="0">
      <alignment horizontal="left"/>
    </xf>
    <xf numFmtId="0" fontId="216" fillId="0" borderId="0" applyNumberFormat="0" applyFill="0" applyBorder="0" applyAlignment="0" applyProtection="0"/>
    <xf numFmtId="1" fontId="23" fillId="0" borderId="0" applyBorder="0">
      <alignment horizontal="left" vertical="top" wrapText="1"/>
    </xf>
    <xf numFmtId="0" fontId="217" fillId="9" borderId="0">
      <alignment horizontal="left" vertical="top"/>
    </xf>
    <xf numFmtId="0" fontId="166" fillId="0" borderId="0"/>
    <xf numFmtId="42" fontId="218" fillId="0" borderId="0" applyFont="0" applyFill="0" applyBorder="0" applyAlignment="0" applyProtection="0"/>
    <xf numFmtId="0" fontId="219" fillId="0" borderId="0"/>
    <xf numFmtId="40" fontId="161" fillId="0" borderId="0" applyBorder="0">
      <alignment horizontal="right"/>
    </xf>
    <xf numFmtId="49" fontId="195" fillId="0" borderId="0" applyFill="0" applyBorder="0" applyAlignment="0"/>
    <xf numFmtId="190" fontId="166" fillId="0" borderId="0" applyFill="0" applyBorder="0" applyAlignment="0"/>
    <xf numFmtId="191" fontId="166" fillId="0" borderId="0" applyFill="0" applyBorder="0" applyAlignment="0"/>
    <xf numFmtId="0" fontId="220" fillId="0" borderId="0" applyNumberFormat="0" applyFill="0" applyBorder="0" applyAlignment="0" applyProtection="0"/>
    <xf numFmtId="0" fontId="220" fillId="0" borderId="0" applyNumberFormat="0" applyFill="0" applyBorder="0" applyAlignment="0" applyProtection="0"/>
    <xf numFmtId="0" fontId="220" fillId="0" borderId="0" applyNumberFormat="0" applyFill="0" applyBorder="0" applyAlignment="0" applyProtection="0"/>
    <xf numFmtId="0" fontId="221" fillId="0" borderId="112" applyNumberFormat="0" applyFill="0" applyAlignment="0" applyProtection="0"/>
    <xf numFmtId="0" fontId="221" fillId="0" borderId="112" applyNumberFormat="0" applyFill="0" applyAlignment="0" applyProtection="0"/>
    <xf numFmtId="0" fontId="221" fillId="0" borderId="112" applyNumberFormat="0" applyFill="0" applyAlignment="0" applyProtection="0"/>
    <xf numFmtId="0" fontId="222" fillId="0" borderId="0" applyNumberFormat="0" applyFill="0" applyBorder="0" applyAlignment="0" applyProtection="0"/>
    <xf numFmtId="0" fontId="222" fillId="0" borderId="0" applyNumberFormat="0" applyFill="0" applyBorder="0" applyAlignment="0" applyProtection="0"/>
    <xf numFmtId="0" fontId="222" fillId="0" borderId="0" applyNumberFormat="0" applyFill="0" applyBorder="0" applyAlignment="0" applyProtection="0"/>
    <xf numFmtId="0" fontId="223" fillId="0" borderId="0">
      <alignment vertical="top"/>
    </xf>
    <xf numFmtId="192" fontId="223" fillId="0" borderId="0" applyFont="0" applyFill="0" applyBorder="0" applyAlignment="0" applyProtection="0"/>
    <xf numFmtId="193" fontId="223" fillId="0" borderId="0" applyFont="0" applyFill="0" applyBorder="0" applyAlignment="0" applyProtection="0">
      <alignment vertical="top"/>
    </xf>
    <xf numFmtId="194" fontId="223" fillId="0" borderId="0" applyFont="0" applyFill="0" applyBorder="0" applyAlignment="0" applyProtection="0"/>
    <xf numFmtId="0" fontId="150" fillId="0" borderId="0" applyNumberFormat="0" applyFill="0" applyBorder="0" applyAlignment="0" applyProtection="0">
      <alignment vertical="top"/>
      <protection locked="0"/>
    </xf>
    <xf numFmtId="0" fontId="162" fillId="0" borderId="0" applyNumberFormat="0" applyFill="0" applyBorder="0" applyAlignment="0" applyProtection="0">
      <alignment vertical="top"/>
      <protection locked="0"/>
    </xf>
    <xf numFmtId="9" fontId="224" fillId="0" borderId="0" applyFont="0" applyFill="0" applyBorder="0" applyAlignment="0" applyProtection="0"/>
    <xf numFmtId="0" fontId="225" fillId="0" borderId="0" applyFont="0" applyFill="0" applyBorder="0" applyAlignment="0" applyProtection="0"/>
    <xf numFmtId="0" fontId="225" fillId="0" borderId="0" applyFont="0" applyFill="0" applyBorder="0" applyAlignment="0" applyProtection="0"/>
    <xf numFmtId="0" fontId="225" fillId="0" borderId="0" applyFont="0" applyFill="0" applyBorder="0" applyAlignment="0" applyProtection="0"/>
    <xf numFmtId="0" fontId="225" fillId="0" borderId="0" applyFont="0" applyFill="0" applyBorder="0" applyAlignment="0" applyProtection="0"/>
    <xf numFmtId="0" fontId="224" fillId="0" borderId="0"/>
    <xf numFmtId="0" fontId="226" fillId="0" borderId="0"/>
    <xf numFmtId="195" fontId="227" fillId="57" borderId="119"/>
    <xf numFmtId="1" fontId="228" fillId="0" borderId="0"/>
    <xf numFmtId="0" fontId="149" fillId="0" borderId="0"/>
    <xf numFmtId="0" fontId="84" fillId="0" borderId="0"/>
    <xf numFmtId="49" fontId="229" fillId="0" borderId="25">
      <alignment vertical="top"/>
    </xf>
    <xf numFmtId="49" fontId="230" fillId="0" borderId="0">
      <alignment horizontal="left" vertical="center"/>
    </xf>
    <xf numFmtId="196" fontId="231" fillId="0" borderId="0" applyFont="0" applyFill="0" applyBorder="0" applyAlignment="0" applyProtection="0"/>
    <xf numFmtId="197" fontId="231" fillId="0" borderId="0" applyFont="0" applyFill="0" applyBorder="0" applyAlignment="0" applyProtection="0"/>
    <xf numFmtId="0" fontId="151" fillId="0" borderId="0" applyNumberFormat="0" applyFill="0" applyBorder="0" applyAlignment="0" applyProtection="0">
      <alignment vertical="top"/>
      <protection locked="0"/>
    </xf>
    <xf numFmtId="0" fontId="232" fillId="0" borderId="0" applyFill="0" applyBorder="0" applyProtection="0"/>
    <xf numFmtId="0" fontId="233" fillId="0" borderId="120" applyBorder="0">
      <alignment horizontal="distributed" vertical="center"/>
    </xf>
    <xf numFmtId="0" fontId="31" fillId="0" borderId="0"/>
    <xf numFmtId="0" fontId="4" fillId="0" borderId="0"/>
    <xf numFmtId="0" fontId="31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9" fontId="3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31" fillId="0" borderId="0" applyFont="0" applyFill="0" applyBorder="0" applyAlignment="0" applyProtection="0"/>
    <xf numFmtId="0" fontId="31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31" fillId="0" borderId="0"/>
    <xf numFmtId="0" fontId="4" fillId="0" borderId="0"/>
    <xf numFmtId="43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234" fillId="0" borderId="0"/>
    <xf numFmtId="38" fontId="234" fillId="0" borderId="0" applyFont="0" applyFill="0" applyBorder="0" applyAlignment="0" applyProtection="0">
      <alignment vertical="center"/>
    </xf>
    <xf numFmtId="9" fontId="234" fillId="0" borderId="0" applyFont="0" applyFill="0" applyBorder="0" applyAlignment="0" applyProtection="0">
      <alignment vertical="center"/>
    </xf>
    <xf numFmtId="9" fontId="234" fillId="0" borderId="0" applyFont="0" applyFill="0" applyBorder="0" applyAlignment="0" applyProtection="0">
      <alignment vertical="center"/>
    </xf>
    <xf numFmtId="0" fontId="5" fillId="0" borderId="0"/>
    <xf numFmtId="43" fontId="4" fillId="0" borderId="0" applyFont="0" applyFill="0" applyBorder="0" applyAlignment="0" applyProtection="0"/>
    <xf numFmtId="0" fontId="4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31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4" fillId="0" borderId="0"/>
    <xf numFmtId="0" fontId="4" fillId="0" borderId="0"/>
    <xf numFmtId="9" fontId="3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0" fontId="3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1524">
    <xf numFmtId="0" fontId="0" fillId="0" borderId="0" xfId="0"/>
    <xf numFmtId="0" fontId="6" fillId="0" borderId="0" xfId="2" applyFont="1"/>
    <xf numFmtId="0" fontId="7" fillId="0" borderId="0" xfId="2" applyFont="1"/>
    <xf numFmtId="0" fontId="8" fillId="0" borderId="0" xfId="2" applyFont="1"/>
    <xf numFmtId="0" fontId="6" fillId="0" borderId="0" xfId="2" applyFont="1" applyAlignment="1">
      <alignment horizontal="center"/>
    </xf>
    <xf numFmtId="0" fontId="10" fillId="0" borderId="0" xfId="2" applyFont="1" applyAlignment="1">
      <alignment vertical="center"/>
    </xf>
    <xf numFmtId="0" fontId="11" fillId="0" borderId="0" xfId="2" applyFont="1" applyAlignment="1">
      <alignment horizontal="left" vertical="center"/>
    </xf>
    <xf numFmtId="0" fontId="1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13" fillId="0" borderId="0" xfId="2" applyFont="1" applyAlignment="1">
      <alignment horizontal="center"/>
    </xf>
    <xf numFmtId="0" fontId="14" fillId="0" borderId="0" xfId="2" applyFont="1" applyAlignment="1">
      <alignment horizontal="center"/>
    </xf>
    <xf numFmtId="0" fontId="15" fillId="0" borderId="2" xfId="2" applyFont="1" applyBorder="1" applyAlignment="1">
      <alignment horizontal="center" vertical="center"/>
    </xf>
    <xf numFmtId="164" fontId="16" fillId="3" borderId="3" xfId="3" applyNumberFormat="1" applyFont="1" applyFill="1" applyBorder="1" applyAlignment="1">
      <alignment horizontal="center" vertical="center" shrinkToFit="1"/>
    </xf>
    <xf numFmtId="165" fontId="17" fillId="4" borderId="4" xfId="3" quotePrefix="1" applyNumberFormat="1" applyFont="1" applyFill="1" applyBorder="1" applyAlignment="1">
      <alignment horizontal="center" vertical="center" shrinkToFit="1"/>
    </xf>
    <xf numFmtId="165" fontId="18" fillId="4" borderId="5" xfId="3" quotePrefix="1" applyNumberFormat="1" applyFont="1" applyFill="1" applyBorder="1" applyAlignment="1">
      <alignment horizontal="center" vertical="center" shrinkToFit="1"/>
    </xf>
    <xf numFmtId="0" fontId="19" fillId="4" borderId="6" xfId="2" applyFont="1" applyFill="1" applyBorder="1" applyAlignment="1">
      <alignment horizontal="center" vertical="center"/>
    </xf>
    <xf numFmtId="0" fontId="21" fillId="6" borderId="2" xfId="2" applyFont="1" applyFill="1" applyBorder="1" applyAlignment="1">
      <alignment horizontal="center" vertical="center"/>
    </xf>
    <xf numFmtId="0" fontId="15" fillId="0" borderId="7" xfId="2" applyFont="1" applyBorder="1" applyAlignment="1">
      <alignment horizontal="center" vertical="center"/>
    </xf>
    <xf numFmtId="0" fontId="22" fillId="0" borderId="7" xfId="2" applyFont="1" applyBorder="1" applyAlignment="1">
      <alignment horizontal="center" vertical="center"/>
    </xf>
    <xf numFmtId="164" fontId="16" fillId="3" borderId="8" xfId="3" applyNumberFormat="1" applyFont="1" applyFill="1" applyBorder="1" applyAlignment="1">
      <alignment horizontal="center" vertical="center" shrinkToFit="1"/>
    </xf>
    <xf numFmtId="0" fontId="21" fillId="4" borderId="11" xfId="2" applyFont="1" applyFill="1" applyBorder="1" applyAlignment="1">
      <alignment horizontal="center" vertical="center"/>
    </xf>
    <xf numFmtId="0" fontId="20" fillId="5" borderId="12" xfId="2" applyFont="1" applyFill="1" applyBorder="1" applyAlignment="1">
      <alignment horizontal="center" vertical="center"/>
    </xf>
    <xf numFmtId="0" fontId="21" fillId="6" borderId="7" xfId="2" applyFont="1" applyFill="1" applyBorder="1" applyAlignment="1">
      <alignment horizontal="center" vertical="center"/>
    </xf>
    <xf numFmtId="0" fontId="23" fillId="0" borderId="0" xfId="2" applyFont="1"/>
    <xf numFmtId="0" fontId="24" fillId="0" borderId="0" xfId="2" applyFont="1"/>
    <xf numFmtId="0" fontId="25" fillId="0" borderId="13" xfId="2" applyFont="1" applyBorder="1" applyAlignment="1">
      <alignment horizontal="center" vertical="center" shrinkToFit="1"/>
    </xf>
    <xf numFmtId="0" fontId="26" fillId="0" borderId="13" xfId="2" applyFont="1" applyBorder="1" applyAlignment="1">
      <alignment horizontal="center" vertical="center"/>
    </xf>
    <xf numFmtId="0" fontId="27" fillId="0" borderId="14" xfId="2" applyFont="1" applyBorder="1" applyAlignment="1">
      <alignment horizontal="center" vertical="center"/>
    </xf>
    <xf numFmtId="164" fontId="20" fillId="9" borderId="15" xfId="3" applyNumberFormat="1" applyFont="1" applyFill="1" applyBorder="1" applyAlignment="1">
      <alignment horizontal="left" vertical="center" shrinkToFit="1"/>
    </xf>
    <xf numFmtId="3" fontId="28" fillId="4" borderId="17" xfId="2" applyNumberFormat="1" applyFont="1" applyFill="1" applyBorder="1"/>
    <xf numFmtId="167" fontId="28" fillId="5" borderId="18" xfId="4" applyNumberFormat="1" applyFont="1" applyFill="1" applyBorder="1"/>
    <xf numFmtId="168" fontId="20" fillId="6" borderId="13" xfId="2" applyNumberFormat="1" applyFont="1" applyFill="1" applyBorder="1" applyAlignment="1">
      <alignment horizontal="center" vertical="center"/>
    </xf>
    <xf numFmtId="0" fontId="19" fillId="0" borderId="0" xfId="2" applyFont="1" applyAlignment="1">
      <alignment horizontal="left" vertical="center"/>
    </xf>
    <xf numFmtId="0" fontId="19" fillId="0" borderId="0" xfId="2" applyFont="1" applyAlignment="1">
      <alignment horizontal="right" vertical="center"/>
    </xf>
    <xf numFmtId="3" fontId="19" fillId="0" borderId="0" xfId="2" applyNumberFormat="1" applyFont="1" applyAlignment="1">
      <alignment horizontal="right" vertical="center"/>
    </xf>
    <xf numFmtId="0" fontId="26" fillId="0" borderId="13" xfId="2" applyFont="1" applyBorder="1" applyAlignment="1">
      <alignment horizontal="center" vertical="center" shrinkToFit="1"/>
    </xf>
    <xf numFmtId="0" fontId="29" fillId="0" borderId="0" xfId="2" applyFont="1" applyAlignment="1">
      <alignment horizontal="center"/>
    </xf>
    <xf numFmtId="164" fontId="20" fillId="9" borderId="19" xfId="3" applyNumberFormat="1" applyFont="1" applyFill="1" applyBorder="1" applyAlignment="1">
      <alignment horizontal="left" vertical="center" shrinkToFit="1"/>
    </xf>
    <xf numFmtId="3" fontId="28" fillId="4" borderId="22" xfId="2" applyNumberFormat="1" applyFont="1" applyFill="1" applyBorder="1"/>
    <xf numFmtId="168" fontId="19" fillId="0" borderId="0" xfId="2" applyNumberFormat="1" applyFont="1" applyAlignment="1">
      <alignment horizontal="left" vertical="center"/>
    </xf>
    <xf numFmtId="169" fontId="19" fillId="0" borderId="0" xfId="1" applyNumberFormat="1" applyFont="1" applyAlignment="1">
      <alignment horizontal="center" vertical="center"/>
    </xf>
    <xf numFmtId="169" fontId="19" fillId="0" borderId="0" xfId="1" applyNumberFormat="1" applyFont="1" applyAlignment="1">
      <alignment horizontal="right" vertical="center"/>
    </xf>
    <xf numFmtId="0" fontId="27" fillId="0" borderId="13" xfId="2" applyFont="1" applyBorder="1" applyAlignment="1">
      <alignment horizontal="center" vertical="center"/>
    </xf>
    <xf numFmtId="164" fontId="32" fillId="0" borderId="23" xfId="3" applyNumberFormat="1" applyFont="1" applyFill="1" applyBorder="1" applyAlignment="1">
      <alignment horizontal="left" vertical="center" shrinkToFit="1"/>
    </xf>
    <xf numFmtId="3" fontId="33" fillId="8" borderId="25" xfId="2" applyNumberFormat="1" applyFont="1" applyFill="1" applyBorder="1" applyAlignment="1">
      <alignment vertical="center"/>
    </xf>
    <xf numFmtId="3" fontId="34" fillId="4" borderId="22" xfId="2" applyNumberFormat="1" applyFont="1" applyFill="1" applyBorder="1"/>
    <xf numFmtId="167" fontId="34" fillId="5" borderId="27" xfId="2" applyNumberFormat="1" applyFont="1" applyFill="1" applyBorder="1"/>
    <xf numFmtId="168" fontId="26" fillId="0" borderId="0" xfId="2" applyNumberFormat="1" applyFont="1" applyAlignment="1">
      <alignment horizontal="left" vertical="center"/>
    </xf>
    <xf numFmtId="169" fontId="26" fillId="0" borderId="0" xfId="1" applyNumberFormat="1" applyFont="1" applyAlignment="1">
      <alignment horizontal="center" vertical="center"/>
    </xf>
    <xf numFmtId="169" fontId="26" fillId="0" borderId="0" xfId="1" applyNumberFormat="1" applyFont="1" applyAlignment="1">
      <alignment horizontal="right" vertical="center"/>
    </xf>
    <xf numFmtId="3" fontId="26" fillId="0" borderId="0" xfId="2" applyNumberFormat="1" applyFont="1" applyAlignment="1">
      <alignment horizontal="right" vertical="center"/>
    </xf>
    <xf numFmtId="0" fontId="35" fillId="0" borderId="13" xfId="2" applyFont="1" applyBorder="1" applyAlignment="1">
      <alignment horizontal="center" vertical="center" shrinkToFit="1"/>
    </xf>
    <xf numFmtId="0" fontId="20" fillId="0" borderId="0" xfId="2" applyFont="1" applyAlignment="1">
      <alignment horizontal="center" vertical="center" shrinkToFit="1"/>
    </xf>
    <xf numFmtId="164" fontId="36" fillId="0" borderId="23" xfId="3" applyNumberFormat="1" applyFont="1" applyFill="1" applyBorder="1" applyAlignment="1">
      <alignment horizontal="left" vertical="center" shrinkToFit="1"/>
    </xf>
    <xf numFmtId="3" fontId="38" fillId="4" borderId="17" xfId="2" applyNumberFormat="1" applyFont="1" applyFill="1" applyBorder="1"/>
    <xf numFmtId="167" fontId="38" fillId="5" borderId="27" xfId="2" applyNumberFormat="1" applyFont="1" applyFill="1" applyBorder="1"/>
    <xf numFmtId="169" fontId="39" fillId="0" borderId="0" xfId="1" applyNumberFormat="1" applyFont="1" applyAlignment="1">
      <alignment horizontal="center" vertical="center"/>
    </xf>
    <xf numFmtId="3" fontId="39" fillId="0" borderId="0" xfId="2" applyNumberFormat="1" applyFont="1" applyAlignment="1">
      <alignment horizontal="right" vertical="center"/>
    </xf>
    <xf numFmtId="0" fontId="40" fillId="0" borderId="13" xfId="2" applyFont="1" applyBorder="1" applyAlignment="1">
      <alignment horizontal="center" vertical="center" shrinkToFit="1"/>
    </xf>
    <xf numFmtId="0" fontId="34" fillId="0" borderId="13" xfId="2" applyFont="1" applyBorder="1" applyAlignment="1">
      <alignment horizontal="center" vertical="center"/>
    </xf>
    <xf numFmtId="3" fontId="41" fillId="0" borderId="13" xfId="2" applyNumberFormat="1" applyFont="1" applyBorder="1" applyAlignment="1">
      <alignment horizontal="center" vertical="center"/>
    </xf>
    <xf numFmtId="164" fontId="42" fillId="0" borderId="23" xfId="3" applyNumberFormat="1" applyFont="1" applyFill="1" applyBorder="1" applyAlignment="1">
      <alignment horizontal="left" vertical="center" shrinkToFit="1"/>
    </xf>
    <xf numFmtId="3" fontId="44" fillId="4" borderId="22" xfId="2" applyNumberFormat="1" applyFont="1" applyFill="1" applyBorder="1"/>
    <xf numFmtId="167" fontId="44" fillId="5" borderId="27" xfId="4" applyNumberFormat="1" applyFont="1" applyFill="1" applyBorder="1"/>
    <xf numFmtId="2" fontId="45" fillId="6" borderId="13" xfId="2" applyNumberFormat="1" applyFont="1" applyFill="1" applyBorder="1" applyAlignment="1">
      <alignment horizontal="center" vertical="center"/>
    </xf>
    <xf numFmtId="0" fontId="46" fillId="0" borderId="13" xfId="2" applyFont="1" applyBorder="1" applyAlignment="1">
      <alignment horizontal="center" vertical="center"/>
    </xf>
    <xf numFmtId="3" fontId="47" fillId="0" borderId="13" xfId="2" applyNumberFormat="1" applyFont="1" applyBorder="1" applyAlignment="1">
      <alignment horizontal="center" vertical="center"/>
    </xf>
    <xf numFmtId="164" fontId="48" fillId="0" borderId="23" xfId="3" applyNumberFormat="1" applyFont="1" applyFill="1" applyBorder="1" applyAlignment="1">
      <alignment horizontal="left" vertical="center" shrinkToFit="1"/>
    </xf>
    <xf numFmtId="3" fontId="50" fillId="4" borderId="22" xfId="2" applyNumberFormat="1" applyFont="1" applyFill="1" applyBorder="1"/>
    <xf numFmtId="167" fontId="50" fillId="5" borderId="27" xfId="4" applyNumberFormat="1" applyFont="1" applyFill="1" applyBorder="1"/>
    <xf numFmtId="169" fontId="39" fillId="0" borderId="0" xfId="1" applyNumberFormat="1" applyFont="1" applyAlignment="1">
      <alignment horizontal="right" vertical="center"/>
    </xf>
    <xf numFmtId="0" fontId="51" fillId="0" borderId="13" xfId="5" applyFont="1" applyBorder="1" applyAlignment="1">
      <alignment horizontal="center" vertical="center" shrinkToFit="1"/>
    </xf>
    <xf numFmtId="0" fontId="20" fillId="0" borderId="14" xfId="2" applyFont="1" applyBorder="1" applyAlignment="1">
      <alignment horizontal="center" vertical="center"/>
    </xf>
    <xf numFmtId="164" fontId="52" fillId="0" borderId="23" xfId="3" applyNumberFormat="1" applyFont="1" applyFill="1" applyBorder="1" applyAlignment="1">
      <alignment horizontal="left" vertical="center" shrinkToFit="1"/>
    </xf>
    <xf numFmtId="3" fontId="54" fillId="4" borderId="22" xfId="2" applyNumberFormat="1" applyFont="1" applyFill="1" applyBorder="1"/>
    <xf numFmtId="167" fontId="54" fillId="5" borderId="27" xfId="4" applyNumberFormat="1" applyFont="1" applyFill="1" applyBorder="1"/>
    <xf numFmtId="0" fontId="23" fillId="6" borderId="13" xfId="2" applyFont="1" applyFill="1" applyBorder="1"/>
    <xf numFmtId="3" fontId="55" fillId="0" borderId="14" xfId="2" applyNumberFormat="1" applyFont="1" applyBorder="1" applyAlignment="1">
      <alignment horizontal="center" vertical="center"/>
    </xf>
    <xf numFmtId="164" fontId="56" fillId="0" borderId="23" xfId="3" applyNumberFormat="1" applyFont="1" applyFill="1" applyBorder="1" applyAlignment="1">
      <alignment horizontal="left" vertical="center" shrinkToFit="1"/>
    </xf>
    <xf numFmtId="3" fontId="38" fillId="4" borderId="22" xfId="2" applyNumberFormat="1" applyFont="1" applyFill="1" applyBorder="1"/>
    <xf numFmtId="0" fontId="21" fillId="0" borderId="0" xfId="2" applyFont="1" applyAlignment="1">
      <alignment horizontal="center" vertical="center"/>
    </xf>
    <xf numFmtId="164" fontId="56" fillId="0" borderId="29" xfId="3" applyNumberFormat="1" applyFont="1" applyFill="1" applyBorder="1" applyAlignment="1">
      <alignment horizontal="left" vertical="center" shrinkToFit="1"/>
    </xf>
    <xf numFmtId="3" fontId="58" fillId="4" borderId="30" xfId="2" applyNumberFormat="1" applyFont="1" applyFill="1" applyBorder="1" applyAlignment="1">
      <alignment horizontal="right" vertical="center"/>
    </xf>
    <xf numFmtId="167" fontId="44" fillId="5" borderId="31" xfId="4" applyNumberFormat="1" applyFont="1" applyFill="1" applyBorder="1"/>
    <xf numFmtId="3" fontId="59" fillId="0" borderId="13" xfId="2" applyNumberFormat="1" applyFont="1" applyBorder="1" applyAlignment="1">
      <alignment horizontal="center" vertical="center"/>
    </xf>
    <xf numFmtId="164" fontId="56" fillId="10" borderId="29" xfId="3" applyNumberFormat="1" applyFont="1" applyFill="1" applyBorder="1" applyAlignment="1">
      <alignment horizontal="left" vertical="center" shrinkToFit="1"/>
    </xf>
    <xf numFmtId="3" fontId="38" fillId="4" borderId="30" xfId="2" applyNumberFormat="1" applyFont="1" applyFill="1" applyBorder="1"/>
    <xf numFmtId="0" fontId="26" fillId="0" borderId="13" xfId="0" applyFont="1" applyBorder="1" applyAlignment="1">
      <alignment horizontal="center"/>
    </xf>
    <xf numFmtId="164" fontId="20" fillId="0" borderId="29" xfId="3" applyNumberFormat="1" applyFont="1" applyFill="1" applyBorder="1" applyAlignment="1">
      <alignment horizontal="left" vertical="center" shrinkToFit="1"/>
    </xf>
    <xf numFmtId="0" fontId="21" fillId="0" borderId="13" xfId="2" applyFont="1" applyBorder="1" applyAlignment="1">
      <alignment horizontal="center" vertical="center"/>
    </xf>
    <xf numFmtId="164" fontId="56" fillId="4" borderId="23" xfId="3" applyNumberFormat="1" applyFont="1" applyFill="1" applyBorder="1" applyAlignment="1">
      <alignment horizontal="left" vertical="center" shrinkToFit="1"/>
    </xf>
    <xf numFmtId="0" fontId="23" fillId="6" borderId="14" xfId="2" applyFont="1" applyFill="1" applyBorder="1"/>
    <xf numFmtId="0" fontId="25" fillId="0" borderId="7" xfId="2" applyFont="1" applyBorder="1" applyAlignment="1">
      <alignment horizontal="center" vertical="center" shrinkToFit="1"/>
    </xf>
    <xf numFmtId="0" fontId="21" fillId="0" borderId="7" xfId="2" applyFont="1" applyBorder="1" applyAlignment="1">
      <alignment horizontal="center" vertical="center"/>
    </xf>
    <xf numFmtId="3" fontId="59" fillId="0" borderId="1" xfId="2" applyNumberFormat="1" applyFont="1" applyBorder="1" applyAlignment="1">
      <alignment horizontal="center" vertical="center"/>
    </xf>
    <xf numFmtId="164" fontId="60" fillId="0" borderId="34" xfId="3" applyNumberFormat="1" applyFont="1" applyFill="1" applyBorder="1" applyAlignment="1">
      <alignment horizontal="left" vertical="center" shrinkToFit="1"/>
    </xf>
    <xf numFmtId="3" fontId="38" fillId="4" borderId="38" xfId="2" applyNumberFormat="1" applyFont="1" applyFill="1" applyBorder="1"/>
    <xf numFmtId="167" fontId="44" fillId="5" borderId="39" xfId="4" applyNumberFormat="1" applyFont="1" applyFill="1" applyBorder="1"/>
    <xf numFmtId="168" fontId="20" fillId="6" borderId="7" xfId="2" applyNumberFormat="1" applyFont="1" applyFill="1" applyBorder="1" applyAlignment="1">
      <alignment horizontal="center" vertical="center"/>
    </xf>
    <xf numFmtId="0" fontId="61" fillId="0" borderId="2" xfId="2" applyFont="1" applyBorder="1" applyAlignment="1">
      <alignment vertical="center" shrinkToFit="1"/>
    </xf>
    <xf numFmtId="3" fontId="28" fillId="4" borderId="41" xfId="2" applyNumberFormat="1" applyFont="1" applyFill="1" applyBorder="1"/>
    <xf numFmtId="167" fontId="28" fillId="5" borderId="42" xfId="4" applyNumberFormat="1" applyFont="1" applyFill="1" applyBorder="1"/>
    <xf numFmtId="168" fontId="20" fillId="6" borderId="2" xfId="2" applyNumberFormat="1" applyFont="1" applyFill="1" applyBorder="1" applyAlignment="1">
      <alignment horizontal="center" vertical="center"/>
    </xf>
    <xf numFmtId="0" fontId="61" fillId="0" borderId="13" xfId="2" applyFont="1" applyBorder="1" applyAlignment="1">
      <alignment horizontal="center" vertical="center" shrinkToFit="1"/>
    </xf>
    <xf numFmtId="3" fontId="58" fillId="4" borderId="30" xfId="2" applyNumberFormat="1" applyFont="1" applyFill="1" applyBorder="1" applyAlignment="1">
      <alignment vertical="center"/>
    </xf>
    <xf numFmtId="0" fontId="34" fillId="0" borderId="13" xfId="0" applyFont="1" applyBorder="1" applyAlignment="1">
      <alignment horizontal="center"/>
    </xf>
    <xf numFmtId="0" fontId="61" fillId="0" borderId="7" xfId="2" applyFont="1" applyBorder="1" applyAlignment="1">
      <alignment horizontal="center" vertical="center" shrinkToFit="1"/>
    </xf>
    <xf numFmtId="168" fontId="19" fillId="0" borderId="0" xfId="2" applyNumberFormat="1" applyFont="1" applyAlignment="1">
      <alignment horizontal="left"/>
    </xf>
    <xf numFmtId="168" fontId="26" fillId="0" borderId="0" xfId="2" applyNumberFormat="1" applyFont="1" applyAlignment="1">
      <alignment horizontal="left"/>
    </xf>
    <xf numFmtId="169" fontId="39" fillId="0" borderId="0" xfId="1" applyNumberFormat="1" applyFont="1" applyAlignment="1">
      <alignment horizontal="center"/>
    </xf>
    <xf numFmtId="169" fontId="39" fillId="0" borderId="0" xfId="1" applyNumberFormat="1" applyFont="1" applyAlignment="1">
      <alignment horizontal="right"/>
    </xf>
    <xf numFmtId="169" fontId="26" fillId="0" borderId="0" xfId="1" applyNumberFormat="1" applyFont="1" applyAlignment="1">
      <alignment horizontal="center"/>
    </xf>
    <xf numFmtId="0" fontId="51" fillId="0" borderId="44" xfId="5" applyFont="1" applyBorder="1" applyAlignment="1">
      <alignment horizontal="center" vertical="center" shrinkToFit="1"/>
    </xf>
    <xf numFmtId="0" fontId="51" fillId="0" borderId="0" xfId="5" applyFont="1" applyAlignment="1">
      <alignment horizontal="center" vertical="center" shrinkToFit="1"/>
    </xf>
    <xf numFmtId="0" fontId="51" fillId="0" borderId="14" xfId="5" applyFont="1" applyBorder="1" applyAlignment="1">
      <alignment horizontal="center" vertical="center" shrinkToFit="1"/>
    </xf>
    <xf numFmtId="164" fontId="28" fillId="0" borderId="45" xfId="3" applyNumberFormat="1" applyFont="1" applyFill="1" applyBorder="1" applyAlignment="1">
      <alignment horizontal="left" vertical="center" shrinkToFit="1"/>
    </xf>
    <xf numFmtId="3" fontId="19" fillId="7" borderId="40" xfId="3" applyNumberFormat="1" applyFont="1" applyFill="1" applyBorder="1" applyAlignment="1">
      <alignment horizontal="center" vertical="center" shrinkToFit="1"/>
    </xf>
    <xf numFmtId="3" fontId="19" fillId="4" borderId="41" xfId="3" applyNumberFormat="1" applyFont="1" applyFill="1" applyBorder="1" applyAlignment="1">
      <alignment horizontal="center" vertical="center" shrinkToFit="1"/>
    </xf>
    <xf numFmtId="3" fontId="19" fillId="5" borderId="42" xfId="3" applyNumberFormat="1" applyFont="1" applyFill="1" applyBorder="1" applyAlignment="1">
      <alignment horizontal="center" vertical="center" shrinkToFit="1"/>
    </xf>
    <xf numFmtId="0" fontId="23" fillId="6" borderId="3" xfId="2" applyFont="1" applyFill="1" applyBorder="1"/>
    <xf numFmtId="164" fontId="58" fillId="0" borderId="47" xfId="3" applyNumberFormat="1" applyFont="1" applyFill="1" applyBorder="1" applyAlignment="1">
      <alignment horizontal="left" vertical="center" shrinkToFit="1"/>
    </xf>
    <xf numFmtId="3" fontId="26" fillId="7" borderId="16" xfId="3" applyNumberFormat="1" applyFont="1" applyFill="1" applyBorder="1" applyAlignment="1">
      <alignment horizontal="center" vertical="center" shrinkToFit="1"/>
    </xf>
    <xf numFmtId="3" fontId="26" fillId="4" borderId="17" xfId="3" applyNumberFormat="1" applyFont="1" applyFill="1" applyBorder="1" applyAlignment="1">
      <alignment horizontal="center" vertical="center" shrinkToFit="1"/>
    </xf>
    <xf numFmtId="3" fontId="26" fillId="5" borderId="18" xfId="3" applyNumberFormat="1" applyFont="1" applyFill="1" applyBorder="1" applyAlignment="1">
      <alignment horizontal="center" vertical="center" shrinkToFit="1"/>
    </xf>
    <xf numFmtId="3" fontId="23" fillId="6" borderId="14" xfId="2" applyNumberFormat="1" applyFont="1" applyFill="1" applyBorder="1"/>
    <xf numFmtId="0" fontId="65" fillId="0" borderId="0" xfId="5" applyFont="1" applyAlignment="1">
      <alignment horizontal="center" vertical="center" shrinkToFit="1"/>
    </xf>
    <xf numFmtId="164" fontId="44" fillId="0" borderId="47" xfId="3" applyNumberFormat="1" applyFont="1" applyFill="1" applyBorder="1" applyAlignment="1">
      <alignment horizontal="left" vertical="center" shrinkToFit="1"/>
    </xf>
    <xf numFmtId="3" fontId="39" fillId="7" borderId="16" xfId="3" applyNumberFormat="1" applyFont="1" applyFill="1" applyBorder="1" applyAlignment="1">
      <alignment horizontal="center" vertical="center" shrinkToFit="1"/>
    </xf>
    <xf numFmtId="3" fontId="39" fillId="4" borderId="17" xfId="3" applyNumberFormat="1" applyFont="1" applyFill="1" applyBorder="1" applyAlignment="1">
      <alignment horizontal="center" vertical="center" shrinkToFit="1"/>
    </xf>
    <xf numFmtId="3" fontId="39" fillId="5" borderId="18" xfId="3" applyNumberFormat="1" applyFont="1" applyFill="1" applyBorder="1" applyAlignment="1">
      <alignment horizontal="center" vertical="center" shrinkToFit="1"/>
    </xf>
    <xf numFmtId="164" fontId="55" fillId="0" borderId="47" xfId="3" applyNumberFormat="1" applyFont="1" applyFill="1" applyBorder="1" applyAlignment="1">
      <alignment horizontal="left" vertical="center" shrinkToFit="1"/>
    </xf>
    <xf numFmtId="3" fontId="66" fillId="7" borderId="16" xfId="3" applyNumberFormat="1" applyFont="1" applyFill="1" applyBorder="1" applyAlignment="1">
      <alignment horizontal="center" vertical="center" shrinkToFit="1"/>
    </xf>
    <xf numFmtId="3" fontId="66" fillId="4" borderId="17" xfId="3" applyNumberFormat="1" applyFont="1" applyFill="1" applyBorder="1" applyAlignment="1">
      <alignment horizontal="center" vertical="center" shrinkToFit="1"/>
    </xf>
    <xf numFmtId="3" fontId="66" fillId="5" borderId="18" xfId="3" applyNumberFormat="1" applyFont="1" applyFill="1" applyBorder="1" applyAlignment="1">
      <alignment horizontal="center" vertical="center" shrinkToFit="1"/>
    </xf>
    <xf numFmtId="164" fontId="54" fillId="0" borderId="47" xfId="3" applyNumberFormat="1" applyFont="1" applyFill="1" applyBorder="1" applyAlignment="1">
      <alignment horizontal="left" vertical="center" shrinkToFit="1"/>
    </xf>
    <xf numFmtId="3" fontId="67" fillId="7" borderId="16" xfId="3" applyNumberFormat="1" applyFont="1" applyFill="1" applyBorder="1" applyAlignment="1">
      <alignment horizontal="center" vertical="center" shrinkToFit="1"/>
    </xf>
    <xf numFmtId="3" fontId="67" fillId="4" borderId="17" xfId="3" applyNumberFormat="1" applyFont="1" applyFill="1" applyBorder="1" applyAlignment="1">
      <alignment horizontal="center" vertical="center" shrinkToFit="1"/>
    </xf>
    <xf numFmtId="3" fontId="67" fillId="5" borderId="18" xfId="3" applyNumberFormat="1" applyFont="1" applyFill="1" applyBorder="1" applyAlignment="1">
      <alignment horizontal="center" vertical="center" shrinkToFit="1"/>
    </xf>
    <xf numFmtId="0" fontId="51" fillId="0" borderId="49" xfId="5" applyFont="1" applyBorder="1" applyAlignment="1">
      <alignment horizontal="center" vertical="center" shrinkToFit="1"/>
    </xf>
    <xf numFmtId="0" fontId="51" fillId="0" borderId="1" xfId="5" applyFont="1" applyBorder="1" applyAlignment="1">
      <alignment horizontal="center" vertical="center" shrinkToFit="1"/>
    </xf>
    <xf numFmtId="0" fontId="51" fillId="0" borderId="8" xfId="5" applyFont="1" applyBorder="1" applyAlignment="1">
      <alignment horizontal="center" vertical="center" shrinkToFit="1"/>
    </xf>
    <xf numFmtId="164" fontId="58" fillId="0" borderId="50" xfId="3" applyNumberFormat="1" applyFont="1" applyFill="1" applyBorder="1" applyAlignment="1">
      <alignment horizontal="left" vertical="center" wrapText="1" shrinkToFit="1"/>
    </xf>
    <xf numFmtId="10" fontId="39" fillId="7" borderId="52" xfId="3" applyNumberFormat="1" applyFont="1" applyFill="1" applyBorder="1" applyAlignment="1">
      <alignment horizontal="center" vertical="center" shrinkToFit="1"/>
    </xf>
    <xf numFmtId="10" fontId="68" fillId="4" borderId="11" xfId="3" applyNumberFormat="1" applyFont="1" applyFill="1" applyBorder="1" applyAlignment="1">
      <alignment horizontal="center" vertical="center" shrinkToFit="1"/>
    </xf>
    <xf numFmtId="10" fontId="68" fillId="5" borderId="8" xfId="3" applyNumberFormat="1" applyFont="1" applyFill="1" applyBorder="1" applyAlignment="1">
      <alignment horizontal="center" vertical="center" shrinkToFit="1"/>
    </xf>
    <xf numFmtId="0" fontId="23" fillId="6" borderId="8" xfId="2" applyFont="1" applyFill="1" applyBorder="1"/>
    <xf numFmtId="0" fontId="6" fillId="7" borderId="0" xfId="2" applyFont="1" applyFill="1"/>
    <xf numFmtId="3" fontId="6" fillId="0" borderId="0" xfId="2" applyNumberFormat="1" applyFont="1" applyAlignment="1">
      <alignment horizontal="right"/>
    </xf>
    <xf numFmtId="3" fontId="7" fillId="0" borderId="0" xfId="2" applyNumberFormat="1" applyFont="1"/>
    <xf numFmtId="3" fontId="8" fillId="0" borderId="0" xfId="2" applyNumberFormat="1" applyFont="1"/>
    <xf numFmtId="0" fontId="69" fillId="0" borderId="0" xfId="2" applyFont="1" applyAlignment="1">
      <alignment horizontal="left" vertical="center"/>
    </xf>
    <xf numFmtId="0" fontId="70" fillId="0" borderId="0" xfId="2" applyFont="1" applyAlignment="1">
      <alignment horizontal="left"/>
    </xf>
    <xf numFmtId="169" fontId="21" fillId="0" borderId="0" xfId="6" applyNumberFormat="1" applyFont="1" applyAlignment="1">
      <alignment horizontal="right"/>
    </xf>
    <xf numFmtId="169" fontId="19" fillId="0" borderId="0" xfId="6" applyNumberFormat="1" applyFont="1" applyAlignment="1">
      <alignment horizontal="right"/>
    </xf>
    <xf numFmtId="0" fontId="6" fillId="0" borderId="0" xfId="2" applyFont="1" applyAlignment="1">
      <alignment horizontal="right"/>
    </xf>
    <xf numFmtId="167" fontId="20" fillId="0" borderId="0" xfId="2" applyNumberFormat="1" applyFont="1"/>
    <xf numFmtId="0" fontId="72" fillId="0" borderId="0" xfId="2" applyFont="1" applyAlignment="1">
      <alignment horizontal="left" vertical="center"/>
    </xf>
    <xf numFmtId="169" fontId="28" fillId="0" borderId="0" xfId="6" applyNumberFormat="1" applyFont="1" applyAlignment="1">
      <alignment horizontal="right"/>
    </xf>
    <xf numFmtId="169" fontId="10" fillId="0" borderId="0" xfId="6" applyNumberFormat="1" applyFont="1" applyAlignment="1">
      <alignment horizontal="right"/>
    </xf>
    <xf numFmtId="0" fontId="73" fillId="0" borderId="0" xfId="2" applyFont="1"/>
    <xf numFmtId="0" fontId="74" fillId="0" borderId="0" xfId="2" applyFont="1"/>
    <xf numFmtId="0" fontId="20" fillId="0" borderId="0" xfId="2" applyFont="1" applyAlignment="1">
      <alignment horizontal="left"/>
    </xf>
    <xf numFmtId="0" fontId="23" fillId="0" borderId="0" xfId="2" applyFont="1" applyAlignment="1">
      <alignment horizontal="left"/>
    </xf>
    <xf numFmtId="169" fontId="73" fillId="0" borderId="0" xfId="2" applyNumberFormat="1" applyFont="1"/>
    <xf numFmtId="169" fontId="6" fillId="0" borderId="0" xfId="2" applyNumberFormat="1" applyFont="1"/>
    <xf numFmtId="0" fontId="28" fillId="0" borderId="0" xfId="2" applyFont="1" applyAlignment="1">
      <alignment horizontal="left"/>
    </xf>
    <xf numFmtId="169" fontId="28" fillId="0" borderId="0" xfId="2" applyNumberFormat="1" applyFont="1"/>
    <xf numFmtId="0" fontId="76" fillId="0" borderId="0" xfId="0" quotePrefix="1" applyFont="1"/>
    <xf numFmtId="0" fontId="74" fillId="0" borderId="0" xfId="0" quotePrefix="1" applyFont="1"/>
    <xf numFmtId="0" fontId="32" fillId="0" borderId="0" xfId="2" applyFont="1" applyAlignment="1">
      <alignment horizontal="left"/>
    </xf>
    <xf numFmtId="0" fontId="77" fillId="0" borderId="0" xfId="2" applyFont="1" applyAlignment="1">
      <alignment horizontal="left"/>
    </xf>
    <xf numFmtId="169" fontId="78" fillId="0" borderId="0" xfId="2" applyNumberFormat="1" applyFont="1"/>
    <xf numFmtId="0" fontId="34" fillId="0" borderId="0" xfId="2" applyFont="1" applyAlignment="1">
      <alignment horizontal="left"/>
    </xf>
    <xf numFmtId="169" fontId="34" fillId="0" borderId="0" xfId="2" applyNumberFormat="1" applyFont="1"/>
    <xf numFmtId="0" fontId="60" fillId="0" borderId="0" xfId="2" applyFont="1" applyAlignment="1">
      <alignment horizontal="left"/>
    </xf>
    <xf numFmtId="169" fontId="79" fillId="0" borderId="0" xfId="6" applyNumberFormat="1" applyFont="1" applyAlignment="1"/>
    <xf numFmtId="0" fontId="80" fillId="0" borderId="0" xfId="2" applyFont="1" applyAlignment="1">
      <alignment horizontal="left"/>
    </xf>
    <xf numFmtId="169" fontId="79" fillId="0" borderId="0" xfId="2" applyNumberFormat="1" applyFont="1"/>
    <xf numFmtId="169" fontId="81" fillId="0" borderId="0" xfId="2" applyNumberFormat="1" applyFont="1"/>
    <xf numFmtId="170" fontId="6" fillId="0" borderId="0" xfId="2" applyNumberFormat="1" applyFont="1"/>
    <xf numFmtId="0" fontId="82" fillId="0" borderId="0" xfId="2" applyFont="1" applyAlignment="1">
      <alignment horizontal="right" vertical="center"/>
    </xf>
    <xf numFmtId="0" fontId="7" fillId="0" borderId="0" xfId="2" applyFont="1" applyAlignment="1">
      <alignment horizontal="right"/>
    </xf>
    <xf numFmtId="167" fontId="83" fillId="0" borderId="0" xfId="2" applyNumberFormat="1" applyFont="1"/>
    <xf numFmtId="0" fontId="20" fillId="0" borderId="0" xfId="2" applyFont="1"/>
    <xf numFmtId="0" fontId="84" fillId="0" borderId="0" xfId="2" applyFont="1" applyAlignment="1">
      <alignment horizontal="left"/>
    </xf>
    <xf numFmtId="10" fontId="79" fillId="0" borderId="0" xfId="2" applyNumberFormat="1" applyFont="1"/>
    <xf numFmtId="0" fontId="13" fillId="0" borderId="0" xfId="2" applyFont="1" applyAlignment="1">
      <alignment horizontal="right"/>
    </xf>
    <xf numFmtId="167" fontId="56" fillId="0" borderId="0" xfId="2" applyNumberFormat="1" applyFont="1"/>
    <xf numFmtId="0" fontId="28" fillId="0" borderId="0" xfId="2" applyFont="1"/>
    <xf numFmtId="10" fontId="81" fillId="0" borderId="0" xfId="2" applyNumberFormat="1" applyFont="1"/>
    <xf numFmtId="0" fontId="32" fillId="0" borderId="0" xfId="2" applyFont="1" applyAlignment="1">
      <alignment horizontal="left" vertical="center"/>
    </xf>
    <xf numFmtId="0" fontId="23" fillId="0" borderId="0" xfId="2" applyFont="1" applyAlignment="1">
      <alignment horizontal="left" vertical="center"/>
    </xf>
    <xf numFmtId="169" fontId="26" fillId="0" borderId="0" xfId="2" applyNumberFormat="1" applyFont="1" applyAlignment="1">
      <alignment vertical="center"/>
    </xf>
    <xf numFmtId="169" fontId="85" fillId="0" borderId="0" xfId="2" applyNumberFormat="1" applyFont="1" applyAlignment="1">
      <alignment vertical="center" readingOrder="2"/>
    </xf>
    <xf numFmtId="168" fontId="28" fillId="0" borderId="0" xfId="2" applyNumberFormat="1" applyFont="1" applyAlignment="1">
      <alignment horizontal="left"/>
    </xf>
    <xf numFmtId="0" fontId="73" fillId="0" borderId="0" xfId="2" applyFont="1" applyAlignment="1">
      <alignment horizontal="center"/>
    </xf>
    <xf numFmtId="0" fontId="86" fillId="0" borderId="0" xfId="2" applyFont="1" applyAlignment="1">
      <alignment horizontal="right" vertical="center"/>
    </xf>
    <xf numFmtId="168" fontId="34" fillId="0" borderId="0" xfId="2" applyNumberFormat="1" applyFont="1" applyAlignment="1">
      <alignment horizontal="left"/>
    </xf>
    <xf numFmtId="17" fontId="7" fillId="0" borderId="0" xfId="2" applyNumberFormat="1" applyFont="1" applyAlignment="1">
      <alignment horizontal="center"/>
    </xf>
    <xf numFmtId="0" fontId="10" fillId="0" borderId="0" xfId="2" applyFont="1" applyAlignment="1">
      <alignment horizontal="left" vertical="center"/>
    </xf>
    <xf numFmtId="0" fontId="28" fillId="0" borderId="2" xfId="2" applyFont="1" applyBorder="1" applyAlignment="1">
      <alignment horizontal="center" vertical="center"/>
    </xf>
    <xf numFmtId="0" fontId="28" fillId="0" borderId="3" xfId="2" applyFont="1" applyBorder="1" applyAlignment="1">
      <alignment horizontal="center" vertical="center"/>
    </xf>
    <xf numFmtId="164" fontId="17" fillId="3" borderId="3" xfId="3" applyNumberFormat="1" applyFont="1" applyFill="1" applyBorder="1" applyAlignment="1">
      <alignment horizontal="center" vertical="center" shrinkToFit="1"/>
    </xf>
    <xf numFmtId="165" fontId="87" fillId="4" borderId="5" xfId="3" quotePrefix="1" applyNumberFormat="1" applyFont="1" applyFill="1" applyBorder="1" applyAlignment="1">
      <alignment vertical="center" shrinkToFit="1"/>
    </xf>
    <xf numFmtId="0" fontId="21" fillId="5" borderId="3" xfId="2" applyFont="1" applyFill="1" applyBorder="1" applyAlignment="1">
      <alignment horizontal="center" vertical="center"/>
    </xf>
    <xf numFmtId="0" fontId="27" fillId="0" borderId="8" xfId="2" applyFont="1" applyBorder="1" applyAlignment="1">
      <alignment horizontal="center" vertical="center"/>
    </xf>
    <xf numFmtId="164" fontId="46" fillId="3" borderId="8" xfId="3" applyNumberFormat="1" applyFont="1" applyFill="1" applyBorder="1" applyAlignment="1">
      <alignment horizontal="center" vertical="center" shrinkToFit="1"/>
    </xf>
    <xf numFmtId="0" fontId="21" fillId="5" borderId="8" xfId="2" applyFont="1" applyFill="1" applyBorder="1" applyAlignment="1">
      <alignment horizontal="center" vertical="center"/>
    </xf>
    <xf numFmtId="0" fontId="89" fillId="0" borderId="13" xfId="2" applyFont="1" applyBorder="1" applyAlignment="1">
      <alignment horizontal="center" vertical="center"/>
    </xf>
    <xf numFmtId="167" fontId="21" fillId="5" borderId="18" xfId="4" applyNumberFormat="1" applyFont="1" applyFill="1" applyBorder="1"/>
    <xf numFmtId="164" fontId="88" fillId="7" borderId="13" xfId="4" applyNumberFormat="1" applyFont="1" applyFill="1" applyBorder="1" applyAlignment="1">
      <alignment horizontal="center" vertical="center"/>
    </xf>
    <xf numFmtId="0" fontId="21" fillId="0" borderId="13" xfId="2" applyFont="1" applyBorder="1" applyAlignment="1">
      <alignment horizontal="center" vertical="center" wrapText="1"/>
    </xf>
    <xf numFmtId="164" fontId="40" fillId="7" borderId="13" xfId="4" applyNumberFormat="1" applyFont="1" applyFill="1" applyBorder="1" applyAlignment="1">
      <alignment horizontal="center" vertical="center"/>
    </xf>
    <xf numFmtId="0" fontId="57" fillId="0" borderId="13" xfId="2" applyFont="1" applyBorder="1" applyAlignment="1">
      <alignment horizontal="center" vertical="center"/>
    </xf>
    <xf numFmtId="169" fontId="26" fillId="0" borderId="0" xfId="1" applyNumberFormat="1" applyFont="1" applyFill="1" applyBorder="1" applyAlignment="1" applyProtection="1">
      <alignment vertical="center"/>
      <protection locked="0"/>
    </xf>
    <xf numFmtId="0" fontId="88" fillId="7" borderId="13" xfId="2" applyFont="1" applyFill="1" applyBorder="1" applyAlignment="1">
      <alignment horizontal="center" vertical="center" shrinkToFit="1"/>
    </xf>
    <xf numFmtId="0" fontId="88" fillId="7" borderId="7" xfId="2" applyFont="1" applyFill="1" applyBorder="1" applyAlignment="1">
      <alignment horizontal="center" vertical="center" shrinkToFit="1"/>
    </xf>
    <xf numFmtId="167" fontId="38" fillId="5" borderId="39" xfId="2" applyNumberFormat="1" applyFont="1" applyFill="1" applyBorder="1"/>
    <xf numFmtId="0" fontId="21" fillId="0" borderId="2" xfId="2" applyFont="1" applyBorder="1" applyAlignment="1">
      <alignment horizontal="center" vertical="center" shrinkToFit="1"/>
    </xf>
    <xf numFmtId="0" fontId="21" fillId="0" borderId="13" xfId="2" applyFont="1" applyBorder="1" applyAlignment="1">
      <alignment horizontal="center" vertical="center" shrinkToFit="1"/>
    </xf>
    <xf numFmtId="167" fontId="92" fillId="5" borderId="27" xfId="4" applyNumberFormat="1" applyFont="1" applyFill="1" applyBorder="1"/>
    <xf numFmtId="0" fontId="93" fillId="7" borderId="13" xfId="2" applyFont="1" applyFill="1" applyBorder="1" applyAlignment="1">
      <alignment horizontal="center" vertical="center" shrinkToFit="1"/>
    </xf>
    <xf numFmtId="168" fontId="20" fillId="6" borderId="14" xfId="2" applyNumberFormat="1" applyFont="1" applyFill="1" applyBorder="1" applyAlignment="1">
      <alignment horizontal="center" vertical="center"/>
    </xf>
    <xf numFmtId="0" fontId="21" fillId="0" borderId="2" xfId="2" applyFont="1" applyBorder="1" applyAlignment="1">
      <alignment horizontal="center" vertical="center"/>
    </xf>
    <xf numFmtId="0" fontId="88" fillId="7" borderId="13" xfId="2" applyFont="1" applyFill="1" applyBorder="1" applyAlignment="1">
      <alignment horizontal="center" vertical="center"/>
    </xf>
    <xf numFmtId="168" fontId="20" fillId="6" borderId="29" xfId="2" applyNumberFormat="1" applyFont="1" applyFill="1" applyBorder="1" applyAlignment="1">
      <alignment horizontal="center" vertical="center"/>
    </xf>
    <xf numFmtId="0" fontId="40" fillId="7" borderId="13" xfId="2" applyFont="1" applyFill="1" applyBorder="1" applyAlignment="1">
      <alignment horizontal="center" vertical="center"/>
    </xf>
    <xf numFmtId="169" fontId="90" fillId="0" borderId="0" xfId="2" applyNumberFormat="1" applyFont="1" applyAlignment="1">
      <alignment vertical="center"/>
    </xf>
    <xf numFmtId="0" fontId="93" fillId="7" borderId="13" xfId="2" applyFont="1" applyFill="1" applyBorder="1" applyAlignment="1">
      <alignment horizontal="center" vertical="center"/>
    </xf>
    <xf numFmtId="0" fontId="29" fillId="0" borderId="13" xfId="2" applyFont="1" applyBorder="1" applyAlignment="1">
      <alignment horizontal="center"/>
    </xf>
    <xf numFmtId="164" fontId="94" fillId="0" borderId="34" xfId="3" applyNumberFormat="1" applyFont="1" applyFill="1" applyBorder="1" applyAlignment="1">
      <alignment horizontal="left" vertical="center" shrinkToFit="1"/>
    </xf>
    <xf numFmtId="164" fontId="95" fillId="7" borderId="13" xfId="4" applyNumberFormat="1" applyFont="1" applyFill="1" applyBorder="1" applyAlignment="1">
      <alignment horizontal="center" vertical="center"/>
    </xf>
    <xf numFmtId="0" fontId="21" fillId="0" borderId="13" xfId="2" applyFont="1" applyBorder="1" applyAlignment="1">
      <alignment horizontal="left" vertical="center"/>
    </xf>
    <xf numFmtId="167" fontId="97" fillId="5" borderId="27" xfId="4" applyNumberFormat="1" applyFont="1" applyFill="1" applyBorder="1"/>
    <xf numFmtId="0" fontId="21" fillId="0" borderId="2" xfId="2" applyFont="1" applyBorder="1" applyAlignment="1">
      <alignment horizontal="center" vertical="center" wrapText="1"/>
    </xf>
    <xf numFmtId="0" fontId="24" fillId="0" borderId="13" xfId="2" applyFont="1" applyBorder="1" applyAlignment="1">
      <alignment horizontal="center"/>
    </xf>
    <xf numFmtId="10" fontId="45" fillId="6" borderId="13" xfId="2" applyNumberFormat="1" applyFont="1" applyFill="1" applyBorder="1" applyAlignment="1">
      <alignment horizontal="center" vertical="center"/>
    </xf>
    <xf numFmtId="0" fontId="51" fillId="0" borderId="63" xfId="5" applyFont="1" applyBorder="1" applyAlignment="1">
      <alignment horizontal="center" vertical="center" shrinkToFit="1"/>
    </xf>
    <xf numFmtId="0" fontId="51" fillId="0" borderId="3" xfId="5" applyFont="1" applyBorder="1" applyAlignment="1">
      <alignment horizontal="center" vertical="center" shrinkToFit="1"/>
    </xf>
    <xf numFmtId="0" fontId="5" fillId="0" borderId="0" xfId="2"/>
    <xf numFmtId="164" fontId="98" fillId="0" borderId="0" xfId="3" applyNumberFormat="1" applyFont="1" applyFill="1" applyBorder="1" applyAlignment="1">
      <alignment horizontal="center" vertical="center" wrapText="1" shrinkToFit="1"/>
    </xf>
    <xf numFmtId="0" fontId="99" fillId="0" borderId="0" xfId="2" applyFont="1" applyAlignment="1">
      <alignment horizontal="left" vertical="center"/>
    </xf>
    <xf numFmtId="169" fontId="100" fillId="0" borderId="0" xfId="1" applyNumberFormat="1" applyFont="1" applyFill="1" applyBorder="1" applyAlignment="1">
      <alignment horizontal="left" vertical="center"/>
    </xf>
    <xf numFmtId="169" fontId="101" fillId="0" borderId="0" xfId="2" applyNumberFormat="1" applyFont="1"/>
    <xf numFmtId="0" fontId="100" fillId="0" borderId="0" xfId="2" applyFont="1" applyAlignment="1">
      <alignment horizontal="left" vertical="center"/>
    </xf>
    <xf numFmtId="169" fontId="100" fillId="0" borderId="0" xfId="1" applyNumberFormat="1" applyFont="1" applyFill="1" applyBorder="1" applyAlignment="1">
      <alignment vertical="center"/>
    </xf>
    <xf numFmtId="0" fontId="102" fillId="0" borderId="0" xfId="2" applyFont="1" applyAlignment="1">
      <alignment horizontal="right"/>
    </xf>
    <xf numFmtId="0" fontId="102" fillId="0" borderId="0" xfId="2" applyFont="1" applyAlignment="1">
      <alignment horizontal="left" vertical="center"/>
    </xf>
    <xf numFmtId="169" fontId="102" fillId="0" borderId="0" xfId="1" applyNumberFormat="1" applyFont="1" applyFill="1" applyBorder="1" applyAlignment="1">
      <alignment horizontal="left" vertical="center"/>
    </xf>
    <xf numFmtId="169" fontId="102" fillId="0" borderId="0" xfId="2" applyNumberFormat="1" applyFont="1" applyAlignment="1">
      <alignment vertical="center"/>
    </xf>
    <xf numFmtId="10" fontId="102" fillId="0" borderId="0" xfId="2" applyNumberFormat="1" applyFont="1"/>
    <xf numFmtId="10" fontId="102" fillId="0" borderId="0" xfId="7" applyNumberFormat="1" applyFont="1" applyFill="1" applyAlignment="1">
      <alignment vertical="center"/>
    </xf>
    <xf numFmtId="0" fontId="106" fillId="0" borderId="0" xfId="2" applyFont="1" applyAlignment="1">
      <alignment horizontal="left" vertical="center"/>
    </xf>
    <xf numFmtId="169" fontId="107" fillId="0" borderId="0" xfId="2" applyNumberFormat="1" applyFont="1" applyAlignment="1">
      <alignment vertical="center"/>
    </xf>
    <xf numFmtId="0" fontId="108" fillId="0" borderId="0" xfId="2" applyFont="1" applyAlignment="1">
      <alignment horizontal="center"/>
    </xf>
    <xf numFmtId="3" fontId="6" fillId="0" borderId="0" xfId="2" applyNumberFormat="1" applyFont="1"/>
    <xf numFmtId="0" fontId="6" fillId="0" borderId="0" xfId="2" applyFont="1" applyAlignment="1">
      <alignment horizontal="center" vertical="center"/>
    </xf>
    <xf numFmtId="0" fontId="110" fillId="0" borderId="0" xfId="2" applyFont="1" applyAlignment="1">
      <alignment horizontal="center" vertical="center"/>
    </xf>
    <xf numFmtId="0" fontId="84" fillId="0" borderId="0" xfId="2" applyFont="1"/>
    <xf numFmtId="0" fontId="12" fillId="0" borderId="0" xfId="2" applyFont="1" applyAlignment="1">
      <alignment horizontal="center" vertical="center"/>
    </xf>
    <xf numFmtId="0" fontId="111" fillId="0" borderId="0" xfId="2" applyFont="1" applyAlignment="1">
      <alignment horizontal="center" vertical="center"/>
    </xf>
    <xf numFmtId="0" fontId="15" fillId="0" borderId="44" xfId="2" applyFont="1" applyBorder="1" applyAlignment="1">
      <alignment horizontal="center" vertical="center"/>
    </xf>
    <xf numFmtId="0" fontId="15" fillId="0" borderId="3" xfId="2" applyFont="1" applyBorder="1" applyAlignment="1">
      <alignment horizontal="center" vertical="center"/>
    </xf>
    <xf numFmtId="166" fontId="87" fillId="4" borderId="68" xfId="2" quotePrefix="1" applyNumberFormat="1" applyFont="1" applyFill="1" applyBorder="1" applyAlignment="1">
      <alignment horizontal="center" vertical="center"/>
    </xf>
    <xf numFmtId="165" fontId="87" fillId="4" borderId="67" xfId="3" quotePrefix="1" applyNumberFormat="1" applyFont="1" applyFill="1" applyBorder="1" applyAlignment="1">
      <alignment horizontal="center" vertical="center" shrinkToFit="1"/>
    </xf>
    <xf numFmtId="0" fontId="21" fillId="6" borderId="14" xfId="2" applyFont="1" applyFill="1" applyBorder="1" applyAlignment="1">
      <alignment horizontal="center" vertical="center"/>
    </xf>
    <xf numFmtId="0" fontId="23" fillId="0" borderId="0" xfId="2" applyFont="1" applyAlignment="1">
      <alignment horizontal="center"/>
    </xf>
    <xf numFmtId="0" fontId="21" fillId="0" borderId="49" xfId="2" applyFont="1" applyBorder="1" applyAlignment="1">
      <alignment horizontal="center" vertical="center"/>
    </xf>
    <xf numFmtId="0" fontId="27" fillId="0" borderId="7" xfId="2" applyFont="1" applyBorder="1" applyAlignment="1">
      <alignment horizontal="center" vertical="center"/>
    </xf>
    <xf numFmtId="0" fontId="21" fillId="6" borderId="8" xfId="2" applyFont="1" applyFill="1" applyBorder="1" applyAlignment="1">
      <alignment horizontal="center" vertical="center"/>
    </xf>
    <xf numFmtId="0" fontId="21" fillId="0" borderId="44" xfId="2" applyFont="1" applyBorder="1" applyAlignment="1">
      <alignment horizontal="center" vertical="center"/>
    </xf>
    <xf numFmtId="3" fontId="62" fillId="0" borderId="0" xfId="2" applyNumberFormat="1" applyFont="1" applyAlignment="1">
      <alignment horizontal="center" vertical="center"/>
    </xf>
    <xf numFmtId="0" fontId="21" fillId="0" borderId="0" xfId="2" applyFont="1"/>
    <xf numFmtId="168" fontId="19" fillId="6" borderId="3" xfId="2" applyNumberFormat="1" applyFont="1" applyFill="1" applyBorder="1" applyAlignment="1">
      <alignment horizontal="center" vertical="center"/>
    </xf>
    <xf numFmtId="0" fontId="57" fillId="0" borderId="44" xfId="5" applyFont="1" applyBorder="1" applyAlignment="1">
      <alignment horizontal="center" vertical="center" shrinkToFit="1"/>
    </xf>
    <xf numFmtId="0" fontId="57" fillId="0" borderId="14" xfId="5" applyFont="1" applyBorder="1" applyAlignment="1">
      <alignment horizontal="center" vertical="center" shrinkToFit="1"/>
    </xf>
    <xf numFmtId="0" fontId="112" fillId="0" borderId="44" xfId="2" applyFont="1" applyBorder="1" applyAlignment="1">
      <alignment horizontal="center" vertical="center" shrinkToFit="1"/>
    </xf>
    <xf numFmtId="168" fontId="21" fillId="6" borderId="14" xfId="2" applyNumberFormat="1" applyFont="1" applyFill="1" applyBorder="1" applyAlignment="1">
      <alignment horizontal="center" vertical="center"/>
    </xf>
    <xf numFmtId="169" fontId="26" fillId="0" borderId="0" xfId="1" applyNumberFormat="1" applyFont="1" applyFill="1" applyBorder="1" applyAlignment="1">
      <alignment horizontal="right" vertical="center"/>
    </xf>
    <xf numFmtId="0" fontId="62" fillId="0" borderId="13" xfId="2" applyFont="1" applyBorder="1" applyAlignment="1">
      <alignment horizontal="center" vertical="center" shrinkToFit="1"/>
    </xf>
    <xf numFmtId="3" fontId="113" fillId="0" borderId="13" xfId="2" applyNumberFormat="1" applyFont="1" applyBorder="1" applyAlignment="1">
      <alignment horizontal="center" vertical="center"/>
    </xf>
    <xf numFmtId="169" fontId="39" fillId="0" borderId="0" xfId="1" applyNumberFormat="1" applyFont="1" applyFill="1" applyBorder="1" applyAlignment="1">
      <alignment horizontal="right" vertical="center"/>
    </xf>
    <xf numFmtId="10" fontId="39" fillId="6" borderId="14" xfId="2" applyNumberFormat="1" applyFont="1" applyFill="1" applyBorder="1" applyAlignment="1">
      <alignment horizontal="center" vertical="center"/>
    </xf>
    <xf numFmtId="0" fontId="21" fillId="0" borderId="44" xfId="2" applyFont="1" applyBorder="1" applyAlignment="1">
      <alignment horizontal="center" vertical="center" shrinkToFit="1"/>
    </xf>
    <xf numFmtId="169" fontId="26" fillId="0" borderId="0" xfId="1" applyNumberFormat="1" applyFont="1" applyFill="1" applyBorder="1" applyAlignment="1">
      <alignment vertical="center"/>
    </xf>
    <xf numFmtId="0" fontId="23" fillId="0" borderId="0" xfId="2" applyFont="1" applyAlignment="1">
      <alignment horizontal="center" vertical="center"/>
    </xf>
    <xf numFmtId="0" fontId="114" fillId="0" borderId="0" xfId="2" applyFont="1" applyAlignment="1">
      <alignment horizontal="center" vertical="center"/>
    </xf>
    <xf numFmtId="0" fontId="23" fillId="0" borderId="0" xfId="2" applyFont="1" applyAlignment="1">
      <alignment vertical="center"/>
    </xf>
    <xf numFmtId="0" fontId="89" fillId="0" borderId="13" xfId="2" applyFont="1" applyBorder="1" applyAlignment="1">
      <alignment horizontal="center"/>
    </xf>
    <xf numFmtId="0" fontId="112" fillId="0" borderId="49" xfId="2" applyFont="1" applyBorder="1" applyAlignment="1">
      <alignment horizontal="center" vertical="center" shrinkToFit="1"/>
    </xf>
    <xf numFmtId="0" fontId="57" fillId="0" borderId="7" xfId="5" applyFont="1" applyBorder="1" applyAlignment="1">
      <alignment horizontal="center" vertical="center" shrinkToFit="1"/>
    </xf>
    <xf numFmtId="3" fontId="53" fillId="0" borderId="1" xfId="2" applyNumberFormat="1" applyFont="1" applyBorder="1" applyAlignment="1">
      <alignment horizontal="center" vertical="center"/>
    </xf>
    <xf numFmtId="168" fontId="21" fillId="6" borderId="8" xfId="2" applyNumberFormat="1" applyFont="1" applyFill="1" applyBorder="1" applyAlignment="1">
      <alignment horizontal="center" vertical="center"/>
    </xf>
    <xf numFmtId="168" fontId="19" fillId="6" borderId="14" xfId="2" applyNumberFormat="1" applyFont="1" applyFill="1" applyBorder="1" applyAlignment="1">
      <alignment horizontal="center" vertical="center"/>
    </xf>
    <xf numFmtId="0" fontId="73" fillId="6" borderId="14" xfId="2" applyFont="1" applyFill="1" applyBorder="1"/>
    <xf numFmtId="0" fontId="53" fillId="0" borderId="13" xfId="2" applyFont="1" applyBorder="1" applyAlignment="1">
      <alignment horizontal="center" vertical="center"/>
    </xf>
    <xf numFmtId="0" fontId="112" fillId="0" borderId="44" xfId="2" applyFont="1" applyBorder="1" applyAlignment="1">
      <alignment horizontal="center" vertical="center"/>
    </xf>
    <xf numFmtId="3" fontId="55" fillId="0" borderId="13" xfId="2" applyNumberFormat="1" applyFont="1" applyBorder="1" applyAlignment="1">
      <alignment horizontal="center" vertical="center"/>
    </xf>
    <xf numFmtId="164" fontId="21" fillId="0" borderId="44" xfId="4" applyNumberFormat="1" applyFont="1" applyFill="1" applyBorder="1" applyAlignment="1">
      <alignment horizontal="center" vertical="center"/>
    </xf>
    <xf numFmtId="37" fontId="54" fillId="0" borderId="13" xfId="8" applyNumberFormat="1" applyFont="1" applyFill="1" applyBorder="1" applyAlignment="1">
      <alignment horizontal="center" vertical="center"/>
    </xf>
    <xf numFmtId="37" fontId="115" fillId="0" borderId="13" xfId="8" applyNumberFormat="1" applyFont="1" applyFill="1" applyBorder="1" applyAlignment="1">
      <alignment horizontal="center" vertical="center"/>
    </xf>
    <xf numFmtId="2" fontId="62" fillId="6" borderId="14" xfId="2" applyNumberFormat="1" applyFont="1" applyFill="1" applyBorder="1" applyAlignment="1">
      <alignment horizontal="center" vertical="center"/>
    </xf>
    <xf numFmtId="164" fontId="112" fillId="0" borderId="44" xfId="4" applyNumberFormat="1" applyFont="1" applyFill="1" applyBorder="1" applyAlignment="1">
      <alignment horizontal="center" vertical="center"/>
    </xf>
    <xf numFmtId="10" fontId="62" fillId="6" borderId="14" xfId="2" applyNumberFormat="1" applyFont="1" applyFill="1" applyBorder="1" applyAlignment="1">
      <alignment horizontal="center" vertical="center"/>
    </xf>
    <xf numFmtId="164" fontId="112" fillId="0" borderId="49" xfId="4" applyNumberFormat="1" applyFont="1" applyFill="1" applyBorder="1" applyAlignment="1">
      <alignment horizontal="center" vertical="center"/>
    </xf>
    <xf numFmtId="3" fontId="27" fillId="0" borderId="13" xfId="2" applyNumberFormat="1" applyFont="1" applyBorder="1" applyAlignment="1">
      <alignment horizontal="center" vertical="center"/>
    </xf>
    <xf numFmtId="0" fontId="97" fillId="0" borderId="13" xfId="2" applyFont="1" applyBorder="1" applyAlignment="1">
      <alignment horizontal="center" vertical="center"/>
    </xf>
    <xf numFmtId="0" fontId="63" fillId="0" borderId="13" xfId="2" applyFont="1" applyBorder="1" applyAlignment="1">
      <alignment horizontal="center" vertical="center"/>
    </xf>
    <xf numFmtId="3" fontId="118" fillId="0" borderId="14" xfId="2" applyNumberFormat="1" applyFont="1" applyBorder="1" applyAlignment="1">
      <alignment horizontal="center" vertical="center"/>
    </xf>
    <xf numFmtId="0" fontId="57" fillId="0" borderId="49" xfId="5" applyFont="1" applyBorder="1" applyAlignment="1">
      <alignment horizontal="center" vertical="center" shrinkToFit="1"/>
    </xf>
    <xf numFmtId="0" fontId="112" fillId="0" borderId="49" xfId="2" applyFont="1" applyBorder="1" applyAlignment="1">
      <alignment horizontal="center" vertical="center"/>
    </xf>
    <xf numFmtId="0" fontId="89" fillId="0" borderId="7" xfId="2" applyFont="1" applyBorder="1" applyAlignment="1">
      <alignment horizontal="center"/>
    </xf>
    <xf numFmtId="0" fontId="57" fillId="0" borderId="13" xfId="5" applyFont="1" applyBorder="1" applyAlignment="1">
      <alignment horizontal="center" vertical="center" shrinkToFit="1"/>
    </xf>
    <xf numFmtId="0" fontId="21" fillId="0" borderId="13" xfId="2" applyFont="1" applyBorder="1"/>
    <xf numFmtId="0" fontId="21" fillId="0" borderId="56" xfId="2" applyFont="1" applyBorder="1" applyAlignment="1">
      <alignment horizontal="center" vertical="center"/>
    </xf>
    <xf numFmtId="0" fontId="21" fillId="0" borderId="13" xfId="2" applyFont="1" applyBorder="1" applyAlignment="1">
      <alignment horizontal="center"/>
    </xf>
    <xf numFmtId="0" fontId="21" fillId="0" borderId="7" xfId="2" applyFont="1" applyBorder="1" applyAlignment="1">
      <alignment horizontal="center"/>
    </xf>
    <xf numFmtId="0" fontId="33" fillId="0" borderId="7" xfId="2" applyFont="1" applyBorder="1" applyAlignment="1">
      <alignment horizontal="center" vertical="center"/>
    </xf>
    <xf numFmtId="0" fontId="57" fillId="7" borderId="44" xfId="5" applyFont="1" applyFill="1" applyBorder="1" applyAlignment="1">
      <alignment horizontal="center" vertical="center" shrinkToFit="1"/>
    </xf>
    <xf numFmtId="0" fontId="57" fillId="7" borderId="13" xfId="5" applyFont="1" applyFill="1" applyBorder="1" applyAlignment="1">
      <alignment horizontal="center" vertical="center" shrinkToFit="1"/>
    </xf>
    <xf numFmtId="0" fontId="112" fillId="0" borderId="13" xfId="2" applyFont="1" applyBorder="1" applyAlignment="1">
      <alignment horizontal="center"/>
    </xf>
    <xf numFmtId="0" fontId="112" fillId="0" borderId="13" xfId="2" applyFont="1" applyBorder="1" applyAlignment="1">
      <alignment horizontal="center" vertical="center" shrinkToFit="1"/>
    </xf>
    <xf numFmtId="0" fontId="112" fillId="0" borderId="7" xfId="2" applyFont="1" applyBorder="1" applyAlignment="1">
      <alignment horizontal="center" vertical="center" shrinkToFit="1"/>
    </xf>
    <xf numFmtId="0" fontId="89" fillId="0" borderId="7" xfId="2" applyFont="1" applyBorder="1" applyAlignment="1">
      <alignment horizontal="center" vertical="center"/>
    </xf>
    <xf numFmtId="0" fontId="28" fillId="0" borderId="0" xfId="2" applyFont="1" applyAlignment="1">
      <alignment horizontal="center" vertical="center"/>
    </xf>
    <xf numFmtId="0" fontId="81" fillId="0" borderId="0" xfId="2" applyFont="1" applyAlignment="1">
      <alignment horizontal="center" vertical="center"/>
    </xf>
    <xf numFmtId="0" fontId="28" fillId="0" borderId="0" xfId="2" applyFont="1" applyAlignment="1">
      <alignment vertical="center"/>
    </xf>
    <xf numFmtId="0" fontId="21" fillId="7" borderId="13" xfId="2" applyFont="1" applyFill="1" applyBorder="1" applyAlignment="1">
      <alignment horizontal="center" vertical="center" shrinkToFit="1"/>
    </xf>
    <xf numFmtId="168" fontId="33" fillId="6" borderId="14" xfId="2" applyNumberFormat="1" applyFont="1" applyFill="1" applyBorder="1" applyAlignment="1">
      <alignment horizontal="center" vertical="center"/>
    </xf>
    <xf numFmtId="0" fontId="89" fillId="7" borderId="44" xfId="2" applyFont="1" applyFill="1" applyBorder="1" applyAlignment="1">
      <alignment horizontal="center" vertical="center" shrinkToFit="1"/>
    </xf>
    <xf numFmtId="0" fontId="89" fillId="0" borderId="44" xfId="2" applyFont="1" applyBorder="1" applyAlignment="1">
      <alignment horizontal="center" vertical="center" shrinkToFit="1"/>
    </xf>
    <xf numFmtId="0" fontId="21" fillId="0" borderId="2" xfId="5" applyFont="1" applyBorder="1" applyAlignment="1">
      <alignment horizontal="center" vertical="center" shrinkToFit="1"/>
    </xf>
    <xf numFmtId="0" fontId="21" fillId="0" borderId="13" xfId="5" applyFont="1" applyBorder="1" applyAlignment="1">
      <alignment horizontal="center" vertical="center" shrinkToFit="1"/>
    </xf>
    <xf numFmtId="0" fontId="57" fillId="7" borderId="49" xfId="5" applyFont="1" applyFill="1" applyBorder="1" applyAlignment="1">
      <alignment horizontal="center" vertical="center" shrinkToFit="1"/>
    </xf>
    <xf numFmtId="0" fontId="33" fillId="0" borderId="13" xfId="2" applyFont="1" applyBorder="1" applyAlignment="1">
      <alignment horizontal="center" vertical="center"/>
    </xf>
    <xf numFmtId="168" fontId="28" fillId="6" borderId="14" xfId="2" applyNumberFormat="1" applyFont="1" applyFill="1" applyBorder="1" applyAlignment="1">
      <alignment horizontal="center" vertical="center"/>
    </xf>
    <xf numFmtId="0" fontId="56" fillId="0" borderId="44" xfId="5" applyFont="1" applyBorder="1" applyAlignment="1">
      <alignment horizontal="center" vertical="center" shrinkToFit="1"/>
    </xf>
    <xf numFmtId="0" fontId="56" fillId="0" borderId="0" xfId="5" applyFont="1" applyAlignment="1">
      <alignment horizontal="center" vertical="center" shrinkToFit="1"/>
    </xf>
    <xf numFmtId="0" fontId="56" fillId="0" borderId="14" xfId="5" applyFont="1" applyBorder="1" applyAlignment="1">
      <alignment horizontal="center" vertical="center" shrinkToFit="1"/>
    </xf>
    <xf numFmtId="164" fontId="28" fillId="0" borderId="77" xfId="3" applyNumberFormat="1" applyFont="1" applyFill="1" applyBorder="1" applyAlignment="1">
      <alignment horizontal="left" vertical="center" shrinkToFit="1"/>
    </xf>
    <xf numFmtId="164" fontId="58" fillId="0" borderId="81" xfId="3" applyNumberFormat="1" applyFont="1" applyFill="1" applyBorder="1" applyAlignment="1">
      <alignment horizontal="left" vertical="center" shrinkToFit="1"/>
    </xf>
    <xf numFmtId="164" fontId="44" fillId="0" borderId="81" xfId="3" applyNumberFormat="1" applyFont="1" applyFill="1" applyBorder="1" applyAlignment="1">
      <alignment horizontal="left" vertical="center" shrinkToFit="1"/>
    </xf>
    <xf numFmtId="0" fontId="57" fillId="0" borderId="0" xfId="5" applyFont="1" applyAlignment="1">
      <alignment horizontal="center" vertical="center" shrinkToFit="1"/>
    </xf>
    <xf numFmtId="164" fontId="55" fillId="0" borderId="81" xfId="3" applyNumberFormat="1" applyFont="1" applyFill="1" applyBorder="1" applyAlignment="1">
      <alignment horizontal="left" vertical="center" shrinkToFit="1"/>
    </xf>
    <xf numFmtId="164" fontId="59" fillId="0" borderId="81" xfId="3" applyNumberFormat="1" applyFont="1" applyFill="1" applyBorder="1" applyAlignment="1">
      <alignment vertical="center" shrinkToFit="1"/>
    </xf>
    <xf numFmtId="164" fontId="58" fillId="0" borderId="49" xfId="3" applyNumberFormat="1" applyFont="1" applyFill="1" applyBorder="1" applyAlignment="1">
      <alignment horizontal="left" vertical="center" wrapText="1" shrinkToFit="1"/>
    </xf>
    <xf numFmtId="169" fontId="6" fillId="0" borderId="0" xfId="6" applyNumberFormat="1" applyFont="1" applyFill="1"/>
    <xf numFmtId="43" fontId="13" fillId="0" borderId="0" xfId="4" applyFont="1" applyFill="1" applyAlignment="1">
      <alignment vertical="center"/>
    </xf>
    <xf numFmtId="0" fontId="120" fillId="0" borderId="0" xfId="2" applyFont="1" applyAlignment="1">
      <alignment horizontal="left" vertical="center"/>
    </xf>
    <xf numFmtId="43" fontId="13" fillId="0" borderId="0" xfId="4" applyFont="1" applyFill="1" applyAlignment="1">
      <alignment horizontal="right" vertical="center"/>
    </xf>
    <xf numFmtId="167" fontId="121" fillId="0" borderId="0" xfId="2" applyNumberFormat="1" applyFont="1"/>
    <xf numFmtId="169" fontId="90" fillId="0" borderId="0" xfId="2" applyNumberFormat="1" applyFont="1"/>
    <xf numFmtId="0" fontId="13" fillId="0" borderId="0" xfId="2" applyFont="1"/>
    <xf numFmtId="169" fontId="26" fillId="0" borderId="0" xfId="2" applyNumberFormat="1" applyFont="1" applyAlignment="1">
      <alignment vertical="center" shrinkToFit="1"/>
    </xf>
    <xf numFmtId="169" fontId="85" fillId="0" borderId="0" xfId="2" applyNumberFormat="1" applyFont="1" applyAlignment="1">
      <alignment vertical="center" shrinkToFit="1" readingOrder="2"/>
    </xf>
    <xf numFmtId="0" fontId="122" fillId="0" borderId="0" xfId="2" applyFont="1"/>
    <xf numFmtId="0" fontId="84" fillId="0" borderId="0" xfId="2" applyFont="1" applyAlignment="1">
      <alignment horizontal="center"/>
    </xf>
    <xf numFmtId="0" fontId="110" fillId="0" borderId="0" xfId="2" applyFont="1"/>
    <xf numFmtId="169" fontId="23" fillId="0" borderId="0" xfId="2" applyNumberFormat="1" applyFont="1"/>
    <xf numFmtId="0" fontId="122" fillId="0" borderId="0" xfId="2" applyFont="1" applyAlignment="1">
      <alignment horizontal="center"/>
    </xf>
    <xf numFmtId="0" fontId="56" fillId="0" borderId="0" xfId="2" applyFont="1" applyAlignment="1">
      <alignment horizontal="center"/>
    </xf>
    <xf numFmtId="0" fontId="124" fillId="0" borderId="0" xfId="2" applyFont="1" applyAlignment="1">
      <alignment horizontal="center"/>
    </xf>
    <xf numFmtId="0" fontId="111" fillId="0" borderId="0" xfId="2" applyFont="1" applyAlignment="1">
      <alignment horizontal="center"/>
    </xf>
    <xf numFmtId="0" fontId="15" fillId="0" borderId="14" xfId="2" applyFont="1" applyBorder="1" applyAlignment="1">
      <alignment horizontal="center" vertical="center"/>
    </xf>
    <xf numFmtId="0" fontId="15" fillId="0" borderId="13" xfId="2" applyFont="1" applyBorder="1" applyAlignment="1">
      <alignment horizontal="center" vertical="center"/>
    </xf>
    <xf numFmtId="164" fontId="16" fillId="3" borderId="2" xfId="3" applyNumberFormat="1" applyFont="1" applyFill="1" applyBorder="1" applyAlignment="1">
      <alignment horizontal="center" vertical="center" shrinkToFit="1"/>
    </xf>
    <xf numFmtId="165" fontId="18" fillId="4" borderId="67" xfId="3" quotePrefix="1" applyNumberFormat="1" applyFont="1" applyFill="1" applyBorder="1" applyAlignment="1">
      <alignment horizontal="center" vertical="center" shrinkToFit="1"/>
    </xf>
    <xf numFmtId="0" fontId="19" fillId="4" borderId="85" xfId="2" applyFont="1" applyFill="1" applyBorder="1" applyAlignment="1">
      <alignment horizontal="center" vertical="center"/>
    </xf>
    <xf numFmtId="0" fontId="28" fillId="0" borderId="8" xfId="2" applyFont="1" applyBorder="1" applyAlignment="1">
      <alignment horizontal="center" vertical="center"/>
    </xf>
    <xf numFmtId="0" fontId="28" fillId="0" borderId="7" xfId="2" applyFont="1" applyBorder="1" applyAlignment="1">
      <alignment horizontal="center" vertical="center"/>
    </xf>
    <xf numFmtId="0" fontId="55" fillId="0" borderId="7" xfId="2" applyFont="1" applyBorder="1" applyAlignment="1">
      <alignment horizontal="center" vertical="center"/>
    </xf>
    <xf numFmtId="164" fontId="46" fillId="3" borderId="7" xfId="3" applyNumberFormat="1" applyFont="1" applyFill="1" applyBorder="1" applyAlignment="1">
      <alignment horizontal="center" vertical="center" shrinkToFit="1"/>
    </xf>
    <xf numFmtId="0" fontId="20" fillId="5" borderId="8" xfId="2" applyFont="1" applyFill="1" applyBorder="1" applyAlignment="1">
      <alignment horizontal="center" vertical="center"/>
    </xf>
    <xf numFmtId="0" fontId="21" fillId="0" borderId="0" xfId="2" applyFont="1" applyAlignment="1">
      <alignment horizontal="left" vertical="center"/>
    </xf>
    <xf numFmtId="3" fontId="21" fillId="0" borderId="0" xfId="2" applyNumberFormat="1" applyFont="1" applyAlignment="1">
      <alignment horizontal="center" vertical="center"/>
    </xf>
    <xf numFmtId="3" fontId="19" fillId="4" borderId="17" xfId="2" applyNumberFormat="1" applyFont="1" applyFill="1" applyBorder="1"/>
    <xf numFmtId="0" fontId="125" fillId="0" borderId="14" xfId="2" applyFont="1" applyBorder="1" applyAlignment="1">
      <alignment horizontal="center" vertical="center" shrinkToFit="1"/>
    </xf>
    <xf numFmtId="0" fontId="20" fillId="0" borderId="44" xfId="2" applyFont="1" applyBorder="1" applyAlignment="1">
      <alignment horizontal="center" vertical="center" shrinkToFit="1"/>
    </xf>
    <xf numFmtId="0" fontId="34" fillId="0" borderId="13" xfId="2" applyFont="1" applyBorder="1" applyAlignment="1">
      <alignment horizontal="center" vertical="center" shrinkToFit="1"/>
    </xf>
    <xf numFmtId="3" fontId="118" fillId="0" borderId="13" xfId="2" applyNumberFormat="1" applyFont="1" applyBorder="1" applyAlignment="1">
      <alignment horizontal="center" vertical="center"/>
    </xf>
    <xf numFmtId="3" fontId="26" fillId="4" borderId="22" xfId="2" applyNumberFormat="1" applyFont="1" applyFill="1" applyBorder="1"/>
    <xf numFmtId="3" fontId="126" fillId="4" borderId="22" xfId="2" applyNumberFormat="1" applyFont="1" applyFill="1" applyBorder="1"/>
    <xf numFmtId="168" fontId="20" fillId="6" borderId="0" xfId="2" applyNumberFormat="1" applyFont="1" applyFill="1" applyAlignment="1">
      <alignment horizontal="center" vertical="center"/>
    </xf>
    <xf numFmtId="37" fontId="59" fillId="0" borderId="13" xfId="8" applyNumberFormat="1" applyFont="1" applyFill="1" applyBorder="1" applyAlignment="1">
      <alignment horizontal="center" vertical="center"/>
    </xf>
    <xf numFmtId="3" fontId="127" fillId="4" borderId="22" xfId="2" applyNumberFormat="1" applyFont="1" applyFill="1" applyBorder="1"/>
    <xf numFmtId="10" fontId="45" fillId="6" borderId="0" xfId="2" applyNumberFormat="1" applyFont="1" applyFill="1" applyAlignment="1">
      <alignment horizontal="center" vertical="center"/>
    </xf>
    <xf numFmtId="3" fontId="128" fillId="4" borderId="22" xfId="2" applyNumberFormat="1" applyFont="1" applyFill="1" applyBorder="1"/>
    <xf numFmtId="0" fontId="20" fillId="0" borderId="13" xfId="2" applyFont="1" applyBorder="1" applyAlignment="1">
      <alignment horizontal="center" vertical="center"/>
    </xf>
    <xf numFmtId="3" fontId="59" fillId="4" borderId="22" xfId="2" applyNumberFormat="1" applyFont="1" applyFill="1" applyBorder="1"/>
    <xf numFmtId="0" fontId="15" fillId="0" borderId="14" xfId="2" applyFont="1" applyBorder="1" applyAlignment="1">
      <alignment horizontal="center" vertical="center" shrinkToFit="1"/>
    </xf>
    <xf numFmtId="0" fontId="49" fillId="0" borderId="13" xfId="2" applyFont="1" applyBorder="1" applyAlignment="1">
      <alignment vertical="center"/>
    </xf>
    <xf numFmtId="168" fontId="20" fillId="0" borderId="0" xfId="2" applyNumberFormat="1" applyFont="1" applyAlignment="1">
      <alignment horizontal="center" vertical="center"/>
    </xf>
    <xf numFmtId="0" fontId="110" fillId="0" borderId="0" xfId="2" applyFont="1" applyAlignment="1">
      <alignment horizontal="center"/>
    </xf>
    <xf numFmtId="0" fontId="28" fillId="0" borderId="13" xfId="2" applyFont="1" applyBorder="1" applyAlignment="1">
      <alignment horizontal="center" vertical="center"/>
    </xf>
    <xf numFmtId="3" fontId="129" fillId="4" borderId="30" xfId="2" applyNumberFormat="1" applyFont="1" applyFill="1" applyBorder="1"/>
    <xf numFmtId="164" fontId="56" fillId="11" borderId="23" xfId="3" applyNumberFormat="1" applyFont="1" applyFill="1" applyBorder="1" applyAlignment="1">
      <alignment horizontal="left" vertical="center" shrinkToFit="1"/>
    </xf>
    <xf numFmtId="3" fontId="129" fillId="4" borderId="22" xfId="2" applyNumberFormat="1" applyFont="1" applyFill="1" applyBorder="1"/>
    <xf numFmtId="0" fontId="125" fillId="0" borderId="8" xfId="2" applyFont="1" applyBorder="1" applyAlignment="1">
      <alignment horizontal="center" vertical="center" shrinkToFit="1"/>
    </xf>
    <xf numFmtId="0" fontId="34" fillId="0" borderId="7" xfId="2" applyFont="1" applyBorder="1" applyAlignment="1">
      <alignment horizontal="center" vertical="center"/>
    </xf>
    <xf numFmtId="3" fontId="129" fillId="4" borderId="38" xfId="2" applyNumberFormat="1" applyFont="1" applyFill="1" applyBorder="1"/>
    <xf numFmtId="0" fontId="130" fillId="0" borderId="2" xfId="2" applyFont="1" applyBorder="1" applyAlignment="1">
      <alignment horizontal="center" vertical="center"/>
    </xf>
    <xf numFmtId="3" fontId="19" fillId="4" borderId="41" xfId="2" applyNumberFormat="1" applyFont="1" applyFill="1" applyBorder="1"/>
    <xf numFmtId="168" fontId="20" fillId="6" borderId="63" xfId="2" applyNumberFormat="1" applyFont="1" applyFill="1" applyBorder="1" applyAlignment="1">
      <alignment horizontal="center" vertical="center"/>
    </xf>
    <xf numFmtId="0" fontId="125" fillId="0" borderId="14" xfId="2" applyFont="1" applyBorder="1" applyAlignment="1">
      <alignment horizontal="center" vertical="center" wrapText="1" shrinkToFit="1"/>
    </xf>
    <xf numFmtId="2" fontId="45" fillId="6" borderId="0" xfId="2" applyNumberFormat="1" applyFont="1" applyFill="1" applyAlignment="1">
      <alignment horizontal="center" vertical="center"/>
    </xf>
    <xf numFmtId="0" fontId="15" fillId="0" borderId="14" xfId="2" applyFont="1" applyBorder="1" applyAlignment="1">
      <alignment horizontal="center" vertical="center" wrapText="1" shrinkToFit="1"/>
    </xf>
    <xf numFmtId="0" fontId="125" fillId="0" borderId="8" xfId="2" applyFont="1" applyBorder="1" applyAlignment="1">
      <alignment horizontal="center" vertical="center" wrapText="1" shrinkToFit="1"/>
    </xf>
    <xf numFmtId="3" fontId="59" fillId="0" borderId="7" xfId="2" applyNumberFormat="1" applyFont="1" applyBorder="1" applyAlignment="1">
      <alignment horizontal="center" vertical="center"/>
    </xf>
    <xf numFmtId="0" fontId="130" fillId="0" borderId="13" xfId="2" applyFont="1" applyBorder="1" applyAlignment="1">
      <alignment vertical="center"/>
    </xf>
    <xf numFmtId="0" fontId="19" fillId="0" borderId="0" xfId="2" applyFont="1" applyAlignment="1">
      <alignment horizontal="center" vertical="center" shrinkToFit="1"/>
    </xf>
    <xf numFmtId="3" fontId="26" fillId="4" borderId="22" xfId="2" applyNumberFormat="1" applyFont="1" applyFill="1" applyBorder="1" applyAlignment="1">
      <alignment vertical="center"/>
    </xf>
    <xf numFmtId="0" fontId="28" fillId="0" borderId="13" xfId="2" applyFont="1" applyBorder="1" applyAlignment="1">
      <alignment horizontal="center" vertical="center" shrinkToFit="1"/>
    </xf>
    <xf numFmtId="0" fontId="125" fillId="0" borderId="14" xfId="2" applyFont="1" applyBorder="1" applyAlignment="1">
      <alignment horizontal="center" vertical="center"/>
    </xf>
    <xf numFmtId="0" fontId="95" fillId="0" borderId="13" xfId="2" applyFont="1" applyBorder="1" applyAlignment="1">
      <alignment horizontal="center" vertical="center" shrinkToFit="1"/>
    </xf>
    <xf numFmtId="0" fontId="33" fillId="0" borderId="13" xfId="2" applyFont="1" applyBorder="1" applyAlignment="1">
      <alignment vertical="center"/>
    </xf>
    <xf numFmtId="3" fontId="131" fillId="4" borderId="22" xfId="2" applyNumberFormat="1" applyFont="1" applyFill="1" applyBorder="1"/>
    <xf numFmtId="0" fontId="125" fillId="0" borderId="8" xfId="2" applyFont="1" applyBorder="1" applyAlignment="1">
      <alignment horizontal="center" vertical="center"/>
    </xf>
    <xf numFmtId="0" fontId="130" fillId="0" borderId="2" xfId="2" applyFont="1" applyBorder="1" applyAlignment="1">
      <alignment horizontal="center" vertical="center" shrinkToFit="1"/>
    </xf>
    <xf numFmtId="0" fontId="130" fillId="0" borderId="13" xfId="2" applyFont="1" applyBorder="1" applyAlignment="1">
      <alignment horizontal="center" vertical="center" shrinkToFit="1"/>
    </xf>
    <xf numFmtId="167" fontId="127" fillId="5" borderId="33" xfId="4" applyNumberFormat="1" applyFont="1" applyFill="1" applyBorder="1"/>
    <xf numFmtId="167" fontId="127" fillId="5" borderId="32" xfId="4" applyNumberFormat="1" applyFont="1" applyFill="1" applyBorder="1"/>
    <xf numFmtId="167" fontId="127" fillId="5" borderId="86" xfId="4" applyNumberFormat="1" applyFont="1" applyFill="1" applyBorder="1"/>
    <xf numFmtId="167" fontId="19" fillId="5" borderId="87" xfId="4" applyNumberFormat="1" applyFont="1" applyFill="1" applyBorder="1"/>
    <xf numFmtId="167" fontId="19" fillId="5" borderId="88" xfId="4" applyNumberFormat="1" applyFont="1" applyFill="1" applyBorder="1"/>
    <xf numFmtId="167" fontId="26" fillId="5" borderId="32" xfId="2" applyNumberFormat="1" applyFont="1" applyFill="1" applyBorder="1"/>
    <xf numFmtId="167" fontId="126" fillId="5" borderId="32" xfId="2" applyNumberFormat="1" applyFont="1" applyFill="1" applyBorder="1"/>
    <xf numFmtId="167" fontId="128" fillId="5" borderId="32" xfId="4" applyNumberFormat="1" applyFont="1" applyFill="1" applyBorder="1"/>
    <xf numFmtId="167" fontId="59" fillId="5" borderId="32" xfId="4" applyNumberFormat="1" applyFont="1" applyFill="1" applyBorder="1"/>
    <xf numFmtId="3" fontId="129" fillId="4" borderId="85" xfId="2" applyNumberFormat="1" applyFont="1" applyFill="1" applyBorder="1"/>
    <xf numFmtId="0" fontId="23" fillId="6" borderId="44" xfId="2" applyFont="1" applyFill="1" applyBorder="1"/>
    <xf numFmtId="0" fontId="34" fillId="0" borderId="2" xfId="2" applyFont="1" applyBorder="1" applyAlignment="1">
      <alignment horizontal="center" vertical="center" shrinkToFit="1"/>
    </xf>
    <xf numFmtId="0" fontId="20" fillId="0" borderId="13" xfId="2" applyFont="1" applyBorder="1" applyAlignment="1">
      <alignment horizontal="center" vertical="center" shrinkToFit="1"/>
    </xf>
    <xf numFmtId="37" fontId="67" fillId="0" borderId="13" xfId="8" applyNumberFormat="1" applyFont="1" applyFill="1" applyBorder="1" applyAlignment="1">
      <alignment horizontal="center" vertical="center"/>
    </xf>
    <xf numFmtId="0" fontId="104" fillId="0" borderId="14" xfId="2" applyFont="1" applyBorder="1" applyAlignment="1">
      <alignment horizontal="center" vertical="center" wrapText="1" shrinkToFit="1"/>
    </xf>
    <xf numFmtId="3" fontId="67" fillId="0" borderId="7" xfId="2" applyNumberFormat="1" applyFont="1" applyBorder="1" applyAlignment="1">
      <alignment horizontal="center" vertical="center"/>
    </xf>
    <xf numFmtId="9" fontId="126" fillId="4" borderId="22" xfId="7" applyFont="1" applyFill="1" applyBorder="1"/>
    <xf numFmtId="0" fontId="67" fillId="0" borderId="13" xfId="2" applyFont="1" applyBorder="1" applyAlignment="1">
      <alignment horizontal="center" vertical="center"/>
    </xf>
    <xf numFmtId="3" fontId="26" fillId="4" borderId="22" xfId="2" applyNumberFormat="1" applyFont="1" applyFill="1" applyBorder="1" applyAlignment="1">
      <alignment horizontal="right"/>
    </xf>
    <xf numFmtId="0" fontId="125" fillId="7" borderId="14" xfId="2" applyFont="1" applyFill="1" applyBorder="1" applyAlignment="1">
      <alignment horizontal="center" vertical="center" wrapText="1" shrinkToFit="1"/>
    </xf>
    <xf numFmtId="0" fontId="15" fillId="7" borderId="14" xfId="2" applyFont="1" applyFill="1" applyBorder="1" applyAlignment="1">
      <alignment horizontal="center" vertical="center" wrapText="1" shrinkToFit="1"/>
    </xf>
    <xf numFmtId="0" fontId="125" fillId="7" borderId="8" xfId="2" applyFont="1" applyFill="1" applyBorder="1" applyAlignment="1">
      <alignment horizontal="center" vertical="center" wrapText="1" shrinkToFit="1"/>
    </xf>
    <xf numFmtId="0" fontId="75" fillId="7" borderId="14" xfId="2" applyFont="1" applyFill="1" applyBorder="1" applyAlignment="1">
      <alignment horizontal="center" vertical="center" shrinkToFit="1"/>
    </xf>
    <xf numFmtId="0" fontId="15" fillId="7" borderId="14" xfId="2" applyFont="1" applyFill="1" applyBorder="1" applyAlignment="1">
      <alignment horizontal="center" vertical="center" shrinkToFit="1"/>
    </xf>
    <xf numFmtId="0" fontId="75" fillId="7" borderId="14" xfId="2" applyFont="1" applyFill="1" applyBorder="1" applyAlignment="1">
      <alignment horizontal="center" vertical="center" wrapText="1" shrinkToFit="1"/>
    </xf>
    <xf numFmtId="0" fontId="75" fillId="7" borderId="7" xfId="2" applyFont="1" applyFill="1" applyBorder="1" applyAlignment="1">
      <alignment horizontal="center" vertical="center" wrapText="1" shrinkToFit="1"/>
    </xf>
    <xf numFmtId="0" fontId="75" fillId="6" borderId="3" xfId="2" applyFont="1" applyFill="1" applyBorder="1" applyAlignment="1">
      <alignment horizontal="center" vertical="center" shrinkToFit="1"/>
    </xf>
    <xf numFmtId="168" fontId="20" fillId="6" borderId="58" xfId="2" applyNumberFormat="1" applyFont="1" applyFill="1" applyBorder="1" applyAlignment="1">
      <alignment horizontal="center" vertical="center"/>
    </xf>
    <xf numFmtId="0" fontId="75" fillId="6" borderId="14" xfId="2" applyFont="1" applyFill="1" applyBorder="1" applyAlignment="1">
      <alignment horizontal="center" vertical="center" shrinkToFit="1"/>
    </xf>
    <xf numFmtId="168" fontId="20" fillId="6" borderId="71" xfId="2" applyNumberFormat="1" applyFont="1" applyFill="1" applyBorder="1" applyAlignment="1">
      <alignment horizontal="center" vertical="center"/>
    </xf>
    <xf numFmtId="168" fontId="20" fillId="6" borderId="72" xfId="2" applyNumberFormat="1" applyFont="1" applyFill="1" applyBorder="1" applyAlignment="1">
      <alignment horizontal="center" vertical="center"/>
    </xf>
    <xf numFmtId="168" fontId="20" fillId="6" borderId="61" xfId="2" applyNumberFormat="1" applyFont="1" applyFill="1" applyBorder="1" applyAlignment="1">
      <alignment horizontal="center" vertical="center"/>
    </xf>
    <xf numFmtId="0" fontId="75" fillId="6" borderId="8" xfId="2" applyFont="1" applyFill="1" applyBorder="1" applyAlignment="1">
      <alignment horizontal="center" vertical="center" shrinkToFit="1"/>
    </xf>
    <xf numFmtId="164" fontId="19" fillId="0" borderId="80" xfId="3" applyNumberFormat="1" applyFont="1" applyFill="1" applyBorder="1" applyAlignment="1">
      <alignment horizontal="left" vertical="center" shrinkToFit="1"/>
    </xf>
    <xf numFmtId="3" fontId="28" fillId="4" borderId="91" xfId="3" applyNumberFormat="1" applyFont="1" applyFill="1" applyBorder="1" applyAlignment="1">
      <alignment horizontal="center" vertical="center" shrinkToFit="1"/>
    </xf>
    <xf numFmtId="3" fontId="28" fillId="5" borderId="92" xfId="3" applyNumberFormat="1" applyFont="1" applyFill="1" applyBorder="1" applyAlignment="1">
      <alignment horizontal="center" vertical="center" shrinkToFit="1"/>
    </xf>
    <xf numFmtId="0" fontId="23" fillId="6" borderId="63" xfId="2" applyFont="1" applyFill="1" applyBorder="1"/>
    <xf numFmtId="3" fontId="7" fillId="0" borderId="0" xfId="2" applyNumberFormat="1" applyFont="1" applyAlignment="1">
      <alignment horizontal="center"/>
    </xf>
    <xf numFmtId="3" fontId="133" fillId="0" borderId="0" xfId="2" applyNumberFormat="1" applyFont="1" applyAlignment="1">
      <alignment horizontal="center"/>
    </xf>
    <xf numFmtId="3" fontId="23" fillId="0" borderId="0" xfId="2" applyNumberFormat="1" applyFont="1"/>
    <xf numFmtId="164" fontId="129" fillId="0" borderId="84" xfId="3" applyNumberFormat="1" applyFont="1" applyFill="1" applyBorder="1" applyAlignment="1">
      <alignment horizontal="left" vertical="center" shrinkToFit="1"/>
    </xf>
    <xf numFmtId="3" fontId="34" fillId="4" borderId="93" xfId="3" applyNumberFormat="1" applyFont="1" applyFill="1" applyBorder="1" applyAlignment="1">
      <alignment horizontal="center" vertical="center" shrinkToFit="1"/>
    </xf>
    <xf numFmtId="3" fontId="34" fillId="5" borderId="94" xfId="3" applyNumberFormat="1" applyFont="1" applyFill="1" applyBorder="1" applyAlignment="1">
      <alignment horizontal="center" vertical="center" shrinkToFit="1"/>
    </xf>
    <xf numFmtId="3" fontId="23" fillId="6" borderId="0" xfId="2" applyNumberFormat="1" applyFont="1" applyFill="1"/>
    <xf numFmtId="0" fontId="7" fillId="0" borderId="0" xfId="2" applyFont="1" applyAlignment="1">
      <alignment horizontal="center"/>
    </xf>
    <xf numFmtId="0" fontId="133" fillId="0" borderId="0" xfId="2" applyFont="1" applyAlignment="1">
      <alignment horizontal="center"/>
    </xf>
    <xf numFmtId="164" fontId="127" fillId="0" borderId="84" xfId="3" applyNumberFormat="1" applyFont="1" applyFill="1" applyBorder="1" applyAlignment="1">
      <alignment horizontal="left" vertical="center" shrinkToFit="1"/>
    </xf>
    <xf numFmtId="3" fontId="81" fillId="4" borderId="93" xfId="3" applyNumberFormat="1" applyFont="1" applyFill="1" applyBorder="1" applyAlignment="1">
      <alignment horizontal="center" vertical="center" shrinkToFit="1"/>
    </xf>
    <xf numFmtId="3" fontId="81" fillId="5" borderId="94" xfId="3" applyNumberFormat="1" applyFont="1" applyFill="1" applyBorder="1" applyAlignment="1">
      <alignment horizontal="center" vertical="center" shrinkToFit="1"/>
    </xf>
    <xf numFmtId="0" fontId="23" fillId="6" borderId="0" xfId="2" applyFont="1" applyFill="1"/>
    <xf numFmtId="169" fontId="23" fillId="0" borderId="0" xfId="6" applyNumberFormat="1" applyFont="1" applyAlignment="1"/>
    <xf numFmtId="3" fontId="118" fillId="0" borderId="84" xfId="3" applyNumberFormat="1" applyFont="1" applyFill="1" applyBorder="1" applyAlignment="1">
      <alignment horizontal="left" vertical="center" shrinkToFit="1"/>
    </xf>
    <xf numFmtId="3" fontId="97" fillId="4" borderId="93" xfId="3" applyNumberFormat="1" applyFont="1" applyFill="1" applyBorder="1" applyAlignment="1">
      <alignment horizontal="center" vertical="center" shrinkToFit="1"/>
    </xf>
    <xf numFmtId="3" fontId="97" fillId="5" borderId="94" xfId="3" applyNumberFormat="1" applyFont="1" applyFill="1" applyBorder="1" applyAlignment="1">
      <alignment horizontal="center" vertical="center" shrinkToFit="1"/>
    </xf>
    <xf numFmtId="3" fontId="6" fillId="0" borderId="0" xfId="2" applyNumberFormat="1" applyFont="1" applyAlignment="1">
      <alignment horizontal="center"/>
    </xf>
    <xf numFmtId="3" fontId="110" fillId="0" borderId="0" xfId="2" applyNumberFormat="1" applyFont="1" applyAlignment="1">
      <alignment horizontal="center"/>
    </xf>
    <xf numFmtId="169" fontId="114" fillId="0" borderId="0" xfId="6" applyNumberFormat="1" applyFont="1" applyAlignment="1"/>
    <xf numFmtId="164" fontId="59" fillId="0" borderId="84" xfId="3" applyNumberFormat="1" applyFont="1" applyFill="1" applyBorder="1" applyAlignment="1">
      <alignment horizontal="left" vertical="center" shrinkToFit="1"/>
    </xf>
    <xf numFmtId="3" fontId="92" fillId="4" borderId="93" xfId="3" applyNumberFormat="1" applyFont="1" applyFill="1" applyBorder="1" applyAlignment="1">
      <alignment horizontal="center" vertical="center" shrinkToFit="1"/>
    </xf>
    <xf numFmtId="164" fontId="129" fillId="0" borderId="13" xfId="3" applyNumberFormat="1" applyFont="1" applyFill="1" applyBorder="1" applyAlignment="1">
      <alignment horizontal="left" vertical="center" wrapText="1" shrinkToFit="1"/>
    </xf>
    <xf numFmtId="10" fontId="81" fillId="4" borderId="85" xfId="3" applyNumberFormat="1" applyFont="1" applyFill="1" applyBorder="1" applyAlignment="1">
      <alignment horizontal="center" vertical="center" shrinkToFit="1"/>
    </xf>
    <xf numFmtId="10" fontId="81" fillId="5" borderId="14" xfId="3" applyNumberFormat="1" applyFont="1" applyFill="1" applyBorder="1" applyAlignment="1">
      <alignment horizontal="center" vertical="center" shrinkToFit="1"/>
    </xf>
    <xf numFmtId="171" fontId="23" fillId="0" borderId="0" xfId="9" applyNumberFormat="1" applyFont="1" applyAlignment="1"/>
    <xf numFmtId="169" fontId="6" fillId="0" borderId="0" xfId="6" applyNumberFormat="1" applyFont="1"/>
    <xf numFmtId="0" fontId="19" fillId="0" borderId="0" xfId="2" applyFont="1" applyAlignment="1">
      <alignment horizontal="left"/>
    </xf>
    <xf numFmtId="43" fontId="13" fillId="0" borderId="0" xfId="4" applyFont="1" applyFill="1" applyAlignment="1"/>
    <xf numFmtId="0" fontId="26" fillId="0" borderId="0" xfId="2" applyFont="1" applyAlignment="1">
      <alignment horizontal="left"/>
    </xf>
    <xf numFmtId="43" fontId="13" fillId="0" borderId="0" xfId="4" applyFont="1" applyFill="1" applyAlignment="1">
      <alignment horizontal="right"/>
    </xf>
    <xf numFmtId="0" fontId="94" fillId="0" borderId="0" xfId="2" applyFont="1" applyAlignment="1">
      <alignment horizontal="left"/>
    </xf>
    <xf numFmtId="169" fontId="73" fillId="0" borderId="0" xfId="6" applyNumberFormat="1" applyFont="1" applyAlignment="1"/>
    <xf numFmtId="169" fontId="6" fillId="0" borderId="0" xfId="6" applyNumberFormat="1" applyFont="1" applyAlignment="1"/>
    <xf numFmtId="0" fontId="19" fillId="0" borderId="0" xfId="2" applyFont="1"/>
    <xf numFmtId="0" fontId="26" fillId="0" borderId="0" xfId="2" applyFont="1" applyAlignment="1">
      <alignment horizontal="left" vertical="center"/>
    </xf>
    <xf numFmtId="0" fontId="134" fillId="0" borderId="0" xfId="2" applyFont="1"/>
    <xf numFmtId="43" fontId="6" fillId="0" borderId="0" xfId="2" applyNumberFormat="1" applyFont="1"/>
    <xf numFmtId="0" fontId="135" fillId="0" borderId="13" xfId="2" applyFont="1" applyBorder="1" applyAlignment="1">
      <alignment vertical="center"/>
    </xf>
    <xf numFmtId="0" fontId="8" fillId="0" borderId="13" xfId="2" applyFont="1" applyBorder="1"/>
    <xf numFmtId="0" fontId="26" fillId="0" borderId="2" xfId="2" applyFont="1" applyBorder="1" applyAlignment="1">
      <alignment horizontal="center" vertical="center"/>
    </xf>
    <xf numFmtId="0" fontId="27" fillId="0" borderId="2" xfId="2" applyFont="1" applyBorder="1" applyAlignment="1">
      <alignment horizontal="center" vertical="center"/>
    </xf>
    <xf numFmtId="3" fontId="15" fillId="4" borderId="41" xfId="3" applyNumberFormat="1" applyFont="1" applyFill="1" applyBorder="1" applyAlignment="1">
      <alignment horizontal="center" vertical="center" shrinkToFit="1"/>
    </xf>
    <xf numFmtId="3" fontId="35" fillId="4" borderId="22" xfId="3" applyNumberFormat="1" applyFont="1" applyFill="1" applyBorder="1" applyAlignment="1">
      <alignment horizontal="center" vertical="center" shrinkToFit="1"/>
    </xf>
    <xf numFmtId="3" fontId="68" fillId="4" borderId="22" xfId="3" applyNumberFormat="1" applyFont="1" applyFill="1" applyBorder="1" applyAlignment="1">
      <alignment horizontal="center" vertical="center" shrinkToFit="1"/>
    </xf>
    <xf numFmtId="3" fontId="136" fillId="4" borderId="22" xfId="3" applyNumberFormat="1" applyFont="1" applyFill="1" applyBorder="1" applyAlignment="1">
      <alignment horizontal="center" vertical="center" shrinkToFit="1"/>
    </xf>
    <xf numFmtId="3" fontId="137" fillId="4" borderId="22" xfId="3" applyNumberFormat="1" applyFont="1" applyFill="1" applyBorder="1" applyAlignment="1">
      <alignment horizontal="center" vertical="center" shrinkToFit="1"/>
    </xf>
    <xf numFmtId="164" fontId="129" fillId="0" borderId="97" xfId="3" applyNumberFormat="1" applyFont="1" applyFill="1" applyBorder="1" applyAlignment="1">
      <alignment horizontal="left" vertical="center" wrapText="1" shrinkToFit="1"/>
    </xf>
    <xf numFmtId="9" fontId="7" fillId="0" borderId="0" xfId="9" applyFont="1" applyAlignment="1">
      <alignment horizontal="center"/>
    </xf>
    <xf numFmtId="164" fontId="16" fillId="3" borderId="70" xfId="3" applyNumberFormat="1" applyFont="1" applyFill="1" applyBorder="1" applyAlignment="1">
      <alignment horizontal="center" vertical="center" shrinkToFit="1"/>
    </xf>
    <xf numFmtId="0" fontId="20" fillId="5" borderId="3" xfId="2" applyFont="1" applyFill="1" applyBorder="1" applyAlignment="1">
      <alignment horizontal="center" vertical="center"/>
    </xf>
    <xf numFmtId="0" fontId="24" fillId="0" borderId="0" xfId="2" applyFont="1" applyAlignment="1">
      <alignment horizontal="center"/>
    </xf>
    <xf numFmtId="0" fontId="135" fillId="0" borderId="7" xfId="2" applyFont="1" applyBorder="1" applyAlignment="1">
      <alignment horizontal="center" vertical="center"/>
    </xf>
    <xf numFmtId="164" fontId="139" fillId="3" borderId="49" xfId="3" applyNumberFormat="1" applyFont="1" applyFill="1" applyBorder="1" applyAlignment="1">
      <alignment horizontal="center" vertical="center" shrinkToFit="1"/>
    </xf>
    <xf numFmtId="0" fontId="27" fillId="0" borderId="13" xfId="2" applyFont="1" applyBorder="1" applyAlignment="1">
      <alignment horizontal="center" vertical="center" shrinkToFit="1"/>
    </xf>
    <xf numFmtId="0" fontId="40" fillId="0" borderId="13" xfId="2" applyFont="1" applyBorder="1" applyAlignment="1">
      <alignment horizontal="center" vertical="center"/>
    </xf>
    <xf numFmtId="0" fontId="22" fillId="0" borderId="13" xfId="8" applyNumberFormat="1" applyFont="1" applyBorder="1" applyAlignment="1">
      <alignment vertical="center"/>
    </xf>
    <xf numFmtId="37" fontId="115" fillId="7" borderId="13" xfId="8" applyNumberFormat="1" applyFont="1" applyFill="1" applyBorder="1" applyAlignment="1">
      <alignment horizontal="center" vertical="center"/>
    </xf>
    <xf numFmtId="0" fontId="140" fillId="0" borderId="13" xfId="2" applyFont="1" applyBorder="1" applyAlignment="1">
      <alignment horizontal="center" vertical="center"/>
    </xf>
    <xf numFmtId="3" fontId="58" fillId="4" borderId="30" xfId="2" applyNumberFormat="1" applyFont="1" applyFill="1" applyBorder="1"/>
    <xf numFmtId="0" fontId="88" fillId="7" borderId="7" xfId="2" applyFont="1" applyFill="1" applyBorder="1" applyAlignment="1">
      <alignment horizontal="center" vertical="center"/>
    </xf>
    <xf numFmtId="0" fontId="46" fillId="0" borderId="7" xfId="2" applyFont="1" applyBorder="1" applyAlignment="1">
      <alignment horizontal="center" vertical="center"/>
    </xf>
    <xf numFmtId="0" fontId="130" fillId="0" borderId="13" xfId="2" applyFont="1" applyBorder="1" applyAlignment="1">
      <alignment horizontal="center" vertical="center"/>
    </xf>
    <xf numFmtId="0" fontId="130" fillId="0" borderId="7" xfId="2" applyFont="1" applyBorder="1" applyAlignment="1">
      <alignment horizontal="center" vertical="center"/>
    </xf>
    <xf numFmtId="0" fontId="21" fillId="0" borderId="13" xfId="2" applyFont="1" applyBorder="1" applyAlignment="1">
      <alignment vertical="center"/>
    </xf>
    <xf numFmtId="0" fontId="22" fillId="0" borderId="13" xfId="8" applyNumberFormat="1" applyFont="1" applyFill="1" applyBorder="1" applyAlignment="1">
      <alignment vertical="center"/>
    </xf>
    <xf numFmtId="0" fontId="115" fillId="0" borderId="13" xfId="2" applyFont="1" applyBorder="1" applyAlignment="1">
      <alignment horizontal="center" vertical="center"/>
    </xf>
    <xf numFmtId="0" fontId="27" fillId="0" borderId="13" xfId="2" applyFont="1" applyBorder="1" applyAlignment="1">
      <alignment vertical="center"/>
    </xf>
    <xf numFmtId="0" fontId="49" fillId="0" borderId="13" xfId="2" applyFont="1" applyBorder="1" applyAlignment="1">
      <alignment horizontal="center" vertical="center"/>
    </xf>
    <xf numFmtId="0" fontId="49" fillId="0" borderId="7" xfId="2" applyFont="1" applyBorder="1" applyAlignment="1">
      <alignment vertical="center"/>
    </xf>
    <xf numFmtId="0" fontId="141" fillId="0" borderId="13" xfId="5" applyFont="1" applyBorder="1" applyAlignment="1">
      <alignment horizontal="center" vertical="center" shrinkToFit="1"/>
    </xf>
    <xf numFmtId="0" fontId="21" fillId="0" borderId="7" xfId="2" applyFont="1" applyBorder="1" applyAlignment="1">
      <alignment vertical="center"/>
    </xf>
    <xf numFmtId="3" fontId="28" fillId="4" borderId="101" xfId="3" applyNumberFormat="1" applyFont="1" applyFill="1" applyBorder="1" applyAlignment="1">
      <alignment horizontal="center" vertical="center" shrinkToFit="1"/>
    </xf>
    <xf numFmtId="3" fontId="34" fillId="4" borderId="102" xfId="3" applyNumberFormat="1" applyFont="1" applyFill="1" applyBorder="1" applyAlignment="1">
      <alignment horizontal="center" vertical="center" shrinkToFit="1"/>
    </xf>
    <xf numFmtId="3" fontId="81" fillId="4" borderId="102" xfId="3" applyNumberFormat="1" applyFont="1" applyFill="1" applyBorder="1" applyAlignment="1">
      <alignment horizontal="center" vertical="center" shrinkToFit="1"/>
    </xf>
    <xf numFmtId="164" fontId="118" fillId="0" borderId="84" xfId="3" applyNumberFormat="1" applyFont="1" applyFill="1" applyBorder="1" applyAlignment="1">
      <alignment horizontal="left" vertical="center" shrinkToFit="1"/>
    </xf>
    <xf numFmtId="3" fontId="55" fillId="4" borderId="102" xfId="3" applyNumberFormat="1" applyFont="1" applyFill="1" applyBorder="1" applyAlignment="1">
      <alignment horizontal="center" vertical="center" shrinkToFit="1"/>
    </xf>
    <xf numFmtId="164" fontId="59" fillId="0" borderId="84" xfId="3" applyNumberFormat="1" applyFont="1" applyFill="1" applyBorder="1" applyAlignment="1">
      <alignment vertical="center" shrinkToFit="1"/>
    </xf>
    <xf numFmtId="3" fontId="54" fillId="4" borderId="102" xfId="3" applyNumberFormat="1" applyFont="1" applyFill="1" applyBorder="1" applyAlignment="1">
      <alignment horizontal="center" vertical="center" shrinkToFit="1"/>
    </xf>
    <xf numFmtId="164" fontId="129" fillId="0" borderId="7" xfId="3" applyNumberFormat="1" applyFont="1" applyFill="1" applyBorder="1" applyAlignment="1">
      <alignment horizontal="left" vertical="center" wrapText="1" shrinkToFit="1"/>
    </xf>
    <xf numFmtId="10" fontId="81" fillId="4" borderId="11" xfId="3" applyNumberFormat="1" applyFont="1" applyFill="1" applyBorder="1" applyAlignment="1">
      <alignment horizontal="center" vertical="center" shrinkToFit="1"/>
    </xf>
    <xf numFmtId="43" fontId="75" fillId="0" borderId="0" xfId="4" applyFont="1" applyFill="1" applyAlignment="1">
      <alignment vertical="center"/>
    </xf>
    <xf numFmtId="0" fontId="27" fillId="0" borderId="0" xfId="2" applyFont="1"/>
    <xf numFmtId="169" fontId="78" fillId="0" borderId="0" xfId="6" applyNumberFormat="1" applyFont="1" applyAlignment="1"/>
    <xf numFmtId="169" fontId="39" fillId="0" borderId="0" xfId="2" applyNumberFormat="1" applyFont="1"/>
    <xf numFmtId="169" fontId="15" fillId="0" borderId="0" xfId="2" applyNumberFormat="1" applyFont="1"/>
    <xf numFmtId="169" fontId="35" fillId="0" borderId="0" xfId="2" applyNumberFormat="1" applyFont="1"/>
    <xf numFmtId="169" fontId="68" fillId="0" borderId="0" xfId="2" applyNumberFormat="1" applyFont="1"/>
    <xf numFmtId="10" fontId="68" fillId="0" borderId="0" xfId="2" applyNumberFormat="1" applyFont="1"/>
    <xf numFmtId="169" fontId="103" fillId="0" borderId="0" xfId="2" applyNumberFormat="1" applyFont="1"/>
    <xf numFmtId="169" fontId="105" fillId="0" borderId="0" xfId="2" applyNumberFormat="1" applyFont="1"/>
    <xf numFmtId="169" fontId="109" fillId="0" borderId="0" xfId="2" applyNumberFormat="1" applyFont="1"/>
    <xf numFmtId="10" fontId="105" fillId="0" borderId="0" xfId="7" applyNumberFormat="1" applyFont="1" applyAlignment="1">
      <alignment horizontal="right"/>
    </xf>
    <xf numFmtId="10" fontId="68" fillId="0" borderId="0" xfId="2" applyNumberFormat="1" applyFont="1" applyAlignment="1">
      <alignment horizontal="right"/>
    </xf>
    <xf numFmtId="169" fontId="142" fillId="0" borderId="0" xfId="6" applyNumberFormat="1" applyFont="1" applyAlignment="1"/>
    <xf numFmtId="169" fontId="81" fillId="0" borderId="0" xfId="6" applyNumberFormat="1" applyFont="1" applyAlignment="1"/>
    <xf numFmtId="169" fontId="81" fillId="0" borderId="0" xfId="2" applyNumberFormat="1" applyFont="1" applyAlignment="1">
      <alignment readingOrder="2"/>
    </xf>
    <xf numFmtId="169" fontId="34" fillId="0" borderId="0" xfId="2" applyNumberFormat="1" applyFont="1" applyAlignment="1">
      <alignment readingOrder="2"/>
    </xf>
    <xf numFmtId="0" fontId="112" fillId="0" borderId="44" xfId="2" applyFont="1" applyBorder="1" applyAlignment="1">
      <alignment horizontal="center" vertical="center" wrapText="1" shrinkToFit="1"/>
    </xf>
    <xf numFmtId="0" fontId="57" fillId="0" borderId="44" xfId="5" applyFont="1" applyBorder="1" applyAlignment="1">
      <alignment horizontal="center" vertical="center" wrapText="1" shrinkToFit="1"/>
    </xf>
    <xf numFmtId="0" fontId="21" fillId="0" borderId="44" xfId="2" applyFont="1" applyBorder="1" applyAlignment="1">
      <alignment horizontal="center" vertical="center" wrapText="1" shrinkToFit="1"/>
    </xf>
    <xf numFmtId="0" fontId="112" fillId="0" borderId="49" xfId="2" applyFont="1" applyBorder="1" applyAlignment="1">
      <alignment horizontal="center" vertical="center" wrapText="1" shrinkToFit="1"/>
    </xf>
    <xf numFmtId="169" fontId="6" fillId="7" borderId="0" xfId="2" applyNumberFormat="1" applyFont="1" applyFill="1"/>
    <xf numFmtId="3" fontId="59" fillId="0" borderId="8" xfId="2" applyNumberFormat="1" applyFont="1" applyBorder="1" applyAlignment="1">
      <alignment horizontal="center" vertical="center"/>
    </xf>
    <xf numFmtId="0" fontId="12" fillId="7" borderId="0" xfId="2" applyFont="1" applyFill="1" applyAlignment="1">
      <alignment horizontal="center"/>
    </xf>
    <xf numFmtId="0" fontId="70" fillId="7" borderId="0" xfId="2" applyFont="1" applyFill="1" applyAlignment="1">
      <alignment horizontal="left"/>
    </xf>
    <xf numFmtId="0" fontId="23" fillId="7" borderId="0" xfId="2" applyFont="1" applyFill="1" applyAlignment="1">
      <alignment horizontal="left"/>
    </xf>
    <xf numFmtId="0" fontId="77" fillId="7" borderId="0" xfId="2" applyFont="1" applyFill="1" applyAlignment="1">
      <alignment horizontal="left"/>
    </xf>
    <xf numFmtId="0" fontId="84" fillId="7" borderId="0" xfId="2" applyFont="1" applyFill="1" applyAlignment="1">
      <alignment horizontal="left"/>
    </xf>
    <xf numFmtId="0" fontId="23" fillId="7" borderId="0" xfId="2" applyFont="1" applyFill="1" applyAlignment="1">
      <alignment horizontal="left" vertical="center"/>
    </xf>
    <xf numFmtId="0" fontId="40" fillId="7" borderId="13" xfId="2" applyFont="1" applyFill="1" applyBorder="1" applyAlignment="1">
      <alignment horizontal="center" vertical="center" shrinkToFit="1"/>
    </xf>
    <xf numFmtId="168" fontId="20" fillId="6" borderId="66" xfId="2" applyNumberFormat="1" applyFont="1" applyFill="1" applyBorder="1" applyAlignment="1">
      <alignment horizontal="center" vertical="center"/>
    </xf>
    <xf numFmtId="168" fontId="32" fillId="6" borderId="72" xfId="2" applyNumberFormat="1" applyFont="1" applyFill="1" applyBorder="1" applyAlignment="1">
      <alignment horizontal="center" vertical="center"/>
    </xf>
    <xf numFmtId="0" fontId="23" fillId="6" borderId="1" xfId="2" applyFont="1" applyFill="1" applyBorder="1"/>
    <xf numFmtId="3" fontId="28" fillId="4" borderId="41" xfId="2" applyNumberFormat="1" applyFont="1" applyFill="1" applyBorder="1" applyAlignment="1">
      <alignment vertical="center"/>
    </xf>
    <xf numFmtId="167" fontId="28" fillId="5" borderId="42" xfId="4" applyNumberFormat="1" applyFont="1" applyFill="1" applyBorder="1" applyAlignment="1">
      <alignment vertical="center"/>
    </xf>
    <xf numFmtId="167" fontId="28" fillId="5" borderId="18" xfId="4" applyNumberFormat="1" applyFont="1" applyFill="1" applyBorder="1" applyAlignment="1">
      <alignment vertical="center"/>
    </xf>
    <xf numFmtId="1" fontId="28" fillId="0" borderId="0" xfId="2" applyNumberFormat="1" applyFont="1"/>
    <xf numFmtId="169" fontId="235" fillId="0" borderId="0" xfId="1" applyNumberFormat="1" applyFont="1" applyAlignment="1"/>
    <xf numFmtId="198" fontId="78" fillId="0" borderId="0" xfId="1" applyNumberFormat="1" applyFont="1" applyAlignment="1"/>
    <xf numFmtId="169" fontId="26" fillId="0" borderId="0" xfId="2" applyNumberFormat="1" applyFont="1"/>
    <xf numFmtId="169" fontId="236" fillId="0" borderId="0" xfId="2" applyNumberFormat="1" applyFont="1"/>
    <xf numFmtId="169" fontId="237" fillId="0" borderId="0" xfId="1" applyNumberFormat="1" applyFont="1" applyAlignment="1"/>
    <xf numFmtId="198" fontId="237" fillId="0" borderId="0" xfId="1" applyNumberFormat="1" applyFont="1" applyAlignment="1"/>
    <xf numFmtId="10" fontId="6" fillId="0" borderId="0" xfId="525" applyNumberFormat="1" applyFont="1"/>
    <xf numFmtId="0" fontId="20" fillId="0" borderId="0" xfId="2" applyFont="1" applyAlignment="1">
      <alignment horizontal="left" vertical="center"/>
    </xf>
    <xf numFmtId="169" fontId="20" fillId="0" borderId="0" xfId="2" applyNumberFormat="1" applyFont="1" applyAlignment="1">
      <alignment horizontal="center" vertical="center"/>
    </xf>
    <xf numFmtId="16" fontId="21" fillId="0" borderId="13" xfId="2" applyNumberFormat="1" applyFont="1" applyBorder="1" applyAlignment="1">
      <alignment horizontal="center" vertical="center" shrinkToFit="1"/>
    </xf>
    <xf numFmtId="0" fontId="238" fillId="0" borderId="0" xfId="2" applyFont="1" applyAlignment="1">
      <alignment horizontal="left" vertical="center"/>
    </xf>
    <xf numFmtId="0" fontId="239" fillId="0" borderId="0" xfId="2" applyFont="1" applyAlignment="1">
      <alignment horizontal="center" vertical="center"/>
    </xf>
    <xf numFmtId="0" fontId="240" fillId="0" borderId="0" xfId="2" applyFont="1" applyAlignment="1">
      <alignment horizontal="center" vertical="center"/>
    </xf>
    <xf numFmtId="0" fontId="102" fillId="0" borderId="0" xfId="2" applyFont="1" applyAlignment="1">
      <alignment horizontal="center" vertical="center" wrapText="1"/>
    </xf>
    <xf numFmtId="0" fontId="241" fillId="0" borderId="0" xfId="2" applyFont="1" applyAlignment="1">
      <alignment horizontal="center" vertical="center"/>
    </xf>
    <xf numFmtId="169" fontId="242" fillId="0" borderId="0" xfId="2" applyNumberFormat="1" applyFont="1" applyAlignment="1">
      <alignment horizontal="center" vertical="center"/>
    </xf>
    <xf numFmtId="0" fontId="243" fillId="0" borderId="0" xfId="2" applyFont="1" applyAlignment="1">
      <alignment horizontal="left" vertical="center"/>
    </xf>
    <xf numFmtId="169" fontId="243" fillId="0" borderId="0" xfId="1" applyNumberFormat="1" applyFont="1" applyFill="1" applyBorder="1" applyAlignment="1">
      <alignment horizontal="center" vertical="center"/>
    </xf>
    <xf numFmtId="169" fontId="243" fillId="0" borderId="0" xfId="2" applyNumberFormat="1" applyFont="1" applyAlignment="1">
      <alignment vertical="center"/>
    </xf>
    <xf numFmtId="0" fontId="244" fillId="0" borderId="0" xfId="2" applyFont="1" applyAlignment="1">
      <alignment horizontal="left" vertical="center"/>
    </xf>
    <xf numFmtId="169" fontId="244" fillId="0" borderId="0" xfId="1" applyNumberFormat="1" applyFont="1" applyFill="1" applyBorder="1" applyAlignment="1">
      <alignment horizontal="center" vertical="center"/>
    </xf>
    <xf numFmtId="169" fontId="244" fillId="0" borderId="0" xfId="2" applyNumberFormat="1" applyFont="1" applyAlignment="1">
      <alignment horizontal="center" vertical="center"/>
    </xf>
    <xf numFmtId="169" fontId="103" fillId="0" borderId="0" xfId="2" applyNumberFormat="1" applyFont="1" applyAlignment="1">
      <alignment horizontal="center" vertical="center"/>
    </xf>
    <xf numFmtId="0" fontId="9" fillId="0" borderId="0" xfId="2" applyFont="1" applyAlignment="1">
      <alignment horizontal="left"/>
    </xf>
    <xf numFmtId="10" fontId="242" fillId="0" borderId="0" xfId="525" applyNumberFormat="1" applyFont="1" applyFill="1" applyBorder="1" applyAlignment="1">
      <alignment vertical="center"/>
    </xf>
    <xf numFmtId="10" fontId="10" fillId="0" borderId="0" xfId="525" applyNumberFormat="1" applyFont="1" applyFill="1" applyBorder="1" applyAlignment="1">
      <alignment vertical="center"/>
    </xf>
    <xf numFmtId="0" fontId="100" fillId="0" borderId="0" xfId="2" applyFont="1" applyAlignment="1">
      <alignment horizontal="center" vertical="center"/>
    </xf>
    <xf numFmtId="169" fontId="242" fillId="0" borderId="0" xfId="1" applyNumberFormat="1" applyFont="1" applyFill="1" applyBorder="1" applyAlignment="1">
      <alignment vertical="center"/>
    </xf>
    <xf numFmtId="169" fontId="19" fillId="0" borderId="0" xfId="2" applyNumberFormat="1" applyFont="1" applyAlignment="1">
      <alignment vertical="center"/>
    </xf>
    <xf numFmtId="198" fontId="235" fillId="0" borderId="0" xfId="1" applyNumberFormat="1" applyFont="1" applyAlignment="1">
      <alignment vertical="center"/>
    </xf>
    <xf numFmtId="169" fontId="235" fillId="0" borderId="0" xfId="1" applyNumberFormat="1" applyFont="1" applyAlignment="1">
      <alignment vertical="center"/>
    </xf>
    <xf numFmtId="169" fontId="34" fillId="0" borderId="0" xfId="2" applyNumberFormat="1" applyFont="1" applyAlignment="1">
      <alignment vertical="center"/>
    </xf>
    <xf numFmtId="0" fontId="28" fillId="0" borderId="0" xfId="2" applyFont="1" applyAlignment="1">
      <alignment vertical="center" wrapText="1"/>
    </xf>
    <xf numFmtId="1" fontId="28" fillId="0" borderId="0" xfId="2" applyNumberFormat="1" applyFont="1" applyAlignment="1">
      <alignment vertical="center"/>
    </xf>
    <xf numFmtId="0" fontId="246" fillId="0" borderId="0" xfId="2" applyFont="1"/>
    <xf numFmtId="0" fontId="21" fillId="0" borderId="123" xfId="2" applyFont="1" applyBorder="1" applyAlignment="1">
      <alignment horizontal="center" vertical="center"/>
    </xf>
    <xf numFmtId="169" fontId="6" fillId="0" borderId="0" xfId="2" applyNumberFormat="1" applyFont="1" applyAlignment="1">
      <alignment wrapText="1"/>
    </xf>
    <xf numFmtId="169" fontId="21" fillId="0" borderId="0" xfId="2" applyNumberFormat="1" applyFont="1" applyAlignment="1">
      <alignment wrapText="1"/>
    </xf>
    <xf numFmtId="0" fontId="250" fillId="7" borderId="0" xfId="0" applyFont="1" applyFill="1"/>
    <xf numFmtId="0" fontId="10" fillId="7" borderId="0" xfId="2" applyFont="1" applyFill="1" applyAlignment="1">
      <alignment horizontal="left" vertical="center"/>
    </xf>
    <xf numFmtId="0" fontId="132" fillId="7" borderId="0" xfId="2" applyFont="1" applyFill="1" applyAlignment="1">
      <alignment horizontal="center"/>
    </xf>
    <xf numFmtId="0" fontId="248" fillId="7" borderId="0" xfId="2" applyFont="1" applyFill="1" applyAlignment="1">
      <alignment horizontal="center"/>
    </xf>
    <xf numFmtId="164" fontId="249" fillId="7" borderId="0" xfId="3" applyNumberFormat="1" applyFont="1" applyFill="1" applyBorder="1" applyAlignment="1">
      <alignment horizontal="center" vertical="center" wrapText="1" shrinkToFit="1"/>
    </xf>
    <xf numFmtId="0" fontId="94" fillId="59" borderId="116" xfId="0" applyFont="1" applyFill="1" applyBorder="1" applyAlignment="1">
      <alignment horizontal="left" vertical="center"/>
    </xf>
    <xf numFmtId="10" fontId="251" fillId="59" borderId="116" xfId="525" applyNumberFormat="1" applyFont="1" applyFill="1" applyBorder="1" applyAlignment="1">
      <alignment horizontal="center" vertical="center"/>
    </xf>
    <xf numFmtId="168" fontId="6" fillId="0" borderId="0" xfId="2" applyNumberFormat="1" applyFont="1"/>
    <xf numFmtId="0" fontId="21" fillId="58" borderId="2" xfId="2" applyFont="1" applyFill="1" applyBorder="1" applyAlignment="1">
      <alignment horizontal="center" vertical="center" wrapText="1"/>
    </xf>
    <xf numFmtId="0" fontId="21" fillId="58" borderId="123" xfId="2" applyFont="1" applyFill="1" applyBorder="1" applyAlignment="1">
      <alignment horizontal="center" vertical="center"/>
    </xf>
    <xf numFmtId="168" fontId="20" fillId="58" borderId="13" xfId="2" applyNumberFormat="1" applyFont="1" applyFill="1" applyBorder="1" applyAlignment="1">
      <alignment horizontal="center" vertical="center"/>
    </xf>
    <xf numFmtId="0" fontId="23" fillId="58" borderId="14" xfId="2" applyFont="1" applyFill="1" applyBorder="1"/>
    <xf numFmtId="2" fontId="45" fillId="58" borderId="13" xfId="2" applyNumberFormat="1" applyFont="1" applyFill="1" applyBorder="1" applyAlignment="1">
      <alignment horizontal="center" vertical="center"/>
    </xf>
    <xf numFmtId="168" fontId="20" fillId="58" borderId="7" xfId="2" applyNumberFormat="1" applyFont="1" applyFill="1" applyBorder="1" applyAlignment="1">
      <alignment horizontal="center" vertical="center"/>
    </xf>
    <xf numFmtId="10" fontId="45" fillId="58" borderId="13" xfId="2" applyNumberFormat="1" applyFont="1" applyFill="1" applyBorder="1" applyAlignment="1">
      <alignment horizontal="center" vertical="center"/>
    </xf>
    <xf numFmtId="3" fontId="23" fillId="58" borderId="14" xfId="2" applyNumberFormat="1" applyFont="1" applyFill="1" applyBorder="1"/>
    <xf numFmtId="0" fontId="23" fillId="58" borderId="8" xfId="2" applyFont="1" applyFill="1" applyBorder="1"/>
    <xf numFmtId="168" fontId="21" fillId="58" borderId="123" xfId="2" applyNumberFormat="1" applyFont="1" applyFill="1" applyBorder="1" applyAlignment="1">
      <alignment horizontal="center" vertical="center"/>
    </xf>
    <xf numFmtId="168" fontId="23" fillId="58" borderId="14" xfId="2" applyNumberFormat="1" applyFont="1" applyFill="1" applyBorder="1"/>
    <xf numFmtId="168" fontId="23" fillId="58" borderId="8" xfId="2" applyNumberFormat="1" applyFont="1" applyFill="1" applyBorder="1"/>
    <xf numFmtId="168" fontId="32" fillId="58" borderId="13" xfId="2" applyNumberFormat="1" applyFont="1" applyFill="1" applyBorder="1" applyAlignment="1">
      <alignment horizontal="center" vertical="center"/>
    </xf>
    <xf numFmtId="2" fontId="20" fillId="58" borderId="13" xfId="2" applyNumberFormat="1" applyFont="1" applyFill="1" applyBorder="1" applyAlignment="1">
      <alignment horizontal="center" vertical="center"/>
    </xf>
    <xf numFmtId="2" fontId="32" fillId="58" borderId="13" xfId="2" applyNumberFormat="1" applyFont="1" applyFill="1" applyBorder="1" applyAlignment="1">
      <alignment horizontal="center" vertical="center"/>
    </xf>
    <xf numFmtId="10" fontId="32" fillId="58" borderId="13" xfId="525" applyNumberFormat="1" applyFont="1" applyFill="1" applyBorder="1" applyAlignment="1">
      <alignment horizontal="center" vertical="center"/>
    </xf>
    <xf numFmtId="0" fontId="23" fillId="58" borderId="13" xfId="2" applyFont="1" applyFill="1" applyBorder="1"/>
    <xf numFmtId="168" fontId="20" fillId="58" borderId="14" xfId="2" applyNumberFormat="1" applyFont="1" applyFill="1" applyBorder="1" applyAlignment="1">
      <alignment horizontal="center" vertical="center"/>
    </xf>
    <xf numFmtId="0" fontId="112" fillId="0" borderId="13" xfId="2" applyFont="1" applyBorder="1" applyAlignment="1">
      <alignment horizontal="center" vertical="center" wrapText="1"/>
    </xf>
    <xf numFmtId="0" fontId="29" fillId="0" borderId="13" xfId="2" applyFont="1" applyBorder="1" applyAlignment="1">
      <alignment horizontal="center" vertical="center"/>
    </xf>
    <xf numFmtId="0" fontId="29" fillId="0" borderId="0" xfId="2" applyFont="1" applyAlignment="1">
      <alignment horizontal="center" vertical="center"/>
    </xf>
    <xf numFmtId="167" fontId="21" fillId="5" borderId="18" xfId="4" applyNumberFormat="1" applyFont="1" applyFill="1" applyBorder="1" applyAlignment="1">
      <alignment vertical="center"/>
    </xf>
    <xf numFmtId="0" fontId="23" fillId="6" borderId="14" xfId="2" applyFont="1" applyFill="1" applyBorder="1" applyAlignment="1">
      <alignment vertical="center"/>
    </xf>
    <xf numFmtId="0" fontId="23" fillId="58" borderId="14" xfId="2" applyFont="1" applyFill="1" applyBorder="1" applyAlignment="1">
      <alignment vertical="center"/>
    </xf>
    <xf numFmtId="0" fontId="6" fillId="0" borderId="0" xfId="2" applyFont="1" applyAlignment="1">
      <alignment vertical="center"/>
    </xf>
    <xf numFmtId="167" fontId="34" fillId="5" borderId="27" xfId="2" applyNumberFormat="1" applyFont="1" applyFill="1" applyBorder="1" applyAlignment="1">
      <alignment vertical="center"/>
    </xf>
    <xf numFmtId="167" fontId="38" fillId="5" borderId="27" xfId="2" applyNumberFormat="1" applyFont="1" applyFill="1" applyBorder="1" applyAlignment="1">
      <alignment vertical="center"/>
    </xf>
    <xf numFmtId="167" fontId="44" fillId="5" borderId="27" xfId="4" applyNumberFormat="1" applyFont="1" applyFill="1" applyBorder="1" applyAlignment="1">
      <alignment vertical="center"/>
    </xf>
    <xf numFmtId="167" fontId="50" fillId="5" borderId="27" xfId="4" applyNumberFormat="1" applyFont="1" applyFill="1" applyBorder="1" applyAlignment="1">
      <alignment vertical="center"/>
    </xf>
    <xf numFmtId="167" fontId="54" fillId="5" borderId="27" xfId="4" applyNumberFormat="1" applyFont="1" applyFill="1" applyBorder="1" applyAlignment="1">
      <alignment vertical="center"/>
    </xf>
    <xf numFmtId="167" fontId="44" fillId="5" borderId="31" xfId="4" applyNumberFormat="1" applyFont="1" applyFill="1" applyBorder="1" applyAlignment="1">
      <alignment vertical="center"/>
    </xf>
    <xf numFmtId="169" fontId="6" fillId="0" borderId="0" xfId="2" applyNumberFormat="1" applyFont="1" applyAlignment="1">
      <alignment vertical="center"/>
    </xf>
    <xf numFmtId="167" fontId="38" fillId="5" borderId="39" xfId="2" applyNumberFormat="1" applyFont="1" applyFill="1" applyBorder="1" applyAlignment="1">
      <alignment vertical="center"/>
    </xf>
    <xf numFmtId="167" fontId="92" fillId="5" borderId="27" xfId="4" applyNumberFormat="1" applyFont="1" applyFill="1" applyBorder="1" applyAlignment="1">
      <alignment vertical="center"/>
    </xf>
    <xf numFmtId="0" fontId="96" fillId="0" borderId="0" xfId="2" applyFont="1" applyAlignment="1">
      <alignment vertical="center"/>
    </xf>
    <xf numFmtId="167" fontId="28" fillId="5" borderId="3" xfId="4" applyNumberFormat="1" applyFont="1" applyFill="1" applyBorder="1" applyAlignment="1">
      <alignment vertical="center"/>
    </xf>
    <xf numFmtId="0" fontId="112" fillId="0" borderId="13" xfId="2" applyFont="1" applyBorder="1" applyAlignment="1">
      <alignment horizontal="center" vertical="center"/>
    </xf>
    <xf numFmtId="2" fontId="23" fillId="58" borderId="14" xfId="2" applyNumberFormat="1" applyFont="1" applyFill="1" applyBorder="1"/>
    <xf numFmtId="168" fontId="21" fillId="0" borderId="13" xfId="2" applyNumberFormat="1" applyFont="1" applyBorder="1" applyAlignment="1">
      <alignment horizontal="center" vertical="center" wrapText="1"/>
    </xf>
    <xf numFmtId="168" fontId="112" fillId="0" borderId="13" xfId="2" applyNumberFormat="1" applyFont="1" applyBorder="1" applyAlignment="1">
      <alignment horizontal="center" vertical="center" wrapText="1"/>
    </xf>
    <xf numFmtId="0" fontId="24" fillId="0" borderId="0" xfId="2" applyFont="1" applyAlignment="1">
      <alignment vertical="center"/>
    </xf>
    <xf numFmtId="3" fontId="28" fillId="4" borderId="17" xfId="2" applyNumberFormat="1" applyFont="1" applyFill="1" applyBorder="1" applyAlignment="1">
      <alignment vertical="center"/>
    </xf>
    <xf numFmtId="3" fontId="34" fillId="4" borderId="22" xfId="2" applyNumberFormat="1" applyFont="1" applyFill="1" applyBorder="1" applyAlignment="1">
      <alignment vertical="center"/>
    </xf>
    <xf numFmtId="3" fontId="38" fillId="4" borderId="22" xfId="2" applyNumberFormat="1" applyFont="1" applyFill="1" applyBorder="1" applyAlignment="1">
      <alignment vertical="center"/>
    </xf>
    <xf numFmtId="3" fontId="44" fillId="4" borderId="22" xfId="2" applyNumberFormat="1" applyFont="1" applyFill="1" applyBorder="1" applyAlignment="1">
      <alignment vertical="center"/>
    </xf>
    <xf numFmtId="3" fontId="50" fillId="4" borderId="22" xfId="2" applyNumberFormat="1" applyFont="1" applyFill="1" applyBorder="1" applyAlignment="1">
      <alignment vertical="center"/>
    </xf>
    <xf numFmtId="3" fontId="54" fillId="4" borderId="22" xfId="2" applyNumberFormat="1" applyFont="1" applyFill="1" applyBorder="1" applyAlignment="1">
      <alignment vertical="center"/>
    </xf>
    <xf numFmtId="3" fontId="38" fillId="4" borderId="30" xfId="2" applyNumberFormat="1" applyFont="1" applyFill="1" applyBorder="1" applyAlignment="1">
      <alignment vertical="center"/>
    </xf>
    <xf numFmtId="3" fontId="38" fillId="4" borderId="38" xfId="2" applyNumberFormat="1" applyFont="1" applyFill="1" applyBorder="1" applyAlignment="1">
      <alignment vertical="center"/>
    </xf>
    <xf numFmtId="0" fontId="23" fillId="6" borderId="7" xfId="2" applyFont="1" applyFill="1" applyBorder="1"/>
    <xf numFmtId="168" fontId="45" fillId="58" borderId="13" xfId="2" applyNumberFormat="1" applyFont="1" applyFill="1" applyBorder="1" applyAlignment="1">
      <alignment horizontal="center" vertical="center"/>
    </xf>
    <xf numFmtId="0" fontId="23" fillId="58" borderId="13" xfId="2" applyFont="1" applyFill="1" applyBorder="1" applyAlignment="1">
      <alignment vertical="center"/>
    </xf>
    <xf numFmtId="3" fontId="23" fillId="58" borderId="13" xfId="2" applyNumberFormat="1" applyFont="1" applyFill="1" applyBorder="1"/>
    <xf numFmtId="0" fontId="23" fillId="58" borderId="7" xfId="2" applyFont="1" applyFill="1" applyBorder="1"/>
    <xf numFmtId="168" fontId="20" fillId="58" borderId="127" xfId="2" applyNumberFormat="1" applyFont="1" applyFill="1" applyBorder="1" applyAlignment="1">
      <alignment horizontal="center" vertical="center"/>
    </xf>
    <xf numFmtId="168" fontId="23" fillId="58" borderId="13" xfId="2" applyNumberFormat="1" applyFont="1" applyFill="1" applyBorder="1"/>
    <xf numFmtId="43" fontId="20" fillId="58" borderId="13" xfId="1" applyFont="1" applyFill="1" applyBorder="1" applyAlignment="1">
      <alignment horizontal="center" vertical="center"/>
    </xf>
    <xf numFmtId="168" fontId="23" fillId="58" borderId="13" xfId="2" applyNumberFormat="1" applyFont="1" applyFill="1" applyBorder="1" applyAlignment="1">
      <alignment vertical="center"/>
    </xf>
    <xf numFmtId="168" fontId="19" fillId="58" borderId="14" xfId="2" applyNumberFormat="1" applyFont="1" applyFill="1" applyBorder="1" applyAlignment="1">
      <alignment horizontal="center" vertical="center"/>
    </xf>
    <xf numFmtId="168" fontId="21" fillId="58" borderId="14" xfId="2" applyNumberFormat="1" applyFont="1" applyFill="1" applyBorder="1" applyAlignment="1">
      <alignment horizontal="center" vertical="center"/>
    </xf>
    <xf numFmtId="2" fontId="62" fillId="58" borderId="14" xfId="2" applyNumberFormat="1" applyFont="1" applyFill="1" applyBorder="1" applyAlignment="1">
      <alignment horizontal="center" vertical="center"/>
    </xf>
    <xf numFmtId="168" fontId="21" fillId="58" borderId="8" xfId="2" applyNumberFormat="1" applyFont="1" applyFill="1" applyBorder="1" applyAlignment="1">
      <alignment horizontal="center" vertical="center"/>
    </xf>
    <xf numFmtId="168" fontId="73" fillId="58" borderId="14" xfId="2" applyNumberFormat="1" applyFont="1" applyFill="1" applyBorder="1"/>
    <xf numFmtId="2" fontId="39" fillId="6" borderId="14" xfId="2" applyNumberFormat="1" applyFont="1" applyFill="1" applyBorder="1" applyAlignment="1">
      <alignment horizontal="center" vertical="center"/>
    </xf>
    <xf numFmtId="0" fontId="253" fillId="0" borderId="0" xfId="0" applyFont="1" applyAlignment="1">
      <alignment horizontal="center" vertical="center"/>
    </xf>
    <xf numFmtId="43" fontId="21" fillId="58" borderId="14" xfId="1" applyFont="1" applyFill="1" applyBorder="1" applyAlignment="1">
      <alignment horizontal="center" vertical="center"/>
    </xf>
    <xf numFmtId="4" fontId="33" fillId="58" borderId="14" xfId="2" applyNumberFormat="1" applyFont="1" applyFill="1" applyBorder="1"/>
    <xf numFmtId="0" fontId="21" fillId="5" borderId="14" xfId="2" applyFont="1" applyFill="1" applyBorder="1" applyAlignment="1">
      <alignment horizontal="center" vertical="center"/>
    </xf>
    <xf numFmtId="0" fontId="28" fillId="5" borderId="8" xfId="2" applyFont="1" applyFill="1" applyBorder="1" applyAlignment="1">
      <alignment horizontal="center" vertical="center"/>
    </xf>
    <xf numFmtId="167" fontId="28" fillId="5" borderId="31" xfId="4" applyNumberFormat="1" applyFont="1" applyFill="1" applyBorder="1"/>
    <xf numFmtId="167" fontId="28" fillId="5" borderId="27" xfId="4" applyNumberFormat="1" applyFont="1" applyFill="1" applyBorder="1"/>
    <xf numFmtId="167" fontId="117" fillId="5" borderId="27" xfId="4" applyNumberFormat="1" applyFont="1" applyFill="1" applyBorder="1"/>
    <xf numFmtId="167" fontId="28" fillId="5" borderId="27" xfId="2" applyNumberFormat="1" applyFont="1" applyFill="1" applyBorder="1"/>
    <xf numFmtId="167" fontId="28" fillId="5" borderId="39" xfId="4" applyNumberFormat="1" applyFont="1" applyFill="1" applyBorder="1"/>
    <xf numFmtId="167" fontId="28" fillId="5" borderId="14" xfId="4" applyNumberFormat="1" applyFont="1" applyFill="1" applyBorder="1"/>
    <xf numFmtId="167" fontId="28" fillId="5" borderId="8" xfId="4" applyNumberFormat="1" applyFont="1" applyFill="1" applyBorder="1"/>
    <xf numFmtId="167" fontId="21" fillId="5" borderId="14" xfId="4" applyNumberFormat="1" applyFont="1" applyFill="1" applyBorder="1"/>
    <xf numFmtId="3" fontId="28" fillId="5" borderId="130" xfId="3" applyNumberFormat="1" applyFont="1" applyFill="1" applyBorder="1" applyAlignment="1">
      <alignment horizontal="center" vertical="center" shrinkToFit="1"/>
    </xf>
    <xf numFmtId="3" fontId="34" fillId="5" borderId="131" xfId="3" applyNumberFormat="1" applyFont="1" applyFill="1" applyBorder="1" applyAlignment="1">
      <alignment horizontal="center" vertical="center" shrinkToFit="1"/>
    </xf>
    <xf numFmtId="3" fontId="81" fillId="5" borderId="131" xfId="3" applyNumberFormat="1" applyFont="1" applyFill="1" applyBorder="1" applyAlignment="1">
      <alignment horizontal="center" vertical="center" shrinkToFit="1"/>
    </xf>
    <xf numFmtId="3" fontId="97" fillId="5" borderId="131" xfId="3" applyNumberFormat="1" applyFont="1" applyFill="1" applyBorder="1" applyAlignment="1">
      <alignment horizontal="center" vertical="center" shrinkToFit="1"/>
    </xf>
    <xf numFmtId="3" fontId="92" fillId="5" borderId="131" xfId="3" applyNumberFormat="1" applyFont="1" applyFill="1" applyBorder="1" applyAlignment="1">
      <alignment horizontal="center" vertical="center" shrinkToFit="1"/>
    </xf>
    <xf numFmtId="0" fontId="20" fillId="5" borderId="132" xfId="2" applyFont="1" applyFill="1" applyBorder="1" applyAlignment="1">
      <alignment horizontal="center" vertical="center"/>
    </xf>
    <xf numFmtId="167" fontId="28" fillId="5" borderId="27" xfId="4" applyNumberFormat="1" applyFont="1" applyFill="1" applyBorder="1" applyAlignment="1">
      <alignment vertical="center"/>
    </xf>
    <xf numFmtId="167" fontId="28" fillId="5" borderId="31" xfId="4" applyNumberFormat="1" applyFont="1" applyFill="1" applyBorder="1" applyAlignment="1">
      <alignment vertical="center"/>
    </xf>
    <xf numFmtId="167" fontId="44" fillId="5" borderId="39" xfId="4" applyNumberFormat="1" applyFont="1" applyFill="1" applyBorder="1" applyAlignment="1">
      <alignment vertical="center"/>
    </xf>
    <xf numFmtId="3" fontId="55" fillId="5" borderId="131" xfId="3" applyNumberFormat="1" applyFont="1" applyFill="1" applyBorder="1" applyAlignment="1">
      <alignment horizontal="center" vertical="center" shrinkToFit="1"/>
    </xf>
    <xf numFmtId="3" fontId="54" fillId="5" borderId="131" xfId="3" applyNumberFormat="1" applyFont="1" applyFill="1" applyBorder="1" applyAlignment="1">
      <alignment horizontal="center" vertical="center" shrinkToFit="1"/>
    </xf>
    <xf numFmtId="10" fontId="81" fillId="5" borderId="8" xfId="3" applyNumberFormat="1" applyFont="1" applyFill="1" applyBorder="1" applyAlignment="1">
      <alignment horizontal="center" vertical="center" shrinkToFit="1"/>
    </xf>
    <xf numFmtId="3" fontId="28" fillId="5" borderId="42" xfId="3" applyNumberFormat="1" applyFont="1" applyFill="1" applyBorder="1" applyAlignment="1">
      <alignment horizontal="center" vertical="center" shrinkToFit="1"/>
    </xf>
    <xf numFmtId="3" fontId="34" fillId="5" borderId="27" xfId="3" applyNumberFormat="1" applyFont="1" applyFill="1" applyBorder="1" applyAlignment="1">
      <alignment horizontal="center" vertical="center" shrinkToFit="1"/>
    </xf>
    <xf numFmtId="3" fontId="39" fillId="5" borderId="27" xfId="3" applyNumberFormat="1" applyFont="1" applyFill="1" applyBorder="1" applyAlignment="1">
      <alignment horizontal="center" vertical="center" shrinkToFit="1"/>
    </xf>
    <xf numFmtId="3" fontId="66" fillId="5" borderId="27" xfId="3" applyNumberFormat="1" applyFont="1" applyFill="1" applyBorder="1" applyAlignment="1">
      <alignment horizontal="center" vertical="center" shrinkToFit="1"/>
    </xf>
    <xf numFmtId="3" fontId="59" fillId="5" borderId="27" xfId="3" applyNumberFormat="1" applyFont="1" applyFill="1" applyBorder="1" applyAlignment="1">
      <alignment horizontal="center" vertical="center" shrinkToFit="1"/>
    </xf>
    <xf numFmtId="10" fontId="39" fillId="5" borderId="39" xfId="7" applyNumberFormat="1" applyFont="1" applyFill="1" applyBorder="1" applyAlignment="1">
      <alignment horizontal="center" vertical="center" shrinkToFit="1"/>
    </xf>
    <xf numFmtId="0" fontId="28" fillId="4" borderId="11" xfId="2" applyFont="1" applyFill="1" applyBorder="1" applyAlignment="1">
      <alignment horizontal="center" vertical="center"/>
    </xf>
    <xf numFmtId="3" fontId="21" fillId="4" borderId="17" xfId="2" applyNumberFormat="1" applyFont="1" applyFill="1" applyBorder="1"/>
    <xf numFmtId="3" fontId="92" fillId="4" borderId="22" xfId="2" applyNumberFormat="1" applyFont="1" applyFill="1" applyBorder="1"/>
    <xf numFmtId="3" fontId="117" fillId="4" borderId="22" xfId="2" applyNumberFormat="1" applyFont="1" applyFill="1" applyBorder="1"/>
    <xf numFmtId="3" fontId="97" fillId="4" borderId="22" xfId="2" applyNumberFormat="1" applyFont="1" applyFill="1" applyBorder="1"/>
    <xf numFmtId="3" fontId="80" fillId="4" borderId="22" xfId="2" applyNumberFormat="1" applyFont="1" applyFill="1" applyBorder="1"/>
    <xf numFmtId="3" fontId="37" fillId="4" borderId="30" xfId="2" applyNumberFormat="1" applyFont="1" applyFill="1" applyBorder="1"/>
    <xf numFmtId="3" fontId="38" fillId="4" borderId="85" xfId="2" applyNumberFormat="1" applyFont="1" applyFill="1" applyBorder="1"/>
    <xf numFmtId="3" fontId="38" fillId="4" borderId="11" xfId="2" applyNumberFormat="1" applyFont="1" applyFill="1" applyBorder="1"/>
    <xf numFmtId="3" fontId="97" fillId="4" borderId="102" xfId="3" applyNumberFormat="1" applyFont="1" applyFill="1" applyBorder="1" applyAlignment="1">
      <alignment horizontal="center" vertical="center" shrinkToFit="1"/>
    </xf>
    <xf numFmtId="3" fontId="92" fillId="4" borderId="102" xfId="3" applyNumberFormat="1" applyFont="1" applyFill="1" applyBorder="1" applyAlignment="1">
      <alignment horizontal="center" vertical="center" shrinkToFit="1"/>
    </xf>
    <xf numFmtId="0" fontId="6" fillId="0" borderId="85" xfId="2" applyFont="1" applyBorder="1"/>
    <xf numFmtId="0" fontId="21" fillId="4" borderId="6" xfId="2" applyFont="1" applyFill="1" applyBorder="1" applyAlignment="1">
      <alignment horizontal="center" vertical="center"/>
    </xf>
    <xf numFmtId="3" fontId="21" fillId="4" borderId="17" xfId="2" applyNumberFormat="1" applyFont="1" applyFill="1" applyBorder="1" applyAlignment="1">
      <alignment vertical="center"/>
    </xf>
    <xf numFmtId="3" fontId="58" fillId="4" borderId="22" xfId="2" applyNumberFormat="1" applyFont="1" applyFill="1" applyBorder="1" applyAlignment="1">
      <alignment vertical="center"/>
    </xf>
    <xf numFmtId="3" fontId="44" fillId="4" borderId="38" xfId="2" applyNumberFormat="1" applyFont="1" applyFill="1" applyBorder="1" applyAlignment="1">
      <alignment vertical="center"/>
    </xf>
    <xf numFmtId="3" fontId="92" fillId="4" borderId="22" xfId="2" applyNumberFormat="1" applyFont="1" applyFill="1" applyBorder="1" applyAlignment="1">
      <alignment vertical="center"/>
    </xf>
    <xf numFmtId="3" fontId="28" fillId="4" borderId="41" xfId="3" applyNumberFormat="1" applyFont="1" applyFill="1" applyBorder="1" applyAlignment="1">
      <alignment horizontal="center" vertical="center" shrinkToFit="1"/>
    </xf>
    <xf numFmtId="3" fontId="34" fillId="4" borderId="22" xfId="3" applyNumberFormat="1" applyFont="1" applyFill="1" applyBorder="1" applyAlignment="1">
      <alignment horizontal="center" vertical="center" shrinkToFit="1"/>
    </xf>
    <xf numFmtId="3" fontId="39" fillId="4" borderId="22" xfId="3" applyNumberFormat="1" applyFont="1" applyFill="1" applyBorder="1" applyAlignment="1">
      <alignment horizontal="center" vertical="center" shrinkToFit="1"/>
    </xf>
    <xf numFmtId="3" fontId="66" fillId="4" borderId="22" xfId="3" applyNumberFormat="1" applyFont="1" applyFill="1" applyBorder="1" applyAlignment="1">
      <alignment horizontal="center" vertical="center" shrinkToFit="1"/>
    </xf>
    <xf numFmtId="3" fontId="59" fillId="4" borderId="22" xfId="3" applyNumberFormat="1" applyFont="1" applyFill="1" applyBorder="1" applyAlignment="1">
      <alignment horizontal="center" vertical="center" shrinkToFit="1"/>
    </xf>
    <xf numFmtId="10" fontId="39" fillId="4" borderId="38" xfId="7" applyNumberFormat="1" applyFont="1" applyFill="1" applyBorder="1" applyAlignment="1">
      <alignment horizontal="center" vertical="center" shrinkToFit="1"/>
    </xf>
    <xf numFmtId="3" fontId="58" fillId="4" borderId="22" xfId="2" applyNumberFormat="1" applyFont="1" applyFill="1" applyBorder="1"/>
    <xf numFmtId="3" fontId="44" fillId="4" borderId="38" xfId="2" applyNumberFormat="1" applyFont="1" applyFill="1" applyBorder="1"/>
    <xf numFmtId="3" fontId="28" fillId="0" borderId="73" xfId="2" applyNumberFormat="1" applyFont="1" applyBorder="1" applyAlignment="1">
      <alignment horizontal="center" vertical="center"/>
    </xf>
    <xf numFmtId="0" fontId="28" fillId="0" borderId="2" xfId="2" applyFont="1" applyBorder="1" applyAlignment="1">
      <alignment horizontal="center" vertical="center" shrinkToFit="1"/>
    </xf>
    <xf numFmtId="0" fontId="9" fillId="0" borderId="0" xfId="5" applyFont="1" applyAlignment="1">
      <alignment horizontal="center" vertical="center" shrinkToFit="1"/>
    </xf>
    <xf numFmtId="0" fontId="9" fillId="0" borderId="13" xfId="2" applyFont="1" applyBorder="1" applyAlignment="1">
      <alignment horizontal="center" vertical="center"/>
    </xf>
    <xf numFmtId="0" fontId="9" fillId="0" borderId="0" xfId="2" applyFont="1"/>
    <xf numFmtId="0" fontId="9" fillId="0" borderId="13" xfId="2" applyFont="1" applyBorder="1" applyAlignment="1">
      <alignment horizontal="center" vertical="center" shrinkToFit="1"/>
    </xf>
    <xf numFmtId="168" fontId="254" fillId="0" borderId="0" xfId="0" applyNumberFormat="1" applyFont="1" applyAlignment="1">
      <alignment horizontal="center" vertical="center"/>
    </xf>
    <xf numFmtId="168" fontId="253" fillId="0" borderId="0" xfId="0" applyNumberFormat="1" applyFont="1" applyAlignment="1">
      <alignment horizontal="center" vertical="center"/>
    </xf>
    <xf numFmtId="0" fontId="95" fillId="0" borderId="13" xfId="2" applyFont="1" applyBorder="1" applyAlignment="1">
      <alignment horizontal="center" vertical="center"/>
    </xf>
    <xf numFmtId="168" fontId="95" fillId="0" borderId="13" xfId="2" applyNumberFormat="1" applyFont="1" applyBorder="1" applyAlignment="1">
      <alignment horizontal="center" vertical="center"/>
    </xf>
    <xf numFmtId="0" fontId="19" fillId="0" borderId="2" xfId="2" applyFont="1" applyBorder="1" applyAlignment="1">
      <alignment horizontal="center" vertical="center"/>
    </xf>
    <xf numFmtId="0" fontId="19" fillId="0" borderId="13" xfId="2" applyFont="1" applyBorder="1" applyAlignment="1">
      <alignment horizontal="center" vertical="center" shrinkToFit="1"/>
    </xf>
    <xf numFmtId="0" fontId="19" fillId="0" borderId="13" xfId="2" applyFont="1" applyBorder="1" applyAlignment="1">
      <alignment horizontal="center" vertical="center"/>
    </xf>
    <xf numFmtId="0" fontId="21" fillId="6" borderId="132" xfId="2" applyFont="1" applyFill="1" applyBorder="1" applyAlignment="1">
      <alignment horizontal="center" vertical="center"/>
    </xf>
    <xf numFmtId="0" fontId="21" fillId="58" borderId="132" xfId="2" applyFont="1" applyFill="1" applyBorder="1" applyAlignment="1">
      <alignment horizontal="center" vertical="center"/>
    </xf>
    <xf numFmtId="0" fontId="28" fillId="4" borderId="133" xfId="2" applyFont="1" applyFill="1" applyBorder="1" applyAlignment="1">
      <alignment horizontal="center" vertical="center"/>
    </xf>
    <xf numFmtId="0" fontId="28" fillId="5" borderId="132" xfId="2" applyFont="1" applyFill="1" applyBorder="1" applyAlignment="1">
      <alignment horizontal="center" vertical="center"/>
    </xf>
    <xf numFmtId="168" fontId="84" fillId="58" borderId="13" xfId="2" applyNumberFormat="1" applyFont="1" applyFill="1" applyBorder="1"/>
    <xf numFmtId="0" fontId="84" fillId="58" borderId="14" xfId="2" applyFont="1" applyFill="1" applyBorder="1"/>
    <xf numFmtId="168" fontId="20" fillId="58" borderId="8" xfId="2" applyNumberFormat="1" applyFont="1" applyFill="1" applyBorder="1" applyAlignment="1">
      <alignment horizontal="center" vertical="center"/>
    </xf>
    <xf numFmtId="0" fontId="84" fillId="58" borderId="3" xfId="2" applyFont="1" applyFill="1" applyBorder="1"/>
    <xf numFmtId="0" fontId="250" fillId="7" borderId="0" xfId="0" applyFont="1" applyFill="1" applyAlignment="1">
      <alignment vertical="center"/>
    </xf>
    <xf numFmtId="0" fontId="255" fillId="7" borderId="116" xfId="0" applyFont="1" applyFill="1" applyBorder="1" applyAlignment="1">
      <alignment horizontal="center" vertical="center"/>
    </xf>
    <xf numFmtId="0" fontId="256" fillId="0" borderId="13" xfId="2" applyFont="1" applyBorder="1" applyAlignment="1">
      <alignment horizontal="center" vertical="center" wrapText="1"/>
    </xf>
    <xf numFmtId="168" fontId="256" fillId="0" borderId="13" xfId="2" applyNumberFormat="1" applyFont="1" applyBorder="1" applyAlignment="1">
      <alignment horizontal="center" vertical="center" wrapText="1"/>
    </xf>
    <xf numFmtId="168" fontId="257" fillId="0" borderId="13" xfId="0" applyNumberFormat="1" applyFont="1" applyBorder="1" applyAlignment="1">
      <alignment horizontal="center"/>
    </xf>
    <xf numFmtId="0" fontId="33" fillId="0" borderId="13" xfId="2" applyFont="1" applyBorder="1" applyAlignment="1">
      <alignment horizontal="center" vertical="center" shrinkToFit="1"/>
    </xf>
    <xf numFmtId="0" fontId="258" fillId="0" borderId="13" xfId="2" applyFont="1" applyBorder="1" applyAlignment="1">
      <alignment horizontal="center" vertical="center" wrapText="1"/>
    </xf>
    <xf numFmtId="168" fontId="258" fillId="0" borderId="13" xfId="2" applyNumberFormat="1" applyFont="1" applyBorder="1" applyAlignment="1">
      <alignment horizontal="center" vertical="center" wrapText="1"/>
    </xf>
    <xf numFmtId="168" fontId="259" fillId="0" borderId="0" xfId="0" applyNumberFormat="1" applyFont="1" applyAlignment="1">
      <alignment horizontal="center" vertical="center"/>
    </xf>
    <xf numFmtId="0" fontId="260" fillId="0" borderId="13" xfId="2" applyFont="1" applyBorder="1" applyAlignment="1">
      <alignment horizontal="center" vertical="center"/>
    </xf>
    <xf numFmtId="168" fontId="260" fillId="0" borderId="13" xfId="2" applyNumberFormat="1" applyFont="1" applyBorder="1" applyAlignment="1">
      <alignment horizontal="center" vertical="center"/>
    </xf>
    <xf numFmtId="0" fontId="258" fillId="7" borderId="0" xfId="5" applyFont="1" applyFill="1" applyAlignment="1">
      <alignment horizontal="center" vertical="center" shrinkToFit="1"/>
    </xf>
    <xf numFmtId="0" fontId="255" fillId="7" borderId="134" xfId="0" applyFont="1" applyFill="1" applyBorder="1" applyAlignment="1">
      <alignment vertical="center"/>
    </xf>
    <xf numFmtId="0" fontId="261" fillId="7" borderId="135" xfId="0" applyFont="1" applyFill="1" applyBorder="1" applyAlignment="1">
      <alignment horizontal="center" vertical="center"/>
    </xf>
    <xf numFmtId="0" fontId="261" fillId="7" borderId="135" xfId="0" applyFont="1" applyFill="1" applyBorder="1" applyAlignment="1">
      <alignment vertical="center"/>
    </xf>
    <xf numFmtId="9" fontId="261" fillId="7" borderId="135" xfId="0" applyNumberFormat="1" applyFont="1" applyFill="1" applyBorder="1" applyAlignment="1">
      <alignment horizontal="center" vertical="center"/>
    </xf>
    <xf numFmtId="0" fontId="261" fillId="7" borderId="25" xfId="0" applyFont="1" applyFill="1" applyBorder="1" applyAlignment="1">
      <alignment horizontal="center" vertical="center"/>
    </xf>
    <xf numFmtId="0" fontId="261" fillId="7" borderId="25" xfId="0" applyFont="1" applyFill="1" applyBorder="1" applyAlignment="1">
      <alignment vertical="center"/>
    </xf>
    <xf numFmtId="46" fontId="261" fillId="7" borderId="25" xfId="0" quotePrefix="1" applyNumberFormat="1" applyFont="1" applyFill="1" applyBorder="1" applyAlignment="1">
      <alignment horizontal="center" vertical="center"/>
    </xf>
    <xf numFmtId="0" fontId="261" fillId="7" borderId="136" xfId="0" applyFont="1" applyFill="1" applyBorder="1" applyAlignment="1">
      <alignment vertical="center"/>
    </xf>
    <xf numFmtId="0" fontId="80" fillId="0" borderId="13" xfId="2" applyFont="1" applyBorder="1" applyAlignment="1">
      <alignment horizontal="center" vertical="center"/>
    </xf>
    <xf numFmtId="10" fontId="251" fillId="59" borderId="134" xfId="525" applyNumberFormat="1" applyFont="1" applyFill="1" applyBorder="1" applyAlignment="1">
      <alignment horizontal="center" vertical="center"/>
    </xf>
    <xf numFmtId="0" fontId="263" fillId="61" borderId="124" xfId="0" applyFont="1" applyFill="1" applyBorder="1" applyAlignment="1">
      <alignment horizontal="center" vertical="center"/>
    </xf>
    <xf numFmtId="0" fontId="263" fillId="61" borderId="116" xfId="0" applyFont="1" applyFill="1" applyBorder="1" applyAlignment="1">
      <alignment horizontal="center" vertical="center"/>
    </xf>
    <xf numFmtId="0" fontId="265" fillId="61" borderId="116" xfId="0" applyFont="1" applyFill="1" applyBorder="1" applyAlignment="1">
      <alignment horizontal="center" vertical="center"/>
    </xf>
    <xf numFmtId="169" fontId="265" fillId="61" borderId="116" xfId="0" applyNumberFormat="1" applyFont="1" applyFill="1" applyBorder="1" applyAlignment="1">
      <alignment horizontal="center" vertical="center"/>
    </xf>
    <xf numFmtId="0" fontId="250" fillId="61" borderId="116" xfId="0" applyFont="1" applyFill="1" applyBorder="1"/>
    <xf numFmtId="10" fontId="265" fillId="61" borderId="116" xfId="525" applyNumberFormat="1" applyFont="1" applyFill="1" applyBorder="1" applyAlignment="1">
      <alignment vertical="center"/>
    </xf>
    <xf numFmtId="0" fontId="94" fillId="59" borderId="138" xfId="0" applyFont="1" applyFill="1" applyBorder="1" applyAlignment="1">
      <alignment vertical="center" wrapText="1"/>
    </xf>
    <xf numFmtId="169" fontId="251" fillId="59" borderId="138" xfId="1" applyNumberFormat="1" applyFont="1" applyFill="1" applyBorder="1" applyAlignment="1">
      <alignment horizontal="center" vertical="center"/>
    </xf>
    <xf numFmtId="0" fontId="252" fillId="59" borderId="138" xfId="0" applyFont="1" applyFill="1" applyBorder="1"/>
    <xf numFmtId="169" fontId="251" fillId="59" borderId="139" xfId="1" applyNumberFormat="1" applyFont="1" applyFill="1" applyBorder="1" applyAlignment="1">
      <alignment horizontal="center" vertical="center"/>
    </xf>
    <xf numFmtId="3" fontId="37" fillId="4" borderId="22" xfId="2" applyNumberFormat="1" applyFont="1" applyFill="1" applyBorder="1"/>
    <xf numFmtId="167" fontId="21" fillId="5" borderId="23" xfId="4" applyNumberFormat="1" applyFont="1" applyFill="1" applyBorder="1"/>
    <xf numFmtId="164" fontId="267" fillId="0" borderId="31" xfId="3" applyNumberFormat="1" applyFont="1" applyFill="1" applyBorder="1" applyAlignment="1">
      <alignment horizontal="left" vertical="center" shrinkToFit="1"/>
    </xf>
    <xf numFmtId="0" fontId="253" fillId="0" borderId="13" xfId="0" applyFont="1" applyBorder="1" applyAlignment="1">
      <alignment horizontal="center" vertical="center"/>
    </xf>
    <xf numFmtId="164" fontId="20" fillId="0" borderId="34" xfId="3" applyNumberFormat="1" applyFont="1" applyFill="1" applyBorder="1" applyAlignment="1">
      <alignment horizontal="left" vertical="center" shrinkToFit="1"/>
    </xf>
    <xf numFmtId="0" fontId="51" fillId="0" borderId="0" xfId="5" applyFont="1" applyAlignment="1">
      <alignment horizontal="center" vertical="center" wrapText="1" shrinkToFit="1"/>
    </xf>
    <xf numFmtId="0" fontId="269" fillId="0" borderId="13" xfId="2" applyFont="1" applyBorder="1" applyAlignment="1">
      <alignment horizontal="center" vertical="center" wrapText="1"/>
    </xf>
    <xf numFmtId="0" fontId="269" fillId="0" borderId="13" xfId="2" applyFont="1" applyBorder="1" applyAlignment="1">
      <alignment horizontal="center" vertical="center"/>
    </xf>
    <xf numFmtId="3" fontId="268" fillId="7" borderId="0" xfId="219" applyNumberFormat="1" applyFont="1" applyFill="1" applyBorder="1" applyAlignment="1">
      <alignment vertical="center"/>
    </xf>
    <xf numFmtId="169" fontId="235" fillId="0" borderId="0" xfId="2" applyNumberFormat="1" applyFont="1"/>
    <xf numFmtId="169" fontId="142" fillId="0" borderId="0" xfId="2" applyNumberFormat="1" applyFont="1"/>
    <xf numFmtId="10" fontId="142" fillId="0" borderId="0" xfId="7" applyNumberFormat="1" applyFont="1" applyAlignment="1">
      <alignment horizontal="right"/>
    </xf>
    <xf numFmtId="10" fontId="81" fillId="0" borderId="0" xfId="2" applyNumberFormat="1" applyFont="1" applyAlignment="1">
      <alignment horizontal="right"/>
    </xf>
    <xf numFmtId="169" fontId="270" fillId="0" borderId="0" xfId="2" applyNumberFormat="1" applyFont="1"/>
    <xf numFmtId="169" fontId="264" fillId="7" borderId="0" xfId="1" applyNumberFormat="1" applyFont="1" applyFill="1" applyBorder="1" applyAlignment="1">
      <alignment horizontal="center" vertical="center"/>
    </xf>
    <xf numFmtId="10" fontId="264" fillId="7" borderId="0" xfId="525" applyNumberFormat="1" applyFont="1" applyFill="1" applyBorder="1" applyAlignment="1">
      <alignment horizontal="center" vertical="center"/>
    </xf>
    <xf numFmtId="0" fontId="262" fillId="7" borderId="0" xfId="0" applyFont="1" applyFill="1" applyAlignment="1">
      <alignment vertical="center"/>
    </xf>
    <xf numFmtId="10" fontId="272" fillId="7" borderId="0" xfId="525" applyNumberFormat="1" applyFont="1" applyFill="1" applyBorder="1" applyAlignment="1">
      <alignment horizontal="center" vertical="center"/>
    </xf>
    <xf numFmtId="0" fontId="271" fillId="7" borderId="0" xfId="0" applyFont="1" applyFill="1" applyAlignment="1">
      <alignment horizontal="center" vertical="center"/>
    </xf>
    <xf numFmtId="0" fontId="250" fillId="61" borderId="0" xfId="0" applyFont="1" applyFill="1"/>
    <xf numFmtId="169" fontId="265" fillId="61" borderId="0" xfId="0" applyNumberFormat="1" applyFont="1" applyFill="1" applyAlignment="1">
      <alignment horizontal="center" vertical="center"/>
    </xf>
    <xf numFmtId="0" fontId="250" fillId="61" borderId="137" xfId="0" applyFont="1" applyFill="1" applyBorder="1"/>
    <xf numFmtId="0" fontId="247" fillId="7" borderId="116" xfId="2" applyFont="1" applyFill="1" applyBorder="1" applyAlignment="1">
      <alignment horizontal="left" vertical="center"/>
    </xf>
    <xf numFmtId="0" fontId="273" fillId="7" borderId="116" xfId="0" applyFont="1" applyFill="1" applyBorder="1" applyAlignment="1">
      <alignment horizontal="center" vertical="center"/>
    </xf>
    <xf numFmtId="0" fontId="96" fillId="7" borderId="116" xfId="2" applyFont="1" applyFill="1" applyBorder="1" applyAlignment="1">
      <alignment horizontal="left" vertical="center"/>
    </xf>
    <xf numFmtId="200" fontId="273" fillId="7" borderId="116" xfId="0" applyNumberFormat="1" applyFont="1" applyFill="1" applyBorder="1" applyAlignment="1">
      <alignment horizontal="center" vertical="center"/>
    </xf>
    <xf numFmtId="0" fontId="24" fillId="7" borderId="116" xfId="2" applyFont="1" applyFill="1" applyBorder="1" applyAlignment="1">
      <alignment horizontal="left" vertical="center"/>
    </xf>
    <xf numFmtId="0" fontId="274" fillId="7" borderId="0" xfId="0" applyFont="1" applyFill="1" applyAlignment="1">
      <alignment vertical="center"/>
    </xf>
    <xf numFmtId="0" fontId="275" fillId="7" borderId="0" xfId="0" applyFont="1" applyFill="1" applyAlignment="1">
      <alignment vertical="center"/>
    </xf>
    <xf numFmtId="0" fontId="247" fillId="7" borderId="138" xfId="2" applyFont="1" applyFill="1" applyBorder="1" applyAlignment="1">
      <alignment horizontal="left" vertical="center"/>
    </xf>
    <xf numFmtId="0" fontId="250" fillId="7" borderId="140" xfId="0" applyFont="1" applyFill="1" applyBorder="1"/>
    <xf numFmtId="0" fontId="247" fillId="7" borderId="141" xfId="2" applyFont="1" applyFill="1" applyBorder="1" applyAlignment="1">
      <alignment horizontal="left" vertical="center"/>
    </xf>
    <xf numFmtId="10" fontId="273" fillId="7" borderId="141" xfId="0" applyNumberFormat="1" applyFont="1" applyFill="1" applyBorder="1" applyAlignment="1">
      <alignment horizontal="center" vertical="center"/>
    </xf>
    <xf numFmtId="0" fontId="261" fillId="7" borderId="138" xfId="0" applyFont="1" applyFill="1" applyBorder="1" applyAlignment="1">
      <alignment horizontal="center" vertical="center"/>
    </xf>
    <xf numFmtId="0" fontId="261" fillId="7" borderId="116" xfId="0" applyFont="1" applyFill="1" applyBorder="1" applyAlignment="1">
      <alignment horizontal="center" vertical="center"/>
    </xf>
    <xf numFmtId="171" fontId="273" fillId="7" borderId="116" xfId="0" applyNumberFormat="1" applyFont="1" applyFill="1" applyBorder="1" applyAlignment="1">
      <alignment horizontal="center" vertical="center"/>
    </xf>
    <xf numFmtId="169" fontId="23" fillId="7" borderId="0" xfId="2" applyNumberFormat="1" applyFont="1" applyFill="1" applyAlignment="1">
      <alignment horizontal="center" vertical="center"/>
    </xf>
    <xf numFmtId="0" fontId="77" fillId="7" borderId="0" xfId="2" applyFont="1" applyFill="1" applyAlignment="1">
      <alignment horizontal="left" vertical="center"/>
    </xf>
    <xf numFmtId="169" fontId="261" fillId="7" borderId="0" xfId="0" applyNumberFormat="1" applyFont="1" applyFill="1" applyAlignment="1">
      <alignment horizontal="center" vertical="center"/>
    </xf>
    <xf numFmtId="3" fontId="37" fillId="4" borderId="85" xfId="2" applyNumberFormat="1" applyFont="1" applyFill="1" applyBorder="1"/>
    <xf numFmtId="0" fontId="33" fillId="0" borderId="2" xfId="2" applyFont="1" applyBorder="1" applyAlignment="1">
      <alignment horizontal="center" vertical="center" shrinkToFit="1"/>
    </xf>
    <xf numFmtId="164" fontId="32" fillId="0" borderId="23" xfId="3" applyNumberFormat="1" applyFont="1" applyBorder="1" applyAlignment="1">
      <alignment horizontal="left" vertical="center" shrinkToFit="1"/>
    </xf>
    <xf numFmtId="164" fontId="36" fillId="0" borderId="23" xfId="3" applyNumberFormat="1" applyFont="1" applyBorder="1" applyAlignment="1">
      <alignment horizontal="left" vertical="center" shrinkToFit="1"/>
    </xf>
    <xf numFmtId="164" fontId="42" fillId="0" borderId="23" xfId="3" applyNumberFormat="1" applyFont="1" applyBorder="1" applyAlignment="1">
      <alignment horizontal="left" vertical="center" shrinkToFit="1"/>
    </xf>
    <xf numFmtId="164" fontId="48" fillId="0" borderId="23" xfId="3" applyNumberFormat="1" applyFont="1" applyBorder="1" applyAlignment="1">
      <alignment horizontal="left" vertical="center" shrinkToFit="1"/>
    </xf>
    <xf numFmtId="164" fontId="52" fillId="0" borderId="23" xfId="3" applyNumberFormat="1" applyFont="1" applyBorder="1" applyAlignment="1">
      <alignment horizontal="left" vertical="center" shrinkToFit="1"/>
    </xf>
    <xf numFmtId="164" fontId="56" fillId="0" borderId="23" xfId="3" applyNumberFormat="1" applyFont="1" applyBorder="1" applyAlignment="1">
      <alignment horizontal="left" vertical="center" shrinkToFit="1"/>
    </xf>
    <xf numFmtId="169" fontId="26" fillId="0" borderId="0" xfId="1" applyNumberFormat="1" applyFont="1" applyAlignment="1">
      <alignment vertical="center"/>
    </xf>
    <xf numFmtId="164" fontId="56" fillId="0" borderId="29" xfId="3" applyNumberFormat="1" applyFont="1" applyBorder="1" applyAlignment="1">
      <alignment horizontal="left" vertical="center" shrinkToFit="1"/>
    </xf>
    <xf numFmtId="164" fontId="20" fillId="0" borderId="29" xfId="3" applyNumberFormat="1" applyFont="1" applyBorder="1" applyAlignment="1">
      <alignment horizontal="left" vertical="center" shrinkToFit="1"/>
    </xf>
    <xf numFmtId="164" fontId="267" fillId="0" borderId="31" xfId="3" applyNumberFormat="1" applyFont="1" applyBorder="1" applyAlignment="1">
      <alignment horizontal="left" vertical="center" shrinkToFit="1"/>
    </xf>
    <xf numFmtId="164" fontId="20" fillId="0" borderId="34" xfId="3" applyNumberFormat="1" applyFont="1" applyBorder="1" applyAlignment="1">
      <alignment horizontal="left" vertical="center" shrinkToFit="1"/>
    </xf>
    <xf numFmtId="0" fontId="264" fillId="7" borderId="0" xfId="0" applyFont="1" applyFill="1" applyAlignment="1">
      <alignment horizontal="left" vertical="center"/>
    </xf>
    <xf numFmtId="0" fontId="250" fillId="7" borderId="0" xfId="0" applyFont="1" applyFill="1" applyAlignment="1">
      <alignment horizontal="left"/>
    </xf>
    <xf numFmtId="0" fontId="0" fillId="7" borderId="0" xfId="0" applyFill="1" applyAlignment="1">
      <alignment horizontal="left" vertical="center"/>
    </xf>
    <xf numFmtId="0" fontId="276" fillId="64" borderId="124" xfId="2" applyFont="1" applyFill="1" applyBorder="1" applyAlignment="1">
      <alignment horizontal="center" vertical="center"/>
    </xf>
    <xf numFmtId="0" fontId="277" fillId="64" borderId="124" xfId="2" applyFont="1" applyFill="1" applyBorder="1" applyAlignment="1">
      <alignment horizontal="center" vertical="center" wrapText="1"/>
    </xf>
    <xf numFmtId="0" fontId="278" fillId="64" borderId="125" xfId="2" applyFont="1" applyFill="1" applyBorder="1" applyAlignment="1">
      <alignment horizontal="center" vertical="center"/>
    </xf>
    <xf numFmtId="0" fontId="278" fillId="64" borderId="116" xfId="2" applyFont="1" applyFill="1" applyBorder="1" applyAlignment="1">
      <alignment horizontal="center" vertical="center"/>
    </xf>
    <xf numFmtId="0" fontId="279" fillId="7" borderId="116" xfId="2" applyFont="1" applyFill="1" applyBorder="1" applyAlignment="1">
      <alignment horizontal="center" vertical="center"/>
    </xf>
    <xf numFmtId="169" fontId="280" fillId="60" borderId="126" xfId="2" applyNumberFormat="1" applyFont="1" applyFill="1" applyBorder="1" applyAlignment="1">
      <alignment horizontal="center" vertical="center"/>
    </xf>
    <xf numFmtId="0" fontId="281" fillId="7" borderId="116" xfId="2" applyFont="1" applyFill="1" applyBorder="1" applyAlignment="1">
      <alignment horizontal="left" vertical="center"/>
    </xf>
    <xf numFmtId="169" fontId="282" fillId="7" borderId="116" xfId="1" applyNumberFormat="1" applyFont="1" applyFill="1" applyBorder="1" applyAlignment="1">
      <alignment horizontal="center" vertical="center"/>
    </xf>
    <xf numFmtId="169" fontId="282" fillId="7" borderId="116" xfId="2" applyNumberFormat="1" applyFont="1" applyFill="1" applyBorder="1" applyAlignment="1">
      <alignment vertical="center"/>
    </xf>
    <xf numFmtId="169" fontId="283" fillId="7" borderId="116" xfId="2" applyNumberFormat="1" applyFont="1" applyFill="1" applyBorder="1" applyAlignment="1">
      <alignment vertical="center"/>
    </xf>
    <xf numFmtId="169" fontId="276" fillId="7" borderId="116" xfId="2" applyNumberFormat="1" applyFont="1" applyFill="1" applyBorder="1" applyAlignment="1">
      <alignment vertical="center"/>
    </xf>
    <xf numFmtId="0" fontId="284" fillId="7" borderId="116" xfId="2" applyFont="1" applyFill="1" applyBorder="1" applyAlignment="1">
      <alignment horizontal="left" vertical="center"/>
    </xf>
    <xf numFmtId="169" fontId="285" fillId="7" borderId="116" xfId="1" applyNumberFormat="1" applyFont="1" applyFill="1" applyBorder="1" applyAlignment="1">
      <alignment horizontal="center" vertical="center"/>
    </xf>
    <xf numFmtId="169" fontId="286" fillId="7" borderId="116" xfId="1" applyNumberFormat="1" applyFont="1" applyFill="1" applyBorder="1" applyAlignment="1">
      <alignment horizontal="center" vertical="center"/>
    </xf>
    <xf numFmtId="169" fontId="287" fillId="7" borderId="116" xfId="2" applyNumberFormat="1" applyFont="1" applyFill="1" applyBorder="1" applyAlignment="1">
      <alignment vertical="center"/>
    </xf>
    <xf numFmtId="0" fontId="288" fillId="7" borderId="116" xfId="2" applyFont="1" applyFill="1" applyBorder="1" applyAlignment="1">
      <alignment horizontal="left" vertical="center"/>
    </xf>
    <xf numFmtId="169" fontId="282" fillId="7" borderId="116" xfId="2" applyNumberFormat="1" applyFont="1" applyFill="1" applyBorder="1" applyAlignment="1">
      <alignment horizontal="center" vertical="center"/>
    </xf>
    <xf numFmtId="169" fontId="283" fillId="7" borderId="116" xfId="2" applyNumberFormat="1" applyFont="1" applyFill="1" applyBorder="1" applyAlignment="1">
      <alignment horizontal="center" vertical="center"/>
    </xf>
    <xf numFmtId="169" fontId="276" fillId="7" borderId="116" xfId="2" applyNumberFormat="1" applyFont="1" applyFill="1" applyBorder="1" applyAlignment="1">
      <alignment horizontal="center" vertical="center"/>
    </xf>
    <xf numFmtId="0" fontId="287" fillId="7" borderId="124" xfId="2" applyFont="1" applyFill="1" applyBorder="1" applyAlignment="1">
      <alignment horizontal="left" vertical="center"/>
    </xf>
    <xf numFmtId="10" fontId="287" fillId="7" borderId="124" xfId="525" applyNumberFormat="1" applyFont="1" applyFill="1" applyBorder="1" applyAlignment="1">
      <alignment vertical="center"/>
    </xf>
    <xf numFmtId="169" fontId="285" fillId="63" borderId="116" xfId="1" applyNumberFormat="1" applyFont="1" applyFill="1" applyBorder="1" applyAlignment="1">
      <alignment vertical="center"/>
    </xf>
    <xf numFmtId="169" fontId="286" fillId="63" borderId="116" xfId="1" applyNumberFormat="1" applyFont="1" applyFill="1" applyBorder="1" applyAlignment="1">
      <alignment vertical="center"/>
    </xf>
    <xf numFmtId="0" fontId="288" fillId="63" borderId="116" xfId="2" applyFont="1" applyFill="1" applyBorder="1" applyAlignment="1">
      <alignment horizontal="left" vertical="center" wrapText="1"/>
    </xf>
    <xf numFmtId="169" fontId="282" fillId="63" borderId="116" xfId="1" applyNumberFormat="1" applyFont="1" applyFill="1" applyBorder="1" applyAlignment="1">
      <alignment vertical="center"/>
    </xf>
    <xf numFmtId="0" fontId="33" fillId="0" borderId="13" xfId="2" applyFont="1" applyBorder="1" applyAlignment="1">
      <alignment horizontal="center" vertical="center" wrapText="1"/>
    </xf>
    <xf numFmtId="10" fontId="273" fillId="7" borderId="116" xfId="0" applyNumberFormat="1" applyFont="1" applyFill="1" applyBorder="1" applyAlignment="1">
      <alignment horizontal="center" vertical="center"/>
    </xf>
    <xf numFmtId="169" fontId="285" fillId="63" borderId="116" xfId="1" applyNumberFormat="1" applyFont="1" applyFill="1" applyBorder="1" applyAlignment="1">
      <alignment horizontal="right" vertical="center"/>
    </xf>
    <xf numFmtId="0" fontId="292" fillId="7" borderId="0" xfId="0" applyFont="1" applyFill="1" applyAlignment="1">
      <alignment vertical="center"/>
    </xf>
    <xf numFmtId="199" fontId="282" fillId="63" borderId="116" xfId="525" applyNumberFormat="1" applyFont="1" applyFill="1" applyBorder="1" applyAlignment="1">
      <alignment vertical="center"/>
    </xf>
    <xf numFmtId="199" fontId="288" fillId="63" borderId="116" xfId="525" applyNumberFormat="1" applyFont="1" applyFill="1" applyBorder="1" applyAlignment="1">
      <alignment vertical="center"/>
    </xf>
    <xf numFmtId="199" fontId="289" fillId="63" borderId="116" xfId="525" applyNumberFormat="1" applyFont="1" applyFill="1" applyBorder="1" applyAlignment="1">
      <alignment vertical="center"/>
    </xf>
    <xf numFmtId="0" fontId="290" fillId="63" borderId="116" xfId="2" applyFont="1" applyFill="1" applyBorder="1" applyAlignment="1">
      <alignment horizontal="left" vertical="center" wrapText="1"/>
    </xf>
    <xf numFmtId="169" fontId="291" fillId="63" borderId="116" xfId="2" applyNumberFormat="1" applyFont="1" applyFill="1" applyBorder="1" applyAlignment="1">
      <alignment vertical="center"/>
    </xf>
    <xf numFmtId="0" fontId="287" fillId="63" borderId="138" xfId="2" applyFont="1" applyFill="1" applyBorder="1" applyAlignment="1">
      <alignment horizontal="left" vertical="center" wrapText="1"/>
    </xf>
    <xf numFmtId="10" fontId="291" fillId="63" borderId="138" xfId="525" applyNumberFormat="1" applyFont="1" applyFill="1" applyBorder="1" applyAlignment="1">
      <alignment horizontal="center" vertical="center"/>
    </xf>
    <xf numFmtId="171" fontId="291" fillId="63" borderId="138" xfId="525" applyNumberFormat="1" applyFont="1" applyFill="1" applyBorder="1" applyAlignment="1">
      <alignment horizontal="center" vertical="center"/>
    </xf>
    <xf numFmtId="0" fontId="292" fillId="7" borderId="142" xfId="0" applyFont="1" applyFill="1" applyBorder="1" applyAlignment="1">
      <alignment vertical="center"/>
    </xf>
    <xf numFmtId="169" fontId="6" fillId="0" borderId="63" xfId="2" applyNumberFormat="1" applyFont="1" applyBorder="1"/>
    <xf numFmtId="0" fontId="6" fillId="0" borderId="63" xfId="2" applyFont="1" applyBorder="1" applyAlignment="1">
      <alignment horizontal="right"/>
    </xf>
    <xf numFmtId="169" fontId="6" fillId="0" borderId="0" xfId="6" applyNumberFormat="1" applyFont="1" applyFill="1" applyBorder="1"/>
    <xf numFmtId="169" fontId="6" fillId="0" borderId="0" xfId="6" applyNumberFormat="1" applyFont="1" applyBorder="1"/>
    <xf numFmtId="167" fontId="21" fillId="5" borderId="13" xfId="4" applyNumberFormat="1" applyFont="1" applyFill="1" applyBorder="1"/>
    <xf numFmtId="3" fontId="21" fillId="4" borderId="1" xfId="2" applyNumberFormat="1" applyFont="1" applyFill="1" applyBorder="1" applyAlignment="1">
      <alignment horizontal="center" vertical="center"/>
    </xf>
    <xf numFmtId="0" fontId="21" fillId="6" borderId="0" xfId="2" applyFont="1" applyFill="1" applyAlignment="1">
      <alignment horizontal="center" vertical="center"/>
    </xf>
    <xf numFmtId="0" fontId="21" fillId="6" borderId="1" xfId="2" applyFont="1" applyFill="1" applyBorder="1" applyAlignment="1">
      <alignment horizontal="center" vertical="center"/>
    </xf>
    <xf numFmtId="168" fontId="20" fillId="6" borderId="1" xfId="2" applyNumberFormat="1" applyFont="1" applyFill="1" applyBorder="1" applyAlignment="1">
      <alignment horizontal="center" vertical="center"/>
    </xf>
    <xf numFmtId="0" fontId="20" fillId="5" borderId="148" xfId="2" applyFont="1" applyFill="1" applyBorder="1" applyAlignment="1">
      <alignment horizontal="center" vertical="center"/>
    </xf>
    <xf numFmtId="0" fontId="20" fillId="5" borderId="149" xfId="2" applyFont="1" applyFill="1" applyBorder="1" applyAlignment="1">
      <alignment horizontal="center" vertical="center"/>
    </xf>
    <xf numFmtId="167" fontId="21" fillId="5" borderId="32" xfId="4" applyNumberFormat="1" applyFont="1" applyFill="1" applyBorder="1"/>
    <xf numFmtId="167" fontId="19" fillId="5" borderId="88" xfId="4" applyNumberFormat="1" applyFont="1" applyFill="1" applyBorder="1" applyAlignment="1">
      <alignment vertical="center"/>
    </xf>
    <xf numFmtId="167" fontId="19" fillId="5" borderId="87" xfId="4" applyNumberFormat="1" applyFont="1" applyFill="1" applyBorder="1" applyAlignment="1">
      <alignment vertical="center"/>
    </xf>
    <xf numFmtId="167" fontId="127" fillId="5" borderId="148" xfId="4" applyNumberFormat="1" applyFont="1" applyFill="1" applyBorder="1"/>
    <xf numFmtId="167" fontId="26" fillId="5" borderId="88" xfId="4" applyNumberFormat="1" applyFont="1" applyFill="1" applyBorder="1"/>
    <xf numFmtId="167" fontId="39" fillId="5" borderId="32" xfId="2" applyNumberFormat="1" applyFont="1" applyFill="1" applyBorder="1"/>
    <xf numFmtId="167" fontId="66" fillId="5" borderId="32" xfId="4" applyNumberFormat="1" applyFont="1" applyFill="1" applyBorder="1"/>
    <xf numFmtId="10" fontId="81" fillId="5" borderId="148" xfId="3" applyNumberFormat="1" applyFont="1" applyFill="1" applyBorder="1" applyAlignment="1">
      <alignment horizontal="center" vertical="center" shrinkToFit="1"/>
    </xf>
    <xf numFmtId="0" fontId="15" fillId="0" borderId="3" xfId="2" applyFont="1" applyBorder="1" applyAlignment="1">
      <alignment horizontal="center" vertical="center" shrinkToFit="1"/>
    </xf>
    <xf numFmtId="0" fontId="93" fillId="0" borderId="13" xfId="2" applyFont="1" applyBorder="1" applyAlignment="1">
      <alignment horizontal="center" vertical="center" shrinkToFit="1"/>
    </xf>
    <xf numFmtId="0" fontId="93" fillId="0" borderId="2" xfId="2" applyFont="1" applyBorder="1" applyAlignment="1">
      <alignment vertical="center" shrinkToFit="1"/>
    </xf>
    <xf numFmtId="0" fontId="93" fillId="0" borderId="2" xfId="2" applyFont="1" applyBorder="1" applyAlignment="1">
      <alignment horizontal="center" vertical="center" shrinkToFit="1"/>
    </xf>
    <xf numFmtId="167" fontId="21" fillId="5" borderId="27" xfId="4" applyNumberFormat="1" applyFont="1" applyFill="1" applyBorder="1"/>
    <xf numFmtId="0" fontId="21" fillId="6" borderId="63" xfId="2" applyFont="1" applyFill="1" applyBorder="1" applyAlignment="1">
      <alignment horizontal="center" vertical="center"/>
    </xf>
    <xf numFmtId="168" fontId="45" fillId="6" borderId="72" xfId="2" applyNumberFormat="1" applyFont="1" applyFill="1" applyBorder="1" applyAlignment="1">
      <alignment horizontal="center" vertical="center"/>
    </xf>
    <xf numFmtId="0" fontId="23" fillId="6" borderId="0" xfId="2" applyFont="1" applyFill="1" applyAlignment="1">
      <alignment vertical="center"/>
    </xf>
    <xf numFmtId="10" fontId="45" fillId="6" borderId="0" xfId="7" applyNumberFormat="1" applyFont="1" applyFill="1" applyBorder="1" applyAlignment="1">
      <alignment horizontal="center" vertical="center"/>
    </xf>
    <xf numFmtId="0" fontId="20" fillId="5" borderId="123" xfId="2" applyFont="1" applyFill="1" applyBorder="1" applyAlignment="1">
      <alignment horizontal="center" vertical="center"/>
    </xf>
    <xf numFmtId="167" fontId="28" fillId="5" borderId="19" xfId="4" applyNumberFormat="1" applyFont="1" applyFill="1" applyBorder="1" applyAlignment="1">
      <alignment vertical="center"/>
    </xf>
    <xf numFmtId="167" fontId="34" fillId="5" borderId="23" xfId="2" applyNumberFormat="1" applyFont="1" applyFill="1" applyBorder="1" applyAlignment="1">
      <alignment vertical="center"/>
    </xf>
    <xf numFmtId="167" fontId="38" fillId="5" borderId="23" xfId="2" applyNumberFormat="1" applyFont="1" applyFill="1" applyBorder="1" applyAlignment="1">
      <alignment vertical="center"/>
    </xf>
    <xf numFmtId="167" fontId="44" fillId="5" borderId="13" xfId="4" applyNumberFormat="1" applyFont="1" applyFill="1" applyBorder="1" applyAlignment="1">
      <alignment vertical="center"/>
    </xf>
    <xf numFmtId="167" fontId="50" fillId="5" borderId="23" xfId="4" applyNumberFormat="1" applyFont="1" applyFill="1" applyBorder="1" applyAlignment="1">
      <alignment vertical="center"/>
    </xf>
    <xf numFmtId="167" fontId="54" fillId="5" borderId="23" xfId="4" applyNumberFormat="1" applyFont="1" applyFill="1" applyBorder="1" applyAlignment="1">
      <alignment vertical="center"/>
    </xf>
    <xf numFmtId="167" fontId="44" fillId="5" borderId="29" xfId="4" applyNumberFormat="1" applyFont="1" applyFill="1" applyBorder="1" applyAlignment="1">
      <alignment vertical="center"/>
    </xf>
    <xf numFmtId="167" fontId="28" fillId="5" borderId="23" xfId="4" applyNumberFormat="1" applyFont="1" applyFill="1" applyBorder="1" applyAlignment="1">
      <alignment vertical="center"/>
    </xf>
    <xf numFmtId="167" fontId="28" fillId="5" borderId="29" xfId="4" applyNumberFormat="1" applyFont="1" applyFill="1" applyBorder="1" applyAlignment="1">
      <alignment vertical="center"/>
    </xf>
    <xf numFmtId="167" fontId="44" fillId="5" borderId="23" xfId="4" applyNumberFormat="1" applyFont="1" applyFill="1" applyBorder="1" applyAlignment="1">
      <alignment vertical="center"/>
    </xf>
    <xf numFmtId="167" fontId="44" fillId="5" borderId="34" xfId="4" applyNumberFormat="1" applyFont="1" applyFill="1" applyBorder="1" applyAlignment="1">
      <alignment vertical="center"/>
    </xf>
    <xf numFmtId="167" fontId="38" fillId="5" borderId="19" xfId="2" applyNumberFormat="1" applyFont="1" applyFill="1" applyBorder="1" applyAlignment="1">
      <alignment vertical="center"/>
    </xf>
    <xf numFmtId="167" fontId="38" fillId="5" borderId="29" xfId="2" applyNumberFormat="1" applyFont="1" applyFill="1" applyBorder="1" applyAlignment="1">
      <alignment vertical="center"/>
    </xf>
    <xf numFmtId="167" fontId="54" fillId="5" borderId="13" xfId="4" applyNumberFormat="1" applyFont="1" applyFill="1" applyBorder="1" applyAlignment="1">
      <alignment vertical="center"/>
    </xf>
    <xf numFmtId="3" fontId="34" fillId="5" borderId="13" xfId="3" applyNumberFormat="1" applyFont="1" applyFill="1" applyBorder="1" applyAlignment="1">
      <alignment horizontal="center" vertical="center" shrinkToFit="1"/>
    </xf>
    <xf numFmtId="3" fontId="81" fillId="5" borderId="13" xfId="3" applyNumberFormat="1" applyFont="1" applyFill="1" applyBorder="1" applyAlignment="1">
      <alignment horizontal="center" vertical="center" shrinkToFit="1"/>
    </xf>
    <xf numFmtId="3" fontId="55" fillId="5" borderId="13" xfId="3" applyNumberFormat="1" applyFont="1" applyFill="1" applyBorder="1" applyAlignment="1">
      <alignment horizontal="center" vertical="center" shrinkToFit="1"/>
    </xf>
    <xf numFmtId="3" fontId="54" fillId="5" borderId="13" xfId="3" applyNumberFormat="1" applyFont="1" applyFill="1" applyBorder="1" applyAlignment="1">
      <alignment horizontal="center" vertical="center" shrinkToFit="1"/>
    </xf>
    <xf numFmtId="10" fontId="81" fillId="5" borderId="7" xfId="3" applyNumberFormat="1" applyFont="1" applyFill="1" applyBorder="1" applyAlignment="1">
      <alignment horizontal="center" vertical="center" shrinkToFit="1"/>
    </xf>
    <xf numFmtId="167" fontId="34" fillId="5" borderId="23" xfId="2" applyNumberFormat="1" applyFont="1" applyFill="1" applyBorder="1"/>
    <xf numFmtId="167" fontId="38" fillId="5" borderId="23" xfId="2" applyNumberFormat="1" applyFont="1" applyFill="1" applyBorder="1"/>
    <xf numFmtId="167" fontId="44" fillId="5" borderId="23" xfId="4" applyNumberFormat="1" applyFont="1" applyFill="1" applyBorder="1"/>
    <xf numFmtId="167" fontId="50" fillId="5" borderId="23" xfId="4" applyNumberFormat="1" applyFont="1" applyFill="1" applyBorder="1"/>
    <xf numFmtId="167" fontId="54" fillId="5" borderId="23" xfId="4" applyNumberFormat="1" applyFont="1" applyFill="1" applyBorder="1"/>
    <xf numFmtId="167" fontId="97" fillId="5" borderId="23" xfId="4" applyNumberFormat="1" applyFont="1" applyFill="1" applyBorder="1"/>
    <xf numFmtId="167" fontId="28" fillId="5" borderId="23" xfId="4" applyNumberFormat="1" applyFont="1" applyFill="1" applyBorder="1"/>
    <xf numFmtId="3" fontId="34" fillId="5" borderId="23" xfId="3" applyNumberFormat="1" applyFont="1" applyFill="1" applyBorder="1" applyAlignment="1">
      <alignment horizontal="center" vertical="center" shrinkToFit="1"/>
    </xf>
    <xf numFmtId="164" fontId="93" fillId="7" borderId="56" xfId="4" applyNumberFormat="1" applyFont="1" applyFill="1" applyBorder="1" applyAlignment="1">
      <alignment horizontal="center" vertical="center"/>
    </xf>
    <xf numFmtId="164" fontId="93" fillId="7" borderId="2" xfId="4" applyNumberFormat="1" applyFont="1" applyFill="1" applyBorder="1" applyAlignment="1">
      <alignment horizontal="center" vertical="center"/>
    </xf>
    <xf numFmtId="3" fontId="21" fillId="4" borderId="11" xfId="2" applyNumberFormat="1" applyFont="1" applyFill="1" applyBorder="1" applyAlignment="1">
      <alignment horizontal="center" vertical="center"/>
    </xf>
    <xf numFmtId="167" fontId="21" fillId="5" borderId="8" xfId="2" applyNumberFormat="1" applyFont="1" applyFill="1" applyBorder="1" applyAlignment="1">
      <alignment horizontal="center" vertical="center"/>
    </xf>
    <xf numFmtId="167" fontId="6" fillId="0" borderId="0" xfId="2" applyNumberFormat="1" applyFont="1"/>
    <xf numFmtId="0" fontId="93" fillId="7" borderId="2" xfId="2" applyFont="1" applyFill="1" applyBorder="1" applyAlignment="1">
      <alignment horizontal="center" vertical="center" shrinkToFit="1"/>
    </xf>
    <xf numFmtId="0" fontId="93" fillId="7" borderId="2" xfId="2" applyFont="1" applyFill="1" applyBorder="1" applyAlignment="1">
      <alignment horizontal="center" vertical="center"/>
    </xf>
    <xf numFmtId="0" fontId="93" fillId="7" borderId="56" xfId="2" applyFont="1" applyFill="1" applyBorder="1" applyAlignment="1">
      <alignment horizontal="center" vertical="center"/>
    </xf>
    <xf numFmtId="164" fontId="93" fillId="7" borderId="13" xfId="4" applyNumberFormat="1" applyFont="1" applyFill="1" applyBorder="1" applyAlignment="1">
      <alignment horizontal="center" vertical="center"/>
    </xf>
    <xf numFmtId="167" fontId="21" fillId="5" borderId="14" xfId="2" applyNumberFormat="1" applyFont="1" applyFill="1" applyBorder="1" applyAlignment="1">
      <alignment horizontal="center" vertical="center"/>
    </xf>
    <xf numFmtId="0" fontId="21" fillId="0" borderId="70" xfId="2" applyFont="1" applyBorder="1" applyAlignment="1">
      <alignment horizontal="center" vertical="center"/>
    </xf>
    <xf numFmtId="164" fontId="21" fillId="0" borderId="70" xfId="4" applyNumberFormat="1" applyFont="1" applyFill="1" applyBorder="1" applyAlignment="1">
      <alignment horizontal="center" vertical="center"/>
    </xf>
    <xf numFmtId="0" fontId="21" fillId="0" borderId="70" xfId="2" applyFont="1" applyBorder="1" applyAlignment="1">
      <alignment horizontal="center" vertical="center" shrinkToFit="1"/>
    </xf>
    <xf numFmtId="0" fontId="21" fillId="7" borderId="44" xfId="5" applyFont="1" applyFill="1" applyBorder="1" applyAlignment="1">
      <alignment horizontal="center" vertical="center" shrinkToFit="1"/>
    </xf>
    <xf numFmtId="3" fontId="34" fillId="4" borderId="30" xfId="2" applyNumberFormat="1" applyFont="1" applyFill="1" applyBorder="1"/>
    <xf numFmtId="0" fontId="28" fillId="5" borderId="14" xfId="2" applyFont="1" applyFill="1" applyBorder="1" applyAlignment="1">
      <alignment horizontal="center" vertical="center"/>
    </xf>
    <xf numFmtId="167" fontId="44" fillId="5" borderId="34" xfId="4" applyNumberFormat="1" applyFont="1" applyFill="1" applyBorder="1"/>
    <xf numFmtId="167" fontId="117" fillId="5" borderId="23" xfId="4" applyNumberFormat="1" applyFont="1" applyFill="1" applyBorder="1"/>
    <xf numFmtId="167" fontId="28" fillId="5" borderId="23" xfId="2" applyNumberFormat="1" applyFont="1" applyFill="1" applyBorder="1"/>
    <xf numFmtId="167" fontId="28" fillId="5" borderId="34" xfId="4" applyNumberFormat="1" applyFont="1" applyFill="1" applyBorder="1"/>
    <xf numFmtId="167" fontId="92" fillId="5" borderId="23" xfId="4" applyNumberFormat="1" applyFont="1" applyFill="1" applyBorder="1"/>
    <xf numFmtId="3" fontId="81" fillId="5" borderId="23" xfId="3" applyNumberFormat="1" applyFont="1" applyFill="1" applyBorder="1" applyAlignment="1">
      <alignment horizontal="center" vertical="center" shrinkToFit="1"/>
    </xf>
    <xf numFmtId="3" fontId="97" fillId="5" borderId="23" xfId="3" applyNumberFormat="1" applyFont="1" applyFill="1" applyBorder="1" applyAlignment="1">
      <alignment horizontal="center" vertical="center" shrinkToFit="1"/>
    </xf>
    <xf numFmtId="3" fontId="92" fillId="5" borderId="23" xfId="3" applyNumberFormat="1" applyFont="1" applyFill="1" applyBorder="1" applyAlignment="1">
      <alignment horizontal="center" vertical="center" shrinkToFit="1"/>
    </xf>
    <xf numFmtId="10" fontId="81" fillId="5" borderId="34" xfId="3" applyNumberFormat="1" applyFont="1" applyFill="1" applyBorder="1" applyAlignment="1">
      <alignment horizontal="center" vertical="center" shrinkToFit="1"/>
    </xf>
    <xf numFmtId="167" fontId="20" fillId="5" borderId="150" xfId="2" applyNumberFormat="1" applyFont="1" applyFill="1" applyBorder="1" applyAlignment="1">
      <alignment horizontal="center" vertical="center"/>
    </xf>
    <xf numFmtId="0" fontId="15" fillId="0" borderId="3" xfId="2" applyFont="1" applyBorder="1" applyAlignment="1">
      <alignment horizontal="center" vertical="center" wrapText="1" shrinkToFit="1"/>
    </xf>
    <xf numFmtId="0" fontId="51" fillId="7" borderId="0" xfId="5" applyFont="1" applyFill="1" applyAlignment="1">
      <alignment horizontal="center" vertical="center" shrinkToFit="1"/>
    </xf>
    <xf numFmtId="0" fontId="15" fillId="7" borderId="3" xfId="2" applyFont="1" applyFill="1" applyBorder="1" applyAlignment="1">
      <alignment horizontal="center" vertical="center" wrapText="1" shrinkToFit="1"/>
    </xf>
    <xf numFmtId="3" fontId="15" fillId="5" borderId="42" xfId="3" applyNumberFormat="1" applyFont="1" applyFill="1" applyBorder="1" applyAlignment="1">
      <alignment horizontal="center" vertical="center" shrinkToFit="1"/>
    </xf>
    <xf numFmtId="3" fontId="35" fillId="5" borderId="27" xfId="3" applyNumberFormat="1" applyFont="1" applyFill="1" applyBorder="1" applyAlignment="1">
      <alignment horizontal="center" vertical="center" shrinkToFit="1"/>
    </xf>
    <xf numFmtId="3" fontId="68" fillId="5" borderId="27" xfId="3" applyNumberFormat="1" applyFont="1" applyFill="1" applyBorder="1" applyAlignment="1">
      <alignment horizontal="center" vertical="center" shrinkToFit="1"/>
    </xf>
    <xf numFmtId="3" fontId="136" fillId="5" borderId="27" xfId="3" applyNumberFormat="1" applyFont="1" applyFill="1" applyBorder="1" applyAlignment="1">
      <alignment horizontal="center" vertical="center" shrinkToFit="1"/>
    </xf>
    <xf numFmtId="3" fontId="137" fillId="5" borderId="27" xfId="3" applyNumberFormat="1" applyFont="1" applyFill="1" applyBorder="1" applyAlignment="1">
      <alignment horizontal="center" vertical="center" shrinkToFit="1"/>
    </xf>
    <xf numFmtId="167" fontId="20" fillId="5" borderId="8" xfId="2" applyNumberFormat="1" applyFont="1" applyFill="1" applyBorder="1" applyAlignment="1">
      <alignment horizontal="center" vertical="center"/>
    </xf>
    <xf numFmtId="3" fontId="28" fillId="4" borderId="11" xfId="2" applyNumberFormat="1" applyFont="1" applyFill="1" applyBorder="1" applyAlignment="1">
      <alignment horizontal="center" vertical="center"/>
    </xf>
    <xf numFmtId="167" fontId="28" fillId="5" borderId="14" xfId="2" applyNumberFormat="1" applyFont="1" applyFill="1" applyBorder="1" applyAlignment="1">
      <alignment horizontal="center" vertical="center"/>
    </xf>
    <xf numFmtId="3" fontId="28" fillId="4" borderId="133" xfId="2" applyNumberFormat="1" applyFont="1" applyFill="1" applyBorder="1" applyAlignment="1">
      <alignment horizontal="center" vertical="center"/>
    </xf>
    <xf numFmtId="167" fontId="28" fillId="5" borderId="8" xfId="2" applyNumberFormat="1" applyFont="1" applyFill="1" applyBorder="1" applyAlignment="1">
      <alignment horizontal="center" vertical="center"/>
    </xf>
    <xf numFmtId="0" fontId="89" fillId="0" borderId="70" xfId="2" applyFont="1" applyBorder="1" applyAlignment="1">
      <alignment horizontal="center" vertical="center" shrinkToFit="1"/>
    </xf>
    <xf numFmtId="3" fontId="87" fillId="4" borderId="17" xfId="2" applyNumberFormat="1" applyFont="1" applyFill="1" applyBorder="1"/>
    <xf numFmtId="3" fontId="18" fillId="4" borderId="22" xfId="2" applyNumberFormat="1" applyFont="1" applyFill="1" applyBorder="1"/>
    <xf numFmtId="3" fontId="18" fillId="4" borderId="30" xfId="2" applyNumberFormat="1" applyFont="1" applyFill="1" applyBorder="1"/>
    <xf numFmtId="3" fontId="87" fillId="4" borderId="22" xfId="2" applyNumberFormat="1" applyFont="1" applyFill="1" applyBorder="1"/>
    <xf numFmtId="3" fontId="18" fillId="4" borderId="38" xfId="2" applyNumberFormat="1" applyFont="1" applyFill="1" applyBorder="1"/>
    <xf numFmtId="167" fontId="293" fillId="5" borderId="23" xfId="4" applyNumberFormat="1" applyFont="1" applyFill="1" applyBorder="1"/>
    <xf numFmtId="167" fontId="294" fillId="5" borderId="23" xfId="2" applyNumberFormat="1" applyFont="1" applyFill="1" applyBorder="1"/>
    <xf numFmtId="167" fontId="294" fillId="5" borderId="23" xfId="4" applyNumberFormat="1" applyFont="1" applyFill="1" applyBorder="1"/>
    <xf numFmtId="167" fontId="294" fillId="5" borderId="34" xfId="2" applyNumberFormat="1" applyFont="1" applyFill="1" applyBorder="1"/>
    <xf numFmtId="3" fontId="35" fillId="4" borderId="41" xfId="2" applyNumberFormat="1" applyFont="1" applyFill="1" applyBorder="1" applyAlignment="1">
      <alignment vertical="center"/>
    </xf>
    <xf numFmtId="167" fontId="35" fillId="5" borderId="15" xfId="4" applyNumberFormat="1" applyFont="1" applyFill="1" applyBorder="1" applyAlignment="1">
      <alignment vertical="center"/>
    </xf>
    <xf numFmtId="3" fontId="18" fillId="4" borderId="30" xfId="2" applyNumberFormat="1" applyFont="1" applyFill="1" applyBorder="1" applyAlignment="1">
      <alignment vertical="center"/>
    </xf>
    <xf numFmtId="3" fontId="294" fillId="5" borderId="23" xfId="3" applyNumberFormat="1" applyFont="1" applyFill="1" applyBorder="1" applyAlignment="1">
      <alignment horizontal="center" vertical="center" shrinkToFit="1"/>
    </xf>
    <xf numFmtId="3" fontId="295" fillId="5" borderId="23" xfId="3" applyNumberFormat="1" applyFont="1" applyFill="1" applyBorder="1" applyAlignment="1">
      <alignment horizontal="center" vertical="center" shrinkToFit="1"/>
    </xf>
    <xf numFmtId="167" fontId="295" fillId="5" borderId="34" xfId="7" applyNumberFormat="1" applyFont="1" applyFill="1" applyBorder="1" applyAlignment="1">
      <alignment horizontal="center" vertical="center" shrinkToFit="1"/>
    </xf>
    <xf numFmtId="3" fontId="18" fillId="4" borderId="22" xfId="3" applyNumberFormat="1" applyFont="1" applyFill="1" applyBorder="1" applyAlignment="1">
      <alignment horizontal="center" vertical="center" shrinkToFit="1"/>
    </xf>
    <xf numFmtId="3" fontId="296" fillId="4" borderId="22" xfId="3" applyNumberFormat="1" applyFont="1" applyFill="1" applyBorder="1" applyAlignment="1">
      <alignment horizontal="center" vertical="center" shrinkToFit="1"/>
    </xf>
    <xf numFmtId="10" fontId="296" fillId="4" borderId="38" xfId="7" applyNumberFormat="1" applyFont="1" applyFill="1" applyBorder="1" applyAlignment="1">
      <alignment horizontal="center" vertical="center" shrinkToFit="1"/>
    </xf>
    <xf numFmtId="3" fontId="35" fillId="4" borderId="41" xfId="2" applyNumberFormat="1" applyFont="1" applyFill="1" applyBorder="1"/>
    <xf numFmtId="167" fontId="35" fillId="5" borderId="19" xfId="4" applyNumberFormat="1" applyFont="1" applyFill="1" applyBorder="1"/>
    <xf numFmtId="167" fontId="35" fillId="5" borderId="19" xfId="4" applyNumberFormat="1" applyFont="1" applyFill="1" applyBorder="1" applyAlignment="1">
      <alignment vertical="center"/>
    </xf>
    <xf numFmtId="3" fontId="87" fillId="4" borderId="17" xfId="2" applyNumberFormat="1" applyFont="1" applyFill="1" applyBorder="1" applyAlignment="1">
      <alignment vertical="center"/>
    </xf>
    <xf numFmtId="3" fontId="18" fillId="4" borderId="22" xfId="2" applyNumberFormat="1" applyFont="1" applyFill="1" applyBorder="1" applyAlignment="1">
      <alignment vertical="center"/>
    </xf>
    <xf numFmtId="3" fontId="18" fillId="4" borderId="38" xfId="2" applyNumberFormat="1" applyFont="1" applyFill="1" applyBorder="1" applyAlignment="1">
      <alignment vertical="center"/>
    </xf>
    <xf numFmtId="167" fontId="293" fillId="5" borderId="23" xfId="4" applyNumberFormat="1" applyFont="1" applyFill="1" applyBorder="1" applyAlignment="1">
      <alignment vertical="center"/>
    </xf>
    <xf numFmtId="167" fontId="294" fillId="5" borderId="23" xfId="2" applyNumberFormat="1" applyFont="1" applyFill="1" applyBorder="1" applyAlignment="1">
      <alignment vertical="center"/>
    </xf>
    <xf numFmtId="167" fontId="294" fillId="5" borderId="23" xfId="4" applyNumberFormat="1" applyFont="1" applyFill="1" applyBorder="1" applyAlignment="1">
      <alignment vertical="center"/>
    </xf>
    <xf numFmtId="167" fontId="294" fillId="5" borderId="34" xfId="2" applyNumberFormat="1" applyFont="1" applyFill="1" applyBorder="1" applyAlignment="1">
      <alignment vertical="center"/>
    </xf>
    <xf numFmtId="0" fontId="26" fillId="4" borderId="6" xfId="2" applyFont="1" applyFill="1" applyBorder="1" applyAlignment="1">
      <alignment horizontal="center" vertical="center"/>
    </xf>
    <xf numFmtId="0" fontId="34" fillId="4" borderId="6" xfId="2" applyFont="1" applyFill="1" applyBorder="1" applyAlignment="1">
      <alignment horizontal="center" vertical="center"/>
    </xf>
    <xf numFmtId="0" fontId="28" fillId="5" borderId="2" xfId="2" applyFont="1" applyFill="1" applyBorder="1" applyAlignment="1">
      <alignment horizontal="center" vertical="center" wrapText="1"/>
    </xf>
    <xf numFmtId="0" fontId="34" fillId="4" borderId="6" xfId="2" applyFont="1" applyFill="1" applyBorder="1" applyAlignment="1">
      <alignment horizontal="center" vertical="center" wrapText="1"/>
    </xf>
    <xf numFmtId="3" fontId="35" fillId="4" borderId="6" xfId="2" applyNumberFormat="1" applyFont="1" applyFill="1" applyBorder="1" applyAlignment="1">
      <alignment vertical="center"/>
    </xf>
    <xf numFmtId="3" fontId="35" fillId="4" borderId="17" xfId="2" applyNumberFormat="1" applyFont="1" applyFill="1" applyBorder="1" applyAlignment="1">
      <alignment vertical="center"/>
    </xf>
    <xf numFmtId="0" fontId="32" fillId="4" borderId="6" xfId="2" applyFont="1" applyFill="1" applyBorder="1" applyAlignment="1">
      <alignment horizontal="center" vertical="center" wrapText="1"/>
    </xf>
    <xf numFmtId="167" fontId="35" fillId="5" borderId="13" xfId="4" applyNumberFormat="1" applyFont="1" applyFill="1" applyBorder="1" applyAlignment="1">
      <alignment vertical="center"/>
    </xf>
    <xf numFmtId="0" fontId="34" fillId="5" borderId="2" xfId="2" applyFont="1" applyFill="1" applyBorder="1" applyAlignment="1">
      <alignment horizontal="center" vertical="center" wrapText="1"/>
    </xf>
    <xf numFmtId="167" fontId="35" fillId="5" borderId="15" xfId="4" applyNumberFormat="1" applyFont="1" applyFill="1" applyBorder="1"/>
    <xf numFmtId="3" fontId="35" fillId="4" borderId="17" xfId="2" applyNumberFormat="1" applyFont="1" applyFill="1" applyBorder="1"/>
    <xf numFmtId="0" fontId="34" fillId="4" borderId="0" xfId="2" applyFont="1" applyFill="1" applyAlignment="1">
      <alignment horizontal="center" vertical="center"/>
    </xf>
    <xf numFmtId="0" fontId="34" fillId="5" borderId="149" xfId="2" applyFont="1" applyFill="1" applyBorder="1" applyAlignment="1">
      <alignment horizontal="center" vertical="center" wrapText="1"/>
    </xf>
    <xf numFmtId="3" fontId="296" fillId="4" borderId="71" xfId="2" applyNumberFormat="1" applyFont="1" applyFill="1" applyBorder="1"/>
    <xf numFmtId="3" fontId="296" fillId="4" borderId="72" xfId="2" applyNumberFormat="1" applyFont="1" applyFill="1" applyBorder="1"/>
    <xf numFmtId="3" fontId="296" fillId="4" borderId="61" xfId="2" applyNumberFormat="1" applyFont="1" applyFill="1" applyBorder="1"/>
    <xf numFmtId="3" fontId="87" fillId="4" borderId="72" xfId="2" applyNumberFormat="1" applyFont="1" applyFill="1" applyBorder="1"/>
    <xf numFmtId="3" fontId="296" fillId="4" borderId="66" xfId="2" applyNumberFormat="1" applyFont="1" applyFill="1" applyBorder="1"/>
    <xf numFmtId="3" fontId="296" fillId="4" borderId="72" xfId="2" applyNumberFormat="1" applyFont="1" applyFill="1" applyBorder="1" applyAlignment="1">
      <alignment vertical="center"/>
    </xf>
    <xf numFmtId="3" fontId="296" fillId="4" borderId="61" xfId="2" applyNumberFormat="1" applyFont="1" applyFill="1" applyBorder="1" applyAlignment="1">
      <alignment vertical="center"/>
    </xf>
    <xf numFmtId="3" fontId="296" fillId="4" borderId="144" xfId="2" applyNumberFormat="1" applyFont="1" applyFill="1" applyBorder="1"/>
    <xf numFmtId="3" fontId="296" fillId="4" borderId="145" xfId="2" applyNumberFormat="1" applyFont="1" applyFill="1" applyBorder="1"/>
    <xf numFmtId="3" fontId="296" fillId="4" borderId="146" xfId="2" applyNumberFormat="1" applyFont="1" applyFill="1" applyBorder="1"/>
    <xf numFmtId="3" fontId="296" fillId="4" borderId="147" xfId="2" applyNumberFormat="1" applyFont="1" applyFill="1" applyBorder="1"/>
    <xf numFmtId="3" fontId="296" fillId="4" borderId="0" xfId="2" applyNumberFormat="1" applyFont="1" applyFill="1"/>
    <xf numFmtId="3" fontId="296" fillId="4" borderId="38" xfId="2" applyNumberFormat="1" applyFont="1" applyFill="1" applyBorder="1"/>
    <xf numFmtId="9" fontId="296" fillId="4" borderId="72" xfId="7" applyFont="1" applyFill="1" applyBorder="1"/>
    <xf numFmtId="3" fontId="296" fillId="4" borderId="61" xfId="2" applyNumberFormat="1" applyFont="1" applyFill="1" applyBorder="1" applyAlignment="1">
      <alignment horizontal="right"/>
    </xf>
    <xf numFmtId="3" fontId="18" fillId="4" borderId="129" xfId="3" applyNumberFormat="1" applyFont="1" applyFill="1" applyBorder="1" applyAlignment="1">
      <alignment horizontal="center" vertical="center" shrinkToFit="1"/>
    </xf>
    <xf numFmtId="10" fontId="18" fillId="4" borderId="0" xfId="3" applyNumberFormat="1" applyFont="1" applyFill="1" applyBorder="1" applyAlignment="1">
      <alignment horizontal="center" vertical="center" shrinkToFit="1"/>
    </xf>
    <xf numFmtId="167" fontId="295" fillId="5" borderId="152" xfId="4" applyNumberFormat="1" applyFont="1" applyFill="1" applyBorder="1"/>
    <xf numFmtId="167" fontId="295" fillId="5" borderId="152" xfId="2" applyNumberFormat="1" applyFont="1" applyFill="1" applyBorder="1"/>
    <xf numFmtId="167" fontId="293" fillId="5" borderId="152" xfId="4" applyNumberFormat="1" applyFont="1" applyFill="1" applyBorder="1"/>
    <xf numFmtId="167" fontId="295" fillId="5" borderId="153" xfId="4" applyNumberFormat="1" applyFont="1" applyFill="1" applyBorder="1"/>
    <xf numFmtId="3" fontId="294" fillId="5" borderId="152" xfId="3" applyNumberFormat="1" applyFont="1" applyFill="1" applyBorder="1" applyAlignment="1">
      <alignment horizontal="center" vertical="center" shrinkToFit="1"/>
    </xf>
    <xf numFmtId="167" fontId="294" fillId="5" borderId="153" xfId="3" applyNumberFormat="1" applyFont="1" applyFill="1" applyBorder="1" applyAlignment="1">
      <alignment horizontal="center" vertical="center" shrinkToFit="1"/>
    </xf>
    <xf numFmtId="167" fontId="35" fillId="5" borderId="151" xfId="4" applyNumberFormat="1" applyFont="1" applyFill="1" applyBorder="1"/>
    <xf numFmtId="3" fontId="35" fillId="4" borderId="71" xfId="2" applyNumberFormat="1" applyFont="1" applyFill="1" applyBorder="1"/>
    <xf numFmtId="3" fontId="35" fillId="4" borderId="58" xfId="2" applyNumberFormat="1" applyFont="1" applyFill="1" applyBorder="1"/>
    <xf numFmtId="3" fontId="35" fillId="4" borderId="147" xfId="2" applyNumberFormat="1" applyFont="1" applyFill="1" applyBorder="1"/>
    <xf numFmtId="167" fontId="35" fillId="5" borderId="151" xfId="4" applyNumberFormat="1" applyFont="1" applyFill="1" applyBorder="1" applyAlignment="1">
      <alignment vertical="center"/>
    </xf>
    <xf numFmtId="0" fontId="35" fillId="4" borderId="6" xfId="2" applyFont="1" applyFill="1" applyBorder="1" applyAlignment="1">
      <alignment horizontal="center" vertical="center"/>
    </xf>
    <xf numFmtId="0" fontId="35" fillId="5" borderId="2" xfId="2" applyFont="1" applyFill="1" applyBorder="1" applyAlignment="1">
      <alignment horizontal="center" vertical="center" wrapText="1"/>
    </xf>
    <xf numFmtId="3" fontId="18" fillId="4" borderId="17" xfId="2" applyNumberFormat="1" applyFont="1" applyFill="1" applyBorder="1"/>
    <xf numFmtId="3" fontId="18" fillId="4" borderId="30" xfId="2" applyNumberFormat="1" applyFont="1" applyFill="1" applyBorder="1" applyAlignment="1">
      <alignment horizontal="right" vertical="center"/>
    </xf>
    <xf numFmtId="3" fontId="297" fillId="4" borderId="22" xfId="3" applyNumberFormat="1" applyFont="1" applyFill="1" applyBorder="1" applyAlignment="1">
      <alignment horizontal="center" vertical="center" shrinkToFit="1"/>
    </xf>
    <xf numFmtId="10" fontId="297" fillId="4" borderId="11" xfId="3" applyNumberFormat="1" applyFont="1" applyFill="1" applyBorder="1" applyAlignment="1">
      <alignment horizontal="center" vertical="center" shrinkToFit="1"/>
    </xf>
    <xf numFmtId="167" fontId="294" fillId="5" borderId="34" xfId="4" applyNumberFormat="1" applyFont="1" applyFill="1" applyBorder="1"/>
    <xf numFmtId="3" fontId="298" fillId="5" borderId="23" xfId="3" applyNumberFormat="1" applyFont="1" applyFill="1" applyBorder="1" applyAlignment="1">
      <alignment horizontal="center" vertical="center" shrinkToFit="1"/>
    </xf>
    <xf numFmtId="167" fontId="298" fillId="5" borderId="34" xfId="3" applyNumberFormat="1" applyFont="1" applyFill="1" applyBorder="1" applyAlignment="1">
      <alignment horizontal="center" vertical="center" shrinkToFit="1"/>
    </xf>
    <xf numFmtId="3" fontId="18" fillId="4" borderId="11" xfId="2" applyNumberFormat="1" applyFont="1" applyFill="1" applyBorder="1"/>
    <xf numFmtId="3" fontId="18" fillId="4" borderId="102" xfId="3" applyNumberFormat="1" applyFont="1" applyFill="1" applyBorder="1" applyAlignment="1">
      <alignment horizontal="center" vertical="center" shrinkToFit="1"/>
    </xf>
    <xf numFmtId="10" fontId="18" fillId="4" borderId="85" xfId="3" applyNumberFormat="1" applyFont="1" applyFill="1" applyBorder="1" applyAlignment="1">
      <alignment horizontal="center" vertical="center" shrinkToFit="1"/>
    </xf>
    <xf numFmtId="167" fontId="294" fillId="5" borderId="34" xfId="3" applyNumberFormat="1" applyFont="1" applyFill="1" applyBorder="1" applyAlignment="1">
      <alignment horizontal="center" vertical="center" shrinkToFit="1"/>
    </xf>
    <xf numFmtId="0" fontId="35" fillId="5" borderId="149" xfId="2" applyFont="1" applyFill="1" applyBorder="1" applyAlignment="1">
      <alignment horizontal="center" vertical="center" wrapText="1"/>
    </xf>
    <xf numFmtId="3" fontId="92" fillId="5" borderId="94" xfId="3" applyNumberFormat="1" applyFont="1" applyFill="1" applyBorder="1" applyAlignment="1">
      <alignment horizontal="center" vertical="center" shrinkToFit="1"/>
    </xf>
    <xf numFmtId="167" fontId="34" fillId="5" borderId="14" xfId="2" applyNumberFormat="1" applyFont="1" applyFill="1" applyBorder="1"/>
    <xf numFmtId="167" fontId="38" fillId="5" borderId="14" xfId="2" applyNumberFormat="1" applyFont="1" applyFill="1" applyBorder="1"/>
    <xf numFmtId="167" fontId="44" fillId="5" borderId="14" xfId="4" applyNumberFormat="1" applyFont="1" applyFill="1" applyBorder="1"/>
    <xf numFmtId="167" fontId="50" fillId="5" borderId="14" xfId="4" applyNumberFormat="1" applyFont="1" applyFill="1" applyBorder="1"/>
    <xf numFmtId="167" fontId="54" fillId="5" borderId="14" xfId="4" applyNumberFormat="1" applyFont="1" applyFill="1" applyBorder="1"/>
    <xf numFmtId="167" fontId="44" fillId="5" borderId="8" xfId="4" applyNumberFormat="1" applyFont="1" applyFill="1" applyBorder="1"/>
    <xf numFmtId="167" fontId="28" fillId="5" borderId="3" xfId="4" applyNumberFormat="1" applyFont="1" applyFill="1" applyBorder="1"/>
    <xf numFmtId="3" fontId="19" fillId="5" borderId="3" xfId="3" applyNumberFormat="1" applyFont="1" applyFill="1" applyBorder="1" applyAlignment="1">
      <alignment horizontal="center" vertical="center" shrinkToFit="1"/>
    </xf>
    <xf numFmtId="3" fontId="26" fillId="5" borderId="14" xfId="3" applyNumberFormat="1" applyFont="1" applyFill="1" applyBorder="1" applyAlignment="1">
      <alignment horizontal="center" vertical="center" shrinkToFit="1"/>
    </xf>
    <xf numFmtId="3" fontId="39" fillId="5" borderId="14" xfId="3" applyNumberFormat="1" applyFont="1" applyFill="1" applyBorder="1" applyAlignment="1">
      <alignment horizontal="center" vertical="center" shrinkToFit="1"/>
    </xf>
    <xf numFmtId="3" fontId="66" fillId="5" borderId="14" xfId="3" applyNumberFormat="1" applyFont="1" applyFill="1" applyBorder="1" applyAlignment="1">
      <alignment horizontal="center" vertical="center" shrinkToFit="1"/>
    </xf>
    <xf numFmtId="3" fontId="67" fillId="5" borderId="14" xfId="3" applyNumberFormat="1" applyFont="1" applyFill="1" applyBorder="1" applyAlignment="1">
      <alignment horizontal="center" vertical="center" shrinkToFit="1"/>
    </xf>
    <xf numFmtId="3" fontId="34" fillId="4" borderId="41" xfId="2" applyNumberFormat="1" applyFont="1" applyFill="1" applyBorder="1"/>
    <xf numFmtId="167" fontId="34" fillId="5" borderId="3" xfId="4" applyNumberFormat="1" applyFont="1" applyFill="1" applyBorder="1"/>
    <xf numFmtId="167" fontId="68" fillId="5" borderId="8" xfId="3" applyNumberFormat="1" applyFont="1" applyFill="1" applyBorder="1" applyAlignment="1">
      <alignment horizontal="center" vertical="center" shrinkToFit="1"/>
    </xf>
    <xf numFmtId="0" fontId="77" fillId="0" borderId="0" xfId="2" applyFont="1"/>
    <xf numFmtId="3" fontId="34" fillId="4" borderId="143" xfId="3" applyNumberFormat="1" applyFont="1" applyFill="1" applyBorder="1" applyAlignment="1">
      <alignment horizontal="center" vertical="center" shrinkToFit="1"/>
    </xf>
    <xf numFmtId="3" fontId="34" fillId="5" borderId="151" xfId="3" applyNumberFormat="1" applyFont="1" applyFill="1" applyBorder="1" applyAlignment="1">
      <alignment horizontal="center" vertical="center" shrinkToFit="1"/>
    </xf>
    <xf numFmtId="3" fontId="34" fillId="4" borderId="101" xfId="3" applyNumberFormat="1" applyFont="1" applyFill="1" applyBorder="1" applyAlignment="1">
      <alignment horizontal="center" vertical="center" shrinkToFit="1"/>
    </xf>
    <xf numFmtId="3" fontId="34" fillId="5" borderId="15" xfId="3" applyNumberFormat="1" applyFont="1" applyFill="1" applyBorder="1" applyAlignment="1">
      <alignment horizontal="center" vertical="center" shrinkToFit="1"/>
    </xf>
    <xf numFmtId="3" fontId="35" fillId="4" borderId="41" xfId="3" applyNumberFormat="1" applyFont="1" applyFill="1" applyBorder="1" applyAlignment="1">
      <alignment horizontal="center" vertical="center" shrinkToFit="1"/>
    </xf>
    <xf numFmtId="3" fontId="35" fillId="5" borderId="15" xfId="3" applyNumberFormat="1" applyFont="1" applyFill="1" applyBorder="1" applyAlignment="1">
      <alignment horizontal="center" vertical="center" shrinkToFit="1"/>
    </xf>
    <xf numFmtId="3" fontId="34" fillId="4" borderId="41" xfId="3" applyNumberFormat="1" applyFont="1" applyFill="1" applyBorder="1" applyAlignment="1">
      <alignment horizontal="center" vertical="center" shrinkToFit="1"/>
    </xf>
    <xf numFmtId="3" fontId="33" fillId="7" borderId="25" xfId="2" applyNumberFormat="1" applyFont="1" applyFill="1" applyBorder="1" applyAlignment="1">
      <alignment vertical="center"/>
    </xf>
    <xf numFmtId="4" fontId="34" fillId="5" borderId="15" xfId="3" applyNumberFormat="1" applyFont="1" applyFill="1" applyBorder="1" applyAlignment="1">
      <alignment horizontal="center" vertical="center" shrinkToFit="1"/>
    </xf>
    <xf numFmtId="4" fontId="34" fillId="5" borderId="2" xfId="3" applyNumberFormat="1" applyFont="1" applyFill="1" applyBorder="1" applyAlignment="1">
      <alignment horizontal="center" vertical="center" shrinkToFit="1"/>
    </xf>
    <xf numFmtId="4" fontId="34" fillId="5" borderId="19" xfId="3" applyNumberFormat="1" applyFont="1" applyFill="1" applyBorder="1" applyAlignment="1">
      <alignment horizontal="center" vertical="center" shrinkToFit="1"/>
    </xf>
    <xf numFmtId="43" fontId="75" fillId="0" borderId="0" xfId="4" applyFont="1" applyFill="1" applyAlignment="1">
      <alignment horizontal="right" vertical="center"/>
    </xf>
    <xf numFmtId="166" fontId="19" fillId="7" borderId="10" xfId="2" quotePrefix="1" applyNumberFormat="1" applyFont="1" applyFill="1" applyBorder="1" applyAlignment="1">
      <alignment horizontal="center" vertical="center"/>
    </xf>
    <xf numFmtId="3" fontId="21" fillId="7" borderId="16" xfId="2" applyNumberFormat="1" applyFont="1" applyFill="1" applyBorder="1" applyAlignment="1">
      <alignment horizontal="right" vertical="center"/>
    </xf>
    <xf numFmtId="3" fontId="30" fillId="7" borderId="16" xfId="2" applyNumberFormat="1" applyFont="1" applyFill="1" applyBorder="1" applyAlignment="1">
      <alignment horizontal="right" vertical="center"/>
    </xf>
    <xf numFmtId="3" fontId="37" fillId="7" borderId="25" xfId="2" applyNumberFormat="1" applyFont="1" applyFill="1" applyBorder="1" applyAlignment="1">
      <alignment vertical="center"/>
    </xf>
    <xf numFmtId="3" fontId="43" fillId="7" borderId="28" xfId="2" applyNumberFormat="1" applyFont="1" applyFill="1" applyBorder="1" applyAlignment="1">
      <alignment vertical="center"/>
    </xf>
    <xf numFmtId="3" fontId="43" fillId="7" borderId="25" xfId="2" applyNumberFormat="1" applyFont="1" applyFill="1" applyBorder="1" applyAlignment="1">
      <alignment vertical="center"/>
    </xf>
    <xf numFmtId="3" fontId="49" fillId="7" borderId="28" xfId="2" applyNumberFormat="1" applyFont="1" applyFill="1" applyBorder="1" applyAlignment="1">
      <alignment vertical="center"/>
    </xf>
    <xf numFmtId="3" fontId="49" fillId="7" borderId="25" xfId="2" applyNumberFormat="1" applyFont="1" applyFill="1" applyBorder="1" applyAlignment="1">
      <alignment vertical="center"/>
    </xf>
    <xf numFmtId="3" fontId="53" fillId="7" borderId="28" xfId="2" applyNumberFormat="1" applyFont="1" applyFill="1" applyBorder="1" applyAlignment="1">
      <alignment vertical="center"/>
    </xf>
    <xf numFmtId="3" fontId="53" fillId="7" borderId="25" xfId="2" applyNumberFormat="1" applyFont="1" applyFill="1" applyBorder="1" applyAlignment="1">
      <alignment vertical="center"/>
    </xf>
    <xf numFmtId="3" fontId="57" fillId="7" borderId="25" xfId="2" applyNumberFormat="1" applyFont="1" applyFill="1" applyBorder="1" applyAlignment="1">
      <alignment vertical="center"/>
    </xf>
    <xf numFmtId="3" fontId="57" fillId="7" borderId="28" xfId="2" applyNumberFormat="1" applyFont="1" applyFill="1" applyBorder="1" applyAlignment="1">
      <alignment vertical="center"/>
    </xf>
    <xf numFmtId="3" fontId="33" fillId="7" borderId="25" xfId="2" applyNumberFormat="1" applyFont="1" applyFill="1" applyBorder="1" applyAlignment="1">
      <alignment horizontal="center" vertical="center"/>
    </xf>
    <xf numFmtId="3" fontId="57" fillId="7" borderId="25" xfId="2" applyNumberFormat="1" applyFont="1" applyFill="1" applyBorder="1" applyAlignment="1">
      <alignment horizontal="center" vertical="center"/>
    </xf>
    <xf numFmtId="3" fontId="33" fillId="7" borderId="28" xfId="2" applyNumberFormat="1" applyFont="1" applyFill="1" applyBorder="1" applyAlignment="1">
      <alignment vertical="center"/>
    </xf>
    <xf numFmtId="3" fontId="33" fillId="7" borderId="35" xfId="2" applyNumberFormat="1" applyFont="1" applyFill="1" applyBorder="1" applyAlignment="1">
      <alignment vertical="center"/>
    </xf>
    <xf numFmtId="3" fontId="33" fillId="7" borderId="36" xfId="2" applyNumberFormat="1" applyFont="1" applyFill="1" applyBorder="1" applyAlignment="1">
      <alignment vertical="center"/>
    </xf>
    <xf numFmtId="3" fontId="21" fillId="7" borderId="40" xfId="2" applyNumberFormat="1" applyFont="1" applyFill="1" applyBorder="1" applyAlignment="1">
      <alignment horizontal="right" vertical="center"/>
    </xf>
    <xf numFmtId="3" fontId="62" fillId="7" borderId="25" xfId="2" applyNumberFormat="1" applyFont="1" applyFill="1" applyBorder="1" applyAlignment="1">
      <alignment vertical="center"/>
    </xf>
    <xf numFmtId="3" fontId="63" fillId="7" borderId="28" xfId="2" applyNumberFormat="1" applyFont="1" applyFill="1" applyBorder="1" applyAlignment="1">
      <alignment vertical="center"/>
    </xf>
    <xf numFmtId="3" fontId="63" fillId="7" borderId="25" xfId="2" applyNumberFormat="1" applyFont="1" applyFill="1" applyBorder="1" applyAlignment="1">
      <alignment vertical="center"/>
    </xf>
    <xf numFmtId="3" fontId="64" fillId="7" borderId="28" xfId="2" applyNumberFormat="1" applyFont="1" applyFill="1" applyBorder="1" applyAlignment="1">
      <alignment vertical="center"/>
    </xf>
    <xf numFmtId="3" fontId="64" fillId="7" borderId="25" xfId="2" applyNumberFormat="1" applyFont="1" applyFill="1" applyBorder="1" applyAlignment="1">
      <alignment vertical="center"/>
    </xf>
    <xf numFmtId="3" fontId="266" fillId="7" borderId="28" xfId="2" applyNumberFormat="1" applyFont="1" applyFill="1" applyBorder="1" applyAlignment="1">
      <alignment vertical="center"/>
    </xf>
    <xf numFmtId="3" fontId="266" fillId="7" borderId="25" xfId="2" applyNumberFormat="1" applyFont="1" applyFill="1" applyBorder="1" applyAlignment="1">
      <alignment vertical="center"/>
    </xf>
    <xf numFmtId="3" fontId="33" fillId="7" borderId="16" xfId="2" applyNumberFormat="1" applyFont="1" applyFill="1" applyBorder="1" applyAlignment="1">
      <alignment vertical="center"/>
    </xf>
    <xf numFmtId="3" fontId="89" fillId="7" borderId="25" xfId="2" applyNumberFormat="1" applyFont="1" applyFill="1" applyBorder="1" applyAlignment="1">
      <alignment vertical="center"/>
    </xf>
    <xf numFmtId="3" fontId="89" fillId="7" borderId="40" xfId="2" applyNumberFormat="1" applyFont="1" applyFill="1" applyBorder="1" applyAlignment="1">
      <alignment horizontal="right" vertical="center"/>
    </xf>
    <xf numFmtId="3" fontId="19" fillId="7" borderId="46" xfId="3" applyNumberFormat="1" applyFont="1" applyFill="1" applyBorder="1" applyAlignment="1">
      <alignment horizontal="center" vertical="center" shrinkToFit="1"/>
    </xf>
    <xf numFmtId="166" fontId="21" fillId="7" borderId="54" xfId="2" quotePrefix="1" applyNumberFormat="1" applyFont="1" applyFill="1" applyBorder="1" applyAlignment="1">
      <alignment horizontal="center" vertical="center"/>
    </xf>
    <xf numFmtId="3" fontId="21" fillId="7" borderId="57" xfId="2" applyNumberFormat="1" applyFont="1" applyFill="1" applyBorder="1" applyAlignment="1">
      <alignment horizontal="right" vertical="center"/>
    </xf>
    <xf numFmtId="3" fontId="57" fillId="7" borderId="60" xfId="2" applyNumberFormat="1" applyFont="1" applyFill="1" applyBorder="1" applyAlignment="1">
      <alignment vertical="center"/>
    </xf>
    <xf numFmtId="3" fontId="57" fillId="7" borderId="62" xfId="2" applyNumberFormat="1" applyFont="1" applyFill="1" applyBorder="1" applyAlignment="1">
      <alignment vertical="center"/>
    </xf>
    <xf numFmtId="3" fontId="37" fillId="7" borderId="25" xfId="2" applyNumberFormat="1" applyFont="1" applyFill="1" applyBorder="1" applyAlignment="1">
      <alignment horizontal="center" vertical="center"/>
    </xf>
    <xf numFmtId="3" fontId="37" fillId="7" borderId="36" xfId="2" applyNumberFormat="1" applyFont="1" applyFill="1" applyBorder="1" applyAlignment="1">
      <alignment vertical="center"/>
    </xf>
    <xf numFmtId="3" fontId="26" fillId="7" borderId="25" xfId="3" applyNumberFormat="1" applyFont="1" applyFill="1" applyBorder="1" applyAlignment="1">
      <alignment horizontal="center" vertical="center" shrinkToFit="1"/>
    </xf>
    <xf numFmtId="3" fontId="26" fillId="7" borderId="26" xfId="3" applyNumberFormat="1" applyFont="1" applyFill="1" applyBorder="1" applyAlignment="1">
      <alignment horizontal="center" vertical="center" shrinkToFit="1"/>
    </xf>
    <xf numFmtId="3" fontId="39" fillId="7" borderId="25" xfId="3" applyNumberFormat="1" applyFont="1" applyFill="1" applyBorder="1" applyAlignment="1">
      <alignment horizontal="center" vertical="center" shrinkToFit="1"/>
    </xf>
    <xf numFmtId="3" fontId="39" fillId="7" borderId="26" xfId="3" applyNumberFormat="1" applyFont="1" applyFill="1" applyBorder="1" applyAlignment="1">
      <alignment horizontal="center" vertical="center" shrinkToFit="1"/>
    </xf>
    <xf numFmtId="3" fontId="66" fillId="7" borderId="25" xfId="3" applyNumberFormat="1" applyFont="1" applyFill="1" applyBorder="1" applyAlignment="1">
      <alignment horizontal="center" vertical="center" shrinkToFit="1"/>
    </xf>
    <xf numFmtId="3" fontId="59" fillId="7" borderId="25" xfId="3" applyNumberFormat="1" applyFont="1" applyFill="1" applyBorder="1" applyAlignment="1">
      <alignment horizontal="center" vertical="center" shrinkToFit="1"/>
    </xf>
    <xf numFmtId="3" fontId="59" fillId="7" borderId="26" xfId="3" applyNumberFormat="1" applyFont="1" applyFill="1" applyBorder="1" applyAlignment="1">
      <alignment horizontal="center" vertical="center" shrinkToFit="1"/>
    </xf>
    <xf numFmtId="10" fontId="39" fillId="7" borderId="36" xfId="7" applyNumberFormat="1" applyFont="1" applyFill="1" applyBorder="1" applyAlignment="1">
      <alignment horizontal="center" vertical="center" shrinkToFit="1"/>
    </xf>
    <xf numFmtId="3" fontId="37" fillId="7" borderId="28" xfId="2" applyNumberFormat="1" applyFont="1" applyFill="1" applyBorder="1" applyAlignment="1">
      <alignment vertical="center"/>
    </xf>
    <xf numFmtId="166" fontId="19" fillId="7" borderId="54" xfId="2" quotePrefix="1" applyNumberFormat="1" applyFont="1" applyFill="1" applyBorder="1" applyAlignment="1">
      <alignment horizontal="center" vertical="center"/>
    </xf>
    <xf numFmtId="3" fontId="21" fillId="7" borderId="59" xfId="2" applyNumberFormat="1" applyFont="1" applyFill="1" applyBorder="1" applyAlignment="1">
      <alignment horizontal="right" vertical="center"/>
    </xf>
    <xf numFmtId="3" fontId="116" fillId="7" borderId="25" xfId="2" applyNumberFormat="1" applyFont="1" applyFill="1" applyBorder="1" applyAlignment="1">
      <alignment vertical="center"/>
    </xf>
    <xf numFmtId="3" fontId="21" fillId="7" borderId="25" xfId="2" applyNumberFormat="1" applyFont="1" applyFill="1" applyBorder="1" applyAlignment="1">
      <alignment vertical="center"/>
    </xf>
    <xf numFmtId="3" fontId="21" fillId="7" borderId="36" xfId="2" applyNumberFormat="1" applyFont="1" applyFill="1" applyBorder="1" applyAlignment="1">
      <alignment vertical="center"/>
    </xf>
    <xf numFmtId="3" fontId="30" fillId="7" borderId="28" xfId="2" applyNumberFormat="1" applyFont="1" applyFill="1" applyBorder="1" applyAlignment="1">
      <alignment horizontal="right" vertical="center"/>
    </xf>
    <xf numFmtId="3" fontId="21" fillId="7" borderId="25" xfId="2" applyNumberFormat="1" applyFont="1" applyFill="1" applyBorder="1" applyAlignment="1">
      <alignment horizontal="center" vertical="center"/>
    </xf>
    <xf numFmtId="3" fontId="21" fillId="7" borderId="100" xfId="2" applyNumberFormat="1" applyFont="1" applyFill="1" applyBorder="1" applyAlignment="1">
      <alignment horizontal="right" vertical="center"/>
    </xf>
    <xf numFmtId="3" fontId="30" fillId="7" borderId="25" xfId="2" applyNumberFormat="1" applyFont="1" applyFill="1" applyBorder="1" applyAlignment="1">
      <alignment horizontal="right" vertical="center"/>
    </xf>
    <xf numFmtId="3" fontId="21" fillId="7" borderId="78" xfId="3" applyNumberFormat="1" applyFont="1" applyFill="1" applyBorder="1" applyAlignment="1">
      <alignment horizontal="center" vertical="center" shrinkToFit="1"/>
    </xf>
    <xf numFmtId="3" fontId="33" fillId="7" borderId="95" xfId="3" applyNumberFormat="1" applyFont="1" applyFill="1" applyBorder="1" applyAlignment="1">
      <alignment horizontal="center" vertical="center" shrinkToFit="1"/>
    </xf>
    <xf numFmtId="3" fontId="62" fillId="7" borderId="95" xfId="3" applyNumberFormat="1" applyFont="1" applyFill="1" applyBorder="1" applyAlignment="1">
      <alignment horizontal="center" vertical="center" shrinkToFit="1"/>
    </xf>
    <xf numFmtId="3" fontId="130" fillId="7" borderId="95" xfId="3" applyNumberFormat="1" applyFont="1" applyFill="1" applyBorder="1" applyAlignment="1">
      <alignment horizontal="center" vertical="center" shrinkToFit="1"/>
    </xf>
    <xf numFmtId="3" fontId="53" fillId="7" borderId="95" xfId="3" applyNumberFormat="1" applyFont="1" applyFill="1" applyBorder="1" applyAlignment="1">
      <alignment horizontal="center" vertical="center" shrinkToFit="1"/>
    </xf>
    <xf numFmtId="10" fontId="62" fillId="7" borderId="52" xfId="3" applyNumberFormat="1" applyFont="1" applyFill="1" applyBorder="1" applyAlignment="1">
      <alignment horizontal="center" vertical="center" shrinkToFit="1"/>
    </xf>
    <xf numFmtId="166" fontId="21" fillId="7" borderId="10" xfId="2" quotePrefix="1" applyNumberFormat="1" applyFont="1" applyFill="1" applyBorder="1" applyAlignment="1">
      <alignment horizontal="center" vertical="center"/>
    </xf>
    <xf numFmtId="3" fontId="37" fillId="7" borderId="62" xfId="2" applyNumberFormat="1" applyFont="1" applyFill="1" applyBorder="1" applyAlignment="1">
      <alignment horizontal="center" vertical="center"/>
    </xf>
    <xf numFmtId="3" fontId="33" fillId="7" borderId="62" xfId="2" applyNumberFormat="1" applyFont="1" applyFill="1" applyBorder="1" applyAlignment="1">
      <alignment horizontal="center" vertical="center"/>
    </xf>
    <xf numFmtId="3" fontId="33" fillId="7" borderId="60" xfId="2" applyNumberFormat="1" applyFont="1" applyFill="1" applyBorder="1" applyAlignment="1">
      <alignment vertical="center"/>
    </xf>
    <xf numFmtId="3" fontId="33" fillId="7" borderId="62" xfId="2" applyNumberFormat="1" applyFont="1" applyFill="1" applyBorder="1" applyAlignment="1">
      <alignment vertical="center"/>
    </xf>
    <xf numFmtId="3" fontId="116" fillId="7" borderId="28" xfId="2" applyNumberFormat="1" applyFont="1" applyFill="1" applyBorder="1" applyAlignment="1">
      <alignment vertical="center"/>
    </xf>
    <xf numFmtId="3" fontId="37" fillId="7" borderId="62" xfId="2" applyNumberFormat="1" applyFont="1" applyFill="1" applyBorder="1" applyAlignment="1">
      <alignment vertical="center"/>
    </xf>
    <xf numFmtId="3" fontId="119" fillId="7" borderId="25" xfId="2" applyNumberFormat="1" applyFont="1" applyFill="1" applyBorder="1" applyAlignment="1">
      <alignment vertical="center"/>
    </xf>
    <xf numFmtId="0" fontId="64" fillId="7" borderId="73" xfId="2" applyFont="1" applyFill="1" applyBorder="1"/>
    <xf numFmtId="0" fontId="23" fillId="7" borderId="73" xfId="2" applyFont="1" applyFill="1" applyBorder="1"/>
    <xf numFmtId="3" fontId="89" fillId="7" borderId="57" xfId="2" applyNumberFormat="1" applyFont="1" applyFill="1" applyBorder="1" applyAlignment="1">
      <alignment vertical="center"/>
    </xf>
    <xf numFmtId="3" fontId="37" fillId="7" borderId="75" xfId="2" applyNumberFormat="1" applyFont="1" applyFill="1" applyBorder="1" applyAlignment="1">
      <alignment vertical="center"/>
    </xf>
    <xf numFmtId="0" fontId="64" fillId="7" borderId="26" xfId="2" applyFont="1" applyFill="1" applyBorder="1"/>
    <xf numFmtId="3" fontId="119" fillId="7" borderId="75" xfId="2" applyNumberFormat="1" applyFont="1" applyFill="1" applyBorder="1" applyAlignment="1">
      <alignment vertical="center"/>
    </xf>
    <xf numFmtId="3" fontId="33" fillId="7" borderId="82" xfId="3" applyNumberFormat="1" applyFont="1" applyFill="1" applyBorder="1" applyAlignment="1">
      <alignment horizontal="center" vertical="center" shrinkToFit="1"/>
    </xf>
    <xf numFmtId="3" fontId="62" fillId="7" borderId="82" xfId="3" applyNumberFormat="1" applyFont="1" applyFill="1" applyBorder="1" applyAlignment="1">
      <alignment horizontal="center" vertical="center" shrinkToFit="1"/>
    </xf>
    <xf numFmtId="3" fontId="63" fillId="7" borderId="82" xfId="3" applyNumberFormat="1" applyFont="1" applyFill="1" applyBorder="1" applyAlignment="1">
      <alignment horizontal="center" vertical="center" shrinkToFit="1"/>
    </xf>
    <xf numFmtId="3" fontId="64" fillId="7" borderId="82" xfId="3" applyNumberFormat="1" applyFont="1" applyFill="1" applyBorder="1" applyAlignment="1">
      <alignment horizontal="center" vertical="center" shrinkToFit="1"/>
    </xf>
    <xf numFmtId="10" fontId="62" fillId="7" borderId="75" xfId="3" applyNumberFormat="1" applyFont="1" applyFill="1" applyBorder="1" applyAlignment="1">
      <alignment horizontal="center" vertical="center" shrinkToFit="1"/>
    </xf>
    <xf numFmtId="3" fontId="57" fillId="7" borderId="62" xfId="2" applyNumberFormat="1" applyFont="1" applyFill="1" applyBorder="1" applyAlignment="1">
      <alignment horizontal="center" vertical="center"/>
    </xf>
    <xf numFmtId="3" fontId="112" fillId="7" borderId="62" xfId="2" applyNumberFormat="1" applyFont="1" applyFill="1" applyBorder="1" applyAlignment="1">
      <alignment horizontal="center" vertical="center"/>
    </xf>
    <xf numFmtId="3" fontId="89" fillId="7" borderId="62" xfId="2" applyNumberFormat="1" applyFont="1" applyFill="1" applyBorder="1" applyAlignment="1">
      <alignment horizontal="center" vertical="center"/>
    </xf>
    <xf numFmtId="3" fontId="21" fillId="7" borderId="62" xfId="2" applyNumberFormat="1" applyFont="1" applyFill="1" applyBorder="1" applyAlignment="1">
      <alignment horizontal="center" vertical="center"/>
    </xf>
    <xf numFmtId="3" fontId="112" fillId="7" borderId="25" xfId="2" applyNumberFormat="1" applyFont="1" applyFill="1" applyBorder="1" applyAlignment="1">
      <alignment horizontal="center" vertical="center"/>
    </xf>
    <xf numFmtId="3" fontId="89" fillId="7" borderId="25" xfId="2" applyNumberFormat="1" applyFont="1" applyFill="1" applyBorder="1" applyAlignment="1">
      <alignment horizontal="center" vertical="center"/>
    </xf>
    <xf numFmtId="3" fontId="21" fillId="7" borderId="60" xfId="2" applyNumberFormat="1" applyFont="1" applyFill="1" applyBorder="1" applyAlignment="1">
      <alignment horizontal="center" vertical="center"/>
    </xf>
    <xf numFmtId="3" fontId="21" fillId="7" borderId="62" xfId="2" applyNumberFormat="1" applyFont="1" applyFill="1" applyBorder="1" applyAlignment="1">
      <alignment vertical="center"/>
    </xf>
    <xf numFmtId="3" fontId="57" fillId="7" borderId="62" xfId="2" applyNumberFormat="1" applyFont="1" applyFill="1" applyBorder="1" applyAlignment="1">
      <alignment horizontal="center"/>
    </xf>
    <xf numFmtId="3" fontId="21" fillId="7" borderId="62" xfId="2" applyNumberFormat="1" applyFont="1" applyFill="1" applyBorder="1" applyAlignment="1">
      <alignment horizontal="center"/>
    </xf>
    <xf numFmtId="3" fontId="89" fillId="7" borderId="62" xfId="2" applyNumberFormat="1" applyFont="1" applyFill="1" applyBorder="1" applyAlignment="1">
      <alignment horizontal="center"/>
    </xf>
    <xf numFmtId="3" fontId="112" fillId="7" borderId="62" xfId="2" applyNumberFormat="1" applyFont="1" applyFill="1" applyBorder="1" applyAlignment="1">
      <alignment horizontal="center"/>
    </xf>
    <xf numFmtId="0" fontId="64" fillId="7" borderId="73" xfId="2" applyFont="1" applyFill="1" applyBorder="1" applyAlignment="1">
      <alignment vertical="center"/>
    </xf>
    <xf numFmtId="3" fontId="33" fillId="7" borderId="60" xfId="2" applyNumberFormat="1" applyFont="1" applyFill="1" applyBorder="1" applyAlignment="1">
      <alignment horizontal="right" vertical="center"/>
    </xf>
    <xf numFmtId="3" fontId="19" fillId="7" borderId="78" xfId="3" applyNumberFormat="1" applyFont="1" applyFill="1" applyBorder="1" applyAlignment="1">
      <alignment horizontal="center" vertical="center" shrinkToFit="1"/>
    </xf>
    <xf numFmtId="3" fontId="26" fillId="7" borderId="82" xfId="3" applyNumberFormat="1" applyFont="1" applyFill="1" applyBorder="1" applyAlignment="1">
      <alignment horizontal="center" vertical="center" shrinkToFit="1"/>
    </xf>
    <xf numFmtId="3" fontId="39" fillId="7" borderId="82" xfId="3" applyNumberFormat="1" applyFont="1" applyFill="1" applyBorder="1" applyAlignment="1">
      <alignment horizontal="center" vertical="center" shrinkToFit="1"/>
    </xf>
    <xf numFmtId="3" fontId="118" fillId="7" borderId="82" xfId="3" applyNumberFormat="1" applyFont="1" applyFill="1" applyBorder="1" applyAlignment="1">
      <alignment horizontal="center" vertical="center" shrinkToFit="1"/>
    </xf>
    <xf numFmtId="3" fontId="59" fillId="7" borderId="82" xfId="3" applyNumberFormat="1" applyFont="1" applyFill="1" applyBorder="1" applyAlignment="1">
      <alignment horizontal="center" vertical="center" shrinkToFit="1"/>
    </xf>
    <xf numFmtId="10" fontId="39" fillId="7" borderId="75" xfId="3" applyNumberFormat="1" applyFont="1" applyFill="1" applyBorder="1" applyAlignment="1">
      <alignment horizontal="center" vertical="center" shrinkToFit="1"/>
    </xf>
    <xf numFmtId="3" fontId="118" fillId="7" borderId="25" xfId="3" applyNumberFormat="1" applyFont="1" applyFill="1" applyBorder="1" applyAlignment="1">
      <alignment horizontal="center" vertical="center" shrinkToFit="1"/>
    </xf>
    <xf numFmtId="3" fontId="118" fillId="7" borderId="26" xfId="3" applyNumberFormat="1" applyFont="1" applyFill="1" applyBorder="1" applyAlignment="1">
      <alignment horizontal="center" vertical="center" shrinkToFit="1"/>
    </xf>
    <xf numFmtId="3" fontId="21" fillId="8" borderId="16" xfId="2" applyNumberFormat="1" applyFont="1" applyFill="1" applyBorder="1" applyAlignment="1">
      <alignment horizontal="right" vertical="center"/>
    </xf>
    <xf numFmtId="3" fontId="43" fillId="8" borderId="28" xfId="2" applyNumberFormat="1" applyFont="1" applyFill="1" applyBorder="1" applyAlignment="1">
      <alignment vertical="center"/>
    </xf>
    <xf numFmtId="3" fontId="49" fillId="8" borderId="28" xfId="2" applyNumberFormat="1" applyFont="1" applyFill="1" applyBorder="1" applyAlignment="1">
      <alignment vertical="center"/>
    </xf>
    <xf numFmtId="3" fontId="53" fillId="8" borderId="28" xfId="2" applyNumberFormat="1" applyFont="1" applyFill="1" applyBorder="1" applyAlignment="1">
      <alignment vertical="center"/>
    </xf>
    <xf numFmtId="3" fontId="57" fillId="8" borderId="28" xfId="2" applyNumberFormat="1" applyFont="1" applyFill="1" applyBorder="1" applyAlignment="1">
      <alignment vertical="center"/>
    </xf>
    <xf numFmtId="3" fontId="33" fillId="8" borderId="28" xfId="2" applyNumberFormat="1" applyFont="1" applyFill="1" applyBorder="1" applyAlignment="1">
      <alignment vertical="center"/>
    </xf>
    <xf numFmtId="3" fontId="33" fillId="8" borderId="35" xfId="2" applyNumberFormat="1" applyFont="1" applyFill="1" applyBorder="1" applyAlignment="1">
      <alignment vertical="center"/>
    </xf>
    <xf numFmtId="3" fontId="21" fillId="8" borderId="40" xfId="2" applyNumberFormat="1" applyFont="1" applyFill="1" applyBorder="1" applyAlignment="1">
      <alignment horizontal="right" vertical="center"/>
    </xf>
    <xf numFmtId="3" fontId="63" fillId="8" borderId="28" xfId="2" applyNumberFormat="1" applyFont="1" applyFill="1" applyBorder="1" applyAlignment="1">
      <alignment vertical="center"/>
    </xf>
    <xf numFmtId="3" fontId="64" fillId="8" borderId="28" xfId="2" applyNumberFormat="1" applyFont="1" applyFill="1" applyBorder="1" applyAlignment="1">
      <alignment vertical="center"/>
    </xf>
    <xf numFmtId="3" fontId="266" fillId="8" borderId="28" xfId="2" applyNumberFormat="1" applyFont="1" applyFill="1" applyBorder="1" applyAlignment="1">
      <alignment vertical="center"/>
    </xf>
    <xf numFmtId="3" fontId="37" fillId="8" borderId="25" xfId="2" applyNumberFormat="1" applyFont="1" applyFill="1" applyBorder="1" applyAlignment="1">
      <alignment vertical="center"/>
    </xf>
    <xf numFmtId="166" fontId="19" fillId="8" borderId="10" xfId="2" quotePrefix="1" applyNumberFormat="1" applyFont="1" applyFill="1" applyBorder="1" applyAlignment="1">
      <alignment horizontal="center" vertical="center"/>
    </xf>
    <xf numFmtId="3" fontId="30" fillId="8" borderId="16" xfId="2" applyNumberFormat="1" applyFont="1" applyFill="1" applyBorder="1" applyAlignment="1">
      <alignment horizontal="right" vertical="center"/>
    </xf>
    <xf numFmtId="3" fontId="43" fillId="8" borderId="25" xfId="2" applyNumberFormat="1" applyFont="1" applyFill="1" applyBorder="1" applyAlignment="1">
      <alignment vertical="center"/>
    </xf>
    <xf numFmtId="3" fontId="49" fillId="8" borderId="25" xfId="2" applyNumberFormat="1" applyFont="1" applyFill="1" applyBorder="1" applyAlignment="1">
      <alignment vertical="center"/>
    </xf>
    <xf numFmtId="3" fontId="53" fillId="8" borderId="25" xfId="2" applyNumberFormat="1" applyFont="1" applyFill="1" applyBorder="1" applyAlignment="1">
      <alignment vertical="center"/>
    </xf>
    <xf numFmtId="3" fontId="57" fillId="8" borderId="25" xfId="2" applyNumberFormat="1" applyFont="1" applyFill="1" applyBorder="1" applyAlignment="1">
      <alignment vertical="center"/>
    </xf>
    <xf numFmtId="3" fontId="33" fillId="8" borderId="36" xfId="2" applyNumberFormat="1" applyFont="1" applyFill="1" applyBorder="1" applyAlignment="1">
      <alignment vertical="center"/>
    </xf>
    <xf numFmtId="3" fontId="62" fillId="8" borderId="25" xfId="2" applyNumberFormat="1" applyFont="1" applyFill="1" applyBorder="1" applyAlignment="1">
      <alignment vertical="center"/>
    </xf>
    <xf numFmtId="3" fontId="63" fillId="8" borderId="25" xfId="2" applyNumberFormat="1" applyFont="1" applyFill="1" applyBorder="1" applyAlignment="1">
      <alignment vertical="center"/>
    </xf>
    <xf numFmtId="3" fontId="64" fillId="8" borderId="25" xfId="2" applyNumberFormat="1" applyFont="1" applyFill="1" applyBorder="1" applyAlignment="1">
      <alignment vertical="center"/>
    </xf>
    <xf numFmtId="3" fontId="266" fillId="8" borderId="25" xfId="2" applyNumberFormat="1" applyFont="1" applyFill="1" applyBorder="1" applyAlignment="1">
      <alignment vertical="center"/>
    </xf>
    <xf numFmtId="3" fontId="19" fillId="8" borderId="40" xfId="3" applyNumberFormat="1" applyFont="1" applyFill="1" applyBorder="1" applyAlignment="1">
      <alignment horizontal="center" vertical="center" shrinkToFit="1"/>
    </xf>
    <xf numFmtId="3" fontId="26" fillId="8" borderId="16" xfId="3" applyNumberFormat="1" applyFont="1" applyFill="1" applyBorder="1" applyAlignment="1">
      <alignment horizontal="center" vertical="center" shrinkToFit="1"/>
    </xf>
    <xf numFmtId="3" fontId="39" fillId="8" borderId="16" xfId="3" applyNumberFormat="1" applyFont="1" applyFill="1" applyBorder="1" applyAlignment="1">
      <alignment horizontal="center" vertical="center" shrinkToFit="1"/>
    </xf>
    <xf numFmtId="3" fontId="66" fillId="8" borderId="16" xfId="3" applyNumberFormat="1" applyFont="1" applyFill="1" applyBorder="1" applyAlignment="1">
      <alignment horizontal="center" vertical="center" shrinkToFit="1"/>
    </xf>
    <xf numFmtId="3" fontId="67" fillId="8" borderId="16" xfId="3" applyNumberFormat="1" applyFont="1" applyFill="1" applyBorder="1" applyAlignment="1">
      <alignment horizontal="center" vertical="center" shrinkToFit="1"/>
    </xf>
    <xf numFmtId="10" fontId="39" fillId="8" borderId="52" xfId="3" applyNumberFormat="1" applyFont="1" applyFill="1" applyBorder="1" applyAlignment="1">
      <alignment horizontal="center" vertical="center" shrinkToFit="1"/>
    </xf>
    <xf numFmtId="3" fontId="89" fillId="8" borderId="40" xfId="2" applyNumberFormat="1" applyFont="1" applyFill="1" applyBorder="1" applyAlignment="1">
      <alignment horizontal="right" vertical="center"/>
    </xf>
    <xf numFmtId="3" fontId="129" fillId="4" borderId="154" xfId="2" applyNumberFormat="1" applyFont="1" applyFill="1" applyBorder="1"/>
    <xf numFmtId="164" fontId="60" fillId="0" borderId="50" xfId="3" applyNumberFormat="1" applyFont="1" applyFill="1" applyBorder="1" applyAlignment="1">
      <alignment horizontal="left" vertical="center" shrinkToFit="1"/>
    </xf>
    <xf numFmtId="0" fontId="89" fillId="0" borderId="13" xfId="5" applyFont="1" applyBorder="1" applyAlignment="1">
      <alignment horizontal="center" vertical="center" shrinkToFit="1"/>
    </xf>
    <xf numFmtId="3" fontId="33" fillId="8" borderId="60" xfId="2" applyNumberFormat="1" applyFont="1" applyFill="1" applyBorder="1" applyAlignment="1">
      <alignment vertical="center"/>
    </xf>
    <xf numFmtId="3" fontId="57" fillId="8" borderId="25" xfId="2" applyNumberFormat="1" applyFont="1" applyFill="1" applyBorder="1" applyAlignment="1">
      <alignment horizontal="center" vertical="center"/>
    </xf>
    <xf numFmtId="3" fontId="33" fillId="8" borderId="62" xfId="2" applyNumberFormat="1" applyFont="1" applyFill="1" applyBorder="1" applyAlignment="1">
      <alignment horizontal="center" vertical="center"/>
    </xf>
    <xf numFmtId="3" fontId="33" fillId="7" borderId="62" xfId="2" applyNumberFormat="1" applyFont="1" applyFill="1" applyBorder="1" applyAlignment="1">
      <alignment horizontal="center"/>
    </xf>
    <xf numFmtId="3" fontId="21" fillId="8" borderId="59" xfId="2" applyNumberFormat="1" applyFont="1" applyFill="1" applyBorder="1" applyAlignment="1">
      <alignment horizontal="right" vertical="center"/>
    </xf>
    <xf numFmtId="3" fontId="37" fillId="8" borderId="28" xfId="2" applyNumberFormat="1" applyFont="1" applyFill="1" applyBorder="1" applyAlignment="1">
      <alignment vertical="center"/>
    </xf>
    <xf numFmtId="3" fontId="57" fillId="8" borderId="60" xfId="2" applyNumberFormat="1" applyFont="1" applyFill="1" applyBorder="1" applyAlignment="1">
      <alignment vertical="center"/>
    </xf>
    <xf numFmtId="166" fontId="21" fillId="8" borderId="10" xfId="2" quotePrefix="1" applyNumberFormat="1" applyFont="1" applyFill="1" applyBorder="1" applyAlignment="1">
      <alignment horizontal="center" vertical="center"/>
    </xf>
    <xf numFmtId="3" fontId="57" fillId="8" borderId="62" xfId="2" applyNumberFormat="1" applyFont="1" applyFill="1" applyBorder="1" applyAlignment="1">
      <alignment vertical="center"/>
    </xf>
    <xf numFmtId="3" fontId="21" fillId="8" borderId="78" xfId="3" applyNumberFormat="1" applyFont="1" applyFill="1" applyBorder="1" applyAlignment="1">
      <alignment horizontal="center" vertical="center" shrinkToFit="1"/>
    </xf>
    <xf numFmtId="3" fontId="33" fillId="8" borderId="82" xfId="3" applyNumberFormat="1" applyFont="1" applyFill="1" applyBorder="1" applyAlignment="1">
      <alignment horizontal="center" vertical="center" shrinkToFit="1"/>
    </xf>
    <xf numFmtId="3" fontId="62" fillId="8" borderId="82" xfId="3" applyNumberFormat="1" applyFont="1" applyFill="1" applyBorder="1" applyAlignment="1">
      <alignment horizontal="center" vertical="center" shrinkToFit="1"/>
    </xf>
    <xf numFmtId="3" fontId="63" fillId="8" borderId="82" xfId="3" applyNumberFormat="1" applyFont="1" applyFill="1" applyBorder="1" applyAlignment="1">
      <alignment horizontal="center" vertical="center" shrinkToFit="1"/>
    </xf>
    <xf numFmtId="3" fontId="64" fillId="8" borderId="82" xfId="3" applyNumberFormat="1" applyFont="1" applyFill="1" applyBorder="1" applyAlignment="1">
      <alignment horizontal="center" vertical="center" shrinkToFit="1"/>
    </xf>
    <xf numFmtId="10" fontId="62" fillId="8" borderId="75" xfId="3" applyNumberFormat="1" applyFont="1" applyFill="1" applyBorder="1" applyAlignment="1">
      <alignment horizontal="center" vertical="center" shrinkToFit="1"/>
    </xf>
    <xf numFmtId="3" fontId="21" fillId="8" borderId="57" xfId="2" applyNumberFormat="1" applyFont="1" applyFill="1" applyBorder="1" applyAlignment="1">
      <alignment horizontal="right" vertical="center"/>
    </xf>
    <xf numFmtId="3" fontId="33" fillId="8" borderId="16" xfId="2" applyNumberFormat="1" applyFont="1" applyFill="1" applyBorder="1" applyAlignment="1">
      <alignment vertical="center"/>
    </xf>
    <xf numFmtId="3" fontId="95" fillId="0" borderId="13" xfId="2" applyNumberFormat="1" applyFont="1" applyBorder="1" applyAlignment="1">
      <alignment horizontal="center" vertical="center"/>
    </xf>
    <xf numFmtId="37" fontId="95" fillId="0" borderId="13" xfId="8" applyNumberFormat="1" applyFont="1" applyFill="1" applyBorder="1" applyAlignment="1">
      <alignment horizontal="center" vertical="center"/>
    </xf>
    <xf numFmtId="3" fontId="115" fillId="0" borderId="13" xfId="2" applyNumberFormat="1" applyFont="1" applyBorder="1" applyAlignment="1">
      <alignment horizontal="center" vertical="center"/>
    </xf>
    <xf numFmtId="3" fontId="300" fillId="0" borderId="13" xfId="2" applyNumberFormat="1" applyFont="1" applyBorder="1" applyAlignment="1">
      <alignment horizontal="center" vertical="center"/>
    </xf>
    <xf numFmtId="37" fontId="92" fillId="0" borderId="13" xfId="8" applyNumberFormat="1" applyFont="1" applyFill="1" applyBorder="1" applyAlignment="1">
      <alignment horizontal="center" vertical="center"/>
    </xf>
    <xf numFmtId="169" fontId="23" fillId="0" borderId="0" xfId="1" applyNumberFormat="1" applyFont="1"/>
    <xf numFmtId="169" fontId="6" fillId="0" borderId="0" xfId="1" applyNumberFormat="1" applyFont="1"/>
    <xf numFmtId="3" fontId="301" fillId="0" borderId="13" xfId="2" applyNumberFormat="1" applyFont="1" applyBorder="1" applyAlignment="1">
      <alignment horizontal="center" vertical="center"/>
    </xf>
    <xf numFmtId="37" fontId="301" fillId="0" borderId="13" xfId="8" applyNumberFormat="1" applyFont="1" applyFill="1" applyBorder="1" applyAlignment="1">
      <alignment horizontal="center" vertical="center"/>
    </xf>
    <xf numFmtId="3" fontId="33" fillId="8" borderId="25" xfId="2" applyNumberFormat="1" applyFont="1" applyFill="1" applyBorder="1" applyAlignment="1">
      <alignment horizontal="center" vertical="center"/>
    </xf>
    <xf numFmtId="3" fontId="302" fillId="7" borderId="25" xfId="2" applyNumberFormat="1" applyFont="1" applyFill="1" applyBorder="1" applyAlignment="1">
      <alignment vertical="center"/>
    </xf>
    <xf numFmtId="3" fontId="302" fillId="8" borderId="25" xfId="2" applyNumberFormat="1" applyFont="1" applyFill="1" applyBorder="1" applyAlignment="1">
      <alignment vertical="center"/>
    </xf>
    <xf numFmtId="3" fontId="119" fillId="8" borderId="25" xfId="2" applyNumberFormat="1" applyFont="1" applyFill="1" applyBorder="1" applyAlignment="1">
      <alignment vertical="center"/>
    </xf>
    <xf numFmtId="3" fontId="27" fillId="7" borderId="13" xfId="2" applyNumberFormat="1" applyFont="1" applyFill="1" applyBorder="1" applyAlignment="1">
      <alignment horizontal="center" vertical="center"/>
    </xf>
    <xf numFmtId="3" fontId="303" fillId="0" borderId="13" xfId="2" applyNumberFormat="1" applyFont="1" applyBorder="1" applyAlignment="1">
      <alignment horizontal="center" vertical="center"/>
    </xf>
    <xf numFmtId="3" fontId="26" fillId="8" borderId="25" xfId="3" applyNumberFormat="1" applyFont="1" applyFill="1" applyBorder="1" applyAlignment="1">
      <alignment horizontal="center" vertical="center" shrinkToFit="1"/>
    </xf>
    <xf numFmtId="3" fontId="39" fillId="8" borderId="25" xfId="3" applyNumberFormat="1" applyFont="1" applyFill="1" applyBorder="1" applyAlignment="1">
      <alignment horizontal="center" vertical="center" shrinkToFit="1"/>
    </xf>
    <xf numFmtId="3" fontId="66" fillId="8" borderId="25" xfId="3" applyNumberFormat="1" applyFont="1" applyFill="1" applyBorder="1" applyAlignment="1">
      <alignment horizontal="center" vertical="center" shrinkToFit="1"/>
    </xf>
    <xf numFmtId="3" fontId="59" fillId="8" borderId="25" xfId="3" applyNumberFormat="1" applyFont="1" applyFill="1" applyBorder="1" applyAlignment="1">
      <alignment horizontal="center" vertical="center" shrinkToFit="1"/>
    </xf>
    <xf numFmtId="3" fontId="57" fillId="8" borderId="62" xfId="2" applyNumberFormat="1" applyFont="1" applyFill="1" applyBorder="1" applyAlignment="1">
      <alignment horizontal="center" vertical="center"/>
    </xf>
    <xf numFmtId="3" fontId="33" fillId="8" borderId="62" xfId="2" applyNumberFormat="1" applyFont="1" applyFill="1" applyBorder="1" applyAlignment="1">
      <alignment vertical="center"/>
    </xf>
    <xf numFmtId="3" fontId="30" fillId="8" borderId="25" xfId="2" applyNumberFormat="1" applyFont="1" applyFill="1" applyBorder="1" applyAlignment="1">
      <alignment horizontal="right" vertical="center"/>
    </xf>
    <xf numFmtId="3" fontId="30" fillId="8" borderId="28" xfId="2" applyNumberFormat="1" applyFont="1" applyFill="1" applyBorder="1" applyAlignment="1">
      <alignment horizontal="right" vertical="center"/>
    </xf>
    <xf numFmtId="3" fontId="21" fillId="8" borderId="62" xfId="2" applyNumberFormat="1" applyFont="1" applyFill="1" applyBorder="1" applyAlignment="1">
      <alignment horizontal="center" vertical="center"/>
    </xf>
    <xf numFmtId="3" fontId="89" fillId="8" borderId="62" xfId="2" applyNumberFormat="1" applyFont="1" applyFill="1" applyBorder="1" applyAlignment="1">
      <alignment horizontal="center" vertical="center"/>
    </xf>
    <xf numFmtId="3" fontId="57" fillId="8" borderId="62" xfId="2" applyNumberFormat="1" applyFont="1" applyFill="1" applyBorder="1" applyAlignment="1">
      <alignment horizontal="center"/>
    </xf>
    <xf numFmtId="3" fontId="21" fillId="8" borderId="62" xfId="2" applyNumberFormat="1" applyFont="1" applyFill="1" applyBorder="1" applyAlignment="1">
      <alignment vertical="center"/>
    </xf>
    <xf numFmtId="3" fontId="21" fillId="8" borderId="25" xfId="2" applyNumberFormat="1" applyFont="1" applyFill="1" applyBorder="1" applyAlignment="1">
      <alignment horizontal="center" vertical="center"/>
    </xf>
    <xf numFmtId="3" fontId="21" fillId="8" borderId="25" xfId="2" applyNumberFormat="1" applyFont="1" applyFill="1" applyBorder="1" applyAlignment="1">
      <alignment vertical="center"/>
    </xf>
    <xf numFmtId="3" fontId="112" fillId="8" borderId="25" xfId="2" applyNumberFormat="1" applyFont="1" applyFill="1" applyBorder="1" applyAlignment="1">
      <alignment horizontal="center" vertical="center"/>
    </xf>
    <xf numFmtId="3" fontId="33" fillId="8" borderId="60" xfId="2" applyNumberFormat="1" applyFont="1" applyFill="1" applyBorder="1" applyAlignment="1">
      <alignment horizontal="right" vertical="center"/>
    </xf>
    <xf numFmtId="3" fontId="19" fillId="8" borderId="78" xfId="3" applyNumberFormat="1" applyFont="1" applyFill="1" applyBorder="1" applyAlignment="1">
      <alignment horizontal="center" vertical="center" shrinkToFit="1"/>
    </xf>
    <xf numFmtId="3" fontId="26" fillId="8" borderId="82" xfId="3" applyNumberFormat="1" applyFont="1" applyFill="1" applyBorder="1" applyAlignment="1">
      <alignment horizontal="center" vertical="center" shrinkToFit="1"/>
    </xf>
    <xf numFmtId="3" fontId="39" fillId="8" borderId="82" xfId="3" applyNumberFormat="1" applyFont="1" applyFill="1" applyBorder="1" applyAlignment="1">
      <alignment horizontal="center" vertical="center" shrinkToFit="1"/>
    </xf>
    <xf numFmtId="3" fontId="118" fillId="8" borderId="82" xfId="3" applyNumberFormat="1" applyFont="1" applyFill="1" applyBorder="1" applyAlignment="1">
      <alignment horizontal="center" vertical="center" shrinkToFit="1"/>
    </xf>
    <xf numFmtId="3" fontId="59" fillId="8" borderId="82" xfId="3" applyNumberFormat="1" applyFont="1" applyFill="1" applyBorder="1" applyAlignment="1">
      <alignment horizontal="center" vertical="center" shrinkToFit="1"/>
    </xf>
    <xf numFmtId="10" fontId="39" fillId="8" borderId="75" xfId="3" applyNumberFormat="1" applyFont="1" applyFill="1" applyBorder="1" applyAlignment="1">
      <alignment horizontal="center" vertical="center" shrinkToFit="1"/>
    </xf>
    <xf numFmtId="3" fontId="112" fillId="8" borderId="62" xfId="2" applyNumberFormat="1" applyFont="1" applyFill="1" applyBorder="1" applyAlignment="1">
      <alignment horizontal="center" vertical="center"/>
    </xf>
    <xf numFmtId="3" fontId="112" fillId="8" borderId="62" xfId="2" applyNumberFormat="1" applyFont="1" applyFill="1" applyBorder="1" applyAlignment="1">
      <alignment horizontal="center"/>
    </xf>
    <xf numFmtId="3" fontId="21" fillId="8" borderId="62" xfId="2" applyNumberFormat="1" applyFont="1" applyFill="1" applyBorder="1" applyAlignment="1">
      <alignment horizontal="center"/>
    </xf>
    <xf numFmtId="3" fontId="21" fillId="8" borderId="60" xfId="2" applyNumberFormat="1" applyFont="1" applyFill="1" applyBorder="1" applyAlignment="1">
      <alignment horizontal="center" vertical="center"/>
    </xf>
    <xf numFmtId="3" fontId="118" fillId="8" borderId="25" xfId="3" applyNumberFormat="1" applyFont="1" applyFill="1" applyBorder="1" applyAlignment="1">
      <alignment horizontal="center" vertical="center" shrinkToFit="1"/>
    </xf>
    <xf numFmtId="3" fontId="37" fillId="8" borderId="62" xfId="2" applyNumberFormat="1" applyFont="1" applyFill="1" applyBorder="1" applyAlignment="1">
      <alignment horizontal="center" vertical="center"/>
    </xf>
    <xf numFmtId="3" fontId="116" fillId="8" borderId="28" xfId="2" applyNumberFormat="1" applyFont="1" applyFill="1" applyBorder="1" applyAlignment="1">
      <alignment vertical="center"/>
    </xf>
    <xf numFmtId="3" fontId="37" fillId="8" borderId="62" xfId="2" applyNumberFormat="1" applyFont="1" applyFill="1" applyBorder="1" applyAlignment="1">
      <alignment vertical="center"/>
    </xf>
    <xf numFmtId="3" fontId="116" fillId="8" borderId="25" xfId="2" applyNumberFormat="1" applyFont="1" applyFill="1" applyBorder="1" applyAlignment="1">
      <alignment vertical="center"/>
    </xf>
    <xf numFmtId="3" fontId="89" fillId="8" borderId="57" xfId="2" applyNumberFormat="1" applyFont="1" applyFill="1" applyBorder="1" applyAlignment="1">
      <alignment vertical="center"/>
    </xf>
    <xf numFmtId="3" fontId="37" fillId="8" borderId="75" xfId="2" applyNumberFormat="1" applyFont="1" applyFill="1" applyBorder="1" applyAlignment="1">
      <alignment vertical="center"/>
    </xf>
    <xf numFmtId="3" fontId="119" fillId="8" borderId="75" xfId="2" applyNumberFormat="1" applyFont="1" applyFill="1" applyBorder="1" applyAlignment="1">
      <alignment vertical="center"/>
    </xf>
    <xf numFmtId="166" fontId="19" fillId="8" borderId="54" xfId="2" quotePrefix="1" applyNumberFormat="1" applyFont="1" applyFill="1" applyBorder="1" applyAlignment="1">
      <alignment horizontal="center" vertical="center"/>
    </xf>
    <xf numFmtId="3" fontId="21" fillId="8" borderId="36" xfId="2" applyNumberFormat="1" applyFont="1" applyFill="1" applyBorder="1" applyAlignment="1">
      <alignment vertical="center"/>
    </xf>
    <xf numFmtId="3" fontId="21" fillId="8" borderId="100" xfId="2" applyNumberFormat="1" applyFont="1" applyFill="1" applyBorder="1" applyAlignment="1">
      <alignment horizontal="right" vertical="center"/>
    </xf>
    <xf numFmtId="3" fontId="33" fillId="8" borderId="95" xfId="3" applyNumberFormat="1" applyFont="1" applyFill="1" applyBorder="1" applyAlignment="1">
      <alignment horizontal="center" vertical="center" shrinkToFit="1"/>
    </xf>
    <xf numFmtId="3" fontId="62" fillId="8" borderId="95" xfId="3" applyNumberFormat="1" applyFont="1" applyFill="1" applyBorder="1" applyAlignment="1">
      <alignment horizontal="center" vertical="center" shrinkToFit="1"/>
    </xf>
    <xf numFmtId="3" fontId="130" fillId="8" borderId="95" xfId="3" applyNumberFormat="1" applyFont="1" applyFill="1" applyBorder="1" applyAlignment="1">
      <alignment horizontal="center" vertical="center" shrinkToFit="1"/>
    </xf>
    <xf numFmtId="3" fontId="53" fillId="8" borderId="95" xfId="3" applyNumberFormat="1" applyFont="1" applyFill="1" applyBorder="1" applyAlignment="1">
      <alignment horizontal="center" vertical="center" shrinkToFit="1"/>
    </xf>
    <xf numFmtId="10" fontId="62" fillId="8" borderId="52" xfId="3" applyNumberFormat="1" applyFont="1" applyFill="1" applyBorder="1" applyAlignment="1">
      <alignment horizontal="center" vertical="center" shrinkToFit="1"/>
    </xf>
    <xf numFmtId="166" fontId="21" fillId="8" borderId="54" xfId="2" quotePrefix="1" applyNumberFormat="1" applyFont="1" applyFill="1" applyBorder="1" applyAlignment="1">
      <alignment horizontal="center" vertical="center"/>
    </xf>
    <xf numFmtId="3" fontId="37" fillId="8" borderId="25" xfId="2" applyNumberFormat="1" applyFont="1" applyFill="1" applyBorder="1" applyAlignment="1">
      <alignment horizontal="center" vertical="center"/>
    </xf>
    <xf numFmtId="3" fontId="37" fillId="8" borderId="36" xfId="2" applyNumberFormat="1" applyFont="1" applyFill="1" applyBorder="1" applyAlignment="1">
      <alignment vertical="center"/>
    </xf>
    <xf numFmtId="10" fontId="39" fillId="8" borderId="36" xfId="7" applyNumberFormat="1" applyFont="1" applyFill="1" applyBorder="1" applyAlignment="1">
      <alignment horizontal="center" vertical="center" shrinkToFit="1"/>
    </xf>
    <xf numFmtId="168" fontId="21" fillId="58" borderId="7" xfId="2" applyNumberFormat="1" applyFont="1" applyFill="1" applyBorder="1" applyAlignment="1">
      <alignment horizontal="center" vertical="center"/>
    </xf>
    <xf numFmtId="169" fontId="6" fillId="0" borderId="1" xfId="2" applyNumberFormat="1" applyFont="1" applyBorder="1"/>
    <xf numFmtId="0" fontId="24" fillId="0" borderId="1" xfId="2" applyFont="1" applyBorder="1"/>
    <xf numFmtId="3" fontId="89" fillId="8" borderId="25" xfId="2" applyNumberFormat="1" applyFont="1" applyFill="1" applyBorder="1" applyAlignment="1">
      <alignment vertical="center"/>
    </xf>
    <xf numFmtId="0" fontId="80" fillId="0" borderId="13" xfId="2" applyFont="1" applyBorder="1" applyAlignment="1">
      <alignment horizontal="center" vertical="center" shrinkToFit="1"/>
    </xf>
    <xf numFmtId="3" fontId="299" fillId="7" borderId="25" xfId="2" applyNumberFormat="1" applyFont="1" applyFill="1" applyBorder="1" applyAlignment="1">
      <alignment vertical="center"/>
    </xf>
    <xf numFmtId="3" fontId="118" fillId="8" borderId="26" xfId="3" applyNumberFormat="1" applyFont="1" applyFill="1" applyBorder="1" applyAlignment="1">
      <alignment horizontal="center" vertical="center" shrinkToFit="1"/>
    </xf>
    <xf numFmtId="3" fontId="59" fillId="8" borderId="26" xfId="3" applyNumberFormat="1" applyFont="1" applyFill="1" applyBorder="1" applyAlignment="1">
      <alignment horizontal="center" vertical="center" shrinkToFit="1"/>
    </xf>
    <xf numFmtId="3" fontId="89" fillId="8" borderId="62" xfId="2" applyNumberFormat="1" applyFont="1" applyFill="1" applyBorder="1" applyAlignment="1">
      <alignment horizontal="center"/>
    </xf>
    <xf numFmtId="0" fontId="64" fillId="8" borderId="26" xfId="2" applyFont="1" applyFill="1" applyBorder="1"/>
    <xf numFmtId="3" fontId="19" fillId="8" borderId="46" xfId="3" applyNumberFormat="1" applyFont="1" applyFill="1" applyBorder="1" applyAlignment="1">
      <alignment horizontal="center" vertical="center" shrinkToFit="1"/>
    </xf>
    <xf numFmtId="3" fontId="26" fillId="8" borderId="26" xfId="3" applyNumberFormat="1" applyFont="1" applyFill="1" applyBorder="1" applyAlignment="1">
      <alignment horizontal="center" vertical="center" shrinkToFit="1"/>
    </xf>
    <xf numFmtId="3" fontId="39" fillId="8" borderId="26" xfId="3" applyNumberFormat="1" applyFont="1" applyFill="1" applyBorder="1" applyAlignment="1">
      <alignment horizontal="center" vertical="center" shrinkToFit="1"/>
    </xf>
    <xf numFmtId="0" fontId="19" fillId="0" borderId="0" xfId="2" applyFont="1" applyAlignment="1">
      <alignment horizontal="center" vertical="center"/>
    </xf>
    <xf numFmtId="0" fontId="21" fillId="0" borderId="13" xfId="2" applyFont="1" applyBorder="1" applyAlignment="1">
      <alignment horizontal="center" shrinkToFit="1"/>
    </xf>
    <xf numFmtId="166" fontId="21" fillId="7" borderId="9" xfId="2" quotePrefix="1" applyNumberFormat="1" applyFont="1" applyFill="1" applyBorder="1" applyAlignment="1">
      <alignment horizontal="center" vertical="center"/>
    </xf>
    <xf numFmtId="166" fontId="21" fillId="7" borderId="69" xfId="2" quotePrefix="1" applyNumberFormat="1" applyFont="1" applyFill="1" applyBorder="1" applyAlignment="1">
      <alignment horizontal="center" vertical="center"/>
    </xf>
    <xf numFmtId="3" fontId="21" fillId="7" borderId="71" xfId="2" applyNumberFormat="1" applyFont="1" applyFill="1" applyBorder="1" applyAlignment="1">
      <alignment horizontal="right" vertical="center"/>
    </xf>
    <xf numFmtId="3" fontId="30" fillId="7" borderId="59" xfId="2" applyNumberFormat="1" applyFont="1" applyFill="1" applyBorder="1" applyAlignment="1">
      <alignment horizontal="right" vertical="center"/>
    </xf>
    <xf numFmtId="3" fontId="30" fillId="7" borderId="21" xfId="2" applyNumberFormat="1" applyFont="1" applyFill="1" applyBorder="1" applyAlignment="1">
      <alignment horizontal="right" vertical="center"/>
    </xf>
    <xf numFmtId="3" fontId="33" fillId="7" borderId="24" xfId="2" applyNumberFormat="1" applyFont="1" applyFill="1" applyBorder="1" applyAlignment="1">
      <alignment vertical="center"/>
    </xf>
    <xf numFmtId="3" fontId="33" fillId="7" borderId="26" xfId="2" applyNumberFormat="1" applyFont="1" applyFill="1" applyBorder="1" applyAlignment="1">
      <alignment vertical="center"/>
    </xf>
    <xf numFmtId="3" fontId="37" fillId="7" borderId="24" xfId="2" applyNumberFormat="1" applyFont="1" applyFill="1" applyBorder="1" applyAlignment="1">
      <alignment vertical="center"/>
    </xf>
    <xf numFmtId="3" fontId="37" fillId="7" borderId="26" xfId="2" applyNumberFormat="1" applyFont="1" applyFill="1" applyBorder="1" applyAlignment="1">
      <alignment vertical="center"/>
    </xf>
    <xf numFmtId="3" fontId="43" fillId="7" borderId="24" xfId="2" applyNumberFormat="1" applyFont="1" applyFill="1" applyBorder="1" applyAlignment="1">
      <alignment vertical="center"/>
    </xf>
    <xf numFmtId="3" fontId="43" fillId="7" borderId="26" xfId="2" applyNumberFormat="1" applyFont="1" applyFill="1" applyBorder="1" applyAlignment="1">
      <alignment vertical="center"/>
    </xf>
    <xf numFmtId="3" fontId="49" fillId="7" borderId="24" xfId="2" applyNumberFormat="1" applyFont="1" applyFill="1" applyBorder="1" applyAlignment="1">
      <alignment vertical="center"/>
    </xf>
    <xf numFmtId="3" fontId="49" fillId="7" borderId="26" xfId="2" applyNumberFormat="1" applyFont="1" applyFill="1" applyBorder="1" applyAlignment="1">
      <alignment vertical="center"/>
    </xf>
    <xf numFmtId="3" fontId="53" fillId="7" borderId="47" xfId="2" applyNumberFormat="1" applyFont="1" applyFill="1" applyBorder="1" applyAlignment="1">
      <alignment vertical="center"/>
    </xf>
    <xf numFmtId="3" fontId="64" fillId="7" borderId="26" xfId="2" applyNumberFormat="1" applyFont="1" applyFill="1" applyBorder="1" applyAlignment="1">
      <alignment vertical="center"/>
    </xf>
    <xf numFmtId="3" fontId="57" fillId="7" borderId="43" xfId="2" applyNumberFormat="1" applyFont="1" applyFill="1" applyBorder="1" applyAlignment="1">
      <alignment vertical="center"/>
    </xf>
    <xf numFmtId="3" fontId="57" fillId="7" borderId="28" xfId="2" applyNumberFormat="1" applyFont="1" applyFill="1" applyBorder="1" applyAlignment="1">
      <alignment horizontal="center" vertical="center"/>
    </xf>
    <xf numFmtId="3" fontId="57" fillId="7" borderId="26" xfId="2" applyNumberFormat="1" applyFont="1" applyFill="1" applyBorder="1" applyAlignment="1">
      <alignment horizontal="center" vertical="center"/>
    </xf>
    <xf numFmtId="3" fontId="33" fillId="7" borderId="28" xfId="2" applyNumberFormat="1" applyFont="1" applyFill="1" applyBorder="1" applyAlignment="1">
      <alignment horizontal="center" vertical="center"/>
    </xf>
    <xf numFmtId="3" fontId="33" fillId="7" borderId="26" xfId="2" applyNumberFormat="1" applyFont="1" applyFill="1" applyBorder="1" applyAlignment="1">
      <alignment horizontal="center" vertical="center"/>
    </xf>
    <xf numFmtId="3" fontId="33" fillId="7" borderId="37" xfId="2" applyNumberFormat="1" applyFont="1" applyFill="1" applyBorder="1" applyAlignment="1">
      <alignment vertical="center"/>
    </xf>
    <xf numFmtId="3" fontId="302" fillId="7" borderId="28" xfId="2" applyNumberFormat="1" applyFont="1" applyFill="1" applyBorder="1" applyAlignment="1">
      <alignment vertical="center"/>
    </xf>
    <xf numFmtId="3" fontId="119" fillId="7" borderId="28" xfId="2" applyNumberFormat="1" applyFont="1" applyFill="1" applyBorder="1" applyAlignment="1">
      <alignment vertical="center"/>
    </xf>
    <xf numFmtId="3" fontId="21" fillId="7" borderId="77" xfId="3" applyNumberFormat="1" applyFont="1" applyFill="1" applyBorder="1" applyAlignment="1">
      <alignment horizontal="center" vertical="center" shrinkToFit="1"/>
    </xf>
    <xf numFmtId="3" fontId="33" fillId="7" borderId="81" xfId="3" applyNumberFormat="1" applyFont="1" applyFill="1" applyBorder="1" applyAlignment="1">
      <alignment horizontal="center" vertical="center" shrinkToFit="1"/>
    </xf>
    <xf numFmtId="3" fontId="62" fillId="7" borderId="81" xfId="3" applyNumberFormat="1" applyFont="1" applyFill="1" applyBorder="1" applyAlignment="1">
      <alignment horizontal="center" vertical="center" shrinkToFit="1"/>
    </xf>
    <xf numFmtId="3" fontId="63" fillId="7" borderId="81" xfId="3" applyNumberFormat="1" applyFont="1" applyFill="1" applyBorder="1" applyAlignment="1">
      <alignment horizontal="center" vertical="center" shrinkToFit="1"/>
    </xf>
    <xf numFmtId="3" fontId="64" fillId="7" borderId="81" xfId="3" applyNumberFormat="1" applyFont="1" applyFill="1" applyBorder="1" applyAlignment="1">
      <alignment horizontal="center" vertical="center" shrinkToFit="1"/>
    </xf>
    <xf numFmtId="10" fontId="62" fillId="7" borderId="76" xfId="3" applyNumberFormat="1" applyFont="1" applyFill="1" applyBorder="1" applyAlignment="1">
      <alignment horizontal="center" vertical="center" shrinkToFit="1"/>
    </xf>
    <xf numFmtId="10" fontId="62" fillId="7" borderId="73" xfId="3" applyNumberFormat="1" applyFont="1" applyFill="1" applyBorder="1" applyAlignment="1">
      <alignment horizontal="center" vertical="center" shrinkToFit="1"/>
    </xf>
    <xf numFmtId="3" fontId="21" fillId="7" borderId="58" xfId="2" applyNumberFormat="1" applyFont="1" applyFill="1" applyBorder="1" applyAlignment="1">
      <alignment horizontal="right" vertical="center"/>
    </xf>
    <xf numFmtId="3" fontId="33" fillId="7" borderId="21" xfId="2" applyNumberFormat="1" applyFont="1" applyFill="1" applyBorder="1" applyAlignment="1">
      <alignment vertical="center"/>
    </xf>
    <xf numFmtId="3" fontId="53" fillId="7" borderId="26" xfId="2" applyNumberFormat="1" applyFont="1" applyFill="1" applyBorder="1" applyAlignment="1">
      <alignment vertical="center"/>
    </xf>
    <xf numFmtId="3" fontId="57" fillId="7" borderId="26" xfId="2" applyNumberFormat="1" applyFont="1" applyFill="1" applyBorder="1" applyAlignment="1">
      <alignment vertical="center"/>
    </xf>
    <xf numFmtId="3" fontId="21" fillId="7" borderId="121" xfId="3" applyNumberFormat="1" applyFont="1" applyFill="1" applyBorder="1" applyAlignment="1">
      <alignment horizontal="center" vertical="center" shrinkToFit="1"/>
    </xf>
    <xf numFmtId="3" fontId="33" fillId="7" borderId="122" xfId="3" applyNumberFormat="1" applyFont="1" applyFill="1" applyBorder="1" applyAlignment="1">
      <alignment horizontal="center" vertical="center" shrinkToFit="1"/>
    </xf>
    <xf numFmtId="3" fontId="62" fillId="7" borderId="122" xfId="3" applyNumberFormat="1" applyFont="1" applyFill="1" applyBorder="1" applyAlignment="1">
      <alignment horizontal="center" vertical="center" shrinkToFit="1"/>
    </xf>
    <xf numFmtId="3" fontId="63" fillId="7" borderId="122" xfId="3" applyNumberFormat="1" applyFont="1" applyFill="1" applyBorder="1" applyAlignment="1">
      <alignment horizontal="center" vertical="center" shrinkToFit="1"/>
    </xf>
    <xf numFmtId="3" fontId="64" fillId="7" borderId="122" xfId="3" applyNumberFormat="1" applyFont="1" applyFill="1" applyBorder="1" applyAlignment="1">
      <alignment horizontal="center" vertical="center" shrinkToFit="1"/>
    </xf>
    <xf numFmtId="3" fontId="21" fillId="7" borderId="79" xfId="3" applyNumberFormat="1" applyFont="1" applyFill="1" applyBorder="1" applyAlignment="1">
      <alignment horizontal="center" vertical="center" shrinkToFit="1"/>
    </xf>
    <xf numFmtId="3" fontId="33" fillId="7" borderId="83" xfId="3" applyNumberFormat="1" applyFont="1" applyFill="1" applyBorder="1" applyAlignment="1">
      <alignment horizontal="center" vertical="center" shrinkToFit="1"/>
    </xf>
    <xf numFmtId="3" fontId="62" fillId="7" borderId="83" xfId="3" applyNumberFormat="1" applyFont="1" applyFill="1" applyBorder="1" applyAlignment="1">
      <alignment horizontal="center" vertical="center" shrinkToFit="1"/>
    </xf>
    <xf numFmtId="3" fontId="63" fillId="7" borderId="83" xfId="3" applyNumberFormat="1" applyFont="1" applyFill="1" applyBorder="1" applyAlignment="1">
      <alignment horizontal="center" vertical="center" shrinkToFit="1"/>
    </xf>
    <xf numFmtId="3" fontId="64" fillId="7" borderId="83" xfId="3" applyNumberFormat="1" applyFont="1" applyFill="1" applyBorder="1" applyAlignment="1">
      <alignment horizontal="center" vertical="center" shrinkToFit="1"/>
    </xf>
    <xf numFmtId="166" fontId="19" fillId="7" borderId="9" xfId="2" quotePrefix="1" applyNumberFormat="1" applyFont="1" applyFill="1" applyBorder="1" applyAlignment="1">
      <alignment horizontal="center" vertical="center"/>
    </xf>
    <xf numFmtId="3" fontId="89" fillId="7" borderId="28" xfId="2" applyNumberFormat="1" applyFont="1" applyFill="1" applyBorder="1" applyAlignment="1">
      <alignment horizontal="center" vertical="center"/>
    </xf>
    <xf numFmtId="3" fontId="89" fillId="7" borderId="60" xfId="2" applyNumberFormat="1" applyFont="1" applyFill="1" applyBorder="1" applyAlignment="1">
      <alignment horizontal="center" vertical="center"/>
    </xf>
    <xf numFmtId="3" fontId="62" fillId="7" borderId="28" xfId="2" applyNumberFormat="1" applyFont="1" applyFill="1" applyBorder="1" applyAlignment="1">
      <alignment vertical="center"/>
    </xf>
    <xf numFmtId="3" fontId="21" fillId="7" borderId="64" xfId="2" applyNumberFormat="1" applyFont="1" applyFill="1" applyBorder="1" applyAlignment="1">
      <alignment horizontal="right" vertical="center"/>
    </xf>
    <xf numFmtId="3" fontId="115" fillId="7" borderId="25" xfId="2" applyNumberFormat="1" applyFont="1" applyFill="1" applyBorder="1" applyAlignment="1">
      <alignment horizontal="right" vertical="center"/>
    </xf>
    <xf numFmtId="3" fontId="89" fillId="7" borderId="60" xfId="2" applyNumberFormat="1" applyFont="1" applyFill="1" applyBorder="1" applyAlignment="1">
      <alignment horizontal="center"/>
    </xf>
    <xf numFmtId="3" fontId="57" fillId="7" borderId="25" xfId="2" applyNumberFormat="1" applyFont="1" applyFill="1" applyBorder="1" applyAlignment="1">
      <alignment horizontal="center"/>
    </xf>
    <xf numFmtId="3" fontId="21" fillId="7" borderId="28" xfId="2" applyNumberFormat="1" applyFont="1" applyFill="1" applyBorder="1" applyAlignment="1">
      <alignment horizontal="center" vertical="center"/>
    </xf>
    <xf numFmtId="3" fontId="30" fillId="7" borderId="20" xfId="2" applyNumberFormat="1" applyFont="1" applyFill="1" applyBorder="1" applyAlignment="1">
      <alignment horizontal="right" vertical="center"/>
    </xf>
    <xf numFmtId="3" fontId="57" fillId="7" borderId="24" xfId="2" applyNumberFormat="1" applyFont="1" applyFill="1" applyBorder="1" applyAlignment="1">
      <alignment vertical="center"/>
    </xf>
    <xf numFmtId="3" fontId="89" fillId="7" borderId="89" xfId="2" applyNumberFormat="1" applyFont="1" applyFill="1" applyBorder="1" applyAlignment="1">
      <alignment horizontal="center" vertical="center"/>
    </xf>
    <xf numFmtId="3" fontId="89" fillId="7" borderId="24" xfId="2" applyNumberFormat="1" applyFont="1" applyFill="1" applyBorder="1" applyAlignment="1">
      <alignment horizontal="center" vertical="center"/>
    </xf>
    <xf numFmtId="3" fontId="33" fillId="7" borderId="65" xfId="2" applyNumberFormat="1" applyFont="1" applyFill="1" applyBorder="1" applyAlignment="1">
      <alignment vertical="center"/>
    </xf>
    <xf numFmtId="3" fontId="53" fillId="7" borderId="24" xfId="2" applyNumberFormat="1" applyFont="1" applyFill="1" applyBorder="1" applyAlignment="1">
      <alignment vertical="center"/>
    </xf>
    <xf numFmtId="3" fontId="57" fillId="7" borderId="90" xfId="2" applyNumberFormat="1" applyFont="1" applyFill="1" applyBorder="1" applyAlignment="1">
      <alignment vertical="center"/>
    </xf>
    <xf numFmtId="3" fontId="57" fillId="7" borderId="89" xfId="2" applyNumberFormat="1" applyFont="1" applyFill="1" applyBorder="1" applyAlignment="1">
      <alignment vertical="center"/>
    </xf>
    <xf numFmtId="3" fontId="118" fillId="7" borderId="81" xfId="3" applyNumberFormat="1" applyFont="1" applyFill="1" applyBorder="1" applyAlignment="1">
      <alignment horizontal="center" vertical="center" shrinkToFit="1"/>
    </xf>
    <xf numFmtId="10" fontId="39" fillId="7" borderId="96" xfId="3" applyNumberFormat="1" applyFont="1" applyFill="1" applyBorder="1" applyAlignment="1">
      <alignment horizontal="center" vertical="center" shrinkToFit="1"/>
    </xf>
    <xf numFmtId="0" fontId="64" fillId="8" borderId="73" xfId="2" applyFont="1" applyFill="1" applyBorder="1" applyAlignment="1">
      <alignment vertical="center"/>
    </xf>
    <xf numFmtId="0" fontId="62" fillId="8" borderId="75" xfId="2" applyFont="1" applyFill="1" applyBorder="1"/>
    <xf numFmtId="3" fontId="19" fillId="7" borderId="64" xfId="3" applyNumberFormat="1" applyFont="1" applyFill="1" applyBorder="1" applyAlignment="1">
      <alignment horizontal="center" vertical="center" shrinkToFit="1"/>
    </xf>
    <xf numFmtId="3" fontId="19" fillId="7" borderId="57" xfId="3" applyNumberFormat="1" applyFont="1" applyFill="1" applyBorder="1" applyAlignment="1">
      <alignment horizontal="center" vertical="center" shrinkToFit="1"/>
    </xf>
    <xf numFmtId="3" fontId="26" fillId="7" borderId="24" xfId="3" applyNumberFormat="1" applyFont="1" applyFill="1" applyBorder="1" applyAlignment="1">
      <alignment horizontal="center" vertical="center" shrinkToFit="1"/>
    </xf>
    <xf numFmtId="3" fontId="26" fillId="7" borderId="28" xfId="3" applyNumberFormat="1" applyFont="1" applyFill="1" applyBorder="1" applyAlignment="1">
      <alignment horizontal="center" vertical="center" shrinkToFit="1"/>
    </xf>
    <xf numFmtId="3" fontId="26" fillId="7" borderId="90" xfId="3" applyNumberFormat="1" applyFont="1" applyFill="1" applyBorder="1" applyAlignment="1">
      <alignment horizontal="center" vertical="center" shrinkToFit="1"/>
    </xf>
    <xf numFmtId="3" fontId="39" fillId="7" borderId="24" xfId="3" applyNumberFormat="1" applyFont="1" applyFill="1" applyBorder="1" applyAlignment="1">
      <alignment horizontal="center" vertical="center" shrinkToFit="1"/>
    </xf>
    <xf numFmtId="3" fontId="39" fillId="7" borderId="28" xfId="3" applyNumberFormat="1" applyFont="1" applyFill="1" applyBorder="1" applyAlignment="1">
      <alignment horizontal="center" vertical="center" shrinkToFit="1"/>
    </xf>
    <xf numFmtId="3" fontId="39" fillId="7" borderId="90" xfId="3" applyNumberFormat="1" applyFont="1" applyFill="1" applyBorder="1" applyAlignment="1">
      <alignment horizontal="center" vertical="center" shrinkToFit="1"/>
    </xf>
    <xf numFmtId="3" fontId="118" fillId="7" borderId="24" xfId="3" applyNumberFormat="1" applyFont="1" applyFill="1" applyBorder="1" applyAlignment="1">
      <alignment horizontal="center" vertical="center" shrinkToFit="1"/>
    </xf>
    <xf numFmtId="3" fontId="118" fillId="7" borderId="28" xfId="3" applyNumberFormat="1" applyFont="1" applyFill="1" applyBorder="1" applyAlignment="1">
      <alignment horizontal="center" vertical="center" shrinkToFit="1"/>
    </xf>
    <xf numFmtId="3" fontId="59" fillId="7" borderId="24" xfId="3" applyNumberFormat="1" applyFont="1" applyFill="1" applyBorder="1" applyAlignment="1">
      <alignment horizontal="center" vertical="center" shrinkToFit="1"/>
    </xf>
    <xf numFmtId="3" fontId="59" fillId="7" borderId="28" xfId="3" applyNumberFormat="1" applyFont="1" applyFill="1" applyBorder="1" applyAlignment="1">
      <alignment horizontal="center" vertical="center" shrinkToFit="1"/>
    </xf>
    <xf numFmtId="10" fontId="39" fillId="7" borderId="98" xfId="3" applyNumberFormat="1" applyFont="1" applyFill="1" applyBorder="1" applyAlignment="1">
      <alignment horizontal="center" vertical="center" shrinkToFit="1"/>
    </xf>
    <xf numFmtId="10" fontId="39" fillId="7" borderId="51" xfId="3" applyNumberFormat="1" applyFont="1" applyFill="1" applyBorder="1" applyAlignment="1">
      <alignment horizontal="center" vertical="center" shrinkToFit="1"/>
    </xf>
    <xf numFmtId="3" fontId="64" fillId="7" borderId="72" xfId="2" applyNumberFormat="1" applyFont="1" applyFill="1" applyBorder="1" applyAlignment="1">
      <alignment vertical="center"/>
    </xf>
    <xf numFmtId="3" fontId="33" fillId="7" borderId="60" xfId="2" applyNumberFormat="1" applyFont="1" applyFill="1" applyBorder="1" applyAlignment="1">
      <alignment horizontal="center" vertical="center"/>
    </xf>
    <xf numFmtId="3" fontId="37" fillId="7" borderId="43" xfId="2" applyNumberFormat="1" applyFont="1" applyFill="1" applyBorder="1" applyAlignment="1">
      <alignment vertical="center"/>
    </xf>
    <xf numFmtId="3" fontId="33" fillId="7" borderId="43" xfId="2" applyNumberFormat="1" applyFont="1" applyFill="1" applyBorder="1" applyAlignment="1">
      <alignment vertical="center"/>
    </xf>
    <xf numFmtId="3" fontId="33" fillId="7" borderId="59" xfId="2" applyNumberFormat="1" applyFont="1" applyFill="1" applyBorder="1" applyAlignment="1">
      <alignment vertical="center"/>
    </xf>
    <xf numFmtId="3" fontId="91" fillId="7" borderId="25" xfId="2" applyNumberFormat="1" applyFont="1" applyFill="1" applyBorder="1" applyAlignment="1">
      <alignment vertical="center"/>
    </xf>
    <xf numFmtId="3" fontId="91" fillId="7" borderId="26" xfId="2" applyNumberFormat="1" applyFont="1" applyFill="1" applyBorder="1" applyAlignment="1">
      <alignment vertical="center"/>
    </xf>
    <xf numFmtId="3" fontId="116" fillId="7" borderId="72" xfId="2" applyNumberFormat="1" applyFont="1" applyFill="1" applyBorder="1" applyAlignment="1">
      <alignment vertical="center"/>
    </xf>
    <xf numFmtId="3" fontId="37" fillId="7" borderId="60" xfId="2" applyNumberFormat="1" applyFont="1" applyFill="1" applyBorder="1" applyAlignment="1">
      <alignment vertical="center"/>
    </xf>
    <xf numFmtId="3" fontId="116" fillId="7" borderId="26" xfId="2" applyNumberFormat="1" applyFont="1" applyFill="1" applyBorder="1" applyAlignment="1">
      <alignment vertical="center"/>
    </xf>
    <xf numFmtId="3" fontId="57" fillId="7" borderId="61" xfId="2" applyNumberFormat="1" applyFont="1" applyFill="1" applyBorder="1" applyAlignment="1">
      <alignment vertical="center"/>
    </xf>
    <xf numFmtId="3" fontId="53" fillId="7" borderId="72" xfId="2" applyNumberFormat="1" applyFont="1" applyFill="1" applyBorder="1" applyAlignment="1">
      <alignment vertical="center"/>
    </xf>
    <xf numFmtId="3" fontId="63" fillId="7" borderId="26" xfId="2" applyNumberFormat="1" applyFont="1" applyFill="1" applyBorder="1" applyAlignment="1">
      <alignment vertical="center"/>
    </xf>
    <xf numFmtId="3" fontId="21" fillId="7" borderId="46" xfId="2" applyNumberFormat="1" applyFont="1" applyFill="1" applyBorder="1" applyAlignment="1">
      <alignment horizontal="right" vertical="center"/>
    </xf>
    <xf numFmtId="3" fontId="37" fillId="7" borderId="72" xfId="2" applyNumberFormat="1" applyFont="1" applyFill="1" applyBorder="1" applyAlignment="1">
      <alignment vertical="center"/>
    </xf>
    <xf numFmtId="3" fontId="119" fillId="7" borderId="26" xfId="2" applyNumberFormat="1" applyFont="1" applyFill="1" applyBorder="1" applyAlignment="1">
      <alignment vertical="center"/>
    </xf>
    <xf numFmtId="3" fontId="21" fillId="7" borderId="28" xfId="2" applyNumberFormat="1" applyFont="1" applyFill="1" applyBorder="1" applyAlignment="1">
      <alignment vertical="center"/>
    </xf>
    <xf numFmtId="3" fontId="21" fillId="7" borderId="26" xfId="2" applyNumberFormat="1" applyFont="1" applyFill="1" applyBorder="1" applyAlignment="1">
      <alignment vertical="center"/>
    </xf>
    <xf numFmtId="3" fontId="33" fillId="7" borderId="66" xfId="2" applyNumberFormat="1" applyFont="1" applyFill="1" applyBorder="1" applyAlignment="1">
      <alignment vertical="center"/>
    </xf>
    <xf numFmtId="3" fontId="21" fillId="7" borderId="21" xfId="2" applyNumberFormat="1" applyFont="1" applyFill="1" applyBorder="1" applyAlignment="1">
      <alignment horizontal="right" vertical="center"/>
    </xf>
    <xf numFmtId="3" fontId="21" fillId="7" borderId="45" xfId="2" applyNumberFormat="1" applyFont="1" applyFill="1" applyBorder="1" applyAlignment="1">
      <alignment horizontal="right" vertical="center"/>
    </xf>
    <xf numFmtId="3" fontId="89" fillId="7" borderId="64" xfId="2" applyNumberFormat="1" applyFont="1" applyFill="1" applyBorder="1" applyAlignment="1">
      <alignment vertical="center"/>
    </xf>
    <xf numFmtId="3" fontId="89" fillId="7" borderId="58" xfId="2" applyNumberFormat="1" applyFont="1" applyFill="1" applyBorder="1" applyAlignment="1">
      <alignment vertical="center"/>
    </xf>
    <xf numFmtId="3" fontId="37" fillId="7" borderId="74" xfId="2" applyNumberFormat="1" applyFont="1" applyFill="1" applyBorder="1" applyAlignment="1">
      <alignment vertical="center"/>
    </xf>
    <xf numFmtId="3" fontId="33" fillId="7" borderId="75" xfId="2" applyNumberFormat="1" applyFont="1" applyFill="1" applyBorder="1" applyAlignment="1">
      <alignment vertical="center"/>
    </xf>
    <xf numFmtId="3" fontId="33" fillId="7" borderId="73" xfId="2" applyNumberFormat="1" applyFont="1" applyFill="1" applyBorder="1" applyAlignment="1">
      <alignment vertical="center"/>
    </xf>
    <xf numFmtId="3" fontId="62" fillId="7" borderId="24" xfId="2" applyNumberFormat="1" applyFont="1" applyFill="1" applyBorder="1" applyAlignment="1">
      <alignment vertical="center"/>
    </xf>
    <xf numFmtId="3" fontId="63" fillId="7" borderId="24" xfId="2" applyNumberFormat="1" applyFont="1" applyFill="1" applyBorder="1" applyAlignment="1">
      <alignment vertical="center"/>
    </xf>
    <xf numFmtId="3" fontId="64" fillId="7" borderId="24" xfId="2" applyNumberFormat="1" applyFont="1" applyFill="1" applyBorder="1" applyAlignment="1">
      <alignment vertical="center"/>
    </xf>
    <xf numFmtId="3" fontId="119" fillId="7" borderId="76" xfId="2" applyNumberFormat="1" applyFont="1" applyFill="1" applyBorder="1" applyAlignment="1">
      <alignment vertical="center"/>
    </xf>
    <xf numFmtId="3" fontId="33" fillId="7" borderId="51" xfId="2" applyNumberFormat="1" applyFont="1" applyFill="1" applyBorder="1" applyAlignment="1">
      <alignment vertical="center"/>
    </xf>
    <xf numFmtId="0" fontId="64" fillId="8" borderId="73" xfId="2" applyFont="1" applyFill="1" applyBorder="1"/>
    <xf numFmtId="3" fontId="33" fillId="8" borderId="16" xfId="2" quotePrefix="1" applyNumberFormat="1" applyFont="1" applyFill="1" applyBorder="1" applyAlignment="1">
      <alignment vertical="center"/>
    </xf>
    <xf numFmtId="3" fontId="43" fillId="8" borderId="25" xfId="2" quotePrefix="1" applyNumberFormat="1" applyFont="1" applyFill="1" applyBorder="1" applyAlignment="1">
      <alignment vertical="center"/>
    </xf>
    <xf numFmtId="3" fontId="63" fillId="8" borderId="25" xfId="2" quotePrefix="1" applyNumberFormat="1" applyFont="1" applyFill="1" applyBorder="1" applyAlignment="1">
      <alignment vertical="center"/>
    </xf>
    <xf numFmtId="3" fontId="64" fillId="8" borderId="25" xfId="2" quotePrefix="1" applyNumberFormat="1" applyFont="1" applyFill="1" applyBorder="1" applyAlignment="1">
      <alignment vertical="center"/>
    </xf>
    <xf numFmtId="166" fontId="19" fillId="7" borderId="99" xfId="2" quotePrefix="1" applyNumberFormat="1" applyFont="1" applyFill="1" applyBorder="1" applyAlignment="1">
      <alignment horizontal="center" vertical="center"/>
    </xf>
    <xf numFmtId="166" fontId="19" fillId="7" borderId="55" xfId="2" quotePrefix="1" applyNumberFormat="1" applyFont="1" applyFill="1" applyBorder="1" applyAlignment="1">
      <alignment horizontal="center" vertical="center"/>
    </xf>
    <xf numFmtId="3" fontId="21" fillId="7" borderId="35" xfId="2" applyNumberFormat="1" applyFont="1" applyFill="1" applyBorder="1" applyAlignment="1">
      <alignment vertical="center"/>
    </xf>
    <xf numFmtId="3" fontId="21" fillId="7" borderId="37" xfId="2" applyNumberFormat="1" applyFont="1" applyFill="1" applyBorder="1" applyAlignment="1">
      <alignment vertical="center"/>
    </xf>
    <xf numFmtId="3" fontId="21" fillId="7" borderId="128" xfId="2" applyNumberFormat="1" applyFont="1" applyFill="1" applyBorder="1" applyAlignment="1">
      <alignment horizontal="right" vertical="center"/>
    </xf>
    <xf numFmtId="3" fontId="30" fillId="7" borderId="26" xfId="2" applyNumberFormat="1" applyFont="1" applyFill="1" applyBorder="1" applyAlignment="1">
      <alignment horizontal="right" vertical="center"/>
    </xf>
    <xf numFmtId="3" fontId="57" fillId="7" borderId="72" xfId="2" applyNumberFormat="1" applyFont="1" applyFill="1" applyBorder="1" applyAlignment="1">
      <alignment vertical="center"/>
    </xf>
    <xf numFmtId="3" fontId="62" fillId="7" borderId="26" xfId="2" applyNumberFormat="1" applyFont="1" applyFill="1" applyBorder="1" applyAlignment="1">
      <alignment vertical="center"/>
    </xf>
    <xf numFmtId="3" fontId="33" fillId="7" borderId="129" xfId="3" applyNumberFormat="1" applyFont="1" applyFill="1" applyBorder="1" applyAlignment="1">
      <alignment horizontal="center" vertical="center" shrinkToFit="1"/>
    </xf>
    <xf numFmtId="3" fontId="62" fillId="7" borderId="129" xfId="3" applyNumberFormat="1" applyFont="1" applyFill="1" applyBorder="1" applyAlignment="1">
      <alignment horizontal="center" vertical="center" shrinkToFit="1"/>
    </xf>
    <xf numFmtId="3" fontId="130" fillId="7" borderId="129" xfId="3" applyNumberFormat="1" applyFont="1" applyFill="1" applyBorder="1" applyAlignment="1">
      <alignment horizontal="center" vertical="center" shrinkToFit="1"/>
    </xf>
    <xf numFmtId="3" fontId="53" fillId="7" borderId="129" xfId="3" applyNumberFormat="1" applyFont="1" applyFill="1" applyBorder="1" applyAlignment="1">
      <alignment horizontal="center" vertical="center" shrinkToFit="1"/>
    </xf>
    <xf numFmtId="10" fontId="62" fillId="7" borderId="103" xfId="3" applyNumberFormat="1" applyFont="1" applyFill="1" applyBorder="1" applyAlignment="1">
      <alignment horizontal="center" vertical="center" shrinkToFit="1"/>
    </xf>
    <xf numFmtId="10" fontId="62" fillId="7" borderId="51" xfId="3" applyNumberFormat="1" applyFont="1" applyFill="1" applyBorder="1" applyAlignment="1">
      <alignment horizontal="center" vertical="center" shrinkToFit="1"/>
    </xf>
    <xf numFmtId="166" fontId="21" fillId="7" borderId="53" xfId="2" quotePrefix="1" applyNumberFormat="1" applyFont="1" applyFill="1" applyBorder="1" applyAlignment="1">
      <alignment horizontal="center" vertical="center"/>
    </xf>
    <xf numFmtId="166" fontId="21" fillId="7" borderId="55" xfId="2" quotePrefix="1" applyNumberFormat="1" applyFont="1" applyFill="1" applyBorder="1" applyAlignment="1">
      <alignment horizontal="center" vertical="center"/>
    </xf>
    <xf numFmtId="169" fontId="6" fillId="7" borderId="0" xfId="2" applyNumberFormat="1" applyFont="1" applyFill="1" applyAlignment="1">
      <alignment vertical="center"/>
    </xf>
    <xf numFmtId="3" fontId="37" fillId="7" borderId="28" xfId="2" applyNumberFormat="1" applyFont="1" applyFill="1" applyBorder="1" applyAlignment="1">
      <alignment horizontal="center" vertical="center"/>
    </xf>
    <xf numFmtId="3" fontId="37" fillId="7" borderId="35" xfId="2" applyNumberFormat="1" applyFont="1" applyFill="1" applyBorder="1" applyAlignment="1">
      <alignment vertical="center"/>
    </xf>
    <xf numFmtId="3" fontId="37" fillId="7" borderId="37" xfId="2" applyNumberFormat="1" applyFont="1" applyFill="1" applyBorder="1" applyAlignment="1">
      <alignment vertical="center"/>
    </xf>
    <xf numFmtId="3" fontId="66" fillId="7" borderId="24" xfId="3" applyNumberFormat="1" applyFont="1" applyFill="1" applyBorder="1" applyAlignment="1">
      <alignment horizontal="center" vertical="center" shrinkToFit="1"/>
    </xf>
    <xf numFmtId="3" fontId="66" fillId="7" borderId="26" xfId="3" applyNumberFormat="1" applyFont="1" applyFill="1" applyBorder="1" applyAlignment="1">
      <alignment horizontal="center" vertical="center" shrinkToFit="1"/>
    </xf>
    <xf numFmtId="10" fontId="39" fillId="7" borderId="65" xfId="7" applyNumberFormat="1" applyFont="1" applyFill="1" applyBorder="1" applyAlignment="1">
      <alignment horizontal="center" vertical="center" shrinkToFit="1"/>
    </xf>
    <xf numFmtId="10" fontId="39" fillId="7" borderId="35" xfId="7" applyNumberFormat="1" applyFont="1" applyFill="1" applyBorder="1" applyAlignment="1">
      <alignment horizontal="center" vertical="center" shrinkToFit="1"/>
    </xf>
    <xf numFmtId="10" fontId="39" fillId="7" borderId="66" xfId="7" applyNumberFormat="1" applyFont="1" applyFill="1" applyBorder="1" applyAlignment="1">
      <alignment horizontal="center" vertical="center" shrinkToFit="1"/>
    </xf>
    <xf numFmtId="3" fontId="33" fillId="7" borderId="16" xfId="2" applyNumberFormat="1" applyFont="1" applyFill="1" applyBorder="1" applyAlignment="1">
      <alignment horizontal="right" vertical="center"/>
    </xf>
    <xf numFmtId="10" fontId="39" fillId="7" borderId="37" xfId="7" applyNumberFormat="1" applyFont="1" applyFill="1" applyBorder="1" applyAlignment="1">
      <alignment horizontal="center" vertical="center" shrinkToFit="1"/>
    </xf>
    <xf numFmtId="166" fontId="19" fillId="7" borderId="69" xfId="2" quotePrefix="1" applyNumberFormat="1" applyFont="1" applyFill="1" applyBorder="1" applyAlignment="1">
      <alignment horizontal="center" vertical="center"/>
    </xf>
    <xf numFmtId="3" fontId="266" fillId="7" borderId="26" xfId="2" applyNumberFormat="1" applyFont="1" applyFill="1" applyBorder="1" applyAlignment="1">
      <alignment vertical="center"/>
    </xf>
    <xf numFmtId="3" fontId="89" fillId="7" borderId="16" xfId="2" applyNumberFormat="1" applyFont="1" applyFill="1" applyBorder="1" applyAlignment="1">
      <alignment vertical="center"/>
    </xf>
    <xf numFmtId="3" fontId="89" fillId="7" borderId="46" xfId="2" applyNumberFormat="1" applyFont="1" applyFill="1" applyBorder="1" applyAlignment="1">
      <alignment horizontal="right" vertical="center"/>
    </xf>
    <xf numFmtId="3" fontId="19" fillId="7" borderId="45" xfId="3" applyNumberFormat="1" applyFont="1" applyFill="1" applyBorder="1" applyAlignment="1">
      <alignment horizontal="center" vertical="center" shrinkToFit="1"/>
    </xf>
    <xf numFmtId="3" fontId="26" fillId="7" borderId="48" xfId="3" applyNumberFormat="1" applyFont="1" applyFill="1" applyBorder="1" applyAlignment="1">
      <alignment horizontal="center" vertical="center" shrinkToFit="1"/>
    </xf>
    <xf numFmtId="3" fontId="26" fillId="7" borderId="21" xfId="3" applyNumberFormat="1" applyFont="1" applyFill="1" applyBorder="1" applyAlignment="1">
      <alignment horizontal="center" vertical="center" shrinkToFit="1"/>
    </xf>
    <xf numFmtId="3" fontId="39" fillId="7" borderId="48" xfId="3" applyNumberFormat="1" applyFont="1" applyFill="1" applyBorder="1" applyAlignment="1">
      <alignment horizontal="center" vertical="center" shrinkToFit="1"/>
    </xf>
    <xf numFmtId="3" fontId="39" fillId="7" borderId="21" xfId="3" applyNumberFormat="1" applyFont="1" applyFill="1" applyBorder="1" applyAlignment="1">
      <alignment horizontal="center" vertical="center" shrinkToFit="1"/>
    </xf>
    <xf numFmtId="3" fontId="66" fillId="7" borderId="48" xfId="3" applyNumberFormat="1" applyFont="1" applyFill="1" applyBorder="1" applyAlignment="1">
      <alignment horizontal="center" vertical="center" shrinkToFit="1"/>
    </xf>
    <xf numFmtId="3" fontId="66" fillId="7" borderId="21" xfId="3" applyNumberFormat="1" applyFont="1" applyFill="1" applyBorder="1" applyAlignment="1">
      <alignment horizontal="center" vertical="center" shrinkToFit="1"/>
    </xf>
    <xf numFmtId="3" fontId="67" fillId="7" borderId="48" xfId="3" applyNumberFormat="1" applyFont="1" applyFill="1" applyBorder="1" applyAlignment="1">
      <alignment horizontal="center" vertical="center" shrinkToFit="1"/>
    </xf>
    <xf numFmtId="10" fontId="39" fillId="7" borderId="65" xfId="3" applyNumberFormat="1" applyFont="1" applyFill="1" applyBorder="1" applyAlignment="1">
      <alignment horizontal="center" vertical="center" shrinkToFit="1"/>
    </xf>
    <xf numFmtId="3" fontId="33" fillId="0" borderId="60" xfId="2" applyNumberFormat="1" applyFont="1" applyBorder="1" applyAlignment="1">
      <alignment vertical="center"/>
    </xf>
    <xf numFmtId="3" fontId="33" fillId="0" borderId="62" xfId="2" applyNumberFormat="1" applyFont="1" applyBorder="1" applyAlignment="1">
      <alignment vertical="center"/>
    </xf>
    <xf numFmtId="3" fontId="33" fillId="0" borderId="28" xfId="2" applyNumberFormat="1" applyFont="1" applyBorder="1" applyAlignment="1">
      <alignment vertical="center"/>
    </xf>
    <xf numFmtId="3" fontId="33" fillId="0" borderId="35" xfId="2" applyNumberFormat="1" applyFont="1" applyBorder="1" applyAlignment="1">
      <alignment vertical="center"/>
    </xf>
    <xf numFmtId="3" fontId="33" fillId="0" borderId="36" xfId="2" applyNumberFormat="1" applyFont="1" applyBorder="1" applyAlignment="1">
      <alignment vertical="center"/>
    </xf>
    <xf numFmtId="0" fontId="0" fillId="0" borderId="0" xfId="0" applyAlignment="1">
      <alignment horizontal="center"/>
    </xf>
    <xf numFmtId="199" fontId="0" fillId="0" borderId="116" xfId="0" applyNumberFormat="1" applyBorder="1" applyAlignment="1">
      <alignment horizontal="center" vertical="center"/>
    </xf>
    <xf numFmtId="0" fontId="0" fillId="0" borderId="116" xfId="0" applyBorder="1"/>
    <xf numFmtId="0" fontId="0" fillId="0" borderId="116" xfId="0" applyBorder="1" applyAlignment="1">
      <alignment horizontal="center"/>
    </xf>
    <xf numFmtId="0" fontId="0" fillId="0" borderId="116" xfId="0" applyBorder="1" applyAlignment="1">
      <alignment horizontal="center" vertical="center"/>
    </xf>
    <xf numFmtId="0" fontId="310" fillId="0" borderId="116" xfId="0" applyFont="1" applyBorder="1" applyAlignment="1">
      <alignment horizontal="center" vertical="center"/>
    </xf>
    <xf numFmtId="199" fontId="275" fillId="65" borderId="155" xfId="0" applyNumberFormat="1" applyFont="1" applyFill="1" applyBorder="1" applyAlignment="1">
      <alignment horizontal="center" vertical="center" wrapText="1"/>
    </xf>
    <xf numFmtId="199" fontId="275" fillId="66" borderId="155" xfId="0" applyNumberFormat="1" applyFont="1" applyFill="1" applyBorder="1" applyAlignment="1">
      <alignment horizontal="center" vertical="center" wrapText="1"/>
    </xf>
    <xf numFmtId="0" fontId="275" fillId="66" borderId="155" xfId="0" applyFont="1" applyFill="1" applyBorder="1" applyAlignment="1">
      <alignment horizontal="center" vertical="center"/>
    </xf>
    <xf numFmtId="0" fontId="275" fillId="66" borderId="156" xfId="0" applyFont="1" applyFill="1" applyBorder="1" applyAlignment="1">
      <alignment horizontal="center" vertical="center"/>
    </xf>
    <xf numFmtId="0" fontId="255" fillId="66" borderId="124" xfId="0" applyFont="1" applyFill="1" applyBorder="1" applyAlignment="1">
      <alignment vertical="center"/>
    </xf>
    <xf numFmtId="0" fontId="255" fillId="66" borderId="124" xfId="0" applyFont="1" applyFill="1" applyBorder="1" applyAlignment="1">
      <alignment horizontal="center" vertical="center"/>
    </xf>
    <xf numFmtId="0" fontId="255" fillId="66" borderId="116" xfId="0" applyFont="1" applyFill="1" applyBorder="1" applyAlignment="1">
      <alignment horizontal="center" vertical="center"/>
    </xf>
    <xf numFmtId="164" fontId="53" fillId="0" borderId="13" xfId="2" applyNumberFormat="1" applyFont="1" applyBorder="1" applyAlignment="1">
      <alignment horizontal="center" vertical="center"/>
    </xf>
    <xf numFmtId="3" fontId="311" fillId="0" borderId="14" xfId="5" applyNumberFormat="1" applyFont="1" applyBorder="1" applyAlignment="1">
      <alignment horizontal="center" vertical="center" shrinkToFit="1"/>
    </xf>
    <xf numFmtId="164" fontId="130" fillId="0" borderId="14" xfId="2" applyNumberFormat="1" applyFont="1" applyBorder="1" applyAlignment="1">
      <alignment horizontal="center" vertical="center"/>
    </xf>
    <xf numFmtId="0" fontId="33" fillId="0" borderId="2" xfId="2" applyFont="1" applyBorder="1" applyAlignment="1">
      <alignment horizontal="center" vertical="center" wrapText="1"/>
    </xf>
    <xf numFmtId="164" fontId="27" fillId="0" borderId="13" xfId="2" applyNumberFormat="1" applyFont="1" applyBorder="1" applyAlignment="1">
      <alignment horizontal="center" vertical="center"/>
    </xf>
    <xf numFmtId="3" fontId="312" fillId="0" borderId="14" xfId="5" applyNumberFormat="1" applyFont="1" applyBorder="1" applyAlignment="1">
      <alignment horizontal="center" vertical="center" shrinkToFit="1"/>
    </xf>
    <xf numFmtId="0" fontId="305" fillId="0" borderId="116" xfId="0" applyFont="1" applyBorder="1"/>
    <xf numFmtId="0" fontId="0" fillId="0" borderId="124" xfId="0" applyBorder="1"/>
    <xf numFmtId="171" fontId="0" fillId="0" borderId="116" xfId="525" applyNumberFormat="1" applyFont="1" applyBorder="1" applyAlignment="1">
      <alignment horizontal="center" vertical="center"/>
    </xf>
    <xf numFmtId="0" fontId="309" fillId="0" borderId="116" xfId="0" applyFont="1" applyBorder="1" applyAlignment="1">
      <alignment horizontal="center" vertical="center"/>
    </xf>
    <xf numFmtId="0" fontId="305" fillId="0" borderId="116" xfId="0" applyFont="1" applyBorder="1" applyAlignment="1">
      <alignment horizontal="center" vertical="center"/>
    </xf>
    <xf numFmtId="171" fontId="0" fillId="0" borderId="116" xfId="525" applyNumberFormat="1" applyFont="1" applyFill="1" applyBorder="1" applyAlignment="1">
      <alignment horizontal="center" vertical="center"/>
    </xf>
    <xf numFmtId="0" fontId="308" fillId="0" borderId="116" xfId="0" applyFont="1" applyBorder="1" applyAlignment="1">
      <alignment horizontal="center" vertical="center"/>
    </xf>
    <xf numFmtId="0" fontId="307" fillId="0" borderId="116" xfId="0" applyFont="1" applyBorder="1" applyAlignment="1">
      <alignment horizontal="center" vertical="center"/>
    </xf>
    <xf numFmtId="171" fontId="305" fillId="0" borderId="116" xfId="525" applyNumberFormat="1" applyFont="1" applyFill="1" applyBorder="1" applyAlignment="1">
      <alignment horizontal="center" vertical="center"/>
    </xf>
    <xf numFmtId="0" fontId="305" fillId="0" borderId="116" xfId="0" applyFont="1" applyBorder="1" applyAlignment="1">
      <alignment horizontal="center"/>
    </xf>
    <xf numFmtId="199" fontId="305" fillId="0" borderId="116" xfId="0" applyNumberFormat="1" applyFont="1" applyBorder="1" applyAlignment="1">
      <alignment horizontal="center" vertical="center"/>
    </xf>
    <xf numFmtId="0" fontId="306" fillId="0" borderId="0" xfId="0" applyFont="1"/>
    <xf numFmtId="199" fontId="0" fillId="0" borderId="116" xfId="1" applyNumberFormat="1" applyFont="1" applyFill="1" applyBorder="1" applyAlignment="1">
      <alignment horizontal="center" vertical="center"/>
    </xf>
    <xf numFmtId="0" fontId="0" fillId="0" borderId="124" xfId="0" applyBorder="1" applyAlignment="1">
      <alignment horizontal="center" vertical="center"/>
    </xf>
    <xf numFmtId="0" fontId="0" fillId="0" borderId="124" xfId="0" applyBorder="1" applyAlignment="1">
      <alignment horizontal="center"/>
    </xf>
    <xf numFmtId="0" fontId="274" fillId="0" borderId="116" xfId="0" applyFont="1" applyBorder="1" applyAlignment="1">
      <alignment horizontal="center" vertical="center"/>
    </xf>
    <xf numFmtId="17" fontId="123" fillId="2" borderId="0" xfId="2" applyNumberFormat="1" applyFont="1" applyFill="1" applyAlignment="1">
      <alignment horizontal="center" vertical="center"/>
    </xf>
    <xf numFmtId="17" fontId="9" fillId="62" borderId="0" xfId="2" applyNumberFormat="1" applyFont="1" applyFill="1" applyAlignment="1">
      <alignment horizontal="center" vertical="center"/>
    </xf>
    <xf numFmtId="0" fontId="6" fillId="0" borderId="0" xfId="2" applyFont="1" applyAlignment="1">
      <alignment horizontal="center"/>
    </xf>
    <xf numFmtId="0" fontId="14" fillId="0" borderId="1" xfId="2" applyFont="1" applyBorder="1" applyAlignment="1">
      <alignment horizontal="center"/>
    </xf>
    <xf numFmtId="43" fontId="75" fillId="0" borderId="0" xfId="4" applyFont="1" applyFill="1" applyAlignment="1">
      <alignment horizontal="right" vertical="center"/>
    </xf>
    <xf numFmtId="17" fontId="9" fillId="2" borderId="0" xfId="2" applyNumberFormat="1" applyFont="1" applyFill="1" applyAlignment="1">
      <alignment horizontal="center" vertical="center"/>
    </xf>
    <xf numFmtId="0" fontId="84" fillId="0" borderId="0" xfId="2" applyFont="1" applyAlignment="1">
      <alignment horizontal="center"/>
    </xf>
    <xf numFmtId="169" fontId="28" fillId="0" borderId="0" xfId="6" applyNumberFormat="1" applyFont="1" applyFill="1" applyAlignment="1">
      <alignment horizontal="center" vertical="center"/>
    </xf>
    <xf numFmtId="3" fontId="21" fillId="10" borderId="40" xfId="2" applyNumberFormat="1" applyFont="1" applyFill="1" applyBorder="1" applyAlignment="1">
      <alignment horizontal="right" vertical="center"/>
    </xf>
  </cellXfs>
  <cellStyles count="787">
    <cellStyle name="??" xfId="12" xr:uid="{6C5759BB-CF11-4D95-B844-06CF55566C4A}"/>
    <cellStyle name="?? [0]_PERSONAL" xfId="13" xr:uid="{8B884D97-0A03-4C53-B7EA-DF46B8B3B800}"/>
    <cellStyle name="??_PERSONAL" xfId="14" xr:uid="{ACA6EE2B-A58B-4946-9D11-46877FC56928}"/>
    <cellStyle name="_020SE見積仕様" xfId="15" xr:uid="{A9BED3FC-A0FD-4287-BE8A-2E0568D406D0}"/>
    <cellStyle name="_04GD20680見積" xfId="16" xr:uid="{DEFFE0CD-7763-4E26-96AB-E8FF76BCD60D}"/>
    <cellStyle name="_051_見積GD20350" xfId="17" xr:uid="{0A5E030E-5AEB-4928-9AC2-A5065124D559}"/>
    <cellStyle name="_05GD20160" xfId="18" xr:uid="{C03CE235-3311-481D-992D-478FC0559734}"/>
    <cellStyle name="_20020425-01０４２５見積" xfId="19" xr:uid="{AA16E150-5762-4B2C-A746-309DF93D08C7}"/>
    <cellStyle name="_GD20870見積" xfId="20" xr:uid="{6E18E272-9C3F-4094-B1E2-50EE271B316F}"/>
    <cellStyle name="_コピー元04GD20680見積" xfId="21" xr:uid="{15A26125-17C8-4FD0-9269-A0AA95BBFE11}"/>
    <cellStyle name="^Cg" xfId="22" xr:uid="{A873ABBB-7684-4459-9106-6EBF0D5822C4}"/>
    <cellStyle name="`FbN Z" xfId="23" xr:uid="{E47767A1-F6FD-4765-AFEB-AAFF4CC2637C}"/>
    <cellStyle name="«¢" xfId="24" xr:uid="{05C379B0-4D31-4A19-B483-4E41C8B21CC0}"/>
    <cellStyle name="©oµ 1" xfId="25" xr:uid="{8EDF159B-75F3-4B3F-B037-52CEC075A5B7}"/>
    <cellStyle name="©oµ 2" xfId="26" xr:uid="{9AD54EB0-1C1C-4D0A-BECA-AAA1342F4FA9}"/>
    <cellStyle name="©oµ 3" xfId="27" xr:uid="{DE3CEEFA-58F2-4B63-908F-9D3FD813913D}"/>
    <cellStyle name="©oµ 4" xfId="28" xr:uid="{C760018E-479E-4D6C-AF90-A383FE2C5684}"/>
    <cellStyle name="" xfId="29" xr:uid="{77AB9976-EC0F-4463-84A3-D9A31B767192}"/>
    <cellStyle name="N Z" xfId="30" xr:uid="{F04B7A35-73BF-473E-B3D2-58A71F111FC4}"/>
    <cellStyle name="à¾¶" xfId="31" xr:uid="{E31EC301-D107-416C-BD52-DF2D2BE527E3}"/>
    <cellStyle name="ANZg 1" xfId="32" xr:uid="{4788C40D-229E-4343-ABE2-7588E389E3E1}"/>
    <cellStyle name="ANZg 2" xfId="33" xr:uid="{26F6C67E-1852-4A88-B893-58FA0556D856}"/>
    <cellStyle name="ANZg 3" xfId="34" xr:uid="{4C9D8698-8E42-40BE-9643-368602F7299B}"/>
    <cellStyle name="ANZg 4" xfId="35" xr:uid="{5FDF2F53-534E-4FEA-995B-57242D408A7B}"/>
    <cellStyle name="ANZg 5" xfId="36" xr:uid="{0491544D-5C27-4A76-AFD9-A499EAB310D2}"/>
    <cellStyle name="ANZg 6" xfId="37" xr:uid="{FF2315B2-DB71-40A3-A94D-3DFF2B762284}"/>
    <cellStyle name="Ç¿çÅàÈ¢" xfId="38" xr:uid="{09B364D3-92EF-47C4-817A-CD5F75295E20}"/>
    <cellStyle name="Ç¢" xfId="39" xr:uid="{B3D74E95-B334-4191-9C9B-E8C05E0C6339}"/>
    <cellStyle name="oÍ" xfId="40" xr:uid="{E48B6B8E-5C14-42B2-BE0C-6951ECB3002F}"/>
    <cellStyle name="üÍ" xfId="41" xr:uid="{36729AEE-0EE6-4C00-A051-E42393176960}"/>
    <cellStyle name="vZ" xfId="42" xr:uid="{06D06F9F-821E-453F-AA00-AF84EBF66549}"/>
    <cellStyle name="W_©®x¥PRGJX^}CYè" xfId="43" xr:uid="{874A79AB-6609-4D8C-B2C5-2ACC3CCAFE1A}"/>
    <cellStyle name="Wv" xfId="44" xr:uid="{B7681F91-EF25-46CE-B4F3-0242AA7A4458}"/>
    <cellStyle name="x¶" xfId="45" xr:uid="{4C5502D6-1135-44D6-B6D6-4D09B003D44A}"/>
    <cellStyle name="0301" xfId="46" xr:uid="{234B8B8B-0B0B-4FEF-BDF3-A2090ECC755E}"/>
    <cellStyle name="0_x0014_標準_F_02?P_Dd080301" xfId="47" xr:uid="{FA00DE74-DA26-4266-B9FC-C075EF87713C}"/>
    <cellStyle name="20% - ANZg 1" xfId="48" xr:uid="{3996FC75-28F7-4915-BF4B-FFEDE6E5D5CD}"/>
    <cellStyle name="20% - ANZg 2" xfId="49" xr:uid="{20B97CE7-7438-47F5-BAAC-4EBF075A0C17}"/>
    <cellStyle name="20% - ANZg 3" xfId="50" xr:uid="{CFDEE4D9-55CF-42A6-87AF-887189044901}"/>
    <cellStyle name="20% - ANZg 4" xfId="51" xr:uid="{E1A2F9D5-1E25-4BBE-A215-F23DECB5686D}"/>
    <cellStyle name="20% - ANZg 5" xfId="52" xr:uid="{7A3BED85-157E-466F-AC8A-C39E47B65D7B}"/>
    <cellStyle name="20% - ANZg 6" xfId="53" xr:uid="{8AE04503-9507-4A78-8DBC-6484AF54DE18}"/>
    <cellStyle name="20% - Accent1 2" xfId="54" xr:uid="{C09A11EB-F169-43C5-A9BD-F4CF72ABFB2A}"/>
    <cellStyle name="20% - Accent1 3" xfId="55" xr:uid="{C4833065-A44C-42D7-AF56-EAA1EFB6E579}"/>
    <cellStyle name="20% - Accent1 4" xfId="56" xr:uid="{A77E0994-2D48-416D-A917-72705EED197B}"/>
    <cellStyle name="20% - Accent2 2" xfId="57" xr:uid="{E725DE9F-BF5E-49CB-A49D-3C75C0F4F1C5}"/>
    <cellStyle name="20% - Accent2 3" xfId="58" xr:uid="{E4213B65-F7E8-470B-9D99-86F1B84F2F6C}"/>
    <cellStyle name="20% - Accent2 4" xfId="59" xr:uid="{F152B19F-19E7-4744-B6FF-F3AE9658979E}"/>
    <cellStyle name="20% - Accent3 2" xfId="60" xr:uid="{8629B569-A5A9-4DA3-B274-96569CD9FE88}"/>
    <cellStyle name="20% - Accent3 3" xfId="61" xr:uid="{63CDBE4C-A042-43E5-A109-9F164A6BE55D}"/>
    <cellStyle name="20% - Accent3 4" xfId="62" xr:uid="{F30CF5CF-554E-41A4-B4E2-2E32DC7DB041}"/>
    <cellStyle name="20% - Accent4 2" xfId="63" xr:uid="{91CDBEC1-4FEA-4D6C-ACBC-24255AEE8DE0}"/>
    <cellStyle name="20% - Accent4 3" xfId="64" xr:uid="{7E7F37C6-36B9-478E-92A6-0F4F83A066B0}"/>
    <cellStyle name="20% - Accent4 4" xfId="65" xr:uid="{052E1776-042E-40BC-A6DA-29714726B3AE}"/>
    <cellStyle name="20% - Accent5 2" xfId="66" xr:uid="{451A3E66-C506-4308-9E03-4A19EAF34E7D}"/>
    <cellStyle name="20% - Accent5 3" xfId="67" xr:uid="{1C69A76F-E687-4F6D-A220-D06FA1871F37}"/>
    <cellStyle name="20% - Accent5 4" xfId="68" xr:uid="{48E68983-3A46-4181-9E2C-301E6C951343}"/>
    <cellStyle name="20% - Accent6 2" xfId="69" xr:uid="{D4B0843D-98B1-4676-99E3-A83A75F2F816}"/>
    <cellStyle name="20% - Accent6 3" xfId="70" xr:uid="{088EA4C7-3D70-414B-98E6-7AC5A3609615}"/>
    <cellStyle name="20% - Accent6 4" xfId="71" xr:uid="{F722631D-53EA-4993-8670-9EF99B745B84}"/>
    <cellStyle name="40% - ANZg 1" xfId="72" xr:uid="{19E1E1D2-21EC-48C6-9ED1-D7F35C6852A4}"/>
    <cellStyle name="40% - ANZg 2" xfId="73" xr:uid="{359DF2E3-7552-4338-8B8E-3D183E447906}"/>
    <cellStyle name="40% - ANZg 3" xfId="74" xr:uid="{4BE11B4A-CF40-4C0D-AA9E-DB5073F41386}"/>
    <cellStyle name="40% - ANZg 4" xfId="75" xr:uid="{7E17D132-DFA6-49BA-9D8A-C7DE92EC5376}"/>
    <cellStyle name="40% - ANZg 5" xfId="76" xr:uid="{D87ED621-052C-41DD-B01D-DFAB4010B9F6}"/>
    <cellStyle name="40% - ANZg 6" xfId="77" xr:uid="{F1D928F2-31DF-4767-9D70-AA242A84D7C3}"/>
    <cellStyle name="40% - Accent1 2" xfId="78" xr:uid="{C6D449E6-A3C5-4D37-B8A8-2BD1E6B5D42E}"/>
    <cellStyle name="40% - Accent1 3" xfId="79" xr:uid="{C83B6B0C-4A68-4A69-BF27-3760DB951BE9}"/>
    <cellStyle name="40% - Accent1 4" xfId="80" xr:uid="{3E58ECAC-9E03-476A-A478-7C12BF872FEE}"/>
    <cellStyle name="40% - Accent2 2" xfId="81" xr:uid="{81267220-6D10-45FE-8CF0-D5F3F3F2236F}"/>
    <cellStyle name="40% - Accent2 3" xfId="82" xr:uid="{14D60B0B-D078-40A2-BD1C-CF093FACC88E}"/>
    <cellStyle name="40% - Accent2 4" xfId="83" xr:uid="{B8C929F7-B6D7-4FCA-B706-177A270845D4}"/>
    <cellStyle name="40% - Accent3 2" xfId="84" xr:uid="{72F90E0A-AA52-4166-901D-88D188555D0B}"/>
    <cellStyle name="40% - Accent3 3" xfId="85" xr:uid="{F8B0C21E-90B8-471B-959A-8008F7A1A564}"/>
    <cellStyle name="40% - Accent3 4" xfId="86" xr:uid="{CFD2F980-B0D9-4A05-A369-5995A23F3D3D}"/>
    <cellStyle name="40% - Accent4 2" xfId="87" xr:uid="{855DE601-7F7D-4F86-998C-CD5DB57EFC26}"/>
    <cellStyle name="40% - Accent4 3" xfId="88" xr:uid="{07ACE102-3DC6-4DC4-BB3D-F2D2CE1CDFE0}"/>
    <cellStyle name="40% - Accent4 4" xfId="89" xr:uid="{650980FC-936D-487D-994E-99E1364A1864}"/>
    <cellStyle name="40% - Accent5 2" xfId="90" xr:uid="{0260D2D1-1C20-4C40-BF5C-42244FC8A019}"/>
    <cellStyle name="40% - Accent5 3" xfId="91" xr:uid="{5D617128-E7F9-412A-B8C0-A11483222808}"/>
    <cellStyle name="40% - Accent5 4" xfId="92" xr:uid="{1EEB9A4B-C04A-4437-88F8-26000FFF436F}"/>
    <cellStyle name="40% - Accent6 2" xfId="93" xr:uid="{0912360C-2C85-437B-9987-E033B5615072}"/>
    <cellStyle name="40% - Accent6 3" xfId="94" xr:uid="{CBC26C1B-0F18-435A-8AE8-D17F95EB5915}"/>
    <cellStyle name="40% - Accent6 4" xfId="95" xr:uid="{39942A0B-58BE-4726-89A3-3E80A36E3B2D}"/>
    <cellStyle name="60% - ANZg 1" xfId="96" xr:uid="{A6E47549-CDEA-43EE-A701-1406ED051232}"/>
    <cellStyle name="60% - ANZg 2" xfId="97" xr:uid="{990F29B1-4F3B-4DBF-8190-88251BC2FF55}"/>
    <cellStyle name="60% - ANZg 3" xfId="98" xr:uid="{4F7CC354-A203-420E-8CAC-072DD1FDCD98}"/>
    <cellStyle name="60% - ANZg 4" xfId="99" xr:uid="{BD1F7CBA-FE85-40DF-8196-FF0FB9105092}"/>
    <cellStyle name="60% - ANZg 5" xfId="100" xr:uid="{5FE1220A-F8F7-4438-BD7B-00B773CBCB3F}"/>
    <cellStyle name="60% - ANZg 6" xfId="101" xr:uid="{62759EEB-7CAB-4392-B291-6FD3BDC0C972}"/>
    <cellStyle name="60% - Accent1 2" xfId="102" xr:uid="{861B77E7-99E7-4EA9-A1CC-8CB686C45655}"/>
    <cellStyle name="60% - Accent1 3" xfId="103" xr:uid="{A80D3EAB-6281-46A7-9A8D-754E587CFA97}"/>
    <cellStyle name="60% - Accent1 4" xfId="104" xr:uid="{5DC86221-9F51-494D-AB4F-2B0EE4441B67}"/>
    <cellStyle name="60% - Accent2 2" xfId="105" xr:uid="{BBCB3860-591B-4A57-A786-20D328CFCC5E}"/>
    <cellStyle name="60% - Accent2 3" xfId="106" xr:uid="{D56E93BD-7EF3-4991-B959-7B8F763047CD}"/>
    <cellStyle name="60% - Accent2 4" xfId="107" xr:uid="{34E3CF7E-A328-4FB9-9ACF-8014A9CB4698}"/>
    <cellStyle name="60% - Accent3 2" xfId="108" xr:uid="{C880AC47-D3C6-4D85-AD26-07D831ECD0FA}"/>
    <cellStyle name="60% - Accent3 3" xfId="109" xr:uid="{737BA690-90D7-471C-A980-636DDC2086C6}"/>
    <cellStyle name="60% - Accent3 4" xfId="110" xr:uid="{793FB869-4A91-4885-ACA5-04C5231F0233}"/>
    <cellStyle name="60% - Accent4 2" xfId="111" xr:uid="{8A4D30FB-A87D-4EC6-BBFE-DF5D7B8DB2BF}"/>
    <cellStyle name="60% - Accent4 3" xfId="112" xr:uid="{83B49215-6AB5-4C0D-91B1-5F1CDBFB8F68}"/>
    <cellStyle name="60% - Accent4 4" xfId="113" xr:uid="{A380DC81-BDE4-4F9D-9462-38FBC73F483F}"/>
    <cellStyle name="60% - Accent5 2" xfId="114" xr:uid="{C3202F65-8AF1-47A7-B139-057B46711020}"/>
    <cellStyle name="60% - Accent5 3" xfId="115" xr:uid="{73BD25CE-27AF-4FA0-B7FB-049AD1721E00}"/>
    <cellStyle name="60% - Accent5 4" xfId="116" xr:uid="{29D7482B-CBD8-4211-8312-5F37DFB8D882}"/>
    <cellStyle name="60% - Accent6 2" xfId="117" xr:uid="{A5DFB7FE-56B2-4440-8FB8-C94A42859BB1}"/>
    <cellStyle name="60% - Accent6 3" xfId="118" xr:uid="{4306490E-F5DF-4702-9103-D6712D95A145}"/>
    <cellStyle name="60% - Accent6 4" xfId="119" xr:uid="{37EB58CE-F76F-462D-B929-8512516E6593}"/>
    <cellStyle name="75" xfId="120" xr:uid="{D38D5E83-CE70-4836-BF9E-A2E2AD5A258A}"/>
    <cellStyle name="Accent1 - 20%" xfId="121" xr:uid="{C3E63BE7-2A41-4A38-8F82-93C5B5002B3F}"/>
    <cellStyle name="Accent1 - 20% 2" xfId="122" xr:uid="{31016B0B-974D-4B80-B1B7-A6C4B8B34A91}"/>
    <cellStyle name="Accent1 - 40%" xfId="123" xr:uid="{F69F3791-17C2-4AED-856C-E77F09A3510A}"/>
    <cellStyle name="Accent1 - 40% 2" xfId="124" xr:uid="{0DA5A717-B283-43ED-A539-EDD907AB6928}"/>
    <cellStyle name="Accent1 - 60%" xfId="125" xr:uid="{515AA455-B922-46E3-8AF4-0951326707AD}"/>
    <cellStyle name="Accent1 2" xfId="126" xr:uid="{61E14439-EBBA-4FFA-A052-D5380B28AE75}"/>
    <cellStyle name="Accent1 3" xfId="127" xr:uid="{69538D47-B1D4-49C0-9931-AB16ADF1E682}"/>
    <cellStyle name="Accent1 4" xfId="128" xr:uid="{B60367EC-6468-4134-B44A-B41DCAA472A7}"/>
    <cellStyle name="Accent2 - 20%" xfId="129" xr:uid="{72EAAA16-04BE-48A0-8706-8ED20A0EBC8A}"/>
    <cellStyle name="Accent2 - 20% 2" xfId="130" xr:uid="{C1AC4FBB-DA7B-4943-B543-129AF3504C59}"/>
    <cellStyle name="Accent2 - 40%" xfId="131" xr:uid="{B61AB95E-C918-4469-87E5-C70D1B5E5F21}"/>
    <cellStyle name="Accent2 - 40% 2" xfId="132" xr:uid="{5DB5C746-3779-449F-88BF-610D9F3E27AC}"/>
    <cellStyle name="Accent2 - 60%" xfId="133" xr:uid="{1DE636D2-0E8B-4AF0-AFD5-236EC01C90CF}"/>
    <cellStyle name="Accent2 2" xfId="134" xr:uid="{2A82168B-4862-40E3-AB7D-039DAD3D00E2}"/>
    <cellStyle name="Accent2 3" xfId="135" xr:uid="{50F9FE9E-EACD-4D46-9BCF-B6EC400BB21B}"/>
    <cellStyle name="Accent2 4" xfId="136" xr:uid="{788FFE84-1B82-4713-B8E9-DC7A848DD215}"/>
    <cellStyle name="Accent3 - 20%" xfId="137" xr:uid="{E713B297-8615-42C9-AC4F-0DF678CFDBA0}"/>
    <cellStyle name="Accent3 - 20% 2" xfId="138" xr:uid="{70E13CA2-B152-46F9-86F1-A6B9836685A3}"/>
    <cellStyle name="Accent3 - 40%" xfId="139" xr:uid="{A082FCB9-9F1C-4FC2-AF4C-7E5FF1279646}"/>
    <cellStyle name="Accent3 - 40% 2" xfId="140" xr:uid="{76F50F0E-34EB-4833-B528-DF8B0EA04BB7}"/>
    <cellStyle name="Accent3 - 60%" xfId="141" xr:uid="{FB7C4EFE-D0B4-42DF-9077-6481E2826822}"/>
    <cellStyle name="Accent3 2" xfId="142" xr:uid="{CBA7A13D-A2C7-479A-8804-492DF84F8E97}"/>
    <cellStyle name="Accent3 3" xfId="143" xr:uid="{2DD9FECF-ABFA-4785-9027-67442FA136E4}"/>
    <cellStyle name="Accent3 4" xfId="144" xr:uid="{F890748D-5943-4156-B6C0-98E5FB7D2140}"/>
    <cellStyle name="Accent4 - 20%" xfId="145" xr:uid="{68E5E000-A08A-4C25-AFEE-92A9E5874450}"/>
    <cellStyle name="Accent4 - 20% 2" xfId="146" xr:uid="{59FFCFE5-ACB0-4CDB-A5C6-1E3482F1A6A8}"/>
    <cellStyle name="Accent4 - 40%" xfId="147" xr:uid="{4AF2E304-5A9B-4654-8581-75920B0CAB5E}"/>
    <cellStyle name="Accent4 - 40% 2" xfId="148" xr:uid="{A5266EA5-D40B-4BF6-BFEE-F56C758A4A86}"/>
    <cellStyle name="Accent4 - 60%" xfId="149" xr:uid="{7ED2DF22-649C-47E0-8865-DBCFC7D634F1}"/>
    <cellStyle name="Accent4 2" xfId="150" xr:uid="{46289B2A-1827-4340-80DB-3B5446D66C52}"/>
    <cellStyle name="Accent4 3" xfId="151" xr:uid="{6B68B589-CEAA-418D-838E-7C91D30EF585}"/>
    <cellStyle name="Accent4 4" xfId="152" xr:uid="{746745AE-8B92-40EB-827B-56BDF49DBD6B}"/>
    <cellStyle name="Accent5 - 20%" xfId="153" xr:uid="{A0C2422E-3E2E-4944-9E46-2AA7B00B1BF4}"/>
    <cellStyle name="Accent5 - 20% 2" xfId="154" xr:uid="{D6799D6F-DD0F-47A9-AB49-7960B130482F}"/>
    <cellStyle name="Accent5 - 40%" xfId="155" xr:uid="{5C380A42-2643-49A3-B29A-7315487787D3}"/>
    <cellStyle name="Accent5 - 40% 2" xfId="156" xr:uid="{76F6DF45-8A0D-4FC2-9F76-63A8198C4684}"/>
    <cellStyle name="Accent5 - 60%" xfId="157" xr:uid="{BE631921-2030-4A42-81E3-1A6D6D0B9D59}"/>
    <cellStyle name="Accent5 2" xfId="158" xr:uid="{6AD299E3-B2B8-4B72-93C5-9C3ADDB4605A}"/>
    <cellStyle name="Accent5 3" xfId="159" xr:uid="{C4A91366-3C80-44BF-B5B6-A4D18BA39E8A}"/>
    <cellStyle name="Accent5 4" xfId="160" xr:uid="{3787B20A-CC79-4290-862A-C2150E9E1AF9}"/>
    <cellStyle name="Accent6 - 20%" xfId="161" xr:uid="{C2FDD999-909D-4E15-B181-6FB422536826}"/>
    <cellStyle name="Accent6 - 20% 2" xfId="162" xr:uid="{8BCF1F26-5AE1-4005-B961-2C3AF27E25E4}"/>
    <cellStyle name="Accent6 - 40%" xfId="163" xr:uid="{0B43A322-DBC6-4A02-ABCC-92E5C075B8F6}"/>
    <cellStyle name="Accent6 - 40% 2" xfId="164" xr:uid="{417F8D3B-0654-44FF-BC7E-AAA5DE7F4BED}"/>
    <cellStyle name="Accent6 - 60%" xfId="165" xr:uid="{E9B24624-D632-46D8-8324-61B0EB54ADAE}"/>
    <cellStyle name="Accent6 2" xfId="166" xr:uid="{E54D0F01-BC2D-4686-955C-C9746D9A035B}"/>
    <cellStyle name="Accent6 3" xfId="167" xr:uid="{15BD7E2E-10C3-45F9-98ED-EDE0DF92ED0E}"/>
    <cellStyle name="Accent6 4" xfId="168" xr:uid="{A74CC34A-93EA-4912-BF54-98D0A0BF45A1}"/>
    <cellStyle name="AMPS" xfId="169" xr:uid="{3CCB88B0-A8B2-4470-A800-01C40FCA3184}"/>
    <cellStyle name="args.style" xfId="170" xr:uid="{61910A0B-1E0A-4897-8CB8-C5AF5C5ADA64}"/>
    <cellStyle name="Bad 2" xfId="171" xr:uid="{D31A6452-4F3B-41A9-8666-049BBBA8BC7A}"/>
    <cellStyle name="Bad 3" xfId="172" xr:uid="{CD933459-76B7-4FF4-826B-3011FCF1D779}"/>
    <cellStyle name="Bad 4" xfId="173" xr:uid="{0F204F6F-0005-44F1-9947-C95C009B60B3}"/>
    <cellStyle name="blank" xfId="174" xr:uid="{244FC20F-3E21-446F-952C-2ED9B4022A64}"/>
    <cellStyle name="Calc Currency (0)" xfId="175" xr:uid="{4C4BF675-09AE-40BD-9DF2-222A6DFB4A37}"/>
    <cellStyle name="Calc Currency (2)" xfId="176" xr:uid="{EC879A58-7F66-4B21-A601-A21BD1F75057}"/>
    <cellStyle name="Calc Percent (0)" xfId="177" xr:uid="{C9953F51-B5F8-49EC-B6F1-8F114C400420}"/>
    <cellStyle name="Calc Percent (1)" xfId="178" xr:uid="{3A51A4B6-96B0-4655-AE00-93C6F37EB0F4}"/>
    <cellStyle name="Calc Percent (2)" xfId="179" xr:uid="{8D4F4596-8798-4328-B21B-54FB05EFAE8F}"/>
    <cellStyle name="Calc Units (0)" xfId="180" xr:uid="{74F97E10-619C-4CC9-89B7-BE85B4C45A25}"/>
    <cellStyle name="Calc Units (1)" xfId="181" xr:uid="{1A021712-DC3F-498C-B811-62B5ED27A50F}"/>
    <cellStyle name="Calc Units (2)" xfId="182" xr:uid="{69E6B9BE-B883-41BA-892D-F817BF3387B4}"/>
    <cellStyle name="Calculation 2" xfId="183" xr:uid="{1872EF1E-854B-42AC-9FF3-8F140ADE7CDE}"/>
    <cellStyle name="Calculation 3" xfId="184" xr:uid="{37FC7D2D-F410-42AF-936A-9545C80461DA}"/>
    <cellStyle name="Calculation 4" xfId="185" xr:uid="{4F2285CE-B28A-4186-9CA3-9E271E4F76E2}"/>
    <cellStyle name="Check Cell 2" xfId="186" xr:uid="{B527CB62-5E98-4701-8C10-B1AEA9D39117}"/>
    <cellStyle name="Check Cell 3" xfId="187" xr:uid="{49652D2F-7F0F-4934-A532-0A0A21D4CE91}"/>
    <cellStyle name="Check Cell 4" xfId="188" xr:uid="{1BD996AC-74A2-4DA6-8BD1-3A551E45EFC2}"/>
    <cellStyle name="Comma" xfId="1" builtinId="3"/>
    <cellStyle name="Comma  - Style1" xfId="190" xr:uid="{20AD1201-6BBA-4430-9325-F54B62A7603E}"/>
    <cellStyle name="Comma  - Style2" xfId="191" xr:uid="{896727D6-9212-42CF-BEFA-7DDB36092832}"/>
    <cellStyle name="Comma  - Style3" xfId="192" xr:uid="{853B5AFC-8392-4DBF-97D4-AC127E2FEF6C}"/>
    <cellStyle name="Comma  - Style4" xfId="193" xr:uid="{87FF4260-0918-4224-8DE0-8B88700883C8}"/>
    <cellStyle name="Comma  - Style5" xfId="194" xr:uid="{B0911AA1-C320-476F-B569-6CF069F6DCAE}"/>
    <cellStyle name="Comma  - Style6" xfId="195" xr:uid="{7370018F-FCFB-4A77-98CB-4F808ED9772A}"/>
    <cellStyle name="Comma  - Style7" xfId="196" xr:uid="{A8A53740-25CD-47A6-8DA8-E6CCE5AB509B}"/>
    <cellStyle name="Comma  - Style8" xfId="197" xr:uid="{D954892F-C205-49E8-A40B-41A9D4D073EF}"/>
    <cellStyle name="Comma [0] 2" xfId="198" xr:uid="{619D0E9E-9E83-4961-AB0F-44D724D7797E}"/>
    <cellStyle name="Comma [0] 2 2" xfId="472" xr:uid="{8EA3BD0D-48A5-4AE7-AAC6-3B17AAF6C18F}"/>
    <cellStyle name="Comma [0] 3" xfId="199" xr:uid="{FFDB9D6C-D5A7-4164-94FB-920B06DA39B9}"/>
    <cellStyle name="Comma [0] 3 2" xfId="8" xr:uid="{7F5C21F1-8EFE-4853-8486-CD26EF40C0EE}"/>
    <cellStyle name="Comma [0] 3 2 2" xfId="200" xr:uid="{5518C741-568D-46C9-9B82-17FC387D4F05}"/>
    <cellStyle name="Comma [0] 3 3" xfId="201" xr:uid="{4D3A8195-81DE-4DF4-9092-C3DCD5A706B3}"/>
    <cellStyle name="Comma [00]" xfId="202" xr:uid="{0FF722BF-DE84-4CB1-90CA-9F5C166DD10D}"/>
    <cellStyle name="Comma 10" xfId="203" xr:uid="{A4353363-6D79-4E8D-9129-78B5555F4A16}"/>
    <cellStyle name="Comma 10 2" xfId="6" xr:uid="{9A29D875-0EEA-4604-B5A5-C27FD16C7532}"/>
    <cellStyle name="Comma 10 2 2" xfId="204" xr:uid="{7688619D-B2D0-43FE-8263-E28538096889}"/>
    <cellStyle name="Comma 10 2 2 2" xfId="205" xr:uid="{275195F6-1A20-46F8-AEB1-0E0E3D0DF7B9}"/>
    <cellStyle name="Comma 10 2 3" xfId="206" xr:uid="{44CF29DC-200F-49B0-A0EB-CC1C3BB0D212}"/>
    <cellStyle name="Comma 10 3" xfId="207" xr:uid="{22E380B3-CDA1-467D-99AB-7CCFAD16B2B7}"/>
    <cellStyle name="Comma 10 3 2" xfId="208" xr:uid="{362DA7F0-E9F9-4C4E-A9B8-3D147134D179}"/>
    <cellStyle name="Comma 10 4" xfId="209" xr:uid="{D659CA7A-974B-4178-9C3F-D87666FB54A7}"/>
    <cellStyle name="Comma 10 5" xfId="447" xr:uid="{07D4163A-4885-4B6A-8133-B0B1AABA8D04}"/>
    <cellStyle name="Comma 10 5 2" xfId="552" xr:uid="{D504CB10-C89C-440B-8820-2696514366C0}"/>
    <cellStyle name="Comma 10 5 3" xfId="639" xr:uid="{B220562A-8346-4DC3-B5C0-C49DCF41F23E}"/>
    <cellStyle name="Comma 10 5 4" xfId="726" xr:uid="{4AFC98CC-9D59-4450-80F7-BDEEAFE25E0A}"/>
    <cellStyle name="Comma 11" xfId="210" xr:uid="{5C404DEC-A70A-4169-9C06-D5B58A9ADF3F}"/>
    <cellStyle name="Comma 11 2" xfId="528" xr:uid="{BCB12798-782C-42E8-89BD-4C6A509ACF71}"/>
    <cellStyle name="Comma 11 3" xfId="615" xr:uid="{D4A267E8-26BC-4A9F-ACFC-391DB8C58C48}"/>
    <cellStyle name="Comma 11 4" xfId="702" xr:uid="{093A3CB8-39A6-495D-8059-5D80988608D7}"/>
    <cellStyle name="Comma 12" xfId="211" xr:uid="{D1AB2375-C096-4975-9D8B-B281C5214DE8}"/>
    <cellStyle name="Comma 12 2" xfId="212" xr:uid="{2AB6E0F0-6F71-4D82-A952-EABBDD35A972}"/>
    <cellStyle name="Comma 12 2 2" xfId="213" xr:uid="{58274C32-A514-4969-8ABE-AE28AC00FE73}"/>
    <cellStyle name="Comma 12 3" xfId="214" xr:uid="{CEC9A941-EE38-4A08-8F7B-372010551BC1}"/>
    <cellStyle name="Comma 12 3 2" xfId="215" xr:uid="{DB6DA0F1-2CCC-4CDF-A2FF-76AA323F3C83}"/>
    <cellStyle name="Comma 12 4" xfId="216" xr:uid="{F36A6F62-8CF2-4667-9A86-85832B73C6E1}"/>
    <cellStyle name="Comma 12 5" xfId="451" xr:uid="{5873CF19-82AF-4546-B3D6-451BD6AE2FAE}"/>
    <cellStyle name="Comma 12 5 2" xfId="555" xr:uid="{AC444D85-BCC8-43DD-858C-1F713AE70D12}"/>
    <cellStyle name="Comma 12 5 3" xfId="642" xr:uid="{A2187F29-3382-4C74-B3E3-DA2CE3DA56C6}"/>
    <cellStyle name="Comma 12 5 4" xfId="729" xr:uid="{65C8A79C-84C0-4FBB-9FBD-877E6EF262CE}"/>
    <cellStyle name="Comma 13" xfId="217" xr:uid="{6FBE995F-5B1F-499D-91F9-CB0A56C48365}"/>
    <cellStyle name="Comma 13 2" xfId="462" xr:uid="{0C67F9FA-9999-4E09-BB6C-7F43F8F277E3}"/>
    <cellStyle name="Comma 13 2 2" xfId="558" xr:uid="{F788AF29-2064-46EC-ACF6-EE85F3EEF9AE}"/>
    <cellStyle name="Comma 13 2 3" xfId="645" xr:uid="{A21F9FB1-A859-49C3-9258-6867A3A5E563}"/>
    <cellStyle name="Comma 13 2 4" xfId="732" xr:uid="{549B3960-012B-4447-9576-F696B7262D1D}"/>
    <cellStyle name="Comma 14" xfId="218" xr:uid="{DE442AAF-47DB-4B26-8EF2-396B7889A6DA}"/>
    <cellStyle name="Comma 14 2" xfId="464" xr:uid="{37DE77E0-4D24-4D7C-B368-E94AEA0B03CC}"/>
    <cellStyle name="Comma 14 2 2" xfId="560" xr:uid="{3EEFE747-379F-4A53-BEAE-5C476D70B370}"/>
    <cellStyle name="Comma 14 2 3" xfId="647" xr:uid="{35236379-CC5F-4447-9482-032902DC3239}"/>
    <cellStyle name="Comma 14 2 4" xfId="734" xr:uid="{9D82E9AC-A878-48A0-B981-7F0815093E5B}"/>
    <cellStyle name="Comma 15" xfId="10" xr:uid="{9879A82E-2DD4-4C6E-A11A-A68A7E0FA596}"/>
    <cellStyle name="Comma 15 2" xfId="465" xr:uid="{BC477341-F06D-493A-B134-850BC2F62B71}"/>
    <cellStyle name="Comma 15 2 2" xfId="561" xr:uid="{3AEAC017-B2CD-40BB-984A-8E4FD06B84D7}"/>
    <cellStyle name="Comma 15 2 3" xfId="648" xr:uid="{EF4B40C1-3533-4D57-BCEF-B4611B93012E}"/>
    <cellStyle name="Comma 15 2 4" xfId="735" xr:uid="{F8BEA8A8-C057-45CB-A84B-0AF2B7251D7D}"/>
    <cellStyle name="Comma 15 3" xfId="481" xr:uid="{AB1AD4A3-B77C-4C48-9E85-3CECB1E7226F}"/>
    <cellStyle name="Comma 16" xfId="455" xr:uid="{4A1E311C-47F3-44AF-A0DF-230DCFC04B43}"/>
    <cellStyle name="Comma 16 2" xfId="467" xr:uid="{12E7A844-DD21-420E-B9D5-D67E0054F80B}"/>
    <cellStyle name="Comma 16 2 2" xfId="563" xr:uid="{A21F0FF4-82BD-460E-8781-2531D77F4ADC}"/>
    <cellStyle name="Comma 16 2 3" xfId="650" xr:uid="{388A580F-6B5C-4A54-A235-AB9E5AAFF9A0}"/>
    <cellStyle name="Comma 16 2 4" xfId="737" xr:uid="{CAC55BCE-C882-4A7C-92DF-BF09668487BD}"/>
    <cellStyle name="Comma 17" xfId="453" xr:uid="{04B2F54E-6400-4073-A3C1-83F22DF6CB95}"/>
    <cellStyle name="Comma 17 2" xfId="469" xr:uid="{76322B2D-CFCA-4643-B8F8-1E1E722B58F9}"/>
    <cellStyle name="Comma 17 2 2" xfId="565" xr:uid="{643CCE2F-3C6A-4852-AB80-B9E601B2C186}"/>
    <cellStyle name="Comma 17 2 3" xfId="652" xr:uid="{3826E47B-2279-4B35-A7B0-0A3A57E60D91}"/>
    <cellStyle name="Comma 17 2 4" xfId="739" xr:uid="{8EA4BDFB-AC3D-40BE-8F68-63168F9B7631}"/>
    <cellStyle name="Comma 18" xfId="476" xr:uid="{1E0EBE28-31DE-4ED2-8D07-EAA7FE60A88C}"/>
    <cellStyle name="Comma 18 2" xfId="567" xr:uid="{23A20AEA-3F04-4D15-BA43-954F5D71FB75}"/>
    <cellStyle name="Comma 18 3" xfId="654" xr:uid="{630C6FFC-F552-41A7-9D47-352BC87F6342}"/>
    <cellStyle name="Comma 18 4" xfId="741" xr:uid="{2B3CA804-1D55-4FC0-AD7E-E0428CBACC2D}"/>
    <cellStyle name="Comma 19" xfId="478" xr:uid="{A9B33216-C499-4FCD-BC8B-060E17A81C89}"/>
    <cellStyle name="Comma 2" xfId="219" xr:uid="{5B05A0AE-B783-4F7D-863E-75EF658FF13D}"/>
    <cellStyle name="Comma 2 2" xfId="220" xr:uid="{30C2390B-0C12-4776-BC60-5C5A6F32E91E}"/>
    <cellStyle name="Comma 2 2 2" xfId="4" xr:uid="{72B80450-3DE4-4B02-8EB4-2BCC0622EEF1}"/>
    <cellStyle name="Comma 2 3" xfId="430" xr:uid="{335C364A-340E-490B-9706-289A5D65E4F0}"/>
    <cellStyle name="Comma 2 3 2" xfId="535" xr:uid="{1A04A617-2932-419D-A020-1B76C9AE0D2A}"/>
    <cellStyle name="Comma 2 3 3" xfId="622" xr:uid="{2BEF1CDA-8974-445F-9DC9-2A71AE28B320}"/>
    <cellStyle name="Comma 2 3 4" xfId="709" xr:uid="{B535D61C-163E-4741-A69A-FC66C2346880}"/>
    <cellStyle name="Comma 2_Plan Production  for AUG'11 (Rev.0)" xfId="222" xr:uid="{77DF004D-F36B-49D7-81AD-9D9E7FA3645E}"/>
    <cellStyle name="Comma 20" xfId="460" xr:uid="{14F95EA2-D251-4A1F-8218-7B7502FAA1E3}"/>
    <cellStyle name="Comma 21" xfId="189" xr:uid="{1F58935E-81FE-4DC7-B43B-EA1EF7F14CDF}"/>
    <cellStyle name="Comma 21 2" xfId="527" xr:uid="{13C5DA62-EAAF-4144-9236-467E1B2055F4}"/>
    <cellStyle name="Comma 21 3" xfId="614" xr:uid="{A024471B-A0DD-4C60-8F86-E8B86ECCD1D6}"/>
    <cellStyle name="Comma 21 4" xfId="701" xr:uid="{3CAA411F-2BE3-4576-839D-8B064149303C}"/>
    <cellStyle name="Comma 22" xfId="493" xr:uid="{CAE92A34-DB63-4B8B-9296-FA49E8B49494}"/>
    <cellStyle name="Comma 22 2" xfId="581" xr:uid="{E3AE2F4F-7BBA-428D-A6F1-09BF6B05C76C}"/>
    <cellStyle name="Comma 22 3" xfId="668" xr:uid="{DBD9187A-239F-409D-9A97-E605342B944F}"/>
    <cellStyle name="Comma 22 4" xfId="755" xr:uid="{441132F4-ADFA-470E-A893-D074EC3F35E3}"/>
    <cellStyle name="Comma 23" xfId="501" xr:uid="{D536CB8F-5A38-4628-A1F6-9F1FB4103B4C}"/>
    <cellStyle name="Comma 23 2" xfId="589" xr:uid="{DD38C8D4-6E50-439D-BA41-57D2B15918AE}"/>
    <cellStyle name="Comma 23 3" xfId="676" xr:uid="{F88DFCF7-C42C-4EF0-8E81-D168EE7AC22C}"/>
    <cellStyle name="Comma 23 4" xfId="763" xr:uid="{C659EA6F-FA4D-41E9-AC57-0350D665823D}"/>
    <cellStyle name="Comma 24" xfId="495" xr:uid="{193EE865-F001-4A75-A53B-53B050E12C90}"/>
    <cellStyle name="Comma 24 2" xfId="583" xr:uid="{19D77B80-F455-4362-BC24-E83D0D142F45}"/>
    <cellStyle name="Comma 24 3" xfId="670" xr:uid="{9613DBDB-B1D1-497A-86D8-08099E74E035}"/>
    <cellStyle name="Comma 24 4" xfId="757" xr:uid="{770F6D52-60E1-4D0E-99A9-9BB5E8818D92}"/>
    <cellStyle name="Comma 25" xfId="498" xr:uid="{078CB718-897B-4130-AFDF-4C87E0F3749C}"/>
    <cellStyle name="Comma 25 2" xfId="586" xr:uid="{255FDC06-0328-4415-A960-5488A6D31768}"/>
    <cellStyle name="Comma 25 3" xfId="673" xr:uid="{E08BF821-3364-40A7-BA13-3D0DE4994405}"/>
    <cellStyle name="Comma 25 4" xfId="760" xr:uid="{76B79EF7-9E5D-4A30-B188-8BE0AF4B8E3F}"/>
    <cellStyle name="Comma 26" xfId="516" xr:uid="{99BC7012-DE05-471A-BA3D-77E1AD7BECCE}"/>
    <cellStyle name="Comma 26 2" xfId="604" xr:uid="{C9D40D92-21C0-4A16-92E1-A129EC69C16C}"/>
    <cellStyle name="Comma 26 3" xfId="691" xr:uid="{CDC6E367-B30A-447F-A25B-AE5F61728F6D}"/>
    <cellStyle name="Comma 26 4" xfId="778" xr:uid="{979EF9BF-A252-4783-BA75-AE183DB27EED}"/>
    <cellStyle name="Comma 27" xfId="301" xr:uid="{C1F7B960-CF83-41DA-941D-017E25306734}"/>
    <cellStyle name="Comma 27 2" xfId="530" xr:uid="{28FF7721-8EE8-45C9-96D2-86286A62A9BC}"/>
    <cellStyle name="Comma 27 3" xfId="617" xr:uid="{FDA4F45E-4CFD-4E41-B6F5-4FF2577E7449}"/>
    <cellStyle name="Comma 27 4" xfId="704" xr:uid="{1B01D03A-7B9A-415C-B9B0-6DEC855861E2}"/>
    <cellStyle name="Comma 28" xfId="517" xr:uid="{F1313EC6-CFDF-44C9-92FD-9FF1B1D3E2C1}"/>
    <cellStyle name="Comma 28 2" xfId="429" xr:uid="{225319CB-31A2-4AC6-83D0-502B0377DD5B}"/>
    <cellStyle name="Comma 28 2 2" xfId="534" xr:uid="{185C751C-DE11-4AB1-B576-DC3F0FEBD39F}"/>
    <cellStyle name="Comma 28 2 3" xfId="621" xr:uid="{FDBCF64E-AA06-4267-B3A3-15C778FDBC46}"/>
    <cellStyle name="Comma 28 2 4" xfId="708" xr:uid="{71A98A95-E36D-433C-BAD9-832BE88DB57F}"/>
    <cellStyle name="Comma 28 3" xfId="605" xr:uid="{3B1FDF60-6978-4701-94A4-9AC69DB5F499}"/>
    <cellStyle name="Comma 28 4" xfId="692" xr:uid="{613B437B-1AD2-4745-A8AE-517E5BD4C2B2}"/>
    <cellStyle name="Comma 28 5" xfId="779" xr:uid="{5C7C6265-D8C9-4BA4-A4E9-B503B8483FE6}"/>
    <cellStyle name="Comma 29" xfId="484" xr:uid="{CE013004-3785-4995-8EB9-6A3CC1E38CF9}"/>
    <cellStyle name="Comma 29 2" xfId="572" xr:uid="{76B751FD-D43F-4D63-B7F6-1858005F7A18}"/>
    <cellStyle name="Comma 29 3" xfId="659" xr:uid="{AD4A2935-FE43-425D-A296-C289FE38F068}"/>
    <cellStyle name="Comma 29 4" xfId="746" xr:uid="{A12D59F7-7179-4756-90C2-72FBBC9E2F3A}"/>
    <cellStyle name="Comma 3" xfId="223" xr:uid="{DDE5BA87-28CF-436D-BE04-08D6DC75AAF4}"/>
    <cellStyle name="Comma 3 2" xfId="224" xr:uid="{0FC504C4-7778-491E-83A9-293D67FB9545}"/>
    <cellStyle name="Comma 3 2 2" xfId="225" xr:uid="{06727683-DA44-4363-A373-95378A62F4C6}"/>
    <cellStyle name="Comma 3 3" xfId="432" xr:uid="{8C9906F5-D5CB-4CBD-AFD9-57A7FFA741B8}"/>
    <cellStyle name="Comma 3 3 2" xfId="537" xr:uid="{247E9379-5B6F-4D3F-9A57-2CDE8E92E07C}"/>
    <cellStyle name="Comma 3 3 3" xfId="624" xr:uid="{4AF171D7-6AD2-4336-AFE1-BF5495A9CB6E}"/>
    <cellStyle name="Comma 3 3 4" xfId="711" xr:uid="{FA702768-3A8D-42E9-8180-015D769FBD2A}"/>
    <cellStyle name="Comma 30" xfId="508" xr:uid="{BD355198-CEE5-4730-BF63-E2AEB40674F5}"/>
    <cellStyle name="Comma 30 2" xfId="596" xr:uid="{B9A14F92-EBB4-4F73-89B7-F311A919E6C3}"/>
    <cellStyle name="Comma 30 3" xfId="683" xr:uid="{21F37C02-ECF9-4AA0-9C81-3AB6C165E578}"/>
    <cellStyle name="Comma 30 4" xfId="770" xr:uid="{053E735D-BA36-4C4E-9706-91D8CB58E557}"/>
    <cellStyle name="Comma 31" xfId="487" xr:uid="{4FED7139-6B8C-4126-ADE3-77C078B0DF53}"/>
    <cellStyle name="Comma 31 2" xfId="575" xr:uid="{ED940EBC-D259-4610-934A-352D6F66FFE0}"/>
    <cellStyle name="Comma 31 3" xfId="662" xr:uid="{AC04A47F-C5B6-4899-9BD1-6598D6139B0E}"/>
    <cellStyle name="Comma 31 4" xfId="749" xr:uid="{519CA899-960F-448D-949E-D44B223A8867}"/>
    <cellStyle name="Comma 32" xfId="514" xr:uid="{D5652C4C-6C82-4B1F-9550-1601B13E3617}"/>
    <cellStyle name="Comma 32 2" xfId="602" xr:uid="{C2936C21-BB32-4EFB-AC5C-B51B8162B965}"/>
    <cellStyle name="Comma 32 3" xfId="689" xr:uid="{FDFBEB4D-1A7F-4C14-AFBE-107F38240A5D}"/>
    <cellStyle name="Comma 32 4" xfId="776" xr:uid="{D0C9770C-E200-4048-B5C5-F89C6531EFBE}"/>
    <cellStyle name="Comma 33" xfId="512" xr:uid="{E42D77E6-EE1F-4B77-99A0-2477BE763C9D}"/>
    <cellStyle name="Comma 33 2" xfId="600" xr:uid="{EB0938F7-78EA-47EC-8D8A-0C0AEDD2522C}"/>
    <cellStyle name="Comma 33 3" xfId="687" xr:uid="{519A3B29-802C-4339-815E-6DA25682E6CE}"/>
    <cellStyle name="Comma 33 4" xfId="774" xr:uid="{7627CD9B-DF1D-4A25-8B32-CABDB6A16D01}"/>
    <cellStyle name="Comma 34" xfId="511" xr:uid="{A21D421A-72B9-44BE-9C2D-031EF1ABE071}"/>
    <cellStyle name="Comma 34 2" xfId="599" xr:uid="{F075D450-B759-46C7-92A2-7DCF5A39025C}"/>
    <cellStyle name="Comma 34 3" xfId="686" xr:uid="{2907AE8A-4730-4810-91F5-32C46B258C39}"/>
    <cellStyle name="Comma 34 4" xfId="773" xr:uid="{A2034934-1BC1-489A-8834-DA3580D7EE31}"/>
    <cellStyle name="Comma 35" xfId="497" xr:uid="{6215540F-886A-4D17-B262-D5434D711712}"/>
    <cellStyle name="Comma 35 2" xfId="585" xr:uid="{C1AB3F3F-1837-426D-B263-79F9EF92CD07}"/>
    <cellStyle name="Comma 35 3" xfId="672" xr:uid="{986FA029-D568-42B1-AC53-8F69654DE310}"/>
    <cellStyle name="Comma 35 4" xfId="759" xr:uid="{B501248A-31E3-4344-8587-D1A8519FAFFF}"/>
    <cellStyle name="Comma 36" xfId="496" xr:uid="{8A213F47-7DEF-462F-A5F8-949B06164386}"/>
    <cellStyle name="Comma 36 2" xfId="584" xr:uid="{F535FE7D-C75E-4C1C-9FDC-98AC99E363EE}"/>
    <cellStyle name="Comma 36 3" xfId="671" xr:uid="{BA7C3BFA-CE1D-4628-B45A-C579FEBFC051}"/>
    <cellStyle name="Comma 36 4" xfId="758" xr:uid="{B42E25C8-08FB-44EF-8B5D-4674B0DCA597}"/>
    <cellStyle name="Comma 37" xfId="490" xr:uid="{0AE3238E-BA41-4C19-8688-03B051E98BB1}"/>
    <cellStyle name="Comma 37 2" xfId="578" xr:uid="{D946FBEB-3DE7-4511-BADE-0D05A8748FF9}"/>
    <cellStyle name="Comma 37 3" xfId="665" xr:uid="{87D4E57D-8894-4492-8691-9E41CB4BA7DF}"/>
    <cellStyle name="Comma 37 4" xfId="752" xr:uid="{5A9576B4-B9A1-4F22-8423-4A5B18DAB416}"/>
    <cellStyle name="Comma 38" xfId="513" xr:uid="{B2557C02-1B8B-46A8-AA79-978490CB25CB}"/>
    <cellStyle name="Comma 38 2" xfId="601" xr:uid="{42B459AD-53A2-4BB6-B450-96A39751D65E}"/>
    <cellStyle name="Comma 38 3" xfId="688" xr:uid="{0ACB1D4B-5715-4181-8DC9-7DA4AB1051D3}"/>
    <cellStyle name="Comma 38 4" xfId="775" xr:uid="{F773C193-B032-4ED8-9A07-A8FB2ED72B06}"/>
    <cellStyle name="Comma 39" xfId="428" xr:uid="{8C73F2C2-CF1D-4C59-BE36-7D281A97E692}"/>
    <cellStyle name="Comma 39 2" xfId="533" xr:uid="{C838C114-142D-459C-BF5A-7BF064D5EB9D}"/>
    <cellStyle name="Comma 39 3" xfId="620" xr:uid="{313A4584-4238-4831-BE9E-68886BE70521}"/>
    <cellStyle name="Comma 39 4" xfId="707" xr:uid="{5E1551C7-AAF3-4208-A391-9C072D5B4B5F}"/>
    <cellStyle name="Comma 4" xfId="226" xr:uid="{62712EC7-F6E8-40E3-9EB4-F29E81F7ABDB}"/>
    <cellStyle name="Comma 4 2" xfId="437" xr:uid="{0D210139-7FA3-4DE2-83D5-CD32767289B7}"/>
    <cellStyle name="Comma 4 2 2" xfId="542" xr:uid="{70A5ECA2-93D6-4028-9374-5E4E37B36B5C}"/>
    <cellStyle name="Comma 4 2 3" xfId="629" xr:uid="{C8FC4CF1-DAFD-456F-AF9B-F65E3E484DFC}"/>
    <cellStyle name="Comma 4 2 4" xfId="716" xr:uid="{5DAFE0E0-F1B3-4E64-9F57-1433A182DB67}"/>
    <cellStyle name="Comma 40" xfId="221" xr:uid="{521752EB-CFB5-470F-BE02-2CB0BE1000D8}"/>
    <cellStyle name="Comma 40 2" xfId="529" xr:uid="{6D960114-D6E3-49D9-8987-F081CFBEFE2E}"/>
    <cellStyle name="Comma 40 3" xfId="616" xr:uid="{9A15F8D0-259C-473B-B561-3EFCC1A40E2F}"/>
    <cellStyle name="Comma 40 4" xfId="703" xr:uid="{2CEDDA3C-FAE7-4647-A53D-5D279B2A765C}"/>
    <cellStyle name="Comma 41" xfId="503" xr:uid="{E5C275C4-A08B-4304-84CC-54F94465C199}"/>
    <cellStyle name="Comma 41 2" xfId="591" xr:uid="{96FE5188-BF34-4E05-A53E-1256435FE1EB}"/>
    <cellStyle name="Comma 41 3" xfId="678" xr:uid="{90121FAE-1138-4ABD-8341-F83B5DDBCAE7}"/>
    <cellStyle name="Comma 41 4" xfId="765" xr:uid="{A02D654E-0520-4D30-AFD0-E75FE5F0C71D}"/>
    <cellStyle name="Comma 42" xfId="520" xr:uid="{C9791F4E-40E6-41EC-A56D-06BE530EF606}"/>
    <cellStyle name="Comma 42 2" xfId="608" xr:uid="{0CBC521E-9176-4E20-94CC-9145EA025AD8}"/>
    <cellStyle name="Comma 42 3" xfId="695" xr:uid="{89FB4B1B-456D-440E-BAEA-0B0F7E77C78E}"/>
    <cellStyle name="Comma 42 4" xfId="782" xr:uid="{BB966AF3-75D1-4B49-91EA-685744C5FC78}"/>
    <cellStyle name="Comma 43" xfId="434" xr:uid="{AF8B9C97-9045-46ED-9F5E-A38964256AC6}"/>
    <cellStyle name="Comma 43 2" xfId="539" xr:uid="{B2A3630E-B5B2-492C-AAF7-DD4ADAAA736F}"/>
    <cellStyle name="Comma 43 3" xfId="626" xr:uid="{D74121C2-0FBF-4BFD-8061-B18E4DD4C427}"/>
    <cellStyle name="Comma 43 4" xfId="713" xr:uid="{1750768E-BEDB-4586-8E7A-4C4E1FE301E2}"/>
    <cellStyle name="Comma 44" xfId="436" xr:uid="{E14FF749-34EF-42EE-B16C-7A8D64800045}"/>
    <cellStyle name="Comma 44 2" xfId="541" xr:uid="{A1438D71-82DE-4BB4-A699-A427339E405D}"/>
    <cellStyle name="Comma 44 3" xfId="628" xr:uid="{BE6C6A2D-220B-4BB5-B502-929AD16AB007}"/>
    <cellStyle name="Comma 44 4" xfId="715" xr:uid="{F0B5BB25-198B-445D-8006-A2C82DFC6C0A}"/>
    <cellStyle name="Comma 45" xfId="506" xr:uid="{89409967-7730-4AB6-8B8D-8A33708E99C3}"/>
    <cellStyle name="Comma 45 2" xfId="594" xr:uid="{2699F13A-267D-40E1-9905-47C9ACD8893B}"/>
    <cellStyle name="Comma 45 3" xfId="681" xr:uid="{7145F765-B686-4D9A-AF12-4BBC62112FD2}"/>
    <cellStyle name="Comma 45 4" xfId="768" xr:uid="{F8A6F2E0-9EB7-4537-A4B7-1B2B34D5EC46}"/>
    <cellStyle name="Comma 46" xfId="522" xr:uid="{F6058C6F-9499-43CE-9822-C84AF9451F94}"/>
    <cellStyle name="Comma 46 2" xfId="610" xr:uid="{1A86410E-A3C5-4D61-9FF7-2A237CC55B76}"/>
    <cellStyle name="Comma 46 3" xfId="697" xr:uid="{E9F95FAC-B3FE-4D99-B1FB-F6B02BF03DDD}"/>
    <cellStyle name="Comma 46 4" xfId="784" xr:uid="{D7FD8D22-DF47-4416-8AE1-8B333CF4653D}"/>
    <cellStyle name="Comma 47" xfId="500" xr:uid="{10F8FDE9-DDB5-473B-B151-99FAA4BB6B36}"/>
    <cellStyle name="Comma 47 2" xfId="588" xr:uid="{C0E67BF5-9B0C-4E50-82E9-6899850DFD72}"/>
    <cellStyle name="Comma 47 3" xfId="675" xr:uid="{3B9787D7-18DA-4CA2-B116-4821069A09B5}"/>
    <cellStyle name="Comma 47 4" xfId="762" xr:uid="{B9AE8093-108D-448A-BE55-6214F096C87F}"/>
    <cellStyle name="Comma 48" xfId="480" xr:uid="{D62C265C-AE3D-4977-B80D-72937DACF08E}"/>
    <cellStyle name="Comma 48 2" xfId="569" xr:uid="{7DC750D2-B1CC-4AA8-B54F-46DA2C4AC6BE}"/>
    <cellStyle name="Comma 48 3" xfId="656" xr:uid="{B3EFBCC7-09D1-4065-AA73-6F9354ABD159}"/>
    <cellStyle name="Comma 48 4" xfId="743" xr:uid="{70A1A960-00E0-4734-99A9-653CCE0B9490}"/>
    <cellStyle name="Comma 5" xfId="227" xr:uid="{A6CC6CCA-0977-435A-9925-9495F7AD5539}"/>
    <cellStyle name="Comma 5 2" xfId="439" xr:uid="{D6870C04-9E18-4D9C-B84B-4855F7ED26E8}"/>
    <cellStyle name="Comma 5 2 2" xfId="544" xr:uid="{50343DCC-AE3C-411C-BE29-08DFE69D01B9}"/>
    <cellStyle name="Comma 5 2 3" xfId="631" xr:uid="{D95F7778-6112-409E-BF35-E4AB2B67F13B}"/>
    <cellStyle name="Comma 5 2 4" xfId="718" xr:uid="{5EA7C907-BC51-49CF-97FC-4A7A25D30B7D}"/>
    <cellStyle name="Comma 6" xfId="228" xr:uid="{FFCB1340-F6CD-43BB-A69C-2A1F8AE0D232}"/>
    <cellStyle name="Comma 6 2" xfId="441" xr:uid="{33F67122-BFFF-4845-9821-85568015FF2A}"/>
    <cellStyle name="Comma 6 2 2" xfId="546" xr:uid="{0607A8AB-EB0D-4AF0-BEFB-399C12A3071E}"/>
    <cellStyle name="Comma 6 2 3" xfId="633" xr:uid="{5A046520-67FC-49DB-8D1B-A61E92CBC318}"/>
    <cellStyle name="Comma 6 2 4" xfId="720" xr:uid="{E74AEB28-1191-4279-A0B8-EBF84817E32A}"/>
    <cellStyle name="Comma 7" xfId="229" xr:uid="{1522008E-27AC-4456-8ACB-E7B4C935AC8B}"/>
    <cellStyle name="Comma 7 2" xfId="442" xr:uid="{D0DD4346-B3A1-42EC-9E75-E760A0618F0F}"/>
    <cellStyle name="Comma 7 2 2" xfId="547" xr:uid="{7D92814B-7F3A-4B3A-8C10-2A27070548AF}"/>
    <cellStyle name="Comma 7 2 3" xfId="634" xr:uid="{F80159F5-10E2-4438-B8C5-ED10BE724BD6}"/>
    <cellStyle name="Comma 7 2 4" xfId="721" xr:uid="{866DA299-57E2-42D5-83D2-86FBDF548BEB}"/>
    <cellStyle name="Comma 8" xfId="230" xr:uid="{ACF888B3-5564-4313-8BB9-E922AC73BB58}"/>
    <cellStyle name="Comma 8 2" xfId="231" xr:uid="{0A9765F2-B62C-4BDE-83A7-5C0F25F86386}"/>
    <cellStyle name="Comma 8 3" xfId="444" xr:uid="{40B257F5-6CA9-4589-BC3A-C03E51E5B2B8}"/>
    <cellStyle name="Comma 8 3 2" xfId="549" xr:uid="{1C0E4091-9413-4223-B939-726535413544}"/>
    <cellStyle name="Comma 8 3 3" xfId="636" xr:uid="{05BD3113-09AD-444D-98A4-D953AF4C9C59}"/>
    <cellStyle name="Comma 8 3 4" xfId="723" xr:uid="{5537347A-6482-4D12-84D0-76B7ADAD43DB}"/>
    <cellStyle name="Comma 9" xfId="232" xr:uid="{3490DCEE-0350-466D-80E0-F8F940884928}"/>
    <cellStyle name="Comma 9 2" xfId="446" xr:uid="{D496305C-5614-4879-AEB9-105A5A3B937B}"/>
    <cellStyle name="Comma 9 2 2" xfId="551" xr:uid="{3EE4F7C8-523A-430D-9116-D4C5D59C09A7}"/>
    <cellStyle name="Comma 9 2 3" xfId="638" xr:uid="{E9E5AF46-A19A-47CA-9F1B-E484A72C0D36}"/>
    <cellStyle name="Comma 9 2 4" xfId="725" xr:uid="{69046FC2-46DE-4A96-93BA-B3222AD7BD22}"/>
    <cellStyle name="Copied" xfId="233" xr:uid="{46958DEA-F122-4961-BCF3-2C7C7387B509}"/>
    <cellStyle name="COST1" xfId="234" xr:uid="{1F6F5344-520E-45DC-B1FD-51ED8267993D}"/>
    <cellStyle name="Currency [00]" xfId="235" xr:uid="{DD5DA5AF-C8B7-447E-BA87-564898DD977A}"/>
    <cellStyle name="dak" xfId="236" xr:uid="{59A7B1EB-3079-4CF0-AE1B-BC5F5848F408}"/>
    <cellStyle name="Date Short" xfId="237" xr:uid="{85FAE1E0-080D-4CD4-AD62-DB567D54162B}"/>
    <cellStyle name="Emphasis 1" xfId="238" xr:uid="{D1902F10-9CD9-446B-821E-CDE60B03C296}"/>
    <cellStyle name="Emphasis 2" xfId="239" xr:uid="{3ACEDBE4-69E5-485C-BB89-CD0A0F340844}"/>
    <cellStyle name="Emphasis 3" xfId="240" xr:uid="{DEDF1FC3-267C-4A1D-9272-E31F86F5F700}"/>
    <cellStyle name="Enter Currency (0)" xfId="241" xr:uid="{A41A3BD3-D7E2-442C-95D7-F57C24E1F151}"/>
    <cellStyle name="Enter Currency (2)" xfId="242" xr:uid="{505317C6-2C64-48BA-87BA-8405057BFB22}"/>
    <cellStyle name="Enter Units (0)" xfId="243" xr:uid="{2C9617FB-65B9-40D9-ACA5-8577191167CD}"/>
    <cellStyle name="Enter Units (1)" xfId="244" xr:uid="{86589573-2A29-493C-A799-093C2AEE8209}"/>
    <cellStyle name="Enter Units (2)" xfId="245" xr:uid="{9B5657F4-AED4-4B17-B186-08EE74180CF1}"/>
    <cellStyle name="Entered" xfId="246" xr:uid="{06177080-5E39-4B5E-8D5E-E9FE6EAF479E}"/>
    <cellStyle name="entry" xfId="247" xr:uid="{432D9A2D-4E68-4FDC-8BDC-E123154A6390}"/>
    <cellStyle name="Explanatory Text 2" xfId="248" xr:uid="{1C87DE1B-F855-44FA-9393-B0E853C3EA9B}"/>
    <cellStyle name="Explanatory Text 3" xfId="249" xr:uid="{EF6F2416-F416-4C96-AEA6-22F36F19366D}"/>
    <cellStyle name="Explanatory Text 4" xfId="250" xr:uid="{FA1603D7-D469-492C-960C-1B39F2F3B150}"/>
    <cellStyle name="Good 2" xfId="251" xr:uid="{2F2C9DEF-0777-4E8D-81A8-72085A0CBAAF}"/>
    <cellStyle name="Good 3" xfId="252" xr:uid="{595652BE-B394-464E-93D4-8A99CE2B41A0}"/>
    <cellStyle name="Good 4" xfId="253" xr:uid="{FB7F7EE4-5B26-42FF-86A6-C2A02B83DF98}"/>
    <cellStyle name="Grey" xfId="254" xr:uid="{440A4FBB-FC0D-455B-8D4E-62168591BA77}"/>
    <cellStyle name="Header" xfId="255" xr:uid="{35CD4D22-C753-4CA4-AEFA-3EFFCF85454F}"/>
    <cellStyle name="Header1" xfId="256" xr:uid="{108C012F-ED4B-4846-B5A5-2EA766E2C56C}"/>
    <cellStyle name="Header2" xfId="257" xr:uid="{8261BF2F-067F-4D9D-A79F-288D119ECE8D}"/>
    <cellStyle name="Heading 1 2" xfId="258" xr:uid="{5B9B5770-740C-4DC4-A455-AA0DECE5B621}"/>
    <cellStyle name="Heading 1 3" xfId="259" xr:uid="{EDAA216E-5204-44C8-8B80-837CBF6FF7E3}"/>
    <cellStyle name="Heading 1 4" xfId="260" xr:uid="{BB34E116-B886-414D-8293-28B72951CC6D}"/>
    <cellStyle name="Heading 2 2" xfId="261" xr:uid="{DC5B3AA1-38FB-40A1-8037-BC14D5011A68}"/>
    <cellStyle name="Heading 2 3" xfId="262" xr:uid="{0603EAA5-2037-41B2-9475-83EB4FD0A0F7}"/>
    <cellStyle name="Heading 2 4" xfId="263" xr:uid="{24CB4D82-1699-4E81-8651-E9A2CD4BDCA5}"/>
    <cellStyle name="Heading 3 2" xfId="264" xr:uid="{E90572D1-0443-4538-8B9C-E8C3FED991F9}"/>
    <cellStyle name="Heading 3 3" xfId="265" xr:uid="{5829098B-69A2-4942-88F8-31410B36627C}"/>
    <cellStyle name="Heading 3 4" xfId="266" xr:uid="{A7A0582D-B71A-4B5E-96BC-54669FE76118}"/>
    <cellStyle name="Heading 4 2" xfId="267" xr:uid="{ED436DEB-C2E8-4AB5-AB16-17C60BBFBE9E}"/>
    <cellStyle name="Heading 4 3" xfId="268" xr:uid="{5AA728E6-DBB0-4B4B-9086-6CE6D54CE962}"/>
    <cellStyle name="Heading 4 4" xfId="269" xr:uid="{1E02CBAE-C29A-4CF3-9D06-E237970434E6}"/>
    <cellStyle name="Hyperlink 2" xfId="270" xr:uid="{8E38CE99-49A7-4179-80D7-963E3C996A2F}"/>
    <cellStyle name="IBM(401K)" xfId="271" xr:uid="{69A3AEA1-67B4-44A9-94CA-891320F92774}"/>
    <cellStyle name="Input [yellow]" xfId="272" xr:uid="{C8149037-B5EE-42F0-909E-1451BF0C91D5}"/>
    <cellStyle name="Input 2" xfId="273" xr:uid="{F34AEE34-2903-4288-AC14-69F1B2EF4FEA}"/>
    <cellStyle name="Input 3" xfId="274" xr:uid="{0A5FE058-583A-4E8B-A744-E2208C2D4047}"/>
    <cellStyle name="Input 4" xfId="275" xr:uid="{936352CA-5CFC-4E55-9837-C737B1797D02}"/>
    <cellStyle name="Input Cells" xfId="276" xr:uid="{1752A4C8-2059-4784-ADFC-226CD6C8DAF7}"/>
    <cellStyle name="J401K" xfId="277" xr:uid="{429FC8E9-3FAD-4DA9-8EFD-B1800A8BBFEA}"/>
    <cellStyle name="KWE標準" xfId="278" xr:uid="{EB77B022-AED0-4C01-B991-D0530F3158D8}"/>
    <cellStyle name="Link Currency (0)" xfId="279" xr:uid="{F1577394-EDDE-4273-8412-2E630AD2F889}"/>
    <cellStyle name="Link Currency (2)" xfId="280" xr:uid="{EDCD1C51-7C26-432F-88A9-73DCF7C01634}"/>
    <cellStyle name="Link Units (0)" xfId="281" xr:uid="{E663806B-ADD0-4761-9B0D-91E9C4E7AE3C}"/>
    <cellStyle name="Link Units (1)" xfId="282" xr:uid="{23C9914C-D411-4449-B01E-7F7A0717B357}"/>
    <cellStyle name="Link Units (2)" xfId="283" xr:uid="{5581BA92-EF35-40C3-AB0F-C41882EC198E}"/>
    <cellStyle name="Linked Cell 2" xfId="284" xr:uid="{2781661E-53D5-46D8-BB1B-61329F361361}"/>
    <cellStyle name="Linked Cell 3" xfId="285" xr:uid="{F9026D1A-6E69-43CF-A352-DF2D1DF2AABD}"/>
    <cellStyle name="Linked Cell 4" xfId="286" xr:uid="{92C47AB4-60D0-493B-AE8D-C40FF69FEB2E}"/>
    <cellStyle name="Linked Cells" xfId="287" xr:uid="{60E809CD-2E6F-4377-893C-16FE97A56D8F}"/>
    <cellStyle name="Milliers [0]_!!!GO" xfId="288" xr:uid="{1BD76FA3-3E5F-4D21-9E19-7315E89CDD16}"/>
    <cellStyle name="Milliers_!!!GO" xfId="289" xr:uid="{11A47DD6-9E01-42F1-A53A-C762CE3B13FE}"/>
    <cellStyle name="Monétaire [0]_!!!GO" xfId="290" xr:uid="{6C70BCDB-DA4C-46DD-8D8A-F0487881FA87}"/>
    <cellStyle name="Monétaire_!!!GO" xfId="291" xr:uid="{D46C8FF9-80F8-4B1B-9256-049C7CCED00F}"/>
    <cellStyle name="Mon騁aire [0]_AR1194" xfId="292" xr:uid="{62334AA5-CA20-4A19-B13D-88A66BEB99D4}"/>
    <cellStyle name="Mon騁aire_AR1194" xfId="293" xr:uid="{10222A55-571F-4FB3-A8E4-1FF2C8898830}"/>
    <cellStyle name="Neutral 2" xfId="294" xr:uid="{7E967862-5C79-41EE-AFDD-856D565568C4}"/>
    <cellStyle name="Neutral 3" xfId="295" xr:uid="{8E660DE3-B8F7-4864-8600-D3FCAEF74D1B}"/>
    <cellStyle name="Neutral 4" xfId="296" xr:uid="{056C69AD-2B77-4227-8EDA-6EF6FA8B2CE6}"/>
    <cellStyle name="new" xfId="297" xr:uid="{07D960EC-6CED-49E0-AB0B-04DB684737F4}"/>
    <cellStyle name="Normal" xfId="0" builtinId="0"/>
    <cellStyle name="Normal - Style1" xfId="298" xr:uid="{8588DC5C-A5E2-4FF4-817B-93B9F70B31EA}"/>
    <cellStyle name="Normal 10" xfId="450" xr:uid="{E9B9E084-731F-4246-A046-3230BC1FEE8C}"/>
    <cellStyle name="Normal 10 2" xfId="554" xr:uid="{8210220B-0764-42D6-A50B-12E704541875}"/>
    <cellStyle name="Normal 10 3" xfId="641" xr:uid="{8B97B0FB-C02F-417B-9B9E-CE50DF157DB7}"/>
    <cellStyle name="Normal 10 4" xfId="728" xr:uid="{25F9E2D1-CB0C-4123-A3F2-84BAB7D351FB}"/>
    <cellStyle name="Normal 11" xfId="452" xr:uid="{ECFF8AF7-5BCD-409E-8DD3-306D151E4FFF}"/>
    <cellStyle name="Normal 11 2" xfId="556" xr:uid="{A024B4F8-99CC-439F-AC90-79EC2788DCE6}"/>
    <cellStyle name="Normal 11 3" xfId="643" xr:uid="{2BA65C8F-218F-4A4F-A763-09293ECCC17B}"/>
    <cellStyle name="Normal 11 4" xfId="730" xr:uid="{5720B5A8-C0B3-4227-B866-DD2B4BD95BE8}"/>
    <cellStyle name="Normal 12" xfId="425" xr:uid="{3501998F-D7AA-439F-8149-3F09343137FA}"/>
    <cellStyle name="Normal 12 2" xfId="463" xr:uid="{24E154ED-BE98-4D0D-98CD-37EC1C37DA8E}"/>
    <cellStyle name="Normal 12 2 2" xfId="559" xr:uid="{60E8E0A1-36F5-4628-A603-6CADCF556E36}"/>
    <cellStyle name="Normal 12 2 3" xfId="646" xr:uid="{A40131BE-D9C2-418B-B602-C7EE9691D7B8}"/>
    <cellStyle name="Normal 12 2 4" xfId="733" xr:uid="{B530AABA-D40A-488C-9EFE-23AD0DC8BD5B}"/>
    <cellStyle name="Normal 13" xfId="427" xr:uid="{4A411C3A-16A3-4AC5-A7E1-E020D0136DAE}"/>
    <cellStyle name="Normal 13 2" xfId="426" xr:uid="{E778B545-2137-4502-861D-37D2267D0407}"/>
    <cellStyle name="Normal 13 2 2" xfId="532" xr:uid="{284F1611-FB77-4C20-B4FB-6AE2FA025250}"/>
    <cellStyle name="Normal 13 2 3" xfId="619" xr:uid="{79FAADE1-3F20-4637-9F27-3BCCA0E89C83}"/>
    <cellStyle name="Normal 13 2 4" xfId="706" xr:uid="{507B3EB1-99AD-4729-AB3B-BDD2F9E1F479}"/>
    <cellStyle name="Normal 14" xfId="454" xr:uid="{380FD610-5E9F-451C-BCD8-217142AD5BE2}"/>
    <cellStyle name="Normal 14 2" xfId="466" xr:uid="{46A6A96E-8D5A-4104-8B72-EC06CCA7AA08}"/>
    <cellStyle name="Normal 14 2 2" xfId="562" xr:uid="{D4E52B30-EF25-4F5A-B621-D4C8A9C3F412}"/>
    <cellStyle name="Normal 14 2 3" xfId="649" xr:uid="{312E522E-82A6-464C-871E-C00B9BC29E11}"/>
    <cellStyle name="Normal 14 2 4" xfId="736" xr:uid="{E9E57902-421E-46A1-9781-6CA70BBC0222}"/>
    <cellStyle name="Normal 15" xfId="468" xr:uid="{F0E0D782-C5A4-4743-9996-457211B126B8}"/>
    <cellStyle name="Normal 15 2" xfId="564" xr:uid="{A3F8C3D6-D2AB-45FB-8FCC-23F0DB4352E9}"/>
    <cellStyle name="Normal 15 3" xfId="651" xr:uid="{904374CA-A37B-4092-AE2E-2C36D4B50E8C}"/>
    <cellStyle name="Normal 15 4" xfId="738" xr:uid="{0FE845FB-1DD6-420A-BBEF-FA85BB77742C}"/>
    <cellStyle name="Normal 16" xfId="470" xr:uid="{B7AD7113-C928-4A88-A349-14C9623F249F}"/>
    <cellStyle name="Normal 16 2" xfId="566" xr:uid="{38CAF429-FFEE-4C7C-A2C5-A1086BE8CD5E}"/>
    <cellStyle name="Normal 16 3" xfId="653" xr:uid="{2FE45702-6E3C-4220-AE1D-6F85105F8F77}"/>
    <cellStyle name="Normal 16 4" xfId="740" xr:uid="{85FE8DA0-4DF3-4254-A27C-9BB051777DA0}"/>
    <cellStyle name="Normal 17" xfId="471" xr:uid="{4411E263-A3FB-4FD2-995E-0E18C623C169}"/>
    <cellStyle name="Normal 18" xfId="475" xr:uid="{B7BA0560-EB43-4D67-A26B-D82992FF1DA3}"/>
    <cellStyle name="Normal 19" xfId="477" xr:uid="{36099E39-F905-47BF-B179-97313E0AA0E7}"/>
    <cellStyle name="Normal 19 2" xfId="568" xr:uid="{DE8D5964-658B-4E13-8442-98D4CDE99857}"/>
    <cellStyle name="Normal 19 3" xfId="655" xr:uid="{2871D268-8D1E-482D-A801-860296D07512}"/>
    <cellStyle name="Normal 19 4" xfId="742" xr:uid="{717C7B1D-CE34-4FFB-A8EC-4FB11FB37236}"/>
    <cellStyle name="Normal 2" xfId="299" xr:uid="{F9D306C0-FA78-4C63-B188-BE672E3EF08D}"/>
    <cellStyle name="Normal 2 2" xfId="300" xr:uid="{370BDA49-04F9-4418-94A2-81459EF19556}"/>
    <cellStyle name="Normal 2 3" xfId="2" xr:uid="{81100AA7-A75B-4FB3-8E91-F4A5A73DFFE0}"/>
    <cellStyle name="Normal 2 4" xfId="431" xr:uid="{F3786C08-7018-46D7-B535-16A23EBE8BE7}"/>
    <cellStyle name="Normal 2 4 2" xfId="536" xr:uid="{943E579A-1BBD-441C-9083-F987E5F8C31D}"/>
    <cellStyle name="Normal 2 4 3" xfId="623" xr:uid="{B45700B1-019D-40A0-82A8-B7BBF0D4DB35}"/>
    <cellStyle name="Normal 2 4 4" xfId="710" xr:uid="{4F78E189-8D68-4D8F-BD13-BA4CADD761DC}"/>
    <cellStyle name="Normal 2_7.Jul 2012 Stock in SO (Ramp , HDD)" xfId="302" xr:uid="{1C12108A-114E-4B53-BDA1-4DC2645FAE5E}"/>
    <cellStyle name="Normal 20" xfId="458" xr:uid="{BAC9EC31-1977-4F21-BAA7-E4103F2CE923}"/>
    <cellStyle name="Normal 21" xfId="11" xr:uid="{4B1FD6B5-4350-42C0-B836-A990E9B9FBDF}"/>
    <cellStyle name="Normal 21 2" xfId="526" xr:uid="{E2CCD47B-FBBA-4722-BCDF-BCD1C438E118}"/>
    <cellStyle name="Normal 21 3" xfId="613" xr:uid="{4B2DC947-0E6C-4496-89E0-1EADE0E2D034}"/>
    <cellStyle name="Normal 21 4" xfId="700" xr:uid="{39360541-9B58-4CFE-A34E-0D266C9BECD4}"/>
    <cellStyle name="Normal 22" xfId="459" xr:uid="{444290ED-54AD-4B81-BD66-E34B2104762E}"/>
    <cellStyle name="Normal 22 2" xfId="557" xr:uid="{30CEE735-0819-4167-85BE-31796F837C49}"/>
    <cellStyle name="Normal 22 3" xfId="644" xr:uid="{ED5ABDD1-738B-44B0-8B41-6153D8E2ECCC}"/>
    <cellStyle name="Normal 22 4" xfId="731" xr:uid="{EFB597B7-4F70-444A-A609-6ADE27A83E46}"/>
    <cellStyle name="Normal 23" xfId="515" xr:uid="{B4B261B5-E12F-493E-80F5-5C0778442E79}"/>
    <cellStyle name="Normal 23 2" xfId="603" xr:uid="{62E133A5-EBDA-413E-892A-9B1EFE187683}"/>
    <cellStyle name="Normal 23 3" xfId="690" xr:uid="{299B9201-FA9B-45E7-8821-3852CABD7C99}"/>
    <cellStyle name="Normal 23 4" xfId="777" xr:uid="{462A77C9-DF1E-4CC3-A970-E7EF1E3528A8}"/>
    <cellStyle name="Normal 24" xfId="486" xr:uid="{173A7281-75CD-4713-97F5-1ACDE0BB9795}"/>
    <cellStyle name="Normal 24 2" xfId="574" xr:uid="{6533CFC1-15D2-40A2-B3AB-724731EFDD0F}"/>
    <cellStyle name="Normal 24 3" xfId="661" xr:uid="{D02C034C-0F06-42A3-ACCD-B93087568F40}"/>
    <cellStyle name="Normal 24 4" xfId="748" xr:uid="{C94995DC-0A82-49DC-8EE2-A0F7BED6D003}"/>
    <cellStyle name="Normal 25" xfId="523" xr:uid="{0A5D613B-1CFA-4BDE-8C97-27BB9A4663AE}"/>
    <cellStyle name="Normal 25 2" xfId="611" xr:uid="{45EE75D2-2D85-41B8-B841-7E91C7EFA49A}"/>
    <cellStyle name="Normal 25 3" xfId="698" xr:uid="{1389F30E-0806-45DE-9B89-D88E7F3B4190}"/>
    <cellStyle name="Normal 25 4" xfId="785" xr:uid="{81E51552-77DF-407B-A3BC-9B4B7D8EB003}"/>
    <cellStyle name="Normal 26" xfId="488" xr:uid="{8D743645-B17F-4B3C-A3E6-2AA0E1CA0289}"/>
    <cellStyle name="Normal 26 2" xfId="576" xr:uid="{9FC2E7FC-25A4-41F1-8D0F-7BF1F9664515}"/>
    <cellStyle name="Normal 26 3" xfId="663" xr:uid="{C5EB3A50-EDEE-4EF1-AFD2-7BBBC9B4CE4F}"/>
    <cellStyle name="Normal 26 4" xfId="750" xr:uid="{622798C8-3320-4D28-9C31-8F55217B929B}"/>
    <cellStyle name="Normal 27" xfId="507" xr:uid="{D654BD7F-B53D-4507-AA42-C7CDB2BF7355}"/>
    <cellStyle name="Normal 27 2" xfId="595" xr:uid="{09531EC6-1652-4B1E-947B-26928DC615B2}"/>
    <cellStyle name="Normal 27 3" xfId="682" xr:uid="{07AD5DA9-4B9A-4DC2-9995-C54E1D4F836F}"/>
    <cellStyle name="Normal 27 4" xfId="769" xr:uid="{11999C4B-79A6-44B4-8804-37C450C48553}"/>
    <cellStyle name="Normal 28" xfId="491" xr:uid="{F525594E-FFCD-428C-BA59-39333999A6A2}"/>
    <cellStyle name="Normal 28 2" xfId="579" xr:uid="{EA7451EC-F853-4EDC-AA48-41E4421B564E}"/>
    <cellStyle name="Normal 28 3" xfId="666" xr:uid="{3280E70B-02D0-4361-B079-A33D13E9C68A}"/>
    <cellStyle name="Normal 28 4" xfId="753" xr:uid="{4CD4C3C2-B594-4788-AD00-50B44A2F2808}"/>
    <cellStyle name="Normal 29" xfId="502" xr:uid="{D4697680-D0BD-47DC-9E9F-24775BCE98FC}"/>
    <cellStyle name="Normal 29 2" xfId="590" xr:uid="{E8837236-2D33-49BA-9F64-7C7B7A62C9EE}"/>
    <cellStyle name="Normal 29 3" xfId="677" xr:uid="{BAD9C06B-6D6C-4DCD-ABCB-C5807B6D5C05}"/>
    <cellStyle name="Normal 29 4" xfId="764" xr:uid="{BA34B04C-A80A-413F-B98E-08B80F3C6A78}"/>
    <cellStyle name="Normal 3" xfId="303" xr:uid="{A26E3F00-DB89-4BCB-9B06-C8952201F666}"/>
    <cellStyle name="Normal 3 2" xfId="433" xr:uid="{C6DE31EF-C063-4265-B33D-F82E4AC95E00}"/>
    <cellStyle name="Normal 3 2 2" xfId="538" xr:uid="{36B03BFB-6BF6-4090-A2E6-C0DC1F30FF36}"/>
    <cellStyle name="Normal 3 2 3" xfId="625" xr:uid="{DDE91A38-331A-4EDD-849B-13D808822B52}"/>
    <cellStyle name="Normal 3 2 4" xfId="712" xr:uid="{916B2E8D-0C37-4940-93AB-745D282F6CC6}"/>
    <cellStyle name="Normal 30" xfId="483" xr:uid="{F28D046D-31EC-43EA-852B-5FCDBD3AB671}"/>
    <cellStyle name="Normal 30 2" xfId="571" xr:uid="{822B0D40-0642-4889-8D1E-C92CE9ACEBD4}"/>
    <cellStyle name="Normal 30 3" xfId="658" xr:uid="{ABA9358E-3FAB-4CC8-90F3-C727215BAC0D}"/>
    <cellStyle name="Normal 30 4" xfId="745" xr:uid="{37DD614C-7A70-4C6F-ABB2-140C00635A43}"/>
    <cellStyle name="Normal 31" xfId="499" xr:uid="{22BD2BE8-5C0D-46DF-BD2F-98B8A439EC61}"/>
    <cellStyle name="Normal 31 2" xfId="587" xr:uid="{C3D9D000-25E0-4129-8830-3595613F5A4E}"/>
    <cellStyle name="Normal 31 3" xfId="674" xr:uid="{5492C3F8-C474-4323-BF16-9405D62D3DB5}"/>
    <cellStyle name="Normal 31 4" xfId="761" xr:uid="{88CD7C5A-2E66-45FB-8A4E-178660B5B09F}"/>
    <cellStyle name="Normal 32" xfId="518" xr:uid="{8D4EF436-57B1-4A90-996B-7A391DE82AAD}"/>
    <cellStyle name="Normal 32 2" xfId="606" xr:uid="{A7781FE8-4D6F-4D84-B578-4FB3DB1885FD}"/>
    <cellStyle name="Normal 32 3" xfId="693" xr:uid="{ADFB38CB-CEB7-4310-93EC-11251096245E}"/>
    <cellStyle name="Normal 32 4" xfId="780" xr:uid="{D597E60F-24C6-4ADD-885E-3B8E4D2E5286}"/>
    <cellStyle name="Normal 33" xfId="485" xr:uid="{8095A91A-FA34-4168-9E51-135264206E4B}"/>
    <cellStyle name="Normal 33 2" xfId="573" xr:uid="{356274DC-B0F7-4745-B5AC-9968CE8D0301}"/>
    <cellStyle name="Normal 33 3" xfId="660" xr:uid="{5DB3E6F5-D729-44BB-B54D-00A37019DE7D}"/>
    <cellStyle name="Normal 33 4" xfId="747" xr:uid="{5E741368-543E-487A-B838-A58621E04D6E}"/>
    <cellStyle name="Normal 34" xfId="519" xr:uid="{EAECC35E-68BD-4EF0-985F-AA5EFCA7D481}"/>
    <cellStyle name="Normal 34 2" xfId="607" xr:uid="{5C5C083E-9ED8-4EE2-AF16-C878753C9E03}"/>
    <cellStyle name="Normal 34 3" xfId="694" xr:uid="{633F264A-9300-462B-8B38-DB5C1C35AFF1}"/>
    <cellStyle name="Normal 34 4" xfId="781" xr:uid="{D5D16B72-3394-4813-A651-E493B76D8B13}"/>
    <cellStyle name="Normal 35" xfId="524" xr:uid="{97F8AEC3-376B-4FCA-B30A-3F60B92FD293}"/>
    <cellStyle name="Normal 35 2" xfId="612" xr:uid="{4297D41D-D234-446A-BBC7-F7E54BB21C9F}"/>
    <cellStyle name="Normal 35 3" xfId="699" xr:uid="{4E79C558-B8A2-4EA5-A1C0-3DBFF9835CA7}"/>
    <cellStyle name="Normal 35 4" xfId="786" xr:uid="{401C01CA-FBD8-48F8-BA93-97103FE816B4}"/>
    <cellStyle name="Normal 36" xfId="509" xr:uid="{A5FFDB66-9837-4638-90F1-195E7C5050CF}"/>
    <cellStyle name="Normal 36 2" xfId="597" xr:uid="{2192B70C-D41C-4F06-A193-4BEA468895FC}"/>
    <cellStyle name="Normal 36 3" xfId="684" xr:uid="{F1D1320D-FE83-47C3-94B1-DCF99BE58B91}"/>
    <cellStyle name="Normal 36 4" xfId="771" xr:uid="{744C97F5-68DA-45B6-B69F-A66AF213B9CC}"/>
    <cellStyle name="Normal 37" xfId="489" xr:uid="{6E8ECB66-25D2-4A33-87C4-08AE6F471109}"/>
    <cellStyle name="Normal 37 2" xfId="577" xr:uid="{141F2A0E-B641-4EA3-98F9-90C332F7C5D9}"/>
    <cellStyle name="Normal 37 3" xfId="664" xr:uid="{BBBEA1D8-DD02-49F1-8974-2ECA76950DAA}"/>
    <cellStyle name="Normal 37 4" xfId="751" xr:uid="{134B87A0-7619-4F4B-8B75-4F796816D454}"/>
    <cellStyle name="Normal 38" xfId="505" xr:uid="{5D9707E1-6348-4E94-A853-FB7D951F3FD5}"/>
    <cellStyle name="Normal 38 2" xfId="593" xr:uid="{6C557D2A-13F6-4B90-A30E-F1052CC9FA82}"/>
    <cellStyle name="Normal 38 3" xfId="680" xr:uid="{97EFE310-3240-4460-AC12-F031656A1769}"/>
    <cellStyle name="Normal 38 4" xfId="767" xr:uid="{75495C15-F6EC-4B44-8378-AB4C785A34DE}"/>
    <cellStyle name="Normal 39" xfId="492" xr:uid="{9418B7EA-6581-423C-BA72-4F2EF3726232}"/>
    <cellStyle name="Normal 39 2" xfId="580" xr:uid="{2C2E30FF-FB2B-4FB1-AE65-8A9C9F4B8351}"/>
    <cellStyle name="Normal 39 3" xfId="667" xr:uid="{D55AC912-FB92-4D73-8B83-B41D25797F97}"/>
    <cellStyle name="Normal 39 4" xfId="754" xr:uid="{C5BFB8D7-0286-4F12-B9BD-B5A8D11F7E2E}"/>
    <cellStyle name="Normal 4" xfId="304" xr:uid="{D6D4A08A-1F8F-4B33-82EB-E001A7A82111}"/>
    <cellStyle name="Normal 4 2" xfId="438" xr:uid="{97B4285C-390E-4B23-99CD-D7FF373727CE}"/>
    <cellStyle name="Normal 4 2 2" xfId="543" xr:uid="{96FBCAF1-A6BD-4181-A08B-D620936FD79F}"/>
    <cellStyle name="Normal 4 2 3" xfId="630" xr:uid="{43ECF94C-5A6F-44AC-A961-7A4896A09248}"/>
    <cellStyle name="Normal 4 2 4" xfId="717" xr:uid="{77F929F5-FD15-4E61-AEE9-3B42850DE2E7}"/>
    <cellStyle name="Normal 40" xfId="510" xr:uid="{E03B1439-8032-4DDD-8A1E-3F5BC9567B5B}"/>
    <cellStyle name="Normal 40 2" xfId="598" xr:uid="{1BA379A0-38A6-4B0C-B68A-DC6F7FFC3452}"/>
    <cellStyle name="Normal 40 3" xfId="685" xr:uid="{3DCE023F-0A35-4CAF-8E22-04965A683417}"/>
    <cellStyle name="Normal 40 4" xfId="772" xr:uid="{B2820DB4-4FCE-4E9E-801A-9108E0F1104F}"/>
    <cellStyle name="Normal 41" xfId="482" xr:uid="{65845BF1-3292-4AB3-8B01-9486B491F61B}"/>
    <cellStyle name="Normal 41 2" xfId="570" xr:uid="{669813EA-F2F6-4A14-9229-EBB11413EF64}"/>
    <cellStyle name="Normal 41 3" xfId="657" xr:uid="{C4F82F71-F254-477B-9443-F1F6423B159A}"/>
    <cellStyle name="Normal 41 4" xfId="744" xr:uid="{DC4D12D7-591F-4BEB-96F7-6E82DD90D761}"/>
    <cellStyle name="Normal 42" xfId="521" xr:uid="{CE0CC005-F124-4755-A0CD-DB19CA647099}"/>
    <cellStyle name="Normal 42 2" xfId="609" xr:uid="{C1A1EB53-068D-496E-95EF-B22F76C6669D}"/>
    <cellStyle name="Normal 42 3" xfId="696" xr:uid="{CA244FE0-E370-4B76-A9E9-547413564D07}"/>
    <cellStyle name="Normal 42 4" xfId="783" xr:uid="{C8478EF0-1A41-4849-9B5D-9333D02AD0D2}"/>
    <cellStyle name="Normal 43" xfId="494" xr:uid="{E36B9DE0-C77F-4408-8FA8-9874648B73D6}"/>
    <cellStyle name="Normal 43 2" xfId="582" xr:uid="{111F8253-4B0E-46C8-8E44-49149C1E1CB8}"/>
    <cellStyle name="Normal 43 3" xfId="669" xr:uid="{94C12873-AB27-4BC6-90C0-67368D4F743A}"/>
    <cellStyle name="Normal 43 4" xfId="756" xr:uid="{FC07E248-0E9A-4196-B435-5425A89DBDC9}"/>
    <cellStyle name="Normal 44" xfId="504" xr:uid="{41654F04-D72B-4EB8-8B19-7D19D1C24C2A}"/>
    <cellStyle name="Normal 44 2" xfId="592" xr:uid="{BF698019-C08A-4E7F-81D3-39DA96A95B0B}"/>
    <cellStyle name="Normal 44 3" xfId="679" xr:uid="{AB4EFC67-2C00-4910-B5EF-ED9D94ACC865}"/>
    <cellStyle name="Normal 44 4" xfId="766" xr:uid="{582DA40F-F887-4983-B9DD-EAFE43C6C31F}"/>
    <cellStyle name="Normal 47" xfId="435" xr:uid="{DAB7AB1A-0753-462B-9735-1E3CFCA5E7C1}"/>
    <cellStyle name="Normal 47 2" xfId="540" xr:uid="{64E967DD-9987-4E5A-A62A-1A794D2C7625}"/>
    <cellStyle name="Normal 47 3" xfId="627" xr:uid="{F375063F-0A30-48B0-884D-C13822B5A28A}"/>
    <cellStyle name="Normal 47 4" xfId="714" xr:uid="{D8F8274E-83EB-4B41-9AB4-D0949D0D4415}"/>
    <cellStyle name="Normal 5" xfId="305" xr:uid="{5BDA43A1-A499-4A0D-A9C5-F00AA8F41D13}"/>
    <cellStyle name="Normal 5 2" xfId="440" xr:uid="{150EA578-6B99-4A7C-A20F-62E31F5DF464}"/>
    <cellStyle name="Normal 5 2 2" xfId="545" xr:uid="{1DF61FA7-D91F-4C49-BFF1-B42BD4096FE2}"/>
    <cellStyle name="Normal 5 2 3" xfId="632" xr:uid="{7B5C08C4-4D7D-49B9-A625-544F014DEBA2}"/>
    <cellStyle name="Normal 5 2 4" xfId="719" xr:uid="{3D90480A-371B-4472-8EAB-53EA43B122EE}"/>
    <cellStyle name="Normal 6" xfId="306" xr:uid="{2BEA79FB-586D-4163-B6C1-728FDFC53C2C}"/>
    <cellStyle name="Normal 6 2" xfId="443" xr:uid="{FEF1898C-1728-4BC7-9AF9-29F70D1AEA50}"/>
    <cellStyle name="Normal 6 2 2" xfId="548" xr:uid="{D3793D43-220E-4F17-943B-6D28E6017B6B}"/>
    <cellStyle name="Normal 6 2 3" xfId="635" xr:uid="{A8F38995-770F-4A8A-A349-F37BA52ECA17}"/>
    <cellStyle name="Normal 6 2 4" xfId="722" xr:uid="{31AEB402-5CBD-4E15-BD45-FD1CA4C2DCE9}"/>
    <cellStyle name="Normal 7" xfId="307" xr:uid="{CBC78B51-291A-46F6-97F8-08EA1F5754FA}"/>
    <cellStyle name="Normal 7 2" xfId="445" xr:uid="{909A52A9-5AB0-4CD3-8CA6-607DFC7BD6E5}"/>
    <cellStyle name="Normal 7 2 2" xfId="550" xr:uid="{61C50BC4-E5A5-4024-8F60-AD6A9160A6C2}"/>
    <cellStyle name="Normal 7 2 3" xfId="637" xr:uid="{747EFED2-7929-4D39-BF54-B3A162818CFB}"/>
    <cellStyle name="Normal 7 2 4" xfId="724" xr:uid="{1367D373-C4EB-452B-91AE-2A8A1B7E9E90}"/>
    <cellStyle name="Normal 8" xfId="308" xr:uid="{39D4D4A5-E42B-47FA-8A8C-FD43E7C15F39}"/>
    <cellStyle name="Normal 8 2" xfId="531" xr:uid="{61493165-CCE3-4BDB-B218-E2AE46E5749C}"/>
    <cellStyle name="Normal 8 3" xfId="618" xr:uid="{AE7EFC19-AD90-4243-83FB-2CDF855698B5}"/>
    <cellStyle name="Normal 8 4" xfId="705" xr:uid="{CBA34003-9924-44E0-A91B-35D1240EFFED}"/>
    <cellStyle name="Normal 9" xfId="309" xr:uid="{4BFC3DCC-68D0-4790-BE71-68C395AB31B7}"/>
    <cellStyle name="Normal 9 2" xfId="448" xr:uid="{79BDB97F-3D01-4155-8044-02AA622F38EC}"/>
    <cellStyle name="Normal 9 2 2" xfId="553" xr:uid="{23687B0B-7BD9-4D73-BCB1-6322CDA221B1}"/>
    <cellStyle name="Normal 9 2 3" xfId="640" xr:uid="{3A3D52D9-B47A-4415-8EBD-C2C3290DCE20}"/>
    <cellStyle name="Normal 9 2 4" xfId="727" xr:uid="{D7CB2C0A-F455-4AFB-BE7A-0C03636E2A03}"/>
    <cellStyle name="Note 2" xfId="310" xr:uid="{8F70CDDE-0E42-44FF-84C0-CD86E69633F3}"/>
    <cellStyle name="Note 3" xfId="311" xr:uid="{0ECA8F37-26C7-4B45-9417-27686916FC8F}"/>
    <cellStyle name="Note 4" xfId="312" xr:uid="{C53FD87B-A66B-42F7-B536-4F452FA63D22}"/>
    <cellStyle name="Œ…‹æØ‚è [0.00]_Region Orders (2)" xfId="313" xr:uid="{E80E6B62-8D81-485A-8944-045E2D094B53}"/>
    <cellStyle name="Œ…‹æØ‚è_Region Orders (2)" xfId="314" xr:uid="{093E7BC7-D7A4-4578-B012-E95E3F1C4598}"/>
    <cellStyle name="Output 2" xfId="315" xr:uid="{BC007CBA-A580-4591-8F3E-AF250E868912}"/>
    <cellStyle name="Output 3" xfId="316" xr:uid="{E2BF90CF-0141-4DBF-B5B5-15103479B8BB}"/>
    <cellStyle name="Output 4" xfId="317" xr:uid="{2DEFD19B-70EE-4182-8336-9EBFF54AB0B3}"/>
    <cellStyle name="per.style" xfId="318" xr:uid="{EC30AD83-6F2D-4990-983B-BB458E02A020}"/>
    <cellStyle name="Percent" xfId="525" builtinId="5"/>
    <cellStyle name="Percent (0)" xfId="319" xr:uid="{B2980E3E-279B-47BD-A8E7-57180E4EFF91}"/>
    <cellStyle name="Percent [0]" xfId="320" xr:uid="{151106FC-9E9A-43DC-9FEE-30B36BF7B845}"/>
    <cellStyle name="Percent [00]" xfId="321" xr:uid="{92225AD6-D2ED-4F18-9141-61F1404579E8}"/>
    <cellStyle name="Percent [2]" xfId="322" xr:uid="{58DA8CA3-5803-44DA-8B77-967E3DC5C7DC}"/>
    <cellStyle name="Percent 2" xfId="7" xr:uid="{6D3236A4-A003-4D8A-B890-7CE93F75F35E}"/>
    <cellStyle name="Percent 2 2" xfId="473" xr:uid="{B3FB4423-F13B-439C-8C9E-A6B7DF907AB1}"/>
    <cellStyle name="Percent 2 3" xfId="323" xr:uid="{50C6833A-149B-4C36-BE20-BB56678E3225}"/>
    <cellStyle name="Percent 3" xfId="9" xr:uid="{00937C10-B368-4E90-9896-02788A4328FA}"/>
    <cellStyle name="Percent 3 2" xfId="324" xr:uid="{4817DE26-44BB-4F4C-91FE-5DB20E99CBDB}"/>
    <cellStyle name="Percent 3 2 2" xfId="325" xr:uid="{7BEEFA20-B1CA-4A8F-ACA6-D9339264D39E}"/>
    <cellStyle name="Percent 3 3" xfId="326" xr:uid="{E810C67C-D074-4439-910D-3E972F0B83C9}"/>
    <cellStyle name="Percent 4" xfId="449" xr:uid="{4484706C-AD8F-4D92-B54F-59DB2AE0437A}"/>
    <cellStyle name="Percent 4 2" xfId="479" xr:uid="{42A505DB-0861-4CCB-A528-E3B3FA2023B7}"/>
    <cellStyle name="Percent 5" xfId="456" xr:uid="{66544023-C54D-4201-BCB8-54B9D8968593}"/>
    <cellStyle name="Percent 6" xfId="457" xr:uid="{0E649D27-9263-4920-A4D1-56C274428850}"/>
    <cellStyle name="Percent 6 2" xfId="474" xr:uid="{DD9C3F44-008C-4021-B474-34A4F64C8BB5}"/>
    <cellStyle name="Percent 7" xfId="461" xr:uid="{3DF8A509-2F6E-41E9-B701-030F910160DD}"/>
    <cellStyle name="PrePop Currency (0)" xfId="327" xr:uid="{9952713D-BF5F-4E09-94E1-5B6E03FDDE47}"/>
    <cellStyle name="PrePop Currency (2)" xfId="328" xr:uid="{312523C7-6D34-46CE-901B-5A8916159A3A}"/>
    <cellStyle name="PrePop Units (0)" xfId="329" xr:uid="{950E07AD-2BE1-4D0A-BB90-E59E1DE50AC6}"/>
    <cellStyle name="PrePop Units (1)" xfId="330" xr:uid="{61E5D2D3-1F5B-4EA2-8225-BB5054B44B3A}"/>
    <cellStyle name="PrePop Units (2)" xfId="331" xr:uid="{E5458B7B-EA16-47CF-89FB-84C3D9EC6AEA}"/>
    <cellStyle name="price" xfId="332" xr:uid="{A59E606D-E1E8-460E-8BB7-A3D73FB46377}"/>
    <cellStyle name="pricing" xfId="333" xr:uid="{3008A00C-05FC-4901-9D99-F3ABB5BE2A93}"/>
    <cellStyle name="PSChar" xfId="334" xr:uid="{8208F30A-71FC-4E7D-9FB7-23C2AB5E1DC0}"/>
    <cellStyle name="PSDate" xfId="335" xr:uid="{2218246D-99FA-4CE4-9990-121A5EBA468D}"/>
    <cellStyle name="PSDec" xfId="336" xr:uid="{0B630865-C20B-45DF-A828-2C579D13873A}"/>
    <cellStyle name="PSHeading" xfId="337" xr:uid="{0AD3F73A-1AC1-412C-AA7C-60D62D9A52C9}"/>
    <cellStyle name="PSInt" xfId="338" xr:uid="{79577E58-CA2E-47C0-8183-1A7E05B4B26B}"/>
    <cellStyle name="PSSpacer" xfId="339" xr:uid="{CC4C93C6-1F98-4C3B-A91C-AE67DD404EE6}"/>
    <cellStyle name="revised" xfId="340" xr:uid="{C508B27B-957B-4867-8893-9D9CE33F0B9B}"/>
    <cellStyle name="RevList" xfId="341" xr:uid="{B36B4F0F-B703-4736-BB30-52CC600CF255}"/>
    <cellStyle name="SAPBEXaggData" xfId="342" xr:uid="{F5A0BF29-7567-44D5-8813-72EC28E60BB6}"/>
    <cellStyle name="SAPBEXaggDataEmph" xfId="343" xr:uid="{6D778E13-0716-4107-986D-D5CD3737126C}"/>
    <cellStyle name="SAPBEXaggItem" xfId="344" xr:uid="{C916477D-6084-40C4-9B65-9DC54D2BFBED}"/>
    <cellStyle name="SAPBEXaggItemX" xfId="345" xr:uid="{20D83EDE-24F3-402D-9EAB-A06828594334}"/>
    <cellStyle name="SAPBEXchaText" xfId="346" xr:uid="{47B789C7-3286-4DD0-A5A7-4D865A917FF0}"/>
    <cellStyle name="SAPBEXexcBad7" xfId="347" xr:uid="{A75270CA-9E0F-4618-BDB2-682DDA8EE366}"/>
    <cellStyle name="SAPBEXexcBad8" xfId="348" xr:uid="{BD7D3CDB-EAAE-4CD7-8269-79883919F497}"/>
    <cellStyle name="SAPBEXexcBad9" xfId="349" xr:uid="{24A9ED4F-E22C-4A99-92E6-2996200EDCA7}"/>
    <cellStyle name="SAPBEXexcCritical4" xfId="350" xr:uid="{8D62DD76-9FAC-4A57-9605-4FE98D335C85}"/>
    <cellStyle name="SAPBEXexcCritical5" xfId="351" xr:uid="{04CE2980-1A1A-490D-8B47-21A274BE2701}"/>
    <cellStyle name="SAPBEXexcCritical6" xfId="352" xr:uid="{C9208D8C-22E5-4B85-B2D4-E95A5B512A87}"/>
    <cellStyle name="SAPBEXexcGood1" xfId="353" xr:uid="{B9A72001-9C70-4C21-9F52-DBC00AD13B5C}"/>
    <cellStyle name="SAPBEXexcGood2" xfId="354" xr:uid="{2F94CCA1-16DC-498C-A3AA-8DC19A17A398}"/>
    <cellStyle name="SAPBEXexcGood3" xfId="355" xr:uid="{6A536E0C-1BF4-4050-9925-1DE95C79C2B7}"/>
    <cellStyle name="SAPBEXfilterDrill" xfId="356" xr:uid="{6E004271-C55B-490D-9BFE-D9278F2E0ECE}"/>
    <cellStyle name="SAPBEXfilterItem" xfId="357" xr:uid="{BC126D9D-83CC-468A-99D9-B250108CFA29}"/>
    <cellStyle name="SAPBEXfilterText" xfId="358" xr:uid="{59EDEC2A-1742-4CC1-8E35-3A79F58B9E08}"/>
    <cellStyle name="SAPBEXformats" xfId="359" xr:uid="{D4AFA811-61A6-4A4D-A9E9-35432CF773D1}"/>
    <cellStyle name="SAPBEXheaderItem" xfId="360" xr:uid="{56D77555-66EB-4795-BA71-378F25F65EB4}"/>
    <cellStyle name="SAPBEXheaderText" xfId="361" xr:uid="{11B40C59-A9F5-4E18-AB6A-744BD985DB66}"/>
    <cellStyle name="SAPBEXHLevel0" xfId="362" xr:uid="{62479D13-4FF0-4E80-8049-FC0E786AB1AB}"/>
    <cellStyle name="SAPBEXHLevel0X" xfId="363" xr:uid="{91E40EFE-6245-4768-832F-0BD033ABCBF6}"/>
    <cellStyle name="SAPBEXHLevel1" xfId="364" xr:uid="{9A642D82-3092-4839-BF8C-719E71437309}"/>
    <cellStyle name="SAPBEXHLevel1X" xfId="365" xr:uid="{309A977B-8D00-4CCE-BA24-A8EA2ECF958E}"/>
    <cellStyle name="SAPBEXHLevel2" xfId="366" xr:uid="{5DFADA57-671A-49F3-A5BF-D9DE61128C7C}"/>
    <cellStyle name="SAPBEXHLevel2X" xfId="367" xr:uid="{18989253-9F2D-4A97-BD50-1A5422FC7472}"/>
    <cellStyle name="SAPBEXHLevel3" xfId="368" xr:uid="{4A1267DE-0FD7-41C4-BB08-E21E93393840}"/>
    <cellStyle name="SAPBEXHLevel3X" xfId="369" xr:uid="{97862905-F330-4F00-AA75-32195CC70258}"/>
    <cellStyle name="SAPBEXinputData" xfId="370" xr:uid="{D40C3FAB-8841-4DAE-8C58-07B91D0949BD}"/>
    <cellStyle name="SAPBEXresData" xfId="371" xr:uid="{D120474B-F459-47CD-84F0-4F194605E440}"/>
    <cellStyle name="SAPBEXresDataEmph" xfId="372" xr:uid="{CC8E6AFC-04D0-4246-BAA7-6CB85E1584E6}"/>
    <cellStyle name="SAPBEXresItem" xfId="373" xr:uid="{55F243CA-A56B-40A2-AC73-8C87908FDCBC}"/>
    <cellStyle name="SAPBEXresItemX" xfId="374" xr:uid="{6F0B3983-51E7-48A8-8555-6DB79AF69DE1}"/>
    <cellStyle name="SAPBEXstdData" xfId="375" xr:uid="{5A2F3930-3EA1-4EE5-9790-742D824F5324}"/>
    <cellStyle name="SAPBEXstdDataEmph" xfId="376" xr:uid="{5EB7E45C-4EEB-45D9-B7F9-45F99ABFEF24}"/>
    <cellStyle name="SAPBEXstdItem" xfId="377" xr:uid="{B349C0A7-803A-421B-BA50-0F5ACF814CF9}"/>
    <cellStyle name="SAPBEXstdItemX" xfId="378" xr:uid="{D5657F83-8D7C-42FE-AB01-0184EE24638A}"/>
    <cellStyle name="SAPBEXtitle" xfId="379" xr:uid="{FC44E52B-0789-4E84-9E9A-4C5F91B88D05}"/>
    <cellStyle name="SAPBEXundefined" xfId="380" xr:uid="{75172AD4-CFCD-45E1-8F15-884AC0878A3D}"/>
    <cellStyle name="section" xfId="381" xr:uid="{A7A93DBD-24B0-4A5C-AB80-6D11FF8B4C2E}"/>
    <cellStyle name="Sheet Title" xfId="382" xr:uid="{1FC13A98-D318-44A4-A8EE-8F8B0227770B}"/>
    <cellStyle name="SPOl" xfId="383" xr:uid="{1A4601DB-DDE5-44B2-A679-CC9434FD5FC6}"/>
    <cellStyle name="standard" xfId="384" xr:uid="{300FF554-EAA6-4540-92E2-276A318F0DF1}"/>
    <cellStyle name="Style 1" xfId="385" xr:uid="{D1E9A315-7F07-4FCC-812F-5656AF963FBD}"/>
    <cellStyle name="Style 2" xfId="386" xr:uid="{7E6636B9-656C-4526-A010-682EC75E8795}"/>
    <cellStyle name="subhead" xfId="387" xr:uid="{0C7267A6-339E-423D-90F0-77279DC26223}"/>
    <cellStyle name="Subtotal" xfId="388" xr:uid="{8426A226-77F3-45C6-855E-532188DD5C2C}"/>
    <cellStyle name="Text Indent A" xfId="389" xr:uid="{99CDEFA5-F64B-4F8F-B6BC-53AC57208A43}"/>
    <cellStyle name="Text Indent B" xfId="390" xr:uid="{F8AC2078-5BE7-44A1-8910-A33AE53C2D5C}"/>
    <cellStyle name="Text Indent C" xfId="391" xr:uid="{A5FD7F9C-C8F1-45E6-9A2E-24455DEAAA28}"/>
    <cellStyle name="Title 2" xfId="392" xr:uid="{B0F0CC7B-B5E2-4BD6-ADBA-3F7B01D69F83}"/>
    <cellStyle name="Title 3" xfId="393" xr:uid="{0E5E63B0-078E-499D-A025-28F2EBC46B2C}"/>
    <cellStyle name="Title 4" xfId="394" xr:uid="{903D4350-354D-4C31-8290-41B5C889B035}"/>
    <cellStyle name="Total 2" xfId="395" xr:uid="{5A8FE47A-08F9-498B-AAEF-22177F192C2A}"/>
    <cellStyle name="Total 3" xfId="396" xr:uid="{58F84239-9E2C-4172-9B38-BE728E019ADF}"/>
    <cellStyle name="Total 4" xfId="397" xr:uid="{C7F69CC5-D6DB-4694-AAC2-B049FB2E498A}"/>
    <cellStyle name="Warning Text 2" xfId="398" xr:uid="{7D0B08FC-2412-4B60-898E-2FE3B60448CA}"/>
    <cellStyle name="Warning Text 3" xfId="399" xr:uid="{3B4CCCB3-0FCF-483D-9AB6-14E486DD4C75}"/>
    <cellStyle name="Warning Text 4" xfId="400" xr:uid="{07CB6C22-CA0B-4E14-B836-E49A683BD265}"/>
    <cellStyle name="スタイル１" xfId="401" xr:uid="{A10F4FDB-8B08-4F59-A0B6-2D6D078C79D3}"/>
    <cellStyle name="パーセント()" xfId="402" xr:uid="{79B1BCA1-5FAA-4B88-B01B-18EBF15799DC}"/>
    <cellStyle name="パーセント(0.00)" xfId="403" xr:uid="{A7810F27-6622-425D-BB3A-DF1033705989}"/>
    <cellStyle name="パーセント[0.00]" xfId="404" xr:uid="{E4CA9018-DB04-418D-9AED-E112476CF9A0}"/>
    <cellStyle name="ハイパーリンク" xfId="405" xr:uid="{712C97F6-A421-483A-B7F5-7C231EE10DAC}"/>
    <cellStyle name="เครื่องหมายจุลภาค_Daily prod 05" xfId="3" xr:uid="{FD51037D-D021-4196-A93A-7E75F9AA843D}"/>
    <cellStyle name="เชื่อมโยงหลายมิติ_FM-DC-004 form approve Rev.2" xfId="406" xr:uid="{B17C63C4-8D63-4FEA-8F10-2F28B1A6C458}"/>
    <cellStyle name="น้บะภฒ_95" xfId="407" xr:uid="{7EE7E3F0-C71A-4D07-9E84-E9113741BAC0}"/>
    <cellStyle name="ปกติ_Daily prod 05" xfId="5" xr:uid="{AA08EF52-E603-4B19-9182-1B690BDAEFA5}"/>
    <cellStyle name="ฤธถ [0]_95" xfId="408" xr:uid="{A172B6D9-155F-4E4E-95AD-D2825ECC678B}"/>
    <cellStyle name="ฤธถ_95" xfId="409" xr:uid="{2738EE8F-5C22-4B62-A7A5-8BE0692CC1D0}"/>
    <cellStyle name="ล๋ศญ [0]_95" xfId="410" xr:uid="{AB2640B1-9597-4AB3-8BDF-F3E03D156F58}"/>
    <cellStyle name="ล๋ศญ_95" xfId="411" xr:uid="{FC091500-745E-474E-9D95-726F6F64CC66}"/>
    <cellStyle name="วฅมุ_4ฟ๙ฝวภ๛" xfId="412" xr:uid="{5B74C297-7225-49D8-874F-A82E46D2FAFB}"/>
    <cellStyle name="_x001d_・_x000c_ﾏ・_x000d_ﾂ・_x0001__x0016__x0011_F5_x0007__x0001__x0001_" xfId="413" xr:uid="{D3496F31-E3D0-44DA-BC22-523D5710CDC0}"/>
    <cellStyle name="会計" xfId="414" xr:uid="{F6C1069D-56AF-4B41-9BE4-382830044AE3}"/>
    <cellStyle name="未定義" xfId="415" xr:uid="{D2B253D9-F662-46EB-9663-40FBE1591A29}"/>
    <cellStyle name="標準 2" xfId="416" xr:uid="{02923348-FE50-47DE-9E41-BACD12B6A8CC}"/>
    <cellStyle name="標準_Aug' 04" xfId="417" xr:uid="{B4541A1D-DF2F-4C46-9422-78E174934A44}"/>
    <cellStyle name="標準Ｎ" xfId="418" xr:uid="{75FDE3B8-9C39-4CE8-8F58-D4BF85AA4512}"/>
    <cellStyle name="画面ﾚｲｱｳﾄ" xfId="419" xr:uid="{3A62AF01-6AD7-49F6-AFF2-6AC3980B54C1}"/>
    <cellStyle name="脱浦 [0.00]_・括スケジュール" xfId="420" xr:uid="{B887B84E-3A5A-45BF-B03A-51124ACBA974}"/>
    <cellStyle name="脱浦_・括スケジュール" xfId="421" xr:uid="{3D858AD0-3AC5-445F-A1BD-0D19969F607B}"/>
    <cellStyle name="表示済みのハイパーリンク" xfId="422" xr:uid="{6539EDE5-4B20-4E0F-8BF9-BC7D0A53813A}"/>
    <cellStyle name="見出し１" xfId="423" xr:uid="{1317802B-5B72-4D87-95B6-E7649099A886}"/>
    <cellStyle name="項目" xfId="424" xr:uid="{470A5D7D-A8CF-4A61-9177-D7E2F0AE35E9}"/>
  </cellStyles>
  <dxfs count="1112"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CC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fgColor theme="1"/>
          <bgColor rgb="FFFFFF00"/>
        </patternFill>
      </fill>
    </dxf>
    <dxf>
      <fill>
        <patternFill>
          <fgColor theme="1"/>
          <bgColor rgb="FFFFCCFF"/>
        </patternFill>
      </fill>
    </dxf>
    <dxf>
      <fill>
        <patternFill>
          <fgColor theme="1"/>
          <bgColor rgb="FFFF0000"/>
        </patternFill>
      </fill>
    </dxf>
    <dxf>
      <fill>
        <patternFill>
          <fgColor theme="1"/>
          <bgColor rgb="FFFFFF00"/>
        </patternFill>
      </fill>
    </dxf>
    <dxf>
      <fill>
        <patternFill>
          <fgColor theme="1"/>
          <bgColor rgb="FFFFCCFF"/>
        </patternFill>
      </fill>
    </dxf>
    <dxf>
      <font>
        <color theme="0"/>
      </font>
      <fill>
        <patternFill>
          <fgColor theme="1"/>
          <bgColor rgb="FFFF00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1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fgColor theme="1"/>
          <bgColor rgb="FFFFFF00"/>
        </patternFill>
      </fill>
    </dxf>
    <dxf>
      <fill>
        <patternFill>
          <fgColor theme="1"/>
          <bgColor rgb="FFFFCCFF"/>
        </patternFill>
      </fill>
    </dxf>
    <dxf>
      <fill>
        <patternFill>
          <fgColor theme="1"/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</dxf>
    <dxf>
      <font>
        <color theme="1"/>
      </font>
      <fill>
        <patternFill>
          <bgColor theme="9"/>
        </patternFill>
      </fill>
    </dxf>
    <dxf>
      <font>
        <color auto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92D05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0000FF"/>
      </font>
      <fill>
        <patternFill>
          <bgColor rgb="FFFFFF00"/>
        </patternFill>
      </fill>
    </dxf>
    <dxf>
      <font>
        <color auto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CFF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auto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1"/>
      </font>
      <fill>
        <patternFill>
          <bgColor rgb="FFFF0000"/>
        </patternFill>
      </fill>
    </dxf>
    <dxf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59996337778862885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39994506668294322"/>
        </patternFill>
      </fill>
    </dxf>
    <dxf>
      <font>
        <color auto="1"/>
      </font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99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8" tint="0.79998168889431442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auto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66FF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bgColor theme="8" tint="0.39994506668294322"/>
        </patternFill>
      </fill>
    </dxf>
    <dxf>
      <fill>
        <patternFill>
          <bgColor rgb="FFFFFF00"/>
        </patternFill>
      </fill>
    </dxf>
    <dxf>
      <fill>
        <patternFill>
          <fgColor theme="1"/>
          <bgColor theme="8" tint="0.39991454817346722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FF00"/>
        </patternFill>
      </fill>
    </dxf>
    <dxf>
      <font>
        <color theme="1"/>
      </font>
      <fill>
        <patternFill>
          <bgColor rgb="FFFFCCFF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1"/>
      </font>
      <fill>
        <patternFill>
          <bgColor theme="8" tint="0.59996337778862885"/>
        </patternFill>
      </fill>
    </dxf>
    <dxf>
      <font>
        <color theme="1"/>
      </font>
      <fill>
        <patternFill>
          <bgColor rgb="FFFFFF00"/>
        </patternFill>
      </fill>
    </dxf>
    <dxf>
      <font>
        <color rgb="FFFF0000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/>
        <right style="thick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ck">
          <color indexed="64"/>
        </left>
        <right/>
      </border>
    </dxf>
    <dxf>
      <numFmt numFmtId="167" formatCode="[$฿-41E]#,##0.0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5" tint="0.59999389629810485"/>
        </patternFill>
      </fill>
      <border diagonalUp="0" diagonalDown="0">
        <left style="thick">
          <color auto="1"/>
        </left>
        <right style="thick">
          <color auto="1"/>
        </right>
        <vertical style="thick">
          <color auto="1"/>
        </vertical>
      </border>
    </dxf>
    <dxf>
      <numFmt numFmtId="3" formatCode="#,##0"/>
      <border diagonalUp="0" diagonalDown="0">
        <left style="double">
          <color indexed="64"/>
        </left>
        <right style="double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border diagonalUp="0" diagonalDown="0">
        <left style="double">
          <color indexed="64"/>
        </left>
        <right style="double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  <border diagonalUp="0" diagonalDown="0">
        <left/>
        <right style="thick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  <border diagonalUp="0" diagonalDown="0">
        <left style="thick">
          <color indexed="64"/>
        </left>
        <right/>
        <top/>
        <bottom/>
      </border>
    </dxf>
    <dxf>
      <border outline="0">
        <right style="thick">
          <color rgb="FF000000"/>
        </right>
        <top style="thick">
          <color rgb="FF000000"/>
        </top>
        <bottom style="thick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/>
        <right style="thick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ck">
          <color indexed="64"/>
        </left>
        <right/>
      </border>
    </dxf>
    <dxf>
      <numFmt numFmtId="167" formatCode="[$฿-41E]#,##0.0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5" tint="0.59999389629810485"/>
        </patternFill>
      </fill>
      <border diagonalUp="0" diagonalDown="0">
        <left style="thick">
          <color auto="1"/>
        </left>
        <right style="thick">
          <color auto="1"/>
        </right>
        <vertical style="thick">
          <color auto="1"/>
        </vertical>
      </border>
    </dxf>
    <dxf>
      <numFmt numFmtId="3" formatCode="#,##0"/>
      <border diagonalUp="0" diagonalDown="0">
        <left style="double">
          <color indexed="64"/>
        </left>
        <right style="double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border diagonalUp="0" diagonalDown="0">
        <left style="double">
          <color indexed="64"/>
        </left>
        <right style="double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  <border diagonalUp="0" diagonalDown="0">
        <left/>
        <right style="thick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  <border diagonalUp="0" diagonalDown="0">
        <left style="thick">
          <color indexed="64"/>
        </left>
        <right/>
        <top/>
        <bottom/>
      </border>
    </dxf>
    <dxf>
      <border outline="0">
        <right style="thick">
          <color rgb="FF000000"/>
        </right>
        <top style="thick">
          <color rgb="FF000000"/>
        </top>
        <bottom style="thick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/>
        <right style="thick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ck">
          <color indexed="64"/>
        </left>
        <right/>
      </border>
    </dxf>
    <dxf>
      <numFmt numFmtId="167" formatCode="[$฿-41E]#,##0.00"/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5" tint="0.59999389629810485"/>
        </patternFill>
      </fill>
      <border diagonalUp="0" diagonalDown="0">
        <left style="thick">
          <color auto="1"/>
        </left>
        <right style="thick">
          <color auto="1"/>
        </right>
        <vertical style="thick">
          <color auto="1"/>
        </vertical>
      </border>
    </dxf>
    <dxf>
      <numFmt numFmtId="3" formatCode="#,##0"/>
      <border diagonalUp="0" diagonalDown="0">
        <left style="double">
          <color indexed="64"/>
        </left>
        <right style="double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border diagonalUp="0" diagonalDown="0">
        <left style="double">
          <color indexed="64"/>
        </left>
        <right style="double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  <border diagonalUp="0" diagonalDown="0">
        <left/>
        <right style="thick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  <border diagonalUp="0" diagonalDown="0">
        <left style="thick">
          <color indexed="64"/>
        </left>
        <right/>
        <top/>
        <bottom/>
      </border>
    </dxf>
    <dxf>
      <border outline="0">
        <right style="thick">
          <color rgb="FF000000"/>
        </right>
        <top style="thick">
          <color rgb="FF000000"/>
        </top>
        <bottom style="thick">
          <color rgb="FF000000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/>
        <right style="thick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ck">
          <color indexed="64"/>
        </left>
        <right/>
        <top/>
        <bottom/>
      </border>
    </dxf>
    <dxf>
      <numFmt numFmtId="167" formatCode="[$฿-41E]#,##0.0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5" tint="0.59999389629810485"/>
        </patternFill>
      </fill>
    </dxf>
    <dxf>
      <numFmt numFmtId="3" formatCode="#,##0"/>
      <border diagonalUp="0" diagonalDown="0">
        <left style="double">
          <color indexed="64"/>
        </left>
        <right style="double">
          <color indexed="64"/>
        </right>
        <vertical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5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 style="thick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5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5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  <border diagonalUp="0" diagonalDown="0" outline="0">
        <left style="thick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numFmt numFmtId="168" formatCode="0.000"/>
      <fill>
        <patternFill patternType="solid">
          <fgColor indexed="64"/>
          <bgColor theme="7" tint="0.79998168889431442"/>
        </patternFill>
      </fill>
      <border diagonalUp="0" diagonalDown="0">
        <left/>
        <right style="thick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ck">
          <color indexed="64"/>
        </left>
        <right/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5" tint="0.59999389629810485"/>
        </patternFill>
      </fill>
      <border diagonalUp="0" diagonalDown="0">
        <left style="thick">
          <color auto="1"/>
        </left>
        <right style="thick">
          <color auto="1"/>
        </right>
        <vertical style="thick">
          <color auto="1"/>
        </vertical>
      </border>
    </dxf>
    <dxf>
      <border diagonalUp="0" diagonalDown="0">
        <left style="double">
          <color indexed="64"/>
        </left>
        <right style="double">
          <color indexed="64"/>
        </right>
        <vertical/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border diagonalUp="0" diagonalDown="0">
        <left style="double">
          <color auto="1"/>
        </left>
        <right style="double">
          <color auto="1"/>
        </right>
        <vertical/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  <border diagonalUp="0" diagonalDown="0">
        <left/>
        <right style="thick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  <border diagonalUp="0" diagonalDown="0">
        <left style="thick">
          <color indexed="64"/>
        </left>
        <right/>
        <top/>
        <bottom/>
      </border>
    </dxf>
    <dxf>
      <border outline="0"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0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ck">
          <color indexed="64"/>
        </left>
        <right style="thick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border diagonalUp="0" diagonalDown="0">
        <left style="thick">
          <color indexed="64"/>
        </left>
        <right style="thick">
          <color indexed="64"/>
        </right>
        <vertical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5" tint="0.59999389629810485"/>
        </patternFill>
      </fill>
    </dxf>
    <dxf>
      <border diagonalUp="0" diagonalDown="0">
        <left style="double">
          <color indexed="64"/>
        </left>
        <right style="double">
          <color indexed="64"/>
        </right>
        <vertical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border diagonalUp="0" diagonalDown="0">
        <left style="double">
          <color auto="1"/>
        </left>
        <right style="double">
          <color auto="1"/>
        </right>
        <vertical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5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5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5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  <border diagonalUp="0" diagonalDown="0" outline="0">
        <left style="thick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[$฿-41E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  <border diagonalUp="0" diagonalDown="0">
        <left style="double">
          <color auto="1"/>
        </left>
        <right style="double">
          <color auto="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/>
        <vertAlign val="baseline"/>
        <sz val="48"/>
        <color rgb="FF0000FF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48"/>
        <color rgb="FF0000FF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48"/>
        <color rgb="FF0000FF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8" formatCode="0.000"/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[$฿-41E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" formatCode="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  <border diagonalUp="0" diagonalDown="0">
        <left style="double">
          <color auto="1"/>
        </left>
        <right style="double">
          <color auto="1"/>
        </right>
        <vertic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9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/>
        <vertAlign val="baseline"/>
        <sz val="48"/>
        <color rgb="FF0000FF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48"/>
        <color rgb="FF0000FF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/>
        <vertAlign val="baseline"/>
        <sz val="48"/>
        <color rgb="FF0000FF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/>
        <right style="thick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border diagonalUp="0" diagonalDown="0" outline="0">
        <left style="thick">
          <color indexed="64"/>
        </left>
        <right style="thick">
          <color indexed="64"/>
        </right>
        <top/>
        <bottom/>
      </border>
    </dxf>
    <dxf>
      <numFmt numFmtId="167" formatCode="[$฿-41E]#,##0.0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5" tint="0.59999389629810485"/>
        </patternFill>
      </fill>
    </dxf>
    <dxf>
      <numFmt numFmtId="3" formatCode="#,##0"/>
      <border diagonalUp="0" diagonalDown="0">
        <left style="double">
          <color indexed="64"/>
        </left>
        <right style="double">
          <color indexed="64"/>
        </right>
        <vertical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right style="thin">
          <color indexed="64"/>
        </right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5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  <border diagonalUp="0" diagonalDown="0" outline="0">
        <left/>
        <right style="thick">
          <color indexed="6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5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5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  <border diagonalUp="0" diagonalDown="0" outline="0">
        <left style="thick">
          <color indexed="64"/>
        </left>
        <right/>
        <top/>
        <bottom/>
      </border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Times New Roman"/>
        <family val="1"/>
        <scheme val="none"/>
      </font>
      <fill>
        <patternFill patternType="solid">
          <fgColor indexed="64"/>
          <bgColor theme="7" tint="0.79998168889431442"/>
        </patternFill>
      </fill>
      <border diagonalUp="0" diagonalDown="0" outline="0">
        <left style="thick">
          <color indexed="64"/>
        </left>
        <right style="thick">
          <color indexed="64"/>
        </righ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border outline="0">
        <left style="thick">
          <color indexed="64"/>
        </left>
        <right style="thick">
          <color indexed="64"/>
        </right>
      </border>
    </dxf>
    <dxf>
      <numFmt numFmtId="167" formatCode="[$฿-41E]#,##0.00"/>
      <border diagonalUp="0" diagonalDown="0"/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5" tint="0.59999389629810485"/>
        </patternFill>
      </fill>
      <border diagonalUp="0" diagonalDown="0">
        <left style="double">
          <color auto="1"/>
        </left>
      </border>
    </dxf>
    <dxf>
      <numFmt numFmtId="3" formatCode="#,##0"/>
    </dxf>
    <dxf>
      <font>
        <strike val="0"/>
        <outline val="0"/>
        <shadow val="0"/>
        <vertAlign val="baseline"/>
        <name val="Times New Roman"/>
        <family val="1"/>
        <scheme val="none"/>
      </font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  <right style="thin">
          <color indexed="64"/>
        </righ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rgb="FFFFC00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  <border outline="0">
        <left style="thin">
          <color indexed="64"/>
        </left>
      </border>
    </dxf>
    <dxf>
      <font>
        <strike val="0"/>
        <outline val="0"/>
        <shadow val="0"/>
        <vertAlign val="baseline"/>
        <name val="Times New Roman"/>
        <family val="1"/>
        <scheme val="none"/>
      </font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vertAlign val="baseline"/>
        <sz val="11"/>
        <name val="Times New Roman"/>
        <family val="1"/>
        <scheme val="none"/>
      </font>
      <border diagonalUp="0" diagonalDown="0">
        <left style="thick">
          <color indexed="64"/>
        </left>
        <right style="thick">
          <color indexed="64"/>
        </right>
        <vertic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50"/>
        <color indexed="12"/>
        <name val="Times New Roman"/>
        <family val="1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5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50"/>
        <color indexed="12"/>
        <name val="Times New Roman"/>
        <family val="1"/>
        <scheme val="none"/>
      </font>
      <fill>
        <patternFill patternType="solid">
          <fgColor indexed="64"/>
          <bgColor theme="9" tint="0.39997558519241921"/>
        </patternFill>
      </fill>
      <alignment horizontal="center" vertical="center" textRotation="0" wrapText="0" indent="0" justifyLastLine="0" shrinkToFit="1" readingOrder="0"/>
    </dxf>
    <dxf>
      <border outline="0">
        <left style="thick">
          <color indexed="64"/>
        </left>
        <right style="thick">
          <color indexed="64"/>
        </right>
        <top style="thick">
          <color indexed="64"/>
        </top>
        <bottom style="thick">
          <color indexed="64"/>
        </bottom>
      </border>
    </dxf>
    <dxf>
      <font>
        <strike val="0"/>
        <outline val="0"/>
        <shadow val="0"/>
        <vertAlign val="baseline"/>
        <name val="Times New Roman"/>
        <family val="1"/>
        <scheme val="none"/>
      </font>
    </dxf>
    <dxf>
      <font>
        <strike val="0"/>
        <outline val="0"/>
        <shadow val="0"/>
        <vertAlign val="baseline"/>
        <name val="Times New Roman"/>
        <family val="1"/>
        <scheme val="none"/>
      </font>
    </dxf>
  </dxfs>
  <tableStyles count="0" defaultTableStyle="TableStyleMedium2" defaultPivotStyle="PivotStyleLight16"/>
  <colors>
    <mruColors>
      <color rgb="FF2FEDB2"/>
      <color rgb="FF66FFFF"/>
      <color rgb="FFCBF6FD"/>
      <color rgb="FF0000FF"/>
      <color rgb="FFEE833A"/>
      <color rgb="FFFFCCFF"/>
      <color rgb="FFFF66CC"/>
      <color rgb="FFFF99FF"/>
      <color rgb="FFFF66FF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Output</a:t>
            </a:r>
            <a:r>
              <a:rPr lang="en-US" b="1" baseline="0"/>
              <a:t> Plan 8 Mpcs.</a:t>
            </a:r>
            <a:endParaRPr lang="en-US" b="1"/>
          </a:p>
        </c:rich>
      </c:tx>
      <c:layout>
        <c:manualLayout>
          <c:xMode val="edge"/>
          <c:yMode val="edge"/>
          <c:x val="3.8555910334167685E-2"/>
          <c:y val="3.7072097950461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25A-4BC5-82A8-CE373933CD0B}"/>
              </c:ext>
            </c:extLst>
          </c:dPt>
          <c:dPt>
            <c:idx val="1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25A-4BC5-82A8-CE373933CD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517-4F6B-B42A-B67499357C78}"/>
              </c:ext>
            </c:extLst>
          </c:dPt>
          <c:cat>
            <c:strRef>
              <c:f>SUMMARY!$B$4:$B$6</c:f>
              <c:strCache>
                <c:ptCount val="3"/>
                <c:pt idx="0">
                  <c:v>Plan</c:v>
                </c:pt>
                <c:pt idx="1">
                  <c:v>Actual</c:v>
                </c:pt>
                <c:pt idx="2">
                  <c:v>Diff. (pcs.)</c:v>
                </c:pt>
              </c:strCache>
            </c:strRef>
          </c:cat>
          <c:val>
            <c:numRef>
              <c:f>SUMMARY!$I$4:$I$6</c:f>
              <c:numCache>
                <c:formatCode>_(* #,##0_);_(* \(#,##0\);_(* "-"??_);_(@_)</c:formatCode>
                <c:ptCount val="3"/>
                <c:pt idx="0">
                  <c:v>8009000</c:v>
                </c:pt>
                <c:pt idx="1">
                  <c:v>6936230</c:v>
                </c:pt>
                <c:pt idx="2">
                  <c:v>-1072770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5A-4BC5-82A8-CE373933CD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58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Amount Plan 35 MB</a:t>
            </a:r>
          </a:p>
        </c:rich>
      </c:tx>
      <c:layout>
        <c:manualLayout>
          <c:xMode val="edge"/>
          <c:yMode val="edge"/>
          <c:x val="2.3381889763779563E-2"/>
          <c:y val="2.314814814814814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bg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6D-497A-86D6-24581ADB087D}"/>
              </c:ext>
            </c:extLst>
          </c:dPt>
          <c:dPt>
            <c:idx val="1"/>
            <c:bubble3D val="0"/>
            <c:spPr>
              <a:solidFill>
                <a:srgbClr val="B0D59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0D6D-497A-86D6-24581ADB087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9ED9-4CD8-952F-3F9496C0B797}"/>
              </c:ext>
            </c:extLst>
          </c:dPt>
          <c:cat>
            <c:strRef>
              <c:f>SUMMARY!$B$8:$B$10</c:f>
              <c:strCache>
                <c:ptCount val="3"/>
                <c:pt idx="0">
                  <c:v>Plan</c:v>
                </c:pt>
                <c:pt idx="1">
                  <c:v>Actual</c:v>
                </c:pt>
                <c:pt idx="2">
                  <c:v>Diff. (THB)</c:v>
                </c:pt>
              </c:strCache>
            </c:strRef>
          </c:cat>
          <c:val>
            <c:numRef>
              <c:f>SUMMARY!$I$8:$I$10</c:f>
              <c:numCache>
                <c:formatCode>_(* #,##0_);_(* \(#,##0\);_(* "-"??_);_(@_)</c:formatCode>
                <c:ptCount val="3"/>
                <c:pt idx="0" formatCode="#,##0;[Red]#,##0">
                  <c:v>35039943.140000001</c:v>
                </c:pt>
                <c:pt idx="1">
                  <c:v>29499134.500660002</c:v>
                </c:pt>
                <c:pt idx="2">
                  <c:v>-5540808.6393399984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6D-497A-86D6-24581ADB0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  <c:holeSize val="58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 Output Ratio =</a:t>
            </a:r>
          </a:p>
        </c:rich>
      </c:tx>
      <c:layout>
        <c:manualLayout>
          <c:xMode val="edge"/>
          <c:yMode val="edge"/>
          <c:x val="1.904965441714021E-2"/>
          <c:y val="1.23538608648657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8535897455496024E-2"/>
          <c:y val="0.31886382657112061"/>
          <c:w val="0.90292820508900795"/>
          <c:h val="0.49781585410155943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4084-4B4C-9E3D-3E60E04D896A}"/>
              </c:ext>
            </c:extLst>
          </c:dPt>
          <c:dLbls>
            <c:delete val="1"/>
          </c:dLbls>
          <c:cat>
            <c:strRef>
              <c:f>SUMMARY!$B$4:$B$5</c:f>
              <c:strCache>
                <c:ptCount val="2"/>
                <c:pt idx="0">
                  <c:v>Plan</c:v>
                </c:pt>
                <c:pt idx="1">
                  <c:v>Actual</c:v>
                </c:pt>
              </c:strCache>
            </c:strRef>
          </c:cat>
          <c:val>
            <c:numRef>
              <c:f>SUMMARY!$I$4:$I$5</c:f>
              <c:numCache>
                <c:formatCode>_(* #,##0_);_(* \(#,##0\);_(* "-"??_);_(@_)</c:formatCode>
                <c:ptCount val="2"/>
                <c:pt idx="0">
                  <c:v>8009000</c:v>
                </c:pt>
                <c:pt idx="1">
                  <c:v>6936230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84-4B4C-9E3D-3E60E04D896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266742352"/>
        <c:axId val="1266742832"/>
      </c:barChart>
      <c:catAx>
        <c:axId val="126674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742832"/>
        <c:crosses val="autoZero"/>
        <c:auto val="1"/>
        <c:lblAlgn val="ctr"/>
        <c:lblOffset val="100"/>
        <c:noMultiLvlLbl val="0"/>
      </c:catAx>
      <c:valAx>
        <c:axId val="1266742832"/>
        <c:scaling>
          <c:orientation val="minMax"/>
          <c:max val="8000000"/>
          <c:min val="1000000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1266742352"/>
        <c:crosses val="autoZero"/>
        <c:crossBetween val="between"/>
        <c:minorUnit val="10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PD Amount Ratio =</a:t>
            </a:r>
          </a:p>
        </c:rich>
      </c:tx>
      <c:layout>
        <c:manualLayout>
          <c:xMode val="edge"/>
          <c:yMode val="edge"/>
          <c:x val="1.757380584396432E-2"/>
          <c:y val="2.981030319190887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0990351618076794E-2"/>
          <c:y val="0.32152111462914668"/>
          <c:w val="0.8980192967638464"/>
          <c:h val="0.5012697408309193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964-46D3-92B9-C4E139D61B5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964-46D3-92B9-C4E139D61B59}"/>
              </c:ext>
            </c:extLst>
          </c:dPt>
          <c:cat>
            <c:strRef>
              <c:f>SUMMARY!$B$8:$B$9</c:f>
              <c:strCache>
                <c:ptCount val="2"/>
                <c:pt idx="0">
                  <c:v>Plan</c:v>
                </c:pt>
                <c:pt idx="1">
                  <c:v>Actual</c:v>
                </c:pt>
              </c:strCache>
            </c:strRef>
          </c:cat>
          <c:val>
            <c:numRef>
              <c:f>SUMMARY!$I$8:$I$9</c:f>
              <c:numCache>
                <c:formatCode>_(* #,##0_);_(* \(#,##0\);_(* "-"??_);_(@_)</c:formatCode>
                <c:ptCount val="2"/>
                <c:pt idx="0" formatCode="#,##0;[Red]#,##0">
                  <c:v>35039943.140000001</c:v>
                </c:pt>
                <c:pt idx="1">
                  <c:v>29499134.500660002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64-46D3-92B9-C4E139D61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6720752"/>
        <c:axId val="1266744272"/>
      </c:barChart>
      <c:catAx>
        <c:axId val="126672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6744272"/>
        <c:crosses val="autoZero"/>
        <c:auto val="1"/>
        <c:lblAlgn val="ctr"/>
        <c:lblOffset val="100"/>
        <c:noMultiLvlLbl val="0"/>
      </c:catAx>
      <c:valAx>
        <c:axId val="1266744272"/>
        <c:scaling>
          <c:orientation val="minMax"/>
          <c:max val="40000000"/>
          <c:min val="5000000"/>
        </c:scaling>
        <c:delete val="1"/>
        <c:axPos val="l"/>
        <c:numFmt formatCode="#,##0;[Red]#,##0" sourceLinked="1"/>
        <c:majorTickMark val="none"/>
        <c:minorTickMark val="none"/>
        <c:tickLblPos val="nextTo"/>
        <c:crossAx val="1266720752"/>
        <c:crosses val="autoZero"/>
        <c:crossBetween val="between"/>
        <c:minorUnit val="500000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75000"/>
                  </a:schemeClr>
                </a:solidFill>
              </a:rPr>
              <a:t>Production Output in Jun.'26 (Kpcs.)</a:t>
            </a:r>
          </a:p>
        </c:rich>
      </c:tx>
      <c:layout>
        <c:manualLayout>
          <c:xMode val="edge"/>
          <c:yMode val="edge"/>
          <c:x val="1.4398880042280829E-2"/>
          <c:y val="1.2387385739778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227455101839096E-2"/>
          <c:y val="0.25339080459770114"/>
          <c:w val="0.86854692949632162"/>
          <c:h val="0.4112982711793815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SUMMARY!$B$4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5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SUMMARY!$C$3:$E$3</c:f>
              <c:strCache>
                <c:ptCount val="3"/>
                <c:pt idx="0">
                  <c:v>Ramp</c:v>
                </c:pt>
                <c:pt idx="1">
                  <c:v>HDD (Air/Bobbin/Latch/ Filter case/TC/BR)</c:v>
                </c:pt>
                <c:pt idx="2">
                  <c:v>AUTO</c:v>
                </c:pt>
              </c:strCache>
            </c:strRef>
          </c:cat>
          <c:val>
            <c:numRef>
              <c:f>SUMMARY!$C$4:$E$4</c:f>
              <c:numCache>
                <c:formatCode>_(* #,##0_);_(* \(#,##0\);_(* "-"??_);_(@_)</c:formatCode>
                <c:ptCount val="3"/>
                <c:pt idx="0">
                  <c:v>3120000</c:v>
                </c:pt>
                <c:pt idx="1">
                  <c:v>4039000</c:v>
                </c:pt>
                <c:pt idx="2">
                  <c:v>850000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BF-468C-BB21-6BECE38B0D1D}"/>
            </c:ext>
          </c:extLst>
        </c:ser>
        <c:ser>
          <c:idx val="1"/>
          <c:order val="1"/>
          <c:tx>
            <c:strRef>
              <c:f>SUMMARY!$B$5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2607593200371973E-7"/>
                  <c:y val="9.691081033498125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6BF-468C-BB21-6BECE38B0D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accen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SUMMARY!$C$3:$E$3</c:f>
              <c:strCache>
                <c:ptCount val="3"/>
                <c:pt idx="0">
                  <c:v>Ramp</c:v>
                </c:pt>
                <c:pt idx="1">
                  <c:v>HDD (Air/Bobbin/Latch/ Filter case/TC/BR)</c:v>
                </c:pt>
                <c:pt idx="2">
                  <c:v>AUTO</c:v>
                </c:pt>
              </c:strCache>
            </c:strRef>
          </c:cat>
          <c:val>
            <c:numRef>
              <c:f>SUMMARY!$C$5:$E$5</c:f>
              <c:numCache>
                <c:formatCode>_(* #,##0_);_(* \(#,##0\);_(* "-"??_);_(@_)</c:formatCode>
                <c:ptCount val="3"/>
                <c:pt idx="0">
                  <c:v>2793222</c:v>
                </c:pt>
                <c:pt idx="1">
                  <c:v>3423884</c:v>
                </c:pt>
                <c:pt idx="2">
                  <c:v>719124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BF-468C-BB21-6BECE38B0D1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84369888"/>
        <c:axId val="2084379008"/>
      </c:barChart>
      <c:lineChart>
        <c:grouping val="standard"/>
        <c:varyColors val="0"/>
        <c:ser>
          <c:idx val="2"/>
          <c:order val="2"/>
          <c:tx>
            <c:strRef>
              <c:f>SUMMARY!$B$7</c:f>
              <c:strCache>
                <c:ptCount val="1"/>
                <c:pt idx="0">
                  <c:v>%Achievement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9125971036828292E-2"/>
                  <c:y val="-0.207442380367846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6BF-468C-BB21-6BECE38B0D1D}"/>
                </c:ext>
              </c:extLst>
            </c:dLbl>
            <c:dLbl>
              <c:idx val="1"/>
              <c:layout>
                <c:manualLayout>
                  <c:x val="-2.2328299709722773E-2"/>
                  <c:y val="-0.2755730019366263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6BF-468C-BB21-6BECE38B0D1D}"/>
                </c:ext>
              </c:extLst>
            </c:dLbl>
            <c:dLbl>
              <c:idx val="2"/>
              <c:layout>
                <c:manualLayout>
                  <c:x val="-1.912597103682841E-2"/>
                  <c:y val="-0.1578928374087344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6BF-468C-BB21-6BECE38B0D1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accent1">
                        <a:lumMod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SUMMARY!$C$7:$E$7</c:f>
              <c:numCache>
                <c:formatCode>0.00%</c:formatCode>
                <c:ptCount val="3"/>
                <c:pt idx="0">
                  <c:v>0.89526346153846159</c:v>
                </c:pt>
                <c:pt idx="1">
                  <c:v>0.84770586778905666</c:v>
                </c:pt>
                <c:pt idx="2">
                  <c:v>0.84602823529411764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BF-468C-BB21-6BECE38B0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4244384"/>
        <c:axId val="674243904"/>
      </c:lineChart>
      <c:catAx>
        <c:axId val="20843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79008"/>
        <c:crosses val="autoZero"/>
        <c:auto val="1"/>
        <c:lblAlgn val="ctr"/>
        <c:lblOffset val="100"/>
        <c:noMultiLvlLbl val="0"/>
      </c:catAx>
      <c:valAx>
        <c:axId val="2084379008"/>
        <c:scaling>
          <c:orientation val="minMax"/>
        </c:scaling>
        <c:delete val="1"/>
        <c:axPos val="l"/>
        <c:numFmt formatCode="_(* #,##0_);_(* \(#,##0\);_(* &quot;-&quot;??_);_(@_)" sourceLinked="1"/>
        <c:majorTickMark val="none"/>
        <c:minorTickMark val="none"/>
        <c:tickLblPos val="nextTo"/>
        <c:crossAx val="2084369888"/>
        <c:crosses val="autoZero"/>
        <c:crossBetween val="between"/>
        <c:dispUnits>
          <c:builtInUnit val="thousands"/>
          <c:dispUnitsLbl>
            <c:layout>
              <c:manualLayout>
                <c:xMode val="edge"/>
                <c:yMode val="edge"/>
                <c:x val="6.4046573457889628E-3"/>
                <c:y val="0.11545977011494253"/>
              </c:manualLayout>
            </c:layout>
            <c:tx>
              <c:rich>
                <a:bodyPr rot="0" spcFirstLastPara="1" vertOverflow="ellipsis" wrap="square" anchor="ctr" anchorCtr="1"/>
                <a:lstStyle/>
                <a:p>
                  <a:pPr>
                    <a:defRPr sz="10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r>
                    <a:rPr lang="en-US"/>
                    <a:t>Kpcs.</a:t>
                  </a:r>
                </a:p>
              </c:rich>
            </c:tx>
            <c:spPr>
              <a:noFill/>
              <a:ln>
                <a:noFill/>
              </a:ln>
              <a:effectLst/>
            </c:spPr>
            <c:txPr>
              <a:bodyPr rot="0" spcFirstLastPara="1" vertOverflow="ellipsis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valAx>
        <c:axId val="674243904"/>
        <c:scaling>
          <c:orientation val="minMax"/>
          <c:max val="1"/>
        </c:scaling>
        <c:delete val="1"/>
        <c:axPos val="r"/>
        <c:numFmt formatCode="0.00%" sourceLinked="1"/>
        <c:majorTickMark val="out"/>
        <c:minorTickMark val="none"/>
        <c:tickLblPos val="nextTo"/>
        <c:crossAx val="674244384"/>
        <c:crosses val="max"/>
        <c:crossBetween val="between"/>
        <c:majorUnit val="0.5"/>
      </c:valAx>
      <c:catAx>
        <c:axId val="674244384"/>
        <c:scaling>
          <c:orientation val="minMax"/>
        </c:scaling>
        <c:delete val="1"/>
        <c:axPos val="b"/>
        <c:majorTickMark val="out"/>
        <c:minorTickMark val="none"/>
        <c:tickLblPos val="nextTo"/>
        <c:crossAx val="674243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7971826567930721"/>
          <c:y val="5.3138470977184299E-2"/>
          <c:w val="0.14537235770061707"/>
          <c:h val="0.1974246917662412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accen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accent1">
                    <a:lumMod val="75000"/>
                  </a:schemeClr>
                </a:solidFill>
              </a:rPr>
              <a:t>Production Amount in Jun.'26 (KTHB)</a:t>
            </a:r>
          </a:p>
        </c:rich>
      </c:tx>
      <c:layout>
        <c:manualLayout>
          <c:xMode val="edge"/>
          <c:yMode val="edge"/>
          <c:x val="1.2237182112145042E-2"/>
          <c:y val="2.29525365941598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accen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4.0586868334365478E-2"/>
          <c:y val="0.25315991545675481"/>
          <c:w val="0.92418751626379536"/>
          <c:h val="0.4480475261355169"/>
        </c:manualLayout>
      </c:layout>
      <c:barChart>
        <c:barDir val="col"/>
        <c:grouping val="clustered"/>
        <c:varyColors val="0"/>
        <c:ser>
          <c:idx val="4"/>
          <c:order val="4"/>
          <c:tx>
            <c:strRef>
              <c:f>SUMMARY!$B$8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SUMMARY!$C$3:$E$3</c:f>
              <c:strCache>
                <c:ptCount val="3"/>
                <c:pt idx="0">
                  <c:v>Ramp</c:v>
                </c:pt>
                <c:pt idx="1">
                  <c:v>HDD (Air/Bobbin/Latch/ Filter case/TC/BR)</c:v>
                </c:pt>
                <c:pt idx="2">
                  <c:v>AUTO</c:v>
                </c:pt>
              </c:strCache>
            </c:strRef>
          </c:cat>
          <c:val>
            <c:numRef>
              <c:f>SUMMARY!$C$8:$E$8</c:f>
              <c:numCache>
                <c:formatCode>#,##0;[Red]#,##0</c:formatCode>
                <c:ptCount val="3"/>
                <c:pt idx="0">
                  <c:v>16104081</c:v>
                </c:pt>
                <c:pt idx="1">
                  <c:v>16162855.140000002</c:v>
                </c:pt>
                <c:pt idx="2">
                  <c:v>2773007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A4-448A-9AE0-4B647482A714}"/>
            </c:ext>
          </c:extLst>
        </c:ser>
        <c:ser>
          <c:idx val="5"/>
          <c:order val="5"/>
          <c:tx>
            <c:strRef>
              <c:f>SUMMARY!$B$9</c:f>
              <c:strCache>
                <c:ptCount val="1"/>
                <c:pt idx="0">
                  <c:v>Actual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-1.2607593200371973E-7"/>
                  <c:y val="7.8574484821731433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AA4-448A-9AE0-4B647482A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SUMMARY!$C$3:$E$3</c:f>
              <c:strCache>
                <c:ptCount val="3"/>
                <c:pt idx="0">
                  <c:v>Ramp</c:v>
                </c:pt>
                <c:pt idx="1">
                  <c:v>HDD (Air/Bobbin/Latch/ Filter case/TC/BR)</c:v>
                </c:pt>
                <c:pt idx="2">
                  <c:v>AUTO</c:v>
                </c:pt>
              </c:strCache>
            </c:strRef>
          </c:cat>
          <c:val>
            <c:numRef>
              <c:f>SUMMARY!$C$9:$E$9</c:f>
              <c:numCache>
                <c:formatCode>_(* #,##0_);_(* \(#,##0\);_(* "-"??_);_(@_)</c:formatCode>
                <c:ptCount val="3"/>
                <c:pt idx="0">
                  <c:v>13371258.582500001</c:v>
                </c:pt>
                <c:pt idx="1">
                  <c:v>14120181.1328</c:v>
                </c:pt>
                <c:pt idx="2">
                  <c:v>2007694.7853600001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A4-448A-9AE0-4B647482A7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2084369888"/>
        <c:axId val="2084379008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SUMMARY!$B$4</c15:sqref>
                        </c15:formulaRef>
                      </c:ext>
                    </c:extLst>
                    <c:strCache>
                      <c:ptCount val="1"/>
                      <c:pt idx="0">
                        <c:v>Plan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SUMMARY!$C$3:$E$3</c15:sqref>
                        </c15:formulaRef>
                      </c:ext>
                    </c:extLst>
                    <c:strCache>
                      <c:ptCount val="3"/>
                      <c:pt idx="0">
                        <c:v>Ramp</c:v>
                      </c:pt>
                      <c:pt idx="1">
                        <c:v>HDD (Air/Bobbin/Latch/ Filter case/TC/BR)</c:v>
                      </c:pt>
                      <c:pt idx="2">
                        <c:v>AUTO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SUMMARY!$C$4:$E$4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3"/>
                      <c:pt idx="0">
                        <c:v>3120000</c:v>
                      </c:pt>
                      <c:pt idx="1">
                        <c:v>4039000</c:v>
                      </c:pt>
                      <c:pt idx="2">
                        <c:v>850000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AA4-448A-9AE0-4B647482A71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SUMMARY!$B$5</c15:sqref>
                        </c15:formulaRef>
                      </c:ext>
                    </c:extLst>
                    <c:strCache>
                      <c:ptCount val="1"/>
                      <c:pt idx="0">
                        <c:v>Actual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SUMMARY!$C$3:$E$3</c15:sqref>
                        </c15:formulaRef>
                      </c:ext>
                    </c:extLst>
                    <c:strCache>
                      <c:ptCount val="3"/>
                      <c:pt idx="0">
                        <c:v>Ramp</c:v>
                      </c:pt>
                      <c:pt idx="1">
                        <c:v>HDD (Air/Bobbin/Latch/ Filter case/TC/BR)</c:v>
                      </c:pt>
                      <c:pt idx="2">
                        <c:v>AUTO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SUMMARY!$C$5:$E$5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3"/>
                      <c:pt idx="0">
                        <c:v>2793222</c:v>
                      </c:pt>
                      <c:pt idx="1">
                        <c:v>3423884</c:v>
                      </c:pt>
                      <c:pt idx="2">
                        <c:v>719124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AA4-448A-9AE0-4B647482A71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SUMMARY!$B$6</c15:sqref>
                        </c15:formulaRef>
                      </c:ext>
                    </c:extLst>
                    <c:strCache>
                      <c:ptCount val="1"/>
                      <c:pt idx="0">
                        <c:v>Diff. (pcs.)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SUMMARY!$C$3:$E$3</c15:sqref>
                        </c15:formulaRef>
                      </c:ext>
                    </c:extLst>
                    <c:strCache>
                      <c:ptCount val="3"/>
                      <c:pt idx="0">
                        <c:v>Ramp</c:v>
                      </c:pt>
                      <c:pt idx="1">
                        <c:v>HDD (Air/Bobbin/Latch/ Filter case/TC/BR)</c:v>
                      </c:pt>
                      <c:pt idx="2">
                        <c:v>AUTO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SUMMARY!$C$6:$E$6</c15:sqref>
                        </c15:formulaRef>
                      </c:ext>
                    </c:extLst>
                    <c:numCache>
                      <c:formatCode>_(* #,##0_);_(* \(#,##0\);_(* "-"??_);_(@_)</c:formatCode>
                      <c:ptCount val="3"/>
                      <c:pt idx="0">
                        <c:v>-326778</c:v>
                      </c:pt>
                      <c:pt idx="1">
                        <c:v>-615116</c:v>
                      </c:pt>
                      <c:pt idx="2">
                        <c:v>-130876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AA4-448A-9AE0-4B647482A71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SUMMARY!$B$7</c15:sqref>
                        </c15:formulaRef>
                      </c:ext>
                    </c:extLst>
                    <c:strCache>
                      <c:ptCount val="1"/>
                      <c:pt idx="0">
                        <c:v>%Achievement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SUMMARY!$C$3:$E$3</c15:sqref>
                        </c15:formulaRef>
                      </c:ext>
                    </c:extLst>
                    <c:strCache>
                      <c:ptCount val="3"/>
                      <c:pt idx="0">
                        <c:v>Ramp</c:v>
                      </c:pt>
                      <c:pt idx="1">
                        <c:v>HDD (Air/Bobbin/Latch/ Filter case/TC/BR)</c:v>
                      </c:pt>
                      <c:pt idx="2">
                        <c:v>AUTO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SUMMARY!$C$7:$E$7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0.89526346153846159</c:v>
                      </c:pt>
                      <c:pt idx="1">
                        <c:v>0.84770586778905666</c:v>
                      </c:pt>
                      <c:pt idx="2">
                        <c:v>0.84602823529411764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AA4-448A-9AE0-4B647482A714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6"/>
          <c:order val="6"/>
          <c:tx>
            <c:strRef>
              <c:f>SUMMARY!$B$11</c:f>
              <c:strCache>
                <c:ptCount val="1"/>
                <c:pt idx="0">
                  <c:v>% Achievement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none"/>
          </c:marker>
          <c:dLbls>
            <c:dLbl>
              <c:idx val="0"/>
              <c:layout>
                <c:manualLayout>
                  <c:x val="-1.2809314691577926E-2"/>
                  <c:y val="-0.2180490976445186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AA4-448A-9AE0-4B647482A714}"/>
                </c:ext>
              </c:extLst>
            </c:dLbl>
            <c:dLbl>
              <c:idx val="1"/>
              <c:layout>
                <c:manualLayout>
                  <c:x val="-9.606986018683504E-3"/>
                  <c:y val="-0.3213355123182378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A4-448A-9AE0-4B647482A714}"/>
                </c:ext>
              </c:extLst>
            </c:dLbl>
            <c:dLbl>
              <c:idx val="2"/>
              <c:layout>
                <c:manualLayout>
                  <c:x val="-1.2809314691577926E-2"/>
                  <c:y val="-0.1549296220105789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7AA4-448A-9AE0-4B647482A7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rgbClr val="EE833A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SUMMARY!$C$11:$E$11</c:f>
              <c:numCache>
                <c:formatCode>0.00%</c:formatCode>
                <c:ptCount val="3"/>
                <c:pt idx="0">
                  <c:v>0.83030249180316473</c:v>
                </c:pt>
                <c:pt idx="1">
                  <c:v>0.87361923437989786</c:v>
                </c:pt>
                <c:pt idx="2">
                  <c:v>0.72401360161009332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AA4-448A-9AE0-4B647482A7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88804720"/>
        <c:axId val="788804240"/>
      </c:lineChart>
      <c:catAx>
        <c:axId val="2084369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379008"/>
        <c:crosses val="autoZero"/>
        <c:auto val="1"/>
        <c:lblAlgn val="ctr"/>
        <c:lblOffset val="100"/>
        <c:noMultiLvlLbl val="0"/>
      </c:catAx>
      <c:valAx>
        <c:axId val="2084379008"/>
        <c:scaling>
          <c:orientation val="minMax"/>
        </c:scaling>
        <c:delete val="1"/>
        <c:axPos val="l"/>
        <c:numFmt formatCode="#,##0;[Red]#,##0" sourceLinked="1"/>
        <c:majorTickMark val="none"/>
        <c:minorTickMark val="none"/>
        <c:tickLblPos val="nextTo"/>
        <c:crossAx val="2084369888"/>
        <c:crosses val="autoZero"/>
        <c:crossBetween val="between"/>
        <c:dispUnits>
          <c:builtInUnit val="thousands"/>
        </c:dispUnits>
      </c:valAx>
      <c:valAx>
        <c:axId val="788804240"/>
        <c:scaling>
          <c:orientation val="minMax"/>
        </c:scaling>
        <c:delete val="1"/>
        <c:axPos val="r"/>
        <c:numFmt formatCode="0.00%" sourceLinked="1"/>
        <c:majorTickMark val="out"/>
        <c:minorTickMark val="none"/>
        <c:tickLblPos val="nextTo"/>
        <c:crossAx val="788804720"/>
        <c:crosses val="max"/>
        <c:crossBetween val="between"/>
      </c:valAx>
      <c:catAx>
        <c:axId val="788804720"/>
        <c:scaling>
          <c:orientation val="minMax"/>
        </c:scaling>
        <c:delete val="1"/>
        <c:axPos val="b"/>
        <c:majorTickMark val="out"/>
        <c:minorTickMark val="none"/>
        <c:tickLblPos val="nextTo"/>
        <c:crossAx val="78880424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egendEntry>
        <c:idx val="2"/>
        <c:delete val="1"/>
      </c:legendEntry>
      <c:layout>
        <c:manualLayout>
          <c:xMode val="edge"/>
          <c:yMode val="edge"/>
          <c:x val="0.79077799944728311"/>
          <c:y val="4.2448186230014236E-2"/>
          <c:w val="0.16458632973798396"/>
          <c:h val="0.211594374459790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5" Type="http://schemas.microsoft.com/office/2007/relationships/hdphoto" Target="../media/hdphoto2.wdp"/><Relationship Id="rId4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114300</xdr:rowOff>
    </xdr:from>
    <xdr:to>
      <xdr:col>1</xdr:col>
      <xdr:colOff>2243658</xdr:colOff>
      <xdr:row>3</xdr:row>
      <xdr:rowOff>2572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AE22D9-EB70-412A-9209-24CADC396F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" y="114300"/>
          <a:ext cx="3341573" cy="66297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474520</xdr:colOff>
      <xdr:row>29</xdr:row>
      <xdr:rowOff>169718</xdr:rowOff>
    </xdr:from>
    <xdr:to>
      <xdr:col>3</xdr:col>
      <xdr:colOff>762000</xdr:colOff>
      <xdr:row>46</xdr:row>
      <xdr:rowOff>183573</xdr:rowOff>
    </xdr:to>
    <xdr:graphicFrame macro="">
      <xdr:nvGraphicFramePr>
        <xdr:cNvPr id="81" name="Chart 1">
          <a:extLst>
            <a:ext uri="{FF2B5EF4-FFF2-40B4-BE49-F238E27FC236}">
              <a16:creationId xmlns:a16="http://schemas.microsoft.com/office/drawing/2014/main" id="{E3F67D68-6A41-3A7C-C918-5C514B7B654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949037</xdr:colOff>
      <xdr:row>32</xdr:row>
      <xdr:rowOff>187037</xdr:rowOff>
    </xdr:from>
    <xdr:to>
      <xdr:col>2</xdr:col>
      <xdr:colOff>595746</xdr:colOff>
      <xdr:row>33</xdr:row>
      <xdr:rowOff>235527</xdr:rowOff>
    </xdr:to>
    <xdr:sp macro="" textlink="$I$15">
      <xdr:nvSpPr>
        <xdr:cNvPr id="5" name="TextBox 4">
          <a:extLst>
            <a:ext uri="{FF2B5EF4-FFF2-40B4-BE49-F238E27FC236}">
              <a16:creationId xmlns:a16="http://schemas.microsoft.com/office/drawing/2014/main" id="{C889DAF0-61B4-1932-7E6C-73285015ABB5}"/>
            </a:ext>
          </a:extLst>
        </xdr:cNvPr>
        <xdr:cNvSpPr txBox="1"/>
      </xdr:nvSpPr>
      <xdr:spPr>
        <a:xfrm>
          <a:off x="1558637" y="8950037"/>
          <a:ext cx="969818" cy="3532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BA519F2-EEC8-4E32-9DE7-82ADCE9D3616}" type="TxLink">
            <a:rPr lang="en-US" sz="1400" b="1" i="0" u="none" strike="noStrike" kern="1200">
              <a:solidFill>
                <a:schemeClr val="bg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6.9 Mpcs.</a:t>
          </a:fld>
          <a:endParaRPr lang="en-US" sz="2000" b="1" kern="12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921327</xdr:colOff>
      <xdr:row>33</xdr:row>
      <xdr:rowOff>214745</xdr:rowOff>
    </xdr:from>
    <xdr:to>
      <xdr:col>2</xdr:col>
      <xdr:colOff>574963</xdr:colOff>
      <xdr:row>34</xdr:row>
      <xdr:rowOff>228598</xdr:rowOff>
    </xdr:to>
    <xdr:sp macro="" textlink="$I$7">
      <xdr:nvSpPr>
        <xdr:cNvPr id="6" name="TextBox 5">
          <a:extLst>
            <a:ext uri="{FF2B5EF4-FFF2-40B4-BE49-F238E27FC236}">
              <a16:creationId xmlns:a16="http://schemas.microsoft.com/office/drawing/2014/main" id="{33B805FB-1525-B8B1-E8A2-2B71ADA1AB3B}"/>
            </a:ext>
          </a:extLst>
        </xdr:cNvPr>
        <xdr:cNvSpPr txBox="1"/>
      </xdr:nvSpPr>
      <xdr:spPr>
        <a:xfrm>
          <a:off x="1530927" y="9282545"/>
          <a:ext cx="976745" cy="31865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0E048A2D-8411-43E2-903C-3C60C6011B99}" type="TxLink">
            <a:rPr lang="en-US" sz="1600" b="1" i="0" u="none" strike="noStrike" kern="1200">
              <a:solidFill>
                <a:schemeClr val="accent5">
                  <a:lumMod val="75000"/>
                </a:schemeClr>
              </a:solidFill>
              <a:latin typeface="Times New Roman"/>
              <a:cs typeface="Times New Roman"/>
            </a:rPr>
            <a:pPr algn="ctr"/>
            <a:t>86.61%</a:t>
          </a:fld>
          <a:endParaRPr lang="en-US" sz="1400" kern="1200">
            <a:solidFill>
              <a:schemeClr val="accent5">
                <a:lumMod val="75000"/>
              </a:schemeClr>
            </a:solidFill>
          </a:endParaRPr>
        </a:p>
      </xdr:txBody>
    </xdr:sp>
    <xdr:clientData/>
  </xdr:twoCellAnchor>
  <xdr:twoCellAnchor>
    <xdr:from>
      <xdr:col>3</xdr:col>
      <xdr:colOff>904008</xdr:colOff>
      <xdr:row>29</xdr:row>
      <xdr:rowOff>162790</xdr:rowOff>
    </xdr:from>
    <xdr:to>
      <xdr:col>8</xdr:col>
      <xdr:colOff>831272</xdr:colOff>
      <xdr:row>46</xdr:row>
      <xdr:rowOff>176645</xdr:rowOff>
    </xdr:to>
    <xdr:graphicFrame macro="">
      <xdr:nvGraphicFramePr>
        <xdr:cNvPr id="79" name="Chart 6">
          <a:extLst>
            <a:ext uri="{FF2B5EF4-FFF2-40B4-BE49-F238E27FC236}">
              <a16:creationId xmlns:a16="http://schemas.microsoft.com/office/drawing/2014/main" id="{33CA03B4-6078-693E-5481-1E98E9A028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796634</xdr:colOff>
      <xdr:row>32</xdr:row>
      <xdr:rowOff>242454</xdr:rowOff>
    </xdr:from>
    <xdr:to>
      <xdr:col>5</xdr:col>
      <xdr:colOff>616525</xdr:colOff>
      <xdr:row>33</xdr:row>
      <xdr:rowOff>228600</xdr:rowOff>
    </xdr:to>
    <xdr:sp macro="" textlink="$I$19">
      <xdr:nvSpPr>
        <xdr:cNvPr id="8" name="TextBox 7">
          <a:extLst>
            <a:ext uri="{FF2B5EF4-FFF2-40B4-BE49-F238E27FC236}">
              <a16:creationId xmlns:a16="http://schemas.microsoft.com/office/drawing/2014/main" id="{B08F6DCF-C8C5-6E83-9234-9B8E21B65409}"/>
            </a:ext>
          </a:extLst>
        </xdr:cNvPr>
        <xdr:cNvSpPr txBox="1"/>
      </xdr:nvSpPr>
      <xdr:spPr>
        <a:xfrm>
          <a:off x="4918361" y="9005454"/>
          <a:ext cx="983673" cy="29094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BA28868-42EB-461F-9269-4D2BEB65A5CD}" type="TxLink">
            <a:rPr lang="en-US" sz="1400" b="1" i="0" u="none" strike="noStrike" kern="1200">
              <a:solidFill>
                <a:schemeClr val="bg2">
                  <a:lumMod val="50000"/>
                </a:schemeClr>
              </a:solidFill>
              <a:latin typeface="Calibri"/>
              <a:ea typeface="Calibri"/>
              <a:cs typeface="Calibri"/>
            </a:rPr>
            <a:pPr algn="ctr"/>
            <a:t>29.5 MB</a:t>
          </a:fld>
          <a:endParaRPr lang="en-US" sz="1800" b="1" kern="1200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4</xdr:col>
      <xdr:colOff>789708</xdr:colOff>
      <xdr:row>33</xdr:row>
      <xdr:rowOff>284018</xdr:rowOff>
    </xdr:from>
    <xdr:to>
      <xdr:col>5</xdr:col>
      <xdr:colOff>623454</xdr:colOff>
      <xdr:row>34</xdr:row>
      <xdr:rowOff>228599</xdr:rowOff>
    </xdr:to>
    <xdr:sp macro="" textlink="$I$22">
      <xdr:nvSpPr>
        <xdr:cNvPr id="9" name="TextBox 8">
          <a:extLst>
            <a:ext uri="{FF2B5EF4-FFF2-40B4-BE49-F238E27FC236}">
              <a16:creationId xmlns:a16="http://schemas.microsoft.com/office/drawing/2014/main" id="{5A79F3C7-2997-BE5D-120E-DA843C37A1D4}"/>
            </a:ext>
          </a:extLst>
        </xdr:cNvPr>
        <xdr:cNvSpPr txBox="1"/>
      </xdr:nvSpPr>
      <xdr:spPr>
        <a:xfrm>
          <a:off x="4911435" y="9351818"/>
          <a:ext cx="997528" cy="24938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7E52C21-3CD0-4093-9199-16FFCBA5C2D0}" type="TxLink">
            <a:rPr lang="en-US" sz="1600" b="1" i="0" u="none" strike="noStrike" kern="1200">
              <a:solidFill>
                <a:schemeClr val="accent5">
                  <a:lumMod val="75000"/>
                </a:schemeClr>
              </a:solidFill>
              <a:latin typeface="Times New Roman" panose="02020603050405020304" pitchFamily="18" charset="0"/>
              <a:ea typeface="Calibri"/>
              <a:cs typeface="Times New Roman" panose="02020603050405020304" pitchFamily="18" charset="0"/>
            </a:rPr>
            <a:pPr algn="ctr"/>
            <a:t>84.19%</a:t>
          </a:fld>
          <a:endParaRPr lang="en-US" sz="2400" b="1" kern="1200">
            <a:solidFill>
              <a:schemeClr val="accent5">
                <a:lumMod val="75000"/>
              </a:schemeClr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0</xdr:col>
      <xdr:colOff>599210</xdr:colOff>
      <xdr:row>23</xdr:row>
      <xdr:rowOff>62345</xdr:rowOff>
    </xdr:from>
    <xdr:to>
      <xdr:col>3</xdr:col>
      <xdr:colOff>561110</xdr:colOff>
      <xdr:row>28</xdr:row>
      <xdr:rowOff>214744</xdr:rowOff>
    </xdr:to>
    <xdr:graphicFrame macro="">
      <xdr:nvGraphicFramePr>
        <xdr:cNvPr id="16" name="Chart 2">
          <a:extLst>
            <a:ext uri="{FF2B5EF4-FFF2-40B4-BE49-F238E27FC236}">
              <a16:creationId xmlns:a16="http://schemas.microsoft.com/office/drawing/2014/main" id="{F682E13E-D46F-213F-1E7A-3D8AB5DD60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703119</xdr:colOff>
      <xdr:row>23</xdr:row>
      <xdr:rowOff>76201</xdr:rowOff>
    </xdr:from>
    <xdr:to>
      <xdr:col>8</xdr:col>
      <xdr:colOff>374073</xdr:colOff>
      <xdr:row>28</xdr:row>
      <xdr:rowOff>214745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DD787AE-2FD8-D499-94D8-7A025E2CE1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1168111</xdr:colOff>
      <xdr:row>24</xdr:row>
      <xdr:rowOff>180111</xdr:rowOff>
    </xdr:from>
    <xdr:to>
      <xdr:col>4</xdr:col>
      <xdr:colOff>699655</xdr:colOff>
      <xdr:row>25</xdr:row>
      <xdr:rowOff>96983</xdr:rowOff>
    </xdr:to>
    <xdr:sp macro="" textlink="$I$21">
      <xdr:nvSpPr>
        <xdr:cNvPr id="12" name="TextBox 11">
          <a:extLst>
            <a:ext uri="{FF2B5EF4-FFF2-40B4-BE49-F238E27FC236}">
              <a16:creationId xmlns:a16="http://schemas.microsoft.com/office/drawing/2014/main" id="{E495F224-761D-D81E-52A1-A2F0CA73C143}"/>
            </a:ext>
          </a:extLst>
        </xdr:cNvPr>
        <xdr:cNvSpPr txBox="1"/>
      </xdr:nvSpPr>
      <xdr:spPr>
        <a:xfrm>
          <a:off x="3999634" y="6380020"/>
          <a:ext cx="700521" cy="2199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BDFE15A-5DE0-4A8C-B525-0709CAC0C003}" type="TxLink">
            <a:rPr lang="en-US" sz="1200" b="1" i="0" u="none" strike="noStrike" kern="1200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pPr algn="ctr"/>
            <a:t>35 MB</a:t>
          </a:fld>
          <a:endParaRPr lang="en-US" sz="1800" b="1" kern="120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5</xdr:col>
      <xdr:colOff>13855</xdr:colOff>
      <xdr:row>24</xdr:row>
      <xdr:rowOff>193965</xdr:rowOff>
    </xdr:from>
    <xdr:to>
      <xdr:col>8</xdr:col>
      <xdr:colOff>86946</xdr:colOff>
      <xdr:row>25</xdr:row>
      <xdr:rowOff>187037</xdr:rowOff>
    </xdr:to>
    <xdr:sp macro="" textlink="$I$19">
      <xdr:nvSpPr>
        <xdr:cNvPr id="13" name="TextBox 12">
          <a:extLst>
            <a:ext uri="{FF2B5EF4-FFF2-40B4-BE49-F238E27FC236}">
              <a16:creationId xmlns:a16="http://schemas.microsoft.com/office/drawing/2014/main" id="{AF5B563C-C6C8-6B03-517E-F0418E0454F2}"/>
            </a:ext>
          </a:extLst>
        </xdr:cNvPr>
        <xdr:cNvSpPr txBox="1"/>
      </xdr:nvSpPr>
      <xdr:spPr>
        <a:xfrm>
          <a:off x="5299364" y="6518565"/>
          <a:ext cx="959782" cy="29787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26B67DB0-2502-41CD-9C7C-195D8868455F}" type="TxLink">
            <a:rPr lang="en-US" sz="1200" b="1" i="0" u="none" strike="noStrike" kern="1200">
              <a:solidFill>
                <a:schemeClr val="bg2">
                  <a:lumMod val="25000"/>
                </a:schemeClr>
              </a:solidFill>
              <a:latin typeface="Calibri"/>
              <a:ea typeface="Calibri"/>
              <a:cs typeface="Calibri"/>
            </a:rPr>
            <a:pPr algn="ctr"/>
            <a:t>29.5 MB</a:t>
          </a:fld>
          <a:endParaRPr lang="en-US" sz="1600" b="1" kern="1200">
            <a:solidFill>
              <a:schemeClr val="bg2">
                <a:lumMod val="25000"/>
              </a:schemeClr>
            </a:solidFill>
          </a:endParaRPr>
        </a:p>
      </xdr:txBody>
    </xdr:sp>
    <xdr:clientData/>
  </xdr:twoCellAnchor>
  <xdr:twoCellAnchor>
    <xdr:from>
      <xdr:col>2</xdr:col>
      <xdr:colOff>76198</xdr:colOff>
      <xdr:row>23</xdr:row>
      <xdr:rowOff>69272</xdr:rowOff>
    </xdr:from>
    <xdr:to>
      <xdr:col>3</xdr:col>
      <xdr:colOff>6925</xdr:colOff>
      <xdr:row>24</xdr:row>
      <xdr:rowOff>62345</xdr:rowOff>
    </xdr:to>
    <xdr:sp macro="" textlink="$I$7">
      <xdr:nvSpPr>
        <xdr:cNvPr id="14" name="TextBox 13">
          <a:extLst>
            <a:ext uri="{FF2B5EF4-FFF2-40B4-BE49-F238E27FC236}">
              <a16:creationId xmlns:a16="http://schemas.microsoft.com/office/drawing/2014/main" id="{5A7FE9E9-7152-FC4F-FF9E-C4FB85F7C507}"/>
            </a:ext>
          </a:extLst>
        </xdr:cNvPr>
        <xdr:cNvSpPr txBox="1"/>
      </xdr:nvSpPr>
      <xdr:spPr>
        <a:xfrm>
          <a:off x="2008907" y="6089072"/>
          <a:ext cx="782782" cy="2978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fld id="{9CA54554-99A4-494E-9548-7E289C3280D5}" type="TxLink">
            <a:rPr lang="en-US" sz="1400" b="1" i="0" u="none" strike="noStrike" kern="1200">
              <a:solidFill>
                <a:schemeClr val="accent1">
                  <a:lumMod val="75000"/>
                </a:schemeClr>
              </a:solidFill>
              <a:latin typeface="Calibri (Body)"/>
              <a:cs typeface="Times New Roman"/>
            </a:rPr>
            <a:pPr/>
            <a:t>86.61%</a:t>
          </a:fld>
          <a:endParaRPr lang="en-US" sz="1200" kern="1200">
            <a:solidFill>
              <a:schemeClr val="accent1">
                <a:lumMod val="75000"/>
              </a:schemeClr>
            </a:solidFill>
          </a:endParaRPr>
        </a:p>
      </xdr:txBody>
    </xdr:sp>
    <xdr:clientData/>
  </xdr:twoCellAnchor>
  <xdr:oneCellAnchor>
    <xdr:from>
      <xdr:col>4</xdr:col>
      <xdr:colOff>1004453</xdr:colOff>
      <xdr:row>23</xdr:row>
      <xdr:rowOff>96982</xdr:rowOff>
    </xdr:from>
    <xdr:ext cx="762002" cy="290945"/>
    <xdr:sp macro="" textlink="$I$11">
      <xdr:nvSpPr>
        <xdr:cNvPr id="15" name="TextBox 14">
          <a:extLst>
            <a:ext uri="{FF2B5EF4-FFF2-40B4-BE49-F238E27FC236}">
              <a16:creationId xmlns:a16="http://schemas.microsoft.com/office/drawing/2014/main" id="{88F133A9-A7EA-6E18-FDA8-48F1593C9303}"/>
            </a:ext>
          </a:extLst>
        </xdr:cNvPr>
        <xdr:cNvSpPr txBox="1"/>
      </xdr:nvSpPr>
      <xdr:spPr>
        <a:xfrm>
          <a:off x="4994562" y="6116782"/>
          <a:ext cx="762002" cy="29094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fld id="{30D8773D-F1E0-4C26-90FD-0982EA93030C}" type="TxLink">
            <a:rPr lang="en-US" sz="1400" b="1" i="0" u="none" strike="noStrike" kern="1200">
              <a:solidFill>
                <a:schemeClr val="accent1">
                  <a:lumMod val="75000"/>
                </a:schemeClr>
              </a:solidFill>
              <a:latin typeface="Calibri (Body)"/>
            </a:rPr>
            <a:pPr/>
            <a:t>84.19%</a:t>
          </a:fld>
          <a:endParaRPr lang="en-US" sz="1200" b="1" kern="1200">
            <a:solidFill>
              <a:schemeClr val="accent1">
                <a:lumMod val="75000"/>
              </a:schemeClr>
            </a:solidFill>
          </a:endParaRPr>
        </a:p>
      </xdr:txBody>
    </xdr:sp>
    <xdr:clientData/>
  </xdr:oneCellAnchor>
  <xdr:twoCellAnchor>
    <xdr:from>
      <xdr:col>11</xdr:col>
      <xdr:colOff>117764</xdr:colOff>
      <xdr:row>23</xdr:row>
      <xdr:rowOff>76199</xdr:rowOff>
    </xdr:from>
    <xdr:to>
      <xdr:col>16</xdr:col>
      <xdr:colOff>51956</xdr:colOff>
      <xdr:row>29</xdr:row>
      <xdr:rowOff>297872</xdr:rowOff>
    </xdr:to>
    <xdr:graphicFrame macro="">
      <xdr:nvGraphicFramePr>
        <xdr:cNvPr id="73" name="Chart 17">
          <a:extLst>
            <a:ext uri="{FF2B5EF4-FFF2-40B4-BE49-F238E27FC236}">
              <a16:creationId xmlns:a16="http://schemas.microsoft.com/office/drawing/2014/main" id="{7A17D6EE-3756-4F9F-988B-0DBF9A80CE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11</xdr:col>
      <xdr:colOff>124690</xdr:colOff>
      <xdr:row>30</xdr:row>
      <xdr:rowOff>103909</xdr:rowOff>
    </xdr:from>
    <xdr:to>
      <xdr:col>16</xdr:col>
      <xdr:colOff>58882</xdr:colOff>
      <xdr:row>45</xdr:row>
      <xdr:rowOff>142008</xdr:rowOff>
    </xdr:to>
    <xdr:graphicFrame macro="">
      <xdr:nvGraphicFramePr>
        <xdr:cNvPr id="72" name="Chart 18">
          <a:extLst>
            <a:ext uri="{FF2B5EF4-FFF2-40B4-BE49-F238E27FC236}">
              <a16:creationId xmlns:a16="http://schemas.microsoft.com/office/drawing/2014/main" id="{0F12DCA5-E556-414D-A6D3-6284138702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415636</xdr:colOff>
      <xdr:row>24</xdr:row>
      <xdr:rowOff>34637</xdr:rowOff>
    </xdr:from>
    <xdr:to>
      <xdr:col>1</xdr:col>
      <xdr:colOff>1212272</xdr:colOff>
      <xdr:row>25</xdr:row>
      <xdr:rowOff>13855</xdr:rowOff>
    </xdr:to>
    <xdr:sp macro="" textlink="$I$17">
      <xdr:nvSpPr>
        <xdr:cNvPr id="47" name="TextBox 3">
          <a:extLst>
            <a:ext uri="{FF2B5EF4-FFF2-40B4-BE49-F238E27FC236}">
              <a16:creationId xmlns:a16="http://schemas.microsoft.com/office/drawing/2014/main" id="{19392503-07BA-1823-29FD-E640D5491A1F}"/>
            </a:ext>
          </a:extLst>
        </xdr:cNvPr>
        <xdr:cNvSpPr txBox="1"/>
      </xdr:nvSpPr>
      <xdr:spPr>
        <a:xfrm>
          <a:off x="1025236" y="6359237"/>
          <a:ext cx="796636" cy="2840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E8085E1C-DBDD-404A-A767-ADB18DD48228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8 Mpcs.</a:t>
          </a:fld>
          <a:endParaRPr lang="en-US" sz="1600" b="1"/>
        </a:p>
      </xdr:txBody>
    </xdr:sp>
    <xdr:clientData/>
  </xdr:twoCellAnchor>
  <xdr:twoCellAnchor>
    <xdr:from>
      <xdr:col>2</xdr:col>
      <xdr:colOff>415636</xdr:colOff>
      <xdr:row>25</xdr:row>
      <xdr:rowOff>90056</xdr:rowOff>
    </xdr:from>
    <xdr:to>
      <xdr:col>3</xdr:col>
      <xdr:colOff>228599</xdr:colOff>
      <xdr:row>26</xdr:row>
      <xdr:rowOff>69274</xdr:rowOff>
    </xdr:to>
    <xdr:sp macro="" textlink="$I$15">
      <xdr:nvSpPr>
        <xdr:cNvPr id="54" name="TextBox 9">
          <a:extLst>
            <a:ext uri="{FF2B5EF4-FFF2-40B4-BE49-F238E27FC236}">
              <a16:creationId xmlns:a16="http://schemas.microsoft.com/office/drawing/2014/main" id="{7218121D-021D-49A4-B5E1-3F7711AB5F59}"/>
            </a:ext>
          </a:extLst>
        </xdr:cNvPr>
        <xdr:cNvSpPr txBox="1"/>
      </xdr:nvSpPr>
      <xdr:spPr>
        <a:xfrm>
          <a:off x="2348345" y="6719456"/>
          <a:ext cx="796636" cy="2840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C69B7D40-A9E8-4276-9599-1DA8627C2C69}" type="TxLink">
            <a:rPr lang="en-US" sz="11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</a:rPr>
            <a:pPr algn="ctr"/>
            <a:t>6.9 Mpcs.</a:t>
          </a:fld>
          <a:endParaRPr lang="en-US" sz="2400" b="1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0.46204</cdr:x>
      <cdr:y>0.49621</cdr:y>
    </cdr:from>
    <cdr:to>
      <cdr:x>0.59781</cdr:x>
      <cdr:y>0.6048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B78507F2-EC51-BD8D-755E-81475BDACA4B}"/>
            </a:ext>
          </a:extLst>
        </cdr:cNvPr>
        <cdr:cNvSpPr txBox="1"/>
      </cdr:nvSpPr>
      <cdr:spPr>
        <a:xfrm xmlns:a="http://schemas.openxmlformats.org/drawingml/2006/main">
          <a:off x="2192482" y="1361209"/>
          <a:ext cx="644236" cy="297873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endParaRPr lang="en-US" sz="1100" kern="1200"/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121920</xdr:rowOff>
    </xdr:from>
    <xdr:to>
      <xdr:col>1</xdr:col>
      <xdr:colOff>1278934</xdr:colOff>
      <xdr:row>3</xdr:row>
      <xdr:rowOff>114332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EA8245-80FA-4199-A6EB-3BD652DC2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21920"/>
          <a:ext cx="3341573" cy="66297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152400</xdr:colOff>
      <xdr:row>0</xdr:row>
      <xdr:rowOff>121920</xdr:rowOff>
    </xdr:from>
    <xdr:to>
      <xdr:col>1</xdr:col>
      <xdr:colOff>933653</xdr:colOff>
      <xdr:row>4</xdr:row>
      <xdr:rowOff>88900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F2DADE7-0BB9-4FF2-BE3A-FA9E128D4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21920"/>
          <a:ext cx="3346653" cy="77978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88900</xdr:rowOff>
    </xdr:from>
    <xdr:to>
      <xdr:col>1</xdr:col>
      <xdr:colOff>2020773</xdr:colOff>
      <xdr:row>4</xdr:row>
      <xdr:rowOff>2572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A78BFC-BF8F-48B0-8156-0501A47727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88900"/>
          <a:ext cx="3341573" cy="66297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55418</xdr:colOff>
      <xdr:row>0</xdr:row>
      <xdr:rowOff>110837</xdr:rowOff>
    </xdr:from>
    <xdr:to>
      <xdr:col>1</xdr:col>
      <xdr:colOff>2265248</xdr:colOff>
      <xdr:row>3</xdr:row>
      <xdr:rowOff>97361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B212B5-0C19-4217-9CB0-B2FBB4B017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18" y="110837"/>
          <a:ext cx="3341573" cy="66297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114300</xdr:rowOff>
    </xdr:from>
    <xdr:to>
      <xdr:col>1</xdr:col>
      <xdr:colOff>2363673</xdr:colOff>
      <xdr:row>3</xdr:row>
      <xdr:rowOff>2572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258089-EF03-44C1-93D6-0A1528B60F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114300"/>
          <a:ext cx="3341573" cy="662972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88900</xdr:rowOff>
    </xdr:from>
    <xdr:to>
      <xdr:col>1</xdr:col>
      <xdr:colOff>1703273</xdr:colOff>
      <xdr:row>2</xdr:row>
      <xdr:rowOff>116872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D35502-3534-4F91-87D6-7F68133C75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88900"/>
          <a:ext cx="3341573" cy="662972"/>
        </a:xfrm>
        <a:prstGeom prst="rect">
          <a:avLst/>
        </a:prstGeom>
      </xdr:spPr>
    </xdr:pic>
    <xdr:clientData/>
  </xdr:twoCellAnchor>
  <xdr:twoCellAnchor>
    <xdr:from>
      <xdr:col>1</xdr:col>
      <xdr:colOff>528618</xdr:colOff>
      <xdr:row>256</xdr:row>
      <xdr:rowOff>47170</xdr:rowOff>
    </xdr:from>
    <xdr:to>
      <xdr:col>1</xdr:col>
      <xdr:colOff>2463800</xdr:colOff>
      <xdr:row>260</xdr:row>
      <xdr:rowOff>216383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E95BF9-96C4-4EB9-86AA-48C4E1F2449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0" b="100000" l="0" r="100000"/>
                  </a14:imgEffect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205018" y="36953370"/>
          <a:ext cx="1935182" cy="1185213"/>
        </a:xfrm>
        <a:prstGeom prst="rect">
          <a:avLst/>
        </a:prstGeom>
      </xdr:spPr>
    </xdr:pic>
    <xdr:clientData/>
  </xdr:twoCellAnchor>
  <xdr:twoCellAnchor>
    <xdr:from>
      <xdr:col>1</xdr:col>
      <xdr:colOff>816008</xdr:colOff>
      <xdr:row>238</xdr:row>
      <xdr:rowOff>186615</xdr:rowOff>
    </xdr:from>
    <xdr:to>
      <xdr:col>1</xdr:col>
      <xdr:colOff>1979553</xdr:colOff>
      <xdr:row>243</xdr:row>
      <xdr:rowOff>235460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FC2E58A-61A5-4C27-9C5B-B733A2C30DE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0" b="100000" l="0" r="100000"/>
                  </a14:imgEffect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21449204">
          <a:off x="2492408" y="26932815"/>
          <a:ext cx="1163545" cy="1318845"/>
        </a:xfrm>
        <a:prstGeom prst="rect">
          <a:avLst/>
        </a:prstGeom>
      </xdr:spPr>
    </xdr:pic>
    <xdr:clientData/>
  </xdr:twoCellAnchor>
  <xdr:twoCellAnchor>
    <xdr:from>
      <xdr:col>1</xdr:col>
      <xdr:colOff>894588</xdr:colOff>
      <xdr:row>29</xdr:row>
      <xdr:rowOff>226967</xdr:rowOff>
    </xdr:from>
    <xdr:to>
      <xdr:col>1</xdr:col>
      <xdr:colOff>1977104</xdr:colOff>
      <xdr:row>34</xdr:row>
      <xdr:rowOff>183261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1E4E9D-FEE3-4AD3-B332-5C29FC2A18B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print">
          <a:extLst>
            <a:ext uri="{BEBA8EAE-BF5A-486C-A8C5-ECC9F3942E4B}">
              <a14:imgProps xmlns:a14="http://schemas.microsoft.com/office/drawing/2010/main">
                <a14:imgLayer r:embed="rId5">
                  <a14:imgEffect>
                    <a14:backgroundRemoval t="0" b="100000" l="0" r="100000"/>
                  </a14:imgEffect>
                  <a14:imgEffect>
                    <a14:brightnessContrast bright="20000" contrast="2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 rot="21449204">
          <a:off x="2570988" y="3909967"/>
          <a:ext cx="1082516" cy="122629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55418</xdr:colOff>
      <xdr:row>0</xdr:row>
      <xdr:rowOff>110837</xdr:rowOff>
    </xdr:from>
    <xdr:to>
      <xdr:col>1</xdr:col>
      <xdr:colOff>2274773</xdr:colOff>
      <xdr:row>3</xdr:row>
      <xdr:rowOff>108791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85E267-0D53-4E63-B952-85E571BFE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18" y="110837"/>
          <a:ext cx="3347115" cy="66089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55418</xdr:colOff>
      <xdr:row>0</xdr:row>
      <xdr:rowOff>110837</xdr:rowOff>
    </xdr:from>
    <xdr:to>
      <xdr:col>1</xdr:col>
      <xdr:colOff>2274773</xdr:colOff>
      <xdr:row>3</xdr:row>
      <xdr:rowOff>108791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05615F-47AA-43DC-A8E8-AC4D97EB6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18" y="110837"/>
          <a:ext cx="3347115" cy="66089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55418</xdr:colOff>
      <xdr:row>0</xdr:row>
      <xdr:rowOff>110837</xdr:rowOff>
    </xdr:from>
    <xdr:to>
      <xdr:col>1</xdr:col>
      <xdr:colOff>2274773</xdr:colOff>
      <xdr:row>3</xdr:row>
      <xdr:rowOff>108791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F3B5F9-DF84-4584-BFB4-C5E3FDE07C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418" y="110837"/>
          <a:ext cx="3347115" cy="66089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A06CA2-5FCC-44EF-8755-49215A2ADE30}" name="Table75" displayName="Table75" ref="A6:AV1196" totalsRowShown="0" headerRowDxfId="1067" dataDxfId="1066" dataCellStyle="Normal 2 3">
  <tableColumns count="48">
    <tableColumn id="1" xr3:uid="{CC2E30EC-ABDD-46CD-B905-5310E331C256}" name="M/C No." dataDxfId="1065" dataCellStyle="ปกติ_Daily prod 05"/>
    <tableColumn id="2" xr3:uid="{81C5DBD4-2CC5-4A1E-9427-46ABAC896E0A}" name="Part Name" dataDxfId="1064" dataCellStyle="ปกติ_Daily prod 05"/>
    <tableColumn id="3" xr3:uid="{4CA6099B-6DDC-4C3A-8211-42C2FFC1C31C}" name="Std. O/H (Shot)" dataDxfId="1063" dataCellStyle="ปกติ_Daily prod 05"/>
    <tableColumn id="4" xr3:uid="{389D88BA-CC9C-4453-B51E-953FD3E32791}" name="Date" dataDxfId="1062"/>
    <tableColumn id="5" xr3:uid="{E2A49D0A-34D0-4062-8660-C6DFF213FF65}" name="June'2026" dataDxfId="1061"/>
    <tableColumn id="6" xr3:uid="{A2840B90-A192-41DA-8EBA-AC323657CDA1}" name="Column1" dataDxfId="1060"/>
    <tableColumn id="7" xr3:uid="{4909ECBF-2E8F-4ED7-8BAB-D157E722F2AB}" name="Column2" dataDxfId="1059"/>
    <tableColumn id="8" xr3:uid="{18E24D6D-4093-481A-B189-5ABC3D10615A}" name="Column3" dataDxfId="1058"/>
    <tableColumn id="9" xr3:uid="{82683148-0895-47FB-8EBA-A6807284433E}" name="Column4" dataDxfId="1057"/>
    <tableColumn id="10" xr3:uid="{ECB32116-DC35-41BF-9829-BB9324A6BB6A}" name="Column5" dataDxfId="1056"/>
    <tableColumn id="11" xr3:uid="{7351D44A-30BF-4C90-BECD-83DF25196BBE}" name="Column6" dataDxfId="1055"/>
    <tableColumn id="12" xr3:uid="{28B85B63-814C-4A17-AD9D-5BCDD8578FDA}" name="Column7" dataDxfId="1054"/>
    <tableColumn id="13" xr3:uid="{F93DE860-472A-4995-8AC9-2508FAC0A7D5}" name="Column8" dataDxfId="1053"/>
    <tableColumn id="14" xr3:uid="{79BF57F9-4707-474D-A0F1-E173E0ABD463}" name="Column9" dataDxfId="1052"/>
    <tableColumn id="15" xr3:uid="{6E1F785B-0833-4088-8FAC-0E5FABC73AC8}" name="Column10" dataDxfId="1051"/>
    <tableColumn id="16" xr3:uid="{313A281E-AF25-4DDF-8BFC-10E87DCBBD5D}" name="Column11" dataDxfId="1050"/>
    <tableColumn id="17" xr3:uid="{E4662C61-0115-4561-AE5B-A4CA38A81A53}" name="Column12" dataDxfId="1049"/>
    <tableColumn id="18" xr3:uid="{4EC97DAA-E2CB-4133-9702-221759D24D71}" name="Column13" dataDxfId="1048"/>
    <tableColumn id="19" xr3:uid="{073AEB4A-A51A-4F19-9198-B73E04A90DC9}" name="Column14" dataDxfId="1047"/>
    <tableColumn id="20" xr3:uid="{C5D604F0-246C-4605-A6FC-D5BE85A7EDF5}" name="Column15" dataDxfId="1046"/>
    <tableColumn id="21" xr3:uid="{7EAE09B4-2324-46B8-8981-808679079323}" name="Column16" dataDxfId="1045"/>
    <tableColumn id="22" xr3:uid="{BB3BA790-1F47-42E6-8A9C-822186138E76}" name="Column17" dataDxfId="1044"/>
    <tableColumn id="23" xr3:uid="{3115D667-6E9D-4853-AAEB-85CF98E37172}" name="Column18" dataDxfId="1043"/>
    <tableColumn id="24" xr3:uid="{C1BF6F5F-A03E-4EB6-AFC3-E418DD648F01}" name="Column19" dataDxfId="1042"/>
    <tableColumn id="25" xr3:uid="{81D0AC58-5236-4E27-BD79-911DEB9FE286}" name="Column20" dataDxfId="1041"/>
    <tableColumn id="26" xr3:uid="{99F01251-E551-4DAD-BB4C-F4069D581FD0}" name="Column21" dataDxfId="1040"/>
    <tableColumn id="27" xr3:uid="{FE781905-5CBE-4A12-AD2D-CC7050924574}" name="Column22" dataDxfId="1039"/>
    <tableColumn id="28" xr3:uid="{39699908-B576-4F5D-922C-5DD19B42D0F0}" name="Column23" dataDxfId="1038"/>
    <tableColumn id="29" xr3:uid="{A3A6A2E2-9453-4E8C-B7FB-8BA71E5CF789}" name="Column24" dataDxfId="1037"/>
    <tableColumn id="47" xr3:uid="{3E7D0D34-1F28-4A4E-A6DA-E1617760A2D0}" name="Column242" dataDxfId="1036"/>
    <tableColumn id="46" xr3:uid="{09586E00-48DB-47A3-9836-7ED65D970585}" name="Column243" dataDxfId="1035"/>
    <tableColumn id="45" xr3:uid="{6FBE3C03-EC79-4326-8A56-8D55ACB2D6D1}" name="Column244" dataDxfId="1034"/>
    <tableColumn id="30" xr3:uid="{6C9738F5-A3AB-4389-88EB-82227B3DDBBB}" name="Column25" dataDxfId="1033"/>
    <tableColumn id="31" xr3:uid="{7D591894-3AC0-4192-AE8D-4A67D330D794}" name="Column26" dataDxfId="1032"/>
    <tableColumn id="32" xr3:uid="{2C2C19BF-99F9-4B07-B97D-07EEE05EE290}" name="Column27" dataDxfId="1031"/>
    <tableColumn id="33" xr3:uid="{9FA05DEB-AAED-455A-8AD9-BD5573869E79}" name="Total" dataDxfId="1030"/>
    <tableColumn id="42" xr3:uid="{0C2E998A-ABE8-433C-BC9F-AD3BA7B14888}" name="Total Act. (pcs.)" dataDxfId="1029">
      <calculatedColumnFormula>AJ9</calculatedColumnFormula>
    </tableColumn>
    <tableColumn id="34" xr3:uid="{2B5DB27E-20F6-45A2-9A30-B1C5C5246CAA}" name="Sale/Bahts." dataDxfId="1028"/>
    <tableColumn id="48" xr3:uid="{AFE66BE2-D9A0-49F1-9ACF-DBF3DC37A134}" name="Total Amount (THB)" dataDxfId="1027">
      <calculatedColumnFormula>AL9</calculatedColumnFormula>
    </tableColumn>
    <tableColumn id="35" xr3:uid="{8E306E3E-2D5B-460B-9A42-18957F2703B7}" name="Price/Pcs." dataDxfId="1026" dataCellStyle="Normal 2 3"/>
    <tableColumn id="43" xr3:uid="{CB2CED23-403C-4CB4-A7D6-F8DBEE71FCA6}" name="Material usage (Kg)" dataDxfId="1025" dataCellStyle="Normal 2 3"/>
    <tableColumn id="36" xr3:uid="{875BF1A4-BCEC-4051-BC15-8B5102EEEB7E}" name="Column28" dataDxfId="1024" dataCellStyle="Normal 2 3"/>
    <tableColumn id="37" xr3:uid="{21324923-F70A-4D91-88AB-19A85DD4E15E}" name="Column29" dataDxfId="1023" dataCellStyle="Normal 2 3"/>
    <tableColumn id="38" xr3:uid="{739EF190-DBD2-4A23-BDF8-9E456BDEB27B}" name="Column30" dataDxfId="1022" dataCellStyle="Normal 2 3"/>
    <tableColumn id="39" xr3:uid="{D17260DC-DF99-4C18-95BC-FD78B6277A38}" name="Column31" dataDxfId="1021" dataCellStyle="Normal 2 3"/>
    <tableColumn id="40" xr3:uid="{D78FACD3-452B-47F4-AA0B-2169B560459E}" name="Column32" dataDxfId="1020" dataCellStyle="Normal 2 3"/>
    <tableColumn id="41" xr3:uid="{638A275A-DD19-43F4-8F52-CD3669352011}" name="Column33" dataDxfId="1019" dataCellStyle="Normal 2 3"/>
    <tableColumn id="44" xr3:uid="{BC9AF147-B13C-4E84-9098-61AC8D2851F5}" name="Column35" dataDxfId="1018" dataCellStyle="Normal 2 3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53A351D-92F9-4C11-BA24-699ECF3CC71D}" name="Table5" displayName="Table5" ref="A7:AV105" totalsRowShown="0" dataDxfId="1017" dataCellStyle="Normal 2 3">
  <tableColumns count="48">
    <tableColumn id="1" xr3:uid="{76CBE0D1-85DC-4AE5-9CFE-9FCB26140CC1}" name="M/C No." dataDxfId="1016" dataCellStyle="Normal 2 3"/>
    <tableColumn id="2" xr3:uid="{A2BAE46F-15FB-48C6-BB24-2F93C77ED442}" name="Part Name" dataDxfId="1015" dataCellStyle="Normal 2 3"/>
    <tableColumn id="3" xr3:uid="{9AA7AE1F-CB01-497C-8B3E-20459107B167}" name="Std. O/H (Shot)" dataDxfId="1014" dataCellStyle="Normal 2 3"/>
    <tableColumn id="4" xr3:uid="{3BBA4BD2-3B4F-45E0-95B1-01965F4030A9}" name="Date"/>
    <tableColumn id="5" xr3:uid="{63932206-028B-4107-A050-E0DDCB099921}" name="June'2026" dataDxfId="1013" dataCellStyle="Normal 2 3"/>
    <tableColumn id="6" xr3:uid="{E4EFDF74-3856-40C6-8779-A4DD04E34B2D}" name="Column1" dataDxfId="1012" dataCellStyle="Normal 2 3"/>
    <tableColumn id="7" xr3:uid="{E68F727D-C82E-49C7-9BCA-50172501A3EB}" name="Column2" dataDxfId="1011" dataCellStyle="Normal 2 3"/>
    <tableColumn id="8" xr3:uid="{D1A8AA09-8D4E-4ED6-94E3-BFEF574C77F4}" name="Column3" dataDxfId="1010" dataCellStyle="Normal 2 3"/>
    <tableColumn id="9" xr3:uid="{FE9CA947-60BB-4DF0-8722-659A1E4948BC}" name="Column4" dataDxfId="1009" dataCellStyle="Normal 2 3"/>
    <tableColumn id="10" xr3:uid="{E87DF6D6-A481-46D3-83C8-263D5D17F698}" name="Column5" dataDxfId="1008" dataCellStyle="Normal 2 3"/>
    <tableColumn id="11" xr3:uid="{7FD1D344-4D16-4780-887A-80F8592182DD}" name="Column6" dataDxfId="1007" dataCellStyle="Normal 2 3"/>
    <tableColumn id="12" xr3:uid="{669B5949-6996-4118-9510-14E2643630C8}" name="Column7" dataDxfId="1006" dataCellStyle="Normal 2 3"/>
    <tableColumn id="13" xr3:uid="{EEB7A77B-0BDB-4DD9-87FE-A4D3F9126D09}" name="Column8" dataDxfId="1005" dataCellStyle="Normal 2 3"/>
    <tableColumn id="14" xr3:uid="{B04AADEB-E60C-4482-8884-0BFA4B08AC3C}" name="Column9" dataDxfId="1004" dataCellStyle="Normal 2 3"/>
    <tableColumn id="15" xr3:uid="{A3EFC5A9-9981-48E4-B681-FC828774F2BD}" name="Column10" dataDxfId="1003" dataCellStyle="Normal 2 3"/>
    <tableColumn id="16" xr3:uid="{F169FB64-F8C3-4444-9BBC-0276C13F4A65}" name="Column11" dataDxfId="1002" dataCellStyle="Normal 2 3"/>
    <tableColumn id="17" xr3:uid="{0C07055E-1C27-48EC-A396-A088D9C1DD68}" name="Column12" dataDxfId="1001" dataCellStyle="Normal 2 3"/>
    <tableColumn id="18" xr3:uid="{8699C1B1-4E43-4772-BD30-3F5EA76952D1}" name="Column13" dataDxfId="1000" dataCellStyle="Normal 2 3"/>
    <tableColumn id="19" xr3:uid="{2B383C93-6BDE-4335-911F-BA8451070F41}" name="Column14" dataDxfId="999" dataCellStyle="Normal 2 3"/>
    <tableColumn id="20" xr3:uid="{34C15E51-4B90-447C-BEC2-56853D047E6F}" name="Column15" dataDxfId="998" dataCellStyle="Normal 2 3"/>
    <tableColumn id="21" xr3:uid="{0169A67A-902E-46E1-B558-2EDE92575152}" name="Column16" dataDxfId="997" dataCellStyle="Normal 2 3"/>
    <tableColumn id="22" xr3:uid="{54DC152A-2545-415D-8438-E7E72F576BA7}" name="Column17" dataDxfId="996" dataCellStyle="Normal 2 3"/>
    <tableColumn id="23" xr3:uid="{22B1C1FF-2E72-437A-B3C8-F47B98DD1455}" name="Column18" dataDxfId="995" dataCellStyle="Normal 2 3"/>
    <tableColumn id="24" xr3:uid="{FB5611BD-F942-4716-AA86-C983B976E66D}" name="Column19" dataDxfId="994" dataCellStyle="Normal 2 3"/>
    <tableColumn id="25" xr3:uid="{BAE4609D-F977-4AA3-A73B-74D4E3176936}" name="Column20" dataDxfId="993" dataCellStyle="Normal 2 3"/>
    <tableColumn id="26" xr3:uid="{A65A9118-0985-4595-B021-F68309E7193F}" name="Column21" dataDxfId="992" dataCellStyle="Normal 2 3"/>
    <tableColumn id="27" xr3:uid="{B0FD6134-D6C3-42A0-A351-E56130ABC80B}" name="Column22" dataDxfId="991" dataCellStyle="Normal 2 3"/>
    <tableColumn id="28" xr3:uid="{712356C3-EA8D-47E7-A4F9-DABA6074D5DA}" name="Column23" dataDxfId="990" dataCellStyle="Normal 2 3"/>
    <tableColumn id="29" xr3:uid="{7B1C9615-F352-4678-85DB-663848487761}" name="Column24" dataDxfId="989" dataCellStyle="Normal 2 3"/>
    <tableColumn id="30" xr3:uid="{889CBAA8-5978-4006-80C6-2215C00804A2}" name="Column25" dataDxfId="988" dataCellStyle="Normal 2 3"/>
    <tableColumn id="46" xr3:uid="{313B44A7-217F-4F9A-BC3D-A7434550D354}" name="Column26" dataDxfId="987" dataCellStyle="Normal 2 3"/>
    <tableColumn id="45" xr3:uid="{E2EA597A-A8BE-4451-97B6-BA87E7771968}" name="Column262" dataDxfId="986" dataCellStyle="Normal 2 3"/>
    <tableColumn id="44" xr3:uid="{F36FC794-9D7E-4507-AC5A-98404DFB1126}" name="Column263" dataDxfId="985" dataCellStyle="Normal 2 3"/>
    <tableColumn id="31" xr3:uid="{03F3CFCF-F1C8-4FFC-BA8C-5B109A437FB4}" name="Column264" dataDxfId="984" dataCellStyle="Normal 2 3"/>
    <tableColumn id="32" xr3:uid="{548C0D2D-AF19-4B96-8109-AB6CB1459211}" name="Column27" dataDxfId="983" dataCellStyle="Normal 2 3"/>
    <tableColumn id="33" xr3:uid="{9B7A2229-60F4-4662-9DD7-5931628A84E6}" name="Total" dataDxfId="982" dataCellStyle="Normal 2 3"/>
    <tableColumn id="49" xr3:uid="{FC5D6949-8C3B-4885-84F1-CB07371447D7}" name="Total Act. (pcs.)" dataDxfId="981" dataCellStyle="Normal 2 3">
      <calculatedColumnFormula>AJ10</calculatedColumnFormula>
    </tableColumn>
    <tableColumn id="34" xr3:uid="{1780F780-43CC-4725-9299-A939878E7FD1}" name="Sale/Bahts." dataDxfId="980" dataCellStyle="Normal 2 3"/>
    <tableColumn id="50" xr3:uid="{435E089A-D305-42BE-AD6C-E7C851AA8E05}" name="Total Amount (THB)" dataDxfId="979" dataCellStyle="Normal 2 3">
      <calculatedColumnFormula>AL10</calculatedColumnFormula>
    </tableColumn>
    <tableColumn id="35" xr3:uid="{CE74A934-D6C6-4F84-9B19-03DFABC607A1}" name="Price/Pcs." dataDxfId="978" dataCellStyle="Normal 2 3"/>
    <tableColumn id="47" xr3:uid="{DBD2562E-E30F-4E68-9467-A8AAD8C2D123}" name="Material usage (Kg)" dataDxfId="977" dataCellStyle="Normal 2 3">
      <calculatedColumnFormula>Table5[[#This Row],[Total]]*B12/1000</calculatedColumnFormula>
    </tableColumn>
    <tableColumn id="36" xr3:uid="{B31F19D6-AE3B-4EBF-9A09-CC15BCD3420E}" name="Column28" dataDxfId="976" dataCellStyle="Normal 2 3"/>
    <tableColumn id="37" xr3:uid="{FDCA4B37-5734-474B-B1C4-1FF8BB3768D3}" name="Column29" dataDxfId="975" dataCellStyle="Normal 2 3"/>
    <tableColumn id="38" xr3:uid="{A976B984-B39D-4A8B-A485-F0E0ACD428CD}" name="Column30" dataDxfId="974" dataCellStyle="Normal 2 3"/>
    <tableColumn id="39" xr3:uid="{474E4583-C05E-4C0C-91DB-B29A06D15FE0}" name="Column31" dataDxfId="973" dataCellStyle="Normal 2 3"/>
    <tableColumn id="40" xr3:uid="{34EB5E17-E46C-4192-A32E-ADE157A8BFCF}" name="Column32" dataDxfId="972" dataCellStyle="Normal 2 3"/>
    <tableColumn id="41" xr3:uid="{A8481F37-FBB7-4CA9-A169-7C19013A4375}" name="Column33" dataDxfId="971" dataCellStyle="Normal 2 3"/>
    <tableColumn id="43" xr3:uid="{E1349BCE-02EB-4ED5-AFED-2C8D068C2ADB}" name="Column35" dataDxfId="970" dataCellStyle="Normal 2 3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B1329D3-F214-4141-A838-798A3C7A2484}" name="Table511" displayName="Table511" ref="A7:AV251" totalsRowShown="0" dataDxfId="969" dataCellStyle="Normal 2 3">
  <tableColumns count="48">
    <tableColumn id="1" xr3:uid="{D98FE5CF-90B6-4C89-AA01-42CC6E960499}" name="M/C No." dataDxfId="968" dataCellStyle="Normal 2 3"/>
    <tableColumn id="2" xr3:uid="{8FA6A0A6-816A-4ED2-830C-35BD0E1391CB}" name="Part Name" dataDxfId="967" dataCellStyle="Normal 2 3"/>
    <tableColumn id="3" xr3:uid="{3D640D78-6FE8-4DC4-9C6A-BA6FFE47986F}" name="Std. O/H (Shot)" dataDxfId="966" dataCellStyle="Normal 2 3"/>
    <tableColumn id="4" xr3:uid="{0607C303-68A0-46FB-A601-21350E390B6C}" name="Date"/>
    <tableColumn id="5" xr3:uid="{E0837E3D-94B4-4BA8-8F4A-B771197DAE1C}" name=" June'2026" dataDxfId="965" dataCellStyle="Normal 2 3"/>
    <tableColumn id="6" xr3:uid="{ADF01E2A-3632-4931-95D5-FFDD594B7E31}" name="Column1" dataDxfId="964" dataCellStyle="Normal 2 3"/>
    <tableColumn id="7" xr3:uid="{19433EEF-CAD0-4D3E-82D0-4473C80FA302}" name="Column2" dataDxfId="963" dataCellStyle="Normal 2 3"/>
    <tableColumn id="8" xr3:uid="{43C5A4D2-088C-442E-8818-3202B4AE2175}" name="Column3" dataDxfId="962" dataCellStyle="Normal 2 3"/>
    <tableColumn id="9" xr3:uid="{85C582D5-CF99-4DDA-B3BE-00D261EF1553}" name="Column4" dataDxfId="961" dataCellStyle="Normal 2 3"/>
    <tableColumn id="10" xr3:uid="{3B966AE7-753A-498B-B3FF-8B93A7E73506}" name="Column5" dataDxfId="960" dataCellStyle="Normal 2 3"/>
    <tableColumn id="11" xr3:uid="{68B40821-71A6-4619-8B1F-AAB34426DD8B}" name="Column6" dataDxfId="959" dataCellStyle="Normal 2 3"/>
    <tableColumn id="12" xr3:uid="{45E3A7E7-1CBB-4EF6-AE47-38F9A7CE68F8}" name="Column7" dataDxfId="958" dataCellStyle="Normal 2 3"/>
    <tableColumn id="13" xr3:uid="{B2F2643D-AB58-4452-BB56-DEDE57E6E2CC}" name="Column8" dataDxfId="957" dataCellStyle="Normal 2 3"/>
    <tableColumn id="14" xr3:uid="{18B8661E-BE6C-424D-B6DF-1EFE36F3D829}" name="Column9" dataDxfId="956" dataCellStyle="Normal 2 3"/>
    <tableColumn id="15" xr3:uid="{3BE07DF1-46ED-42D4-B03B-E4AD8EAA8836}" name="Column10" dataDxfId="955" dataCellStyle="Normal 2 3"/>
    <tableColumn id="16" xr3:uid="{6D2365A3-41BB-45C1-9C6C-CB824A890551}" name="Column11" dataDxfId="954" dataCellStyle="Normal 2 3"/>
    <tableColumn id="17" xr3:uid="{74BBE576-9C4D-45B0-9C8E-6245E1EAE118}" name="Column12" dataDxfId="953" dataCellStyle="Normal 2 3"/>
    <tableColumn id="18" xr3:uid="{494A9F7A-7FF3-4E5B-943B-1B96920DA580}" name="Column13" dataDxfId="952" dataCellStyle="Normal 2 3"/>
    <tableColumn id="19" xr3:uid="{A60E1611-D971-4803-BBD0-57562BCEB0B0}" name="Column14" dataDxfId="951" dataCellStyle="Normal 2 3"/>
    <tableColumn id="20" xr3:uid="{1028E5F0-DB93-404C-8821-FB6B90C7A2D4}" name="Column15" dataDxfId="950" dataCellStyle="Normal 2 3"/>
    <tableColumn id="21" xr3:uid="{1BCF18A1-582B-427C-B72E-A3626BEA0453}" name="Column16" dataDxfId="949" dataCellStyle="Normal 2 3"/>
    <tableColumn id="22" xr3:uid="{06A5380B-E077-42D6-9CE2-73085E22EEEF}" name="Column17" dataDxfId="948" dataCellStyle="Normal 2 3"/>
    <tableColumn id="23" xr3:uid="{0CA712FD-73EA-42D2-8155-F8DFF77071C7}" name="Column18" dataDxfId="947" dataCellStyle="Normal 2 3"/>
    <tableColumn id="24" xr3:uid="{11DF0462-A60E-4839-B4CC-0CBE4DD4A0A2}" name="Column19" dataDxfId="946" dataCellStyle="Normal 2 3"/>
    <tableColumn id="25" xr3:uid="{9835AA0A-1B6D-41B8-84D7-FD296C787A5D}" name="Column20" dataDxfId="945" dataCellStyle="Normal 2 3"/>
    <tableColumn id="26" xr3:uid="{C4D045FE-E80B-4609-A0AB-BAD7219F9DF0}" name="Column21" dataDxfId="944" dataCellStyle="Normal 2 3"/>
    <tableColumn id="27" xr3:uid="{910A4985-6A54-4356-BE0A-3230220A507B}" name="Column22" dataDxfId="943" dataCellStyle="Normal 2 3"/>
    <tableColumn id="28" xr3:uid="{5CA647A3-D65D-4651-BBBC-124725291D04}" name="Column23" dataDxfId="942" dataCellStyle="Normal 2 3"/>
    <tableColumn id="29" xr3:uid="{4DC05364-04B3-4145-9C4A-28C723CD8D3E}" name="Column24" dataDxfId="941" dataCellStyle="Normal 2 3"/>
    <tableColumn id="30" xr3:uid="{8E3DBD7F-8D5B-46D4-AD37-9B9320BA5844}" name="Column25" dataDxfId="940" dataCellStyle="Normal 2 3"/>
    <tableColumn id="46" xr3:uid="{CCA48142-F1DA-4F22-AD06-964AB649CE9C}" name="Column26" dataDxfId="939" dataCellStyle="Normal 2 3"/>
    <tableColumn id="45" xr3:uid="{B360397B-28FB-4DFE-B035-3656F213F83A}" name="Column262" dataDxfId="938" dataCellStyle="Normal 2 3"/>
    <tableColumn id="44" xr3:uid="{3CFD07C4-4A82-41BC-B14C-55D057667042}" name="Column263" dataDxfId="937" dataCellStyle="Normal 2 3"/>
    <tableColumn id="31" xr3:uid="{DB740403-7AA9-486C-A3AE-4C80BEA2857D}" name="Column264" dataDxfId="936" dataCellStyle="Normal 2 3"/>
    <tableColumn id="32" xr3:uid="{CA352586-EDB4-41F1-9694-B3CC9DE30825}" name="Column27" dataDxfId="935" dataCellStyle="Normal 2 3"/>
    <tableColumn id="33" xr3:uid="{2B20E63D-25E5-48E6-AF16-8CAA41570848}" name="Total" dataDxfId="934" dataCellStyle="Normal 2 3"/>
    <tableColumn id="48" xr3:uid="{EE6995E3-3ADC-48D2-A418-7447D346E7B1}" name="Total Act. (pcs.)" dataDxfId="933" dataCellStyle="Normal 2 3">
      <calculatedColumnFormula>AJ10</calculatedColumnFormula>
    </tableColumn>
    <tableColumn id="34" xr3:uid="{27334262-25CA-4409-8429-BD5DCFD9C233}" name="Sale/Bahts." dataDxfId="932" dataCellStyle="Normal 2 3"/>
    <tableColumn id="49" xr3:uid="{D144AEDA-6FBD-4A63-8B8C-AFF87A828978}" name="Total Amount (THB)" dataDxfId="931" dataCellStyle="Normal 2 3">
      <calculatedColumnFormula>AL10</calculatedColumnFormula>
    </tableColumn>
    <tableColumn id="35" xr3:uid="{4DD5A45A-865F-4A9B-B7DD-40BC893C021B}" name="Price/Pcs." dataDxfId="930" dataCellStyle="Normal 2 3"/>
    <tableColumn id="47" xr3:uid="{EE8DDF82-C812-4B48-A03B-6962D01F98CF}" name="Material usage (Kg)" dataDxfId="929" dataCellStyle="Normal 2 3"/>
    <tableColumn id="36" xr3:uid="{247DF6F4-7492-442D-90AC-1D2B06EED5A0}" name="Column28" dataDxfId="928" dataCellStyle="Normal 2 3"/>
    <tableColumn id="37" xr3:uid="{08AC172B-798C-42AA-83AD-21066937FCE6}" name="Column29" dataDxfId="927" dataCellStyle="Normal 2 3"/>
    <tableColumn id="38" xr3:uid="{DD0FD7F9-2AE2-4C60-8295-230EE398D655}" name="Column30" dataDxfId="926" dataCellStyle="Normal 2 3"/>
    <tableColumn id="39" xr3:uid="{631EF3A7-FF76-4C02-9473-9EC4058A5B16}" name="Column31" dataDxfId="925" dataCellStyle="Normal 2 3"/>
    <tableColumn id="40" xr3:uid="{65A2D81E-2BE3-4A90-BA0B-E56342632147}" name="Column32" dataDxfId="924" dataCellStyle="Normal 2 3"/>
    <tableColumn id="41" xr3:uid="{276FC345-E58C-4CF5-86BB-0E7E9067FA30}" name="Column33" dataDxfId="923" dataCellStyle="Normal 2 3"/>
    <tableColumn id="43" xr3:uid="{BB07FDCB-C9D0-4611-8C72-0B3000816696}" name="Column35" dataDxfId="922" dataCellStyle="Normal 2 3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FA1883D-5C43-49C1-BF53-878A9A3B963F}" name="Table1" displayName="Table1" ref="A7:AV182" totalsRowShown="0" headerRowDxfId="921" dataDxfId="920" headerRowCellStyle="Normal 2 3">
  <tableColumns count="48">
    <tableColumn id="1" xr3:uid="{009107EA-E1C8-4DC5-B11D-B4BC57253B0D}" name="M/C No." dataDxfId="919" dataCellStyle="ปกติ_Daily prod 05"/>
    <tableColumn id="2" xr3:uid="{E566C3FE-C04B-4F3B-816D-E0DF341EACF3}" name="Part name" dataDxfId="918" dataCellStyle="ปกติ_Daily prod 05"/>
    <tableColumn id="3" xr3:uid="{44B69458-4661-4CA4-92A5-B1B3F599DFAD}" name="Std. O/H (Shot)" dataDxfId="917" dataCellStyle="ปกติ_Daily prod 05"/>
    <tableColumn id="4" xr3:uid="{39D75281-E576-4074-AC7B-CE7D1C9BEC02}" name="Date" dataDxfId="916"/>
    <tableColumn id="5" xr3:uid="{E4F1CC13-17A0-45C9-8092-073533F622E8}" name="June'2026" dataDxfId="915"/>
    <tableColumn id="6" xr3:uid="{441AF10C-8217-41D8-B150-74917ECB233C}" name="Column1" dataDxfId="914"/>
    <tableColumn id="7" xr3:uid="{2A81AA61-3976-4FB5-8BBA-775F3A8FA314}" name="Column2" dataDxfId="913"/>
    <tableColumn id="8" xr3:uid="{441D88C3-8981-4E59-BD94-8585E5027AC1}" name="Column3" dataDxfId="912"/>
    <tableColumn id="9" xr3:uid="{04CC9631-4047-49A6-B4D6-0A3888DC5A24}" name="Column4" dataDxfId="911"/>
    <tableColumn id="10" xr3:uid="{CB871BC6-7997-4C76-B281-4178E9D89624}" name="Column5" dataDxfId="910"/>
    <tableColumn id="11" xr3:uid="{624854CC-78C4-4B5E-AF8B-7C55F386801E}" name="Column6" dataDxfId="909"/>
    <tableColumn id="12" xr3:uid="{C4FE24EF-25ED-42EB-AF32-AD429D686377}" name="Column7" dataDxfId="908"/>
    <tableColumn id="13" xr3:uid="{BBCC44D6-02E6-4691-A97B-83345D374D1B}" name="Column8" dataDxfId="907"/>
    <tableColumn id="14" xr3:uid="{3D99C722-382C-4215-BD70-939508EB7714}" name="Column9" dataDxfId="906"/>
    <tableColumn id="15" xr3:uid="{B713248F-FBF1-463B-9461-4D92A487280C}" name="Column10" dataDxfId="905"/>
    <tableColumn id="16" xr3:uid="{B7D4B207-E96E-4EB4-A40D-EB792060C80D}" name="Column11" dataDxfId="904"/>
    <tableColumn id="17" xr3:uid="{9C47CFE2-DB78-4A16-8227-ED4BB2077A68}" name="Column12" dataDxfId="903"/>
    <tableColumn id="18" xr3:uid="{B11899EF-FD57-4FA2-B0E3-0D7032C88F38}" name="Column13" dataDxfId="902"/>
    <tableColumn id="19" xr3:uid="{E5F47DB9-3AAE-40A7-80CB-8ADD79520202}" name="Column14" dataDxfId="901"/>
    <tableColumn id="20" xr3:uid="{2E3AEC8C-FE4F-43AB-BBB1-855B65B893B1}" name="Column15" dataDxfId="900"/>
    <tableColumn id="21" xr3:uid="{99A61099-15E5-4E74-AF5D-1E92B67E8CE5}" name="Column16" dataDxfId="899"/>
    <tableColumn id="22" xr3:uid="{9642F42A-6E04-42D0-9EAC-C530C00EF8F1}" name="Column17" dataDxfId="898"/>
    <tableColumn id="23" xr3:uid="{D9D34363-1469-4957-947B-A2C801694079}" name="Column18" dataDxfId="897"/>
    <tableColumn id="24" xr3:uid="{E072154F-1EFA-420F-8AC5-D8B7EF2BF6F4}" name="Column19" dataDxfId="896"/>
    <tableColumn id="25" xr3:uid="{DD2088C8-C7F3-4551-B072-E9C14CAC6F29}" name="Column20" dataDxfId="895"/>
    <tableColumn id="26" xr3:uid="{69E82CF0-AFA9-4215-87CC-78751F32013C}" name="Column21" dataDxfId="894"/>
    <tableColumn id="27" xr3:uid="{936951F9-A98F-49E5-A2A2-7FCAF79BE0D9}" name="Column22" dataDxfId="893"/>
    <tableColumn id="28" xr3:uid="{2187C67C-B8C4-4EDA-A52E-8E2ADC2F0514}" name="Column23" dataDxfId="892"/>
    <tableColumn id="29" xr3:uid="{C4265694-BBFD-4A62-89D6-816D715A4523}" name="Column24" dataDxfId="891"/>
    <tableColumn id="45" xr3:uid="{FF69E6E8-FD0C-4E0C-9231-BD068D123461}" name="Column25" dataDxfId="890"/>
    <tableColumn id="44" xr3:uid="{215F0150-71BC-4901-98F3-B04888936CF4}" name="Column26" dataDxfId="889"/>
    <tableColumn id="43" xr3:uid="{149DCA48-F14F-4C68-996D-BD950A499237}" name="Column27" dataDxfId="888"/>
    <tableColumn id="30" xr3:uid="{A9D9BE6D-E7BD-41A1-874D-1C2B34F13B11}" name="Column252" dataDxfId="887"/>
    <tableColumn id="31" xr3:uid="{11C5F21A-2743-43E8-ABD4-5FD676B72605}" name="Column263" dataDxfId="886"/>
    <tableColumn id="32" xr3:uid="{2664DC01-0BEE-4DBC-8687-A8D25B7D0A9F}" name="Column274" dataDxfId="885"/>
    <tableColumn id="33" xr3:uid="{CAEE429B-D48E-4E38-B99A-06123DDE9F3A}" name="Total" dataDxfId="884"/>
    <tableColumn id="48" xr3:uid="{40811073-E539-45D2-BB2D-F2311CEEC532}" name="Total Act. (pcs.)" dataDxfId="883"/>
    <tableColumn id="34" xr3:uid="{8E18163C-1419-4BFF-9063-2EF227AC0A8D}" name="Sale/Bahts." dataDxfId="882"/>
    <tableColumn id="49" xr3:uid="{3EB7E186-23C0-43CC-A004-C1334D8863E4}" name="Total Amount (THB)" dataDxfId="881"/>
    <tableColumn id="35" xr3:uid="{376CAA2F-A618-4AC3-B65F-06A48FECDDDC}" name="Price/Pcs." dataDxfId="880" dataCellStyle="Normal 2 3"/>
    <tableColumn id="47" xr3:uid="{48B1E394-0556-4732-89BF-A550D9067359}" name="Material usage (Kg)" dataDxfId="879" dataCellStyle="Normal 2 3"/>
    <tableColumn id="36" xr3:uid="{6ADE7A0F-F464-46ED-949D-1E2318B9EB55}" name="Column28" dataDxfId="878"/>
    <tableColumn id="37" xr3:uid="{0A035406-ED9B-4135-92B9-B8829B186437}" name="Column29" dataDxfId="877"/>
    <tableColumn id="38" xr3:uid="{1F919AE8-36AB-45C6-AE0C-5AFFB59D947A}" name="Column30" dataDxfId="876"/>
    <tableColumn id="39" xr3:uid="{998079FF-3C4C-47B6-834A-33C83747224E}" name="Column31" dataDxfId="875"/>
    <tableColumn id="40" xr3:uid="{B0B4FF1B-1BC8-4680-A2ED-221FEDA5BAFB}" name="Column32" dataDxfId="874"/>
    <tableColumn id="41" xr3:uid="{18AF4082-7858-4BEA-B76E-85286111BF55}" name="Column33" dataDxfId="873"/>
    <tableColumn id="46" xr3:uid="{0371EA69-4654-4B44-AB19-DE6B9AADDA4A}" name="Column35" dataDxfId="872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D6BE755-168B-44D5-BA3F-A8B0A24258E3}" name="Table2" displayName="Table2" ref="A7:BC588" totalsRowShown="0" headerRowDxfId="871" dataDxfId="870" tableBorderDxfId="869">
  <tableColumns count="55">
    <tableColumn id="1" xr3:uid="{49039238-64E8-4C57-B15D-4F814F9FEACD}" name="M/C No." dataDxfId="868" dataCellStyle="ปกติ_Daily prod 05"/>
    <tableColumn id="2" xr3:uid="{E8E218F7-8DFA-4C00-B193-6E541523B632}" name="Part name" dataDxfId="867" dataCellStyle="ปกติ_Daily prod 05"/>
    <tableColumn id="3" xr3:uid="{62E1E1AF-5466-4589-9042-754BF5D595FA}" name="Std. O/H (Shot)" dataDxfId="866" dataCellStyle="ปกติ_Daily prod 05"/>
    <tableColumn id="4" xr3:uid="{C7102285-1C3C-4BA9-B7B5-A74BD891F149}" name="Date" dataDxfId="865"/>
    <tableColumn id="5" xr3:uid="{4581C4B5-1BF4-4A6D-A6FB-0E6792500826}" name="June'2026" dataDxfId="864"/>
    <tableColumn id="6" xr3:uid="{BB48EE73-6481-42A8-8439-7E1669A9CDBF}" name="13-Mar" dataDxfId="863"/>
    <tableColumn id="7" xr3:uid="{A31AB09B-0935-4EDD-B000-BCBB07BC5CA4}" name="14-Mar" dataDxfId="862"/>
    <tableColumn id="8" xr3:uid="{84013479-9C36-4E13-BC1C-56EB0FC0C339}" name="15-Mar" dataDxfId="861"/>
    <tableColumn id="9" xr3:uid="{C0483048-7EA9-4DCE-BA12-06324C35CFBE}" name="16-Mar" dataDxfId="860"/>
    <tableColumn id="10" xr3:uid="{7626C991-DF8A-4647-951E-1CC3D7DFB43C}" name="17-Mar" dataDxfId="859"/>
    <tableColumn id="11" xr3:uid="{B42ADCE5-ACBA-4FA6-9D54-E045E7DD47E1}" name="18-Mar" dataDxfId="858"/>
    <tableColumn id="12" xr3:uid="{474B6E12-1830-4907-B272-3720CBEC2270}" name="19-Mar" dataDxfId="857"/>
    <tableColumn id="13" xr3:uid="{6A36A27F-4FAB-44C7-982C-20F1AA31D6FF}" name="20-Mar" dataDxfId="856"/>
    <tableColumn id="14" xr3:uid="{C7B100C0-3B2E-42CE-A3C2-81EA8AD63C97}" name="21-Mar" dataDxfId="855"/>
    <tableColumn id="15" xr3:uid="{BAE1302C-16E8-484E-B5A4-9CC6E1999713}" name="22-Mar" dataDxfId="854"/>
    <tableColumn id="16" xr3:uid="{6C6ACA98-4337-4B98-9058-B75D14613F43}" name="23-Mar" dataDxfId="853"/>
    <tableColumn id="17" xr3:uid="{82FB8431-9A33-47D7-8B60-A071383CC62D}" name="24-Mar" dataDxfId="852"/>
    <tableColumn id="18" xr3:uid="{E220DEA9-1CEB-49B0-A433-026DDAA6785F}" name="25-Mar" dataDxfId="851"/>
    <tableColumn id="19" xr3:uid="{2015D22A-9A81-4596-BA6C-56F65343EFD6}" name="26-Mar" dataDxfId="850"/>
    <tableColumn id="20" xr3:uid="{9544951E-1523-44C9-9717-D6F77CACF2BF}" name="27-Mar" dataDxfId="849"/>
    <tableColumn id="21" xr3:uid="{1DDD9A25-DDB8-4327-862B-46FF2392FBBA}" name="28-Mar" dataDxfId="848"/>
    <tableColumn id="22" xr3:uid="{82CE71BE-26CD-4EBD-B6E8-8F6EB3E20181}" name="29-Mar" dataDxfId="847"/>
    <tableColumn id="23" xr3:uid="{870D98CF-366D-49D4-9045-664B3E839BC5}" name="30-Mar" dataDxfId="846"/>
    <tableColumn id="24" xr3:uid="{88F3BE21-B86E-4A2E-802E-DEE8EDD2CB8D}" name="31-Mar" dataDxfId="845"/>
    <tableColumn id="25" xr3:uid="{9B7B031D-3D6E-45E4-B2A4-19AB3800F8DD}" name="Column20" dataDxfId="844"/>
    <tableColumn id="26" xr3:uid="{80F890FA-2C7F-44B8-8EE1-05BA2A27EC24}" name="Column21" dataDxfId="843"/>
    <tableColumn id="27" xr3:uid="{718A2E45-3B53-430F-B7CF-5538BEC18D84}" name="Column22" dataDxfId="842"/>
    <tableColumn id="28" xr3:uid="{B589C662-322F-4AD4-9DCA-1B5E24D0F687}" name="Column23" dataDxfId="841"/>
    <tableColumn id="29" xr3:uid="{3828D872-FBCB-46E4-BADB-A7F4305A6F4D}" name="Column24" dataDxfId="840"/>
    <tableColumn id="38" xr3:uid="{568A0B84-FDBE-4847-94EB-C161A70D9202}" name="Column222" dataDxfId="839"/>
    <tableColumn id="37" xr3:uid="{31D1E8C4-B30B-4D79-99AC-EDA1D6965F5A}" name="Column233" dataDxfId="838"/>
    <tableColumn id="36" xr3:uid="{12381E4B-0119-46EC-A2DA-0FB1A8C3B1EB}" name="Column244" dataDxfId="837"/>
    <tableColumn id="30" xr3:uid="{7AD6E220-216C-4569-B379-9C6EEC1B3CAA}" name="Column25" dataDxfId="836"/>
    <tableColumn id="31" xr3:uid="{99745209-986B-4C4F-9D5D-FA3A2D1746FB}" name="Column26" dataDxfId="835"/>
    <tableColumn id="32" xr3:uid="{3C9C79C9-26E1-4843-8930-85ED385F9AF3}" name="Column27" dataDxfId="834"/>
    <tableColumn id="33" xr3:uid="{C54346AE-16FD-4BAD-BBC9-863C5BCD6A26}" name="Total" dataDxfId="833"/>
    <tableColumn id="55" xr3:uid="{6F4D497C-7439-40A4-933F-32F3E06B6829}" name="Total Act. (pcs.)" dataDxfId="832"/>
    <tableColumn id="34" xr3:uid="{208AD2F8-CF9D-45B9-8160-1D6ECB5895EF}" name="Sale/Bahts." dataDxfId="831"/>
    <tableColumn id="56" xr3:uid="{84D855C2-8482-4F1E-A029-D820C4188BB5}" name="Total Amount (THB)"/>
    <tableColumn id="35" xr3:uid="{703C0BEE-9636-491C-9B1A-E6E2512D37A0}" name="Price/Pcs." dataDxfId="830" dataCellStyle="Normal 2 3"/>
    <tableColumn id="45" xr3:uid="{0D5F806A-354A-4668-B7C0-079FA868E97E}" name="Material usage (Kg)" dataDxfId="829" dataCellStyle="Normal 2 3">
      <calculatedColumnFormula>Table2[[#This Row],[Total]]*B12/1000</calculatedColumnFormula>
    </tableColumn>
    <tableColumn id="39" xr3:uid="{F496FB60-5849-49DF-AD5A-47B8F4ACF8B3}" name="Column1" dataDxfId="828"/>
    <tableColumn id="40" xr3:uid="{CA52F916-6479-401E-9E3F-D25F8085B2EE}" name="Column2" dataDxfId="827"/>
    <tableColumn id="41" xr3:uid="{35662F34-450E-466B-8AA1-85394B6B878A}" name="Column3" dataDxfId="826"/>
    <tableColumn id="42" xr3:uid="{0A9D60FE-C5CD-4B3D-8541-DFEFE6EE96DB}" name="Column4" dataDxfId="825"/>
    <tableColumn id="43" xr3:uid="{4D7A9EBC-1692-4C5E-BDE6-D41848837070}" name="Column5" dataDxfId="824"/>
    <tableColumn id="44" xr3:uid="{4FB1F666-1EEC-43B5-8A2F-EDFAFF33FDA1}" name="Column6" dataDxfId="823"/>
    <tableColumn id="46" xr3:uid="{C55B8C21-6ECB-4E92-B63B-DEE86873AA90}" name="Column7" dataDxfId="822"/>
    <tableColumn id="48" xr3:uid="{2F9A6A22-4A41-4A2F-ABA1-060A2080B360}" name="Column8" dataDxfId="821"/>
    <tableColumn id="49" xr3:uid="{910BAAFF-89FB-49CC-A7E6-1143508A6769}" name="Column9" dataDxfId="820"/>
    <tableColumn id="50" xr3:uid="{3F6BC8E1-56DE-4DA1-97D4-36535535031D}" name="Column10" dataDxfId="819"/>
    <tableColumn id="51" xr3:uid="{CC1F445A-6433-46FE-81C7-566CFE6D0A21}" name="Column11" dataDxfId="818"/>
    <tableColumn id="52" xr3:uid="{D5EF6169-104B-479C-91C9-3562346F4237}" name="Column12" dataDxfId="817"/>
    <tableColumn id="53" xr3:uid="{6EE6051F-DAF5-41D9-9A1D-DB4014789EC4}" name="Column13" dataDxfId="816"/>
    <tableColumn id="54" xr3:uid="{3B1EA4A5-0D98-421A-89D1-9E15296105DA}" name="Column14" dataDxfId="815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93DF58A-28C6-4DD9-9DA1-67156309D53D}" name="Table7" displayName="Table7" ref="A6:AV55" totalsRowShown="0" headerRowDxfId="814" dataDxfId="813" dataCellStyle="Normal 2 3">
  <tableColumns count="48">
    <tableColumn id="1" xr3:uid="{491EBEDB-3CEC-40BB-B7D3-83A5C58CE3F2}" name="M/C No." dataDxfId="812" dataCellStyle="ปกติ_Daily prod 05"/>
    <tableColumn id="2" xr3:uid="{C2B3C5EB-9B92-4580-B6BE-18BDAC6C0787}" name="Part Name" dataDxfId="811" dataCellStyle="ปกติ_Daily prod 05"/>
    <tableColumn id="3" xr3:uid="{7FB2963A-A93E-4B6E-B128-7E03D1320B6A}" name="Std. O/H (Shot)" dataDxfId="810" dataCellStyle="ปกติ_Daily prod 05"/>
    <tableColumn id="4" xr3:uid="{7C7E1F6A-023D-4338-849B-603A0BB961B5}" name="Date" dataDxfId="809"/>
    <tableColumn id="5" xr3:uid="{B0D108C2-4210-48E3-A4A9-350A3C5E1BBA}" name="June'2026" dataDxfId="808"/>
    <tableColumn id="6" xr3:uid="{4C14C02B-A54C-422C-AC32-AA9C21BBFEFE}" name="Column1" dataDxfId="807"/>
    <tableColumn id="7" xr3:uid="{94FEB8F0-785C-4192-9068-5949E21B42F3}" name="Column2" dataDxfId="806"/>
    <tableColumn id="8" xr3:uid="{19177F71-96E8-4643-9E50-D047BEB70496}" name="Column3" dataDxfId="805"/>
    <tableColumn id="9" xr3:uid="{1C482875-6F9D-439A-8CAE-844F24A6F87E}" name="Column4" dataDxfId="804"/>
    <tableColumn id="10" xr3:uid="{0D33A3F6-AF5D-4AAE-AEDF-FDF15C9A5075}" name="Column5" dataDxfId="803"/>
    <tableColumn id="11" xr3:uid="{414800BB-9518-4661-8228-1C6F67CE962D}" name="Column6" dataDxfId="802"/>
    <tableColumn id="12" xr3:uid="{E6298766-C14E-4CBE-A609-844CBAE8DC57}" name="Column7" dataDxfId="801"/>
    <tableColumn id="13" xr3:uid="{943C400C-2EC9-4410-B3D9-41A4E4080BD2}" name="Column8" dataDxfId="800"/>
    <tableColumn id="14" xr3:uid="{C0B5A7AC-17F2-41EE-A639-EE86129A8C63}" name="Column9" dataDxfId="799"/>
    <tableColumn id="15" xr3:uid="{9209BA22-A697-4123-85E1-CA7FECC1AC65}" name="Column10" dataDxfId="798"/>
    <tableColumn id="16" xr3:uid="{714DF8F5-E0F7-47FA-9119-33E726A97AF5}" name="Column11" dataDxfId="797"/>
    <tableColumn id="17" xr3:uid="{A5D823B0-2431-43C7-889F-C745C7F0771C}" name="Column12" dataDxfId="796"/>
    <tableColumn id="18" xr3:uid="{62F01EBE-122E-46B4-B238-8F58D010E2ED}" name="Column13" dataDxfId="795"/>
    <tableColumn id="19" xr3:uid="{7A61F188-441E-401D-9F11-F74CF73D2085}" name="Column14" dataDxfId="794"/>
    <tableColumn id="20" xr3:uid="{DC4B5D8A-2166-4A6F-B194-E52B4D527614}" name="Column15" dataDxfId="793"/>
    <tableColumn id="21" xr3:uid="{4317F9CB-037F-452D-B380-9218A1F58D29}" name="Column16" dataDxfId="792"/>
    <tableColumn id="22" xr3:uid="{26734FFC-506C-49EA-B779-E703E8E003F7}" name="Column17" dataDxfId="791"/>
    <tableColumn id="23" xr3:uid="{F764B3C7-7715-45F5-894F-7718B7EE1C54}" name="Column18" dataDxfId="790"/>
    <tableColumn id="24" xr3:uid="{E5120033-F7E0-4741-847E-079250C6FD20}" name="Column19" dataDxfId="789"/>
    <tableColumn id="25" xr3:uid="{92250D35-FA76-4DF4-A172-0D1FA7F5ED80}" name="Column20" dataDxfId="788"/>
    <tableColumn id="26" xr3:uid="{440A8DF6-98FC-4187-A1CE-E1D52BCB6C49}" name="Column21" dataDxfId="787"/>
    <tableColumn id="27" xr3:uid="{21EEC526-9623-4E8A-9236-8A4584733097}" name="Column22" dataDxfId="786"/>
    <tableColumn id="28" xr3:uid="{3E55E670-FDF2-4CFB-B0A0-C9DC144811F0}" name="Column23" dataDxfId="785"/>
    <tableColumn id="29" xr3:uid="{63818BE3-09B1-4EEF-B6B0-3B61E6FB1FA1}" name="Column24" dataDxfId="784"/>
    <tableColumn id="47" xr3:uid="{C94C7905-DC08-4DEC-B924-0CF9E406D44E}" name="Column242" dataDxfId="783"/>
    <tableColumn id="46" xr3:uid="{189F80CC-312C-404F-96B4-5BB68C5D5545}" name="Column243" dataDxfId="782"/>
    <tableColumn id="45" xr3:uid="{CF7F7CE1-0DF7-49DC-961B-828A1DC9D157}" name="Column244" dataDxfId="781"/>
    <tableColumn id="30" xr3:uid="{92C14614-CC11-4442-8CB5-651B66A87D6C}" name="Column25" dataDxfId="780"/>
    <tableColumn id="31" xr3:uid="{930CCBF3-6ADF-4772-ADDD-90FFB75DFD23}" name="Column26" dataDxfId="779"/>
    <tableColumn id="32" xr3:uid="{B79B3E79-589D-49D4-86F6-C0BFD9768B5D}" name="Column27" dataDxfId="778"/>
    <tableColumn id="33" xr3:uid="{68E3294A-D094-499C-99E9-5157D827BFF2}" name="Total" dataDxfId="777"/>
    <tableColumn id="48" xr3:uid="{C2F49FC2-E638-4D97-9760-CCE2EFCC466D}" name="Total Act. (pcs.)" dataDxfId="776">
      <calculatedColumnFormula>AJ9</calculatedColumnFormula>
    </tableColumn>
    <tableColumn id="34" xr3:uid="{04D50E50-494C-4CE4-B5C1-248C55223BA1}" name="Sale/Bahts." dataDxfId="775"/>
    <tableColumn id="49" xr3:uid="{4E0246A4-B144-45C9-915B-D2A728BAFC56}" name="Total Amount (THB)" dataDxfId="774">
      <calculatedColumnFormula>AL9</calculatedColumnFormula>
    </tableColumn>
    <tableColumn id="35" xr3:uid="{6D0D93AC-BE3F-4DB7-9A86-B06134EDAE9F}" name="Price/Pcs." dataDxfId="773" dataCellStyle="Normal 2 3"/>
    <tableColumn id="43" xr3:uid="{F3028FF5-2B02-41D9-9198-768892B1599E}" name="Material usage (Kg)" dataDxfId="772" dataCellStyle="Normal 2 3"/>
    <tableColumn id="36" xr3:uid="{433FFA65-E7A9-4038-9A38-D34974A06FF2}" name="Column28" dataDxfId="771" dataCellStyle="Normal 2 3"/>
    <tableColumn id="37" xr3:uid="{137FD2B2-D105-4373-8951-673A4C41E7BB}" name="Column29" dataDxfId="770" dataCellStyle="Normal 2 3"/>
    <tableColumn id="38" xr3:uid="{CCB41124-5064-43F9-991D-7A3BA4E40486}" name="Column30" dataDxfId="769" dataCellStyle="Normal 2 3"/>
    <tableColumn id="39" xr3:uid="{317AA0B1-315C-4ED3-A7F9-15ABB50E44FF}" name="Column31" dataDxfId="768" dataCellStyle="Normal 2 3"/>
    <tableColumn id="40" xr3:uid="{4617D223-E5FC-4C51-87C3-A225E0BC961E}" name="Column32" dataDxfId="767" dataCellStyle="Normal 2 3"/>
    <tableColumn id="41" xr3:uid="{584539D1-147B-43D2-9DE1-5EADA9BB116C}" name="Column33" dataDxfId="766" dataCellStyle="Normal 2 3"/>
    <tableColumn id="44" xr3:uid="{BCD10C57-9AD2-4041-97B2-220E8C105FD4}" name="Column35" dataDxfId="765" dataCellStyle="Normal 2 3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4AE7A71-623E-4847-9A88-1D27F2E78A07}" name="Table37" displayName="Table37" ref="A6:AO525" totalsRowShown="0" headerRowDxfId="1111" dataDxfId="1110" tableBorderDxfId="1109">
  <tableColumns count="41">
    <tableColumn id="1" xr3:uid="{E32FB301-B16F-43C7-ADB5-C1CF6769D19E}" name="M/C No." dataDxfId="1108" dataCellStyle="ปกติ_Daily prod 05"/>
    <tableColumn id="2" xr3:uid="{F6C28FBF-3289-464D-BA0D-80765C6AF141}" name="Part name" dataDxfId="1107" dataCellStyle="ปกติ_Daily prod 05"/>
    <tableColumn id="3" xr3:uid="{2935046C-0524-4AC4-946C-7AA08FC666B8}" name="Std. O/H (Shot)" dataDxfId="1106" dataCellStyle="ปกติ_Daily prod 05"/>
    <tableColumn id="4" xr3:uid="{6CE49010-C0A5-48A0-9AFB-38A6871B36AA}" name="Date" dataDxfId="1105"/>
    <tableColumn id="5" xr3:uid="{B61C6635-E15E-4ED3-9E3F-68FD4B2A89C2}" name="June'2026" dataDxfId="1104"/>
    <tableColumn id="6" xr3:uid="{B1E4F6B9-A6F0-4C20-B475-A13FB54ED985}" name="Column1" dataDxfId="1103"/>
    <tableColumn id="7" xr3:uid="{84A1E68F-CE8B-4DB6-8D98-5C2240DFF56E}" name="Column2" dataDxfId="1102"/>
    <tableColumn id="8" xr3:uid="{B0A6A368-B970-4370-BE3F-87B7E9F983E3}" name="Column3" dataDxfId="1101"/>
    <tableColumn id="9" xr3:uid="{0D5F9E40-28C3-4BE6-BC19-034EF4E3DF86}" name="Column4" dataDxfId="1100"/>
    <tableColumn id="10" xr3:uid="{907C14CD-E94B-4B56-AD39-0D3210D8F371}" name="Column5" dataDxfId="1099"/>
    <tableColumn id="11" xr3:uid="{A5BE44B6-078E-4DCC-8ADC-23436E562413}" name="Column6" dataDxfId="1098"/>
    <tableColumn id="12" xr3:uid="{57624258-4510-467D-BF33-AE51A28E128A}" name="Column7" dataDxfId="1097"/>
    <tableColumn id="13" xr3:uid="{EBE28ED4-88D9-420B-9633-7D165DB3A606}" name="Column8" dataDxfId="1096"/>
    <tableColumn id="14" xr3:uid="{E4947656-AAD1-4A6B-8615-6BA7CE8F266E}" name="Column9" dataDxfId="1095"/>
    <tableColumn id="15" xr3:uid="{58ADCDE3-DBA8-4934-99B6-9253214FFA97}" name="Column10" dataDxfId="1094"/>
    <tableColumn id="16" xr3:uid="{149155A5-D820-4D7F-B68B-E2459226750D}" name="Column11" dataDxfId="1093"/>
    <tableColumn id="17" xr3:uid="{A3D64B68-FDAE-4ACD-B858-F6D34ECFCA95}" name="Column12" dataDxfId="1092"/>
    <tableColumn id="18" xr3:uid="{018667C1-7DE6-43C3-AE8C-15A434C9B5AD}" name="Column13" dataDxfId="1091"/>
    <tableColumn id="19" xr3:uid="{FB04C7A3-012C-427D-AD89-5A0B99C552CB}" name="Column14" dataDxfId="1090"/>
    <tableColumn id="20" xr3:uid="{99BFED28-82DF-4B88-BF6D-649B7A9B7001}" name="Column15" dataDxfId="1089"/>
    <tableColumn id="21" xr3:uid="{169BE702-DA5A-439F-91CA-052B4DACC97C}" name="Column16" dataDxfId="1088"/>
    <tableColumn id="22" xr3:uid="{5604117F-B77C-4A84-BD11-AE30AB055F2C}" name="Column17" dataDxfId="1087"/>
    <tableColumn id="23" xr3:uid="{0228B415-D85F-49BB-A2AB-8E64286F2A5D}" name="Column18" dataDxfId="1086"/>
    <tableColumn id="24" xr3:uid="{A6FAA71E-10A1-40A9-9FF8-687B8C7B42EB}" name="Column19" dataDxfId="1085"/>
    <tableColumn id="25" xr3:uid="{68E990D2-9054-407E-82CC-36BD118800ED}" name="Column20" dataDxfId="1084"/>
    <tableColumn id="26" xr3:uid="{C591BC24-7597-4BB9-BC91-269A36F4BC07}" name="Column21" dataDxfId="1083"/>
    <tableColumn id="27" xr3:uid="{E14EFC7A-22A8-4D16-9C72-39D0A38590CA}" name="Column22" dataDxfId="1082"/>
    <tableColumn id="28" xr3:uid="{CDE82F90-4D04-4898-968A-34F704FFEEA8}" name="Column23" dataDxfId="1081"/>
    <tableColumn id="38" xr3:uid="{9B6FA6AA-39F7-42FB-A046-7BE1E02C6539}" name="Column24" dataDxfId="1080"/>
    <tableColumn id="37" xr3:uid="{79267D89-8F3C-4AB2-BD83-8E5CF044B7A5}" name="Column242" dataDxfId="1079"/>
    <tableColumn id="36" xr3:uid="{34AA8253-1F6E-408A-B88F-6E2849981128}" name="Column243" dataDxfId="1078"/>
    <tableColumn id="29" xr3:uid="{E8D93EB4-5C00-47B5-B473-735EFCA0AA5E}" name="Column244" dataDxfId="1077"/>
    <tableColumn id="30" xr3:uid="{E99ACD66-8B8E-44DE-99B1-A9D1E6BBCDA9}" name="Column25" dataDxfId="1076"/>
    <tableColumn id="31" xr3:uid="{5D2A41F4-A850-42B8-A8C6-76681EAA2241}" name="Column26" dataDxfId="1075"/>
    <tableColumn id="32" xr3:uid="{FDE02311-3D18-428F-847A-8A2B48AC3454}" name="Column27" dataDxfId="1074"/>
    <tableColumn id="33" xr3:uid="{F1BA1AF1-3417-4DDB-BD99-31818ED4426B}" name="Total" dataDxfId="1073"/>
    <tableColumn id="41" xr3:uid="{4AD80DE4-6C96-48CE-B285-BADFE49FC31D}" name="Total Act. (pcs.)" dataDxfId="1072">
      <calculatedColumnFormula>AJ9</calculatedColumnFormula>
    </tableColumn>
    <tableColumn id="34" xr3:uid="{8E0BFAAF-677B-41D3-929B-4A8A96DA6386}" name="Sale/Bahts." dataDxfId="1071"/>
    <tableColumn id="42" xr3:uid="{4E38D1A0-07BD-43CE-B5F5-E54F3FAA8DD8}" name="Total Amount (THB)" dataDxfId="1070">
      <calculatedColumnFormula>AL9</calculatedColumnFormula>
    </tableColumn>
    <tableColumn id="35" xr3:uid="{905DD5F2-962C-4ADC-8524-C86019116373}" name="Price/Pcs." dataDxfId="1069" dataCellStyle="Normal 2 3"/>
    <tableColumn id="40" xr3:uid="{D7F8A78A-463C-46D6-987A-CC7D2F31B640}" name="Material usage (Kg)" dataDxfId="1068" dataCellStyle="Normal 2 3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9B74C5ED-D727-4361-A9B1-400F6D03DAB6}" name="Table28" displayName="Table28" ref="A7:AV28" totalsRowShown="0" headerRowDxfId="764" dataDxfId="763" tableBorderDxfId="762">
  <tableColumns count="48">
    <tableColumn id="1" xr3:uid="{E0C009F0-8F35-44E9-851B-36927B6E5052}" name="M/C No." dataDxfId="761" dataCellStyle="ปกติ_Daily prod 05"/>
    <tableColumn id="2" xr3:uid="{EAEBAED0-1A21-4F2A-8E5C-D22690CACBD3}" name="Part name" dataDxfId="760" dataCellStyle="ปกติ_Daily prod 05"/>
    <tableColumn id="3" xr3:uid="{3BFB1CA1-FD0A-489F-AF81-9D9819CED236}" name="Std. O/H (Shot)" dataDxfId="759" dataCellStyle="ปกติ_Daily prod 05"/>
    <tableColumn id="4" xr3:uid="{CA7D4435-8B3F-4976-8E87-588D1D901D8C}" name="Date" dataDxfId="758"/>
    <tableColumn id="5" xr3:uid="{DA723E87-DAE9-4D2C-B84C-0A593A321E24}" name="June'2026" dataDxfId="757"/>
    <tableColumn id="6" xr3:uid="{18472D21-A761-4112-91AC-A4066A5406AA}" name="13-Mar" dataDxfId="756"/>
    <tableColumn id="7" xr3:uid="{BC7834CD-E6E0-4B58-BA54-82B62C548B0E}" name="14-Mar" dataDxfId="755"/>
    <tableColumn id="8" xr3:uid="{351DDAC9-A154-4144-9BAA-745928FF70B6}" name="15-Mar" dataDxfId="754"/>
    <tableColumn id="9" xr3:uid="{A8BBC7E8-622F-46EB-93C8-C224416D22C7}" name="16-Mar" dataDxfId="753"/>
    <tableColumn id="10" xr3:uid="{51E44E5C-E528-4DC4-B322-D436AE5D7726}" name="17-Mar" dataDxfId="752"/>
    <tableColumn id="11" xr3:uid="{BA4A7F22-257B-4F2E-9F8E-9715B5E51566}" name="18-Mar" dataDxfId="751"/>
    <tableColumn id="12" xr3:uid="{EF6E277D-3B13-4CA7-BF35-17E9442731FC}" name="19-Mar" dataDxfId="750"/>
    <tableColumn id="13" xr3:uid="{3E1B6F45-794E-4EC9-8AE6-CFB7F3BB47D5}" name="20-Mar" dataDxfId="749"/>
    <tableColumn id="14" xr3:uid="{22888170-3771-4032-A321-9BAA12291F56}" name="21-Mar" dataDxfId="748"/>
    <tableColumn id="15" xr3:uid="{71FC71EB-9B8E-4B6D-B77A-1A2E1D6FD3DA}" name="22-Mar" dataDxfId="747"/>
    <tableColumn id="16" xr3:uid="{9AADCFFD-1AC2-4D78-ACC5-D8B564BC81F7}" name="23-Mar" dataDxfId="746"/>
    <tableColumn id="17" xr3:uid="{427CB616-01C6-4B44-B10D-C7D7ED40D887}" name="24-Mar" dataDxfId="745"/>
    <tableColumn id="18" xr3:uid="{91AD723E-46DE-4B87-B8D1-47C1740C49BD}" name="25-Mar" dataDxfId="744"/>
    <tableColumn id="19" xr3:uid="{FD95F8C6-A311-428A-8E3A-4D2828796034}" name="26-Mar" dataDxfId="743"/>
    <tableColumn id="20" xr3:uid="{03459FB9-DEB4-4D49-BF22-43DD8CEBF33B}" name="27-Mar" dataDxfId="742"/>
    <tableColumn id="21" xr3:uid="{2063E022-57B0-43AB-9B24-E5E09BDD8428}" name="28-Mar" dataDxfId="741"/>
    <tableColumn id="22" xr3:uid="{0BD2C823-5A0B-486F-9319-C7FF09588B07}" name="29-Mar" dataDxfId="740"/>
    <tableColumn id="23" xr3:uid="{8D7EA44A-13CF-4379-B9F3-4CE76EE34D47}" name="30-Mar" dataDxfId="739"/>
    <tableColumn id="24" xr3:uid="{AC58AE8F-BD48-4A30-AAB4-2D6E97A6D9C6}" name="31-Mar" dataDxfId="738"/>
    <tableColumn id="25" xr3:uid="{62FAA25A-52A7-4AD6-A08E-0117F12EA672}" name="Column20" dataDxfId="737"/>
    <tableColumn id="26" xr3:uid="{39854E76-AAE8-405F-874C-E85CB8E595B2}" name="Column21" dataDxfId="736"/>
    <tableColumn id="27" xr3:uid="{25C78E46-CC87-4BCA-8391-2268477EEC00}" name="Column22" dataDxfId="735"/>
    <tableColumn id="28" xr3:uid="{B31BB4F9-607E-47EE-B31D-61BADCADC30F}" name="Column23" dataDxfId="734"/>
    <tableColumn id="29" xr3:uid="{C9E0175E-01B8-413C-A158-F8BAC12DC9E7}" name="Column24" dataDxfId="733"/>
    <tableColumn id="38" xr3:uid="{5503ED11-9630-49CE-80FE-B6A69B4ABDA5}" name="Column222" dataDxfId="732"/>
    <tableColumn id="37" xr3:uid="{BA171DDC-650E-4E61-AF47-8B547593F8E2}" name="Column233" dataDxfId="731"/>
    <tableColumn id="36" xr3:uid="{C10DFDC9-2811-404C-B37A-3AA49ADE36B8}" name="Column244" dataDxfId="730"/>
    <tableColumn id="30" xr3:uid="{19E3777F-C2E3-4568-B105-19EF05287994}" name="Column25" dataDxfId="729"/>
    <tableColumn id="31" xr3:uid="{9FE0C93E-3F3E-4579-9066-EDA007754D7E}" name="Column26" dataDxfId="728"/>
    <tableColumn id="32" xr3:uid="{A7E2FA99-4AEF-4137-A5D3-E27B46BF0F49}" name="Column27" dataDxfId="727"/>
    <tableColumn id="33" xr3:uid="{2374D2C8-AD19-4553-BE38-3DB92DA03391}" name="Total" dataDxfId="726"/>
    <tableColumn id="49" xr3:uid="{58B11161-C56F-437F-904F-84A2DDFAC779}" name="Total Act. (pcs.)" dataDxfId="725">
      <calculatedColumnFormula>AJ10</calculatedColumnFormula>
    </tableColumn>
    <tableColumn id="34" xr3:uid="{DECE550A-5D55-408F-8894-F28250AF8745}" name="Sale/Bahts." dataDxfId="724"/>
    <tableColumn id="51" xr3:uid="{28D07579-8F69-429D-A814-43D0FF6BE336}" name="Total Amount (THB)" dataDxfId="723">
      <calculatedColumnFormula>AL10</calculatedColumnFormula>
    </tableColumn>
    <tableColumn id="35" xr3:uid="{56926B14-D38B-49D5-AB04-53854DA0A361}" name="Price/Pcs." dataDxfId="722" dataCellStyle="Normal 2 3"/>
    <tableColumn id="45" xr3:uid="{8B1756A1-0EA0-405B-BEBB-5B4E67C54862}" name="Material usage (Kg)" dataDxfId="721" dataCellStyle="Normal 2 3"/>
    <tableColumn id="39" xr3:uid="{9BB08EAC-EE3A-422E-A288-268A13BE2814}" name="Column1" dataDxfId="720"/>
    <tableColumn id="40" xr3:uid="{83EE3654-1933-4BCF-B314-22630E91995A}" name="Column2" dataDxfId="719"/>
    <tableColumn id="41" xr3:uid="{B22C267D-AEDE-4FAD-A772-5D23DB2E0C00}" name="Column3" dataDxfId="718"/>
    <tableColumn id="42" xr3:uid="{6071FDFA-363B-466B-98DC-A9B5F8D6E14B}" name="Column4" dataDxfId="717"/>
    <tableColumn id="43" xr3:uid="{D2B200A7-1A45-4228-88AE-AE11087A8A10}" name="Column5" dataDxfId="716"/>
    <tableColumn id="44" xr3:uid="{0FEEB086-140D-474D-BA85-6CB4F6B20D1C}" name="Column6" dataDxfId="715"/>
    <tableColumn id="46" xr3:uid="{3B9D5A25-8DB3-40B3-A380-6C0B0F726928}" name="Column7" dataDxfId="714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B3B6589D-6EA3-413F-A005-D7BBA26D477F}" name="Table289" displayName="Table289" ref="A7:AV56" totalsRowShown="0" headerRowDxfId="713" dataDxfId="712" tableBorderDxfId="711">
  <tableColumns count="48">
    <tableColumn id="1" xr3:uid="{0E915285-F254-4BCD-AD1E-5EEC05157C05}" name="M/C No." dataDxfId="710" dataCellStyle="ปกติ_Daily prod 05"/>
    <tableColumn id="2" xr3:uid="{B925427B-1EA3-4EE5-A173-030ED0F4A927}" name="Part name" dataDxfId="709" dataCellStyle="ปกติ_Daily prod 05"/>
    <tableColumn id="3" xr3:uid="{D184E4F0-3664-4C4F-8903-8392C61CFA8D}" name="Std. O/H (Shot)" dataDxfId="708" dataCellStyle="ปกติ_Daily prod 05"/>
    <tableColumn id="4" xr3:uid="{4108EEB0-FCD5-447F-9C3F-B7366D24D0F0}" name="Date" dataDxfId="707"/>
    <tableColumn id="5" xr3:uid="{76E7D012-00A2-4683-B88C-0CF9440A88C8}" name="June'2026" dataDxfId="706"/>
    <tableColumn id="6" xr3:uid="{CB90A5EC-C480-4E73-A4D7-CA867BFCFA3D}" name="13-Mar" dataDxfId="705"/>
    <tableColumn id="7" xr3:uid="{C389D7CA-A067-4928-8824-4A42BCB04386}" name="14-Mar" dataDxfId="704"/>
    <tableColumn id="8" xr3:uid="{FC7EECFD-DE8B-4618-AA4D-B96EEAC59850}" name="15-Mar" dataDxfId="703"/>
    <tableColumn id="9" xr3:uid="{30AD9AAE-FD89-43BC-8A64-3B73085E3EF3}" name="16-Mar" dataDxfId="702"/>
    <tableColumn id="10" xr3:uid="{9CBDFC49-B4BE-45D6-A5B5-FA043CE0C828}" name="17-Mar" dataDxfId="701"/>
    <tableColumn id="11" xr3:uid="{9FACB6EB-FB1B-4EAF-BD56-CC207961D5D1}" name="18-Mar" dataDxfId="700"/>
    <tableColumn id="12" xr3:uid="{07CB55B1-D199-4AAE-8E74-F1EBDCA4AC46}" name="19-Mar" dataDxfId="699"/>
    <tableColumn id="13" xr3:uid="{F1EC9267-4018-4667-9EC9-99D1D60C2941}" name="20-Mar" dataDxfId="698"/>
    <tableColumn id="14" xr3:uid="{79D03F51-67EF-44C4-AFDB-CA8654E63DC8}" name="21-Mar" dataDxfId="697"/>
    <tableColumn id="15" xr3:uid="{A2C44F34-7B45-4C3D-B33D-5E908BE14948}" name="22-Mar" dataDxfId="696"/>
    <tableColumn id="16" xr3:uid="{4883B427-1D63-49FD-871C-10FAAB72A858}" name="23-Mar" dataDxfId="695"/>
    <tableColumn id="17" xr3:uid="{2D2FCEDC-ECFA-423E-B12D-DDA7B0583E9E}" name="24-Mar" dataDxfId="694"/>
    <tableColumn id="18" xr3:uid="{28C87A6A-737B-4A76-B245-0738745C23B3}" name="25-Mar" dataDxfId="693"/>
    <tableColumn id="19" xr3:uid="{E48313A9-6305-4BA2-A714-9FED9873A52B}" name="26-Mar" dataDxfId="692"/>
    <tableColumn id="20" xr3:uid="{BD27E99B-A607-4149-BBCA-A1F3E454B436}" name="27-Mar" dataDxfId="691"/>
    <tableColumn id="21" xr3:uid="{677F6356-1271-41A1-8A16-D33924B31E25}" name="28-Mar" dataDxfId="690"/>
    <tableColumn id="22" xr3:uid="{33101BE0-FEC4-40F4-954C-939B12D78F0D}" name="29-Mar" dataDxfId="689"/>
    <tableColumn id="23" xr3:uid="{C37DB561-F0B6-4558-8ECC-B4CA836E0974}" name="30-Mar" dataDxfId="688"/>
    <tableColumn id="24" xr3:uid="{9D49A585-0302-4D02-A764-82E7CEB378C2}" name="31-Mar" dataDxfId="687"/>
    <tableColumn id="25" xr3:uid="{B327F3D8-E40E-4BEC-8E7D-58BC1B1BBC9E}" name="Column20" dataDxfId="686"/>
    <tableColumn id="26" xr3:uid="{B93E21EA-B83C-4FBD-BB7A-FD57669138FC}" name="Column21" dataDxfId="685"/>
    <tableColumn id="27" xr3:uid="{4A3CA3D9-B889-4D1D-AB50-C45B2CA00D25}" name="Column22" dataDxfId="684"/>
    <tableColumn id="28" xr3:uid="{81A6BBE9-DDCF-43EC-93EC-93CB0BA93C0F}" name="Column23" dataDxfId="683"/>
    <tableColumn id="29" xr3:uid="{D1FFB263-AE89-4D8E-B215-AAE4BD605F26}" name="Column24" dataDxfId="682"/>
    <tableColumn id="38" xr3:uid="{331118B3-3C10-4C6B-9BA5-92FCAC171F22}" name="Column222" dataDxfId="681"/>
    <tableColumn id="37" xr3:uid="{DCBBC44E-523F-4E62-85A2-10531F6C946B}" name="Column233" dataDxfId="680"/>
    <tableColumn id="36" xr3:uid="{215BC8AF-184D-4FBD-84F3-6D4EEB9ABF4F}" name="Column244" dataDxfId="679"/>
    <tableColumn id="30" xr3:uid="{5436A9AD-8985-4FF6-B36B-A24A6266B618}" name="Column25" dataDxfId="678"/>
    <tableColumn id="31" xr3:uid="{AB91FF91-A46F-4C1B-810D-26E1682D905F}" name="Column26" dataDxfId="677"/>
    <tableColumn id="32" xr3:uid="{BF4D9188-BD2F-4C2C-B0B2-5D2662B5295F}" name="Column27" dataDxfId="676"/>
    <tableColumn id="33" xr3:uid="{24AC21B7-7C47-432C-8965-D9DEE663B20B}" name="Total" dataDxfId="675"/>
    <tableColumn id="51" xr3:uid="{BD57E9A9-12F1-4055-AFDD-940553BACB65}" name="Total Act. (pcs.)" dataDxfId="674">
      <calculatedColumnFormula>AJ10</calculatedColumnFormula>
    </tableColumn>
    <tableColumn id="34" xr3:uid="{98A2EEA3-101D-4E02-85A8-EF572FB14FED}" name="Sale/Bahts." dataDxfId="673"/>
    <tableColumn id="52" xr3:uid="{33ABB8AA-42BF-421F-B188-2CA441CC85F0}" name="Total Amount (THB)" dataDxfId="672">
      <calculatedColumnFormula>AL10</calculatedColumnFormula>
    </tableColumn>
    <tableColumn id="35" xr3:uid="{B9FD1AC6-69EB-4F9C-9AAA-6783FE7567E6}" name="Price/Pcs." dataDxfId="671" dataCellStyle="Normal 2 3"/>
    <tableColumn id="45" xr3:uid="{5F39C2A8-4542-4B21-8BC0-ACDAE6515723}" name="Material usage (Kg)" dataDxfId="670" dataCellStyle="Normal 2 3"/>
    <tableColumn id="39" xr3:uid="{19C51400-02CB-48DD-B89A-4F1696D5FAAB}" name="Column1" dataDxfId="669"/>
    <tableColumn id="40" xr3:uid="{05A580D5-1B32-49A4-BD3B-DD75407DF495}" name="Column2" dataDxfId="668"/>
    <tableColumn id="41" xr3:uid="{486C9376-D058-42C4-AB89-14AAD915582C}" name="Column3" dataDxfId="667"/>
    <tableColumn id="42" xr3:uid="{032FE64D-0050-43E0-92B0-7E329D21B416}" name="Column4" dataDxfId="666"/>
    <tableColumn id="43" xr3:uid="{6EBAAE77-14BF-4BF1-85C6-D37A62144708}" name="Column5" dataDxfId="665"/>
    <tableColumn id="44" xr3:uid="{09301828-A734-42DF-9BB0-8FA3B37447C0}" name="Column6" dataDxfId="664"/>
    <tableColumn id="46" xr3:uid="{E44775BD-C766-4653-99ED-0D094C3166B1}" name="Column7" dataDxfId="663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23B6D64-B388-4305-8935-40949C86D2C1}" name="Table2810" displayName="Table2810" ref="A7:AV70" totalsRowShown="0" headerRowDxfId="662" dataDxfId="661" tableBorderDxfId="660">
  <tableColumns count="48">
    <tableColumn id="1" xr3:uid="{E7BAF428-0A60-45A4-BAE8-6C6D224DD959}" name="M/C No." dataDxfId="659" dataCellStyle="ปกติ_Daily prod 05"/>
    <tableColumn id="2" xr3:uid="{4736D10E-8EE2-45A2-8FB7-BC62CF303A4B}" name="Part name" dataDxfId="658" dataCellStyle="ปกติ_Daily prod 05"/>
    <tableColumn id="3" xr3:uid="{29B365F4-A80C-46BD-BAFC-88B9A7D441E2}" name="Std. O/H (Shot)" dataDxfId="657" dataCellStyle="ปกติ_Daily prod 05"/>
    <tableColumn id="4" xr3:uid="{07702FEE-3C8D-4137-B82E-0B923D1F97FA}" name="Date" dataDxfId="656"/>
    <tableColumn id="5" xr3:uid="{203436A5-2855-45DD-B44B-B9C60FA2F5C1}" name="June'2026" dataDxfId="655"/>
    <tableColumn id="6" xr3:uid="{FC39718A-1A7C-4411-AD02-A5E9C2F2E933}" name="13-Mar" dataDxfId="654"/>
    <tableColumn id="7" xr3:uid="{5A1F6263-B37B-4CBA-8781-5E60CD1A6287}" name="14-Mar" dataDxfId="653"/>
    <tableColumn id="8" xr3:uid="{08DD146B-9653-4D7D-ADB0-6A6E5135FDE4}" name="15-Mar" dataDxfId="652"/>
    <tableColumn id="9" xr3:uid="{43A1DFDF-C272-4A1B-BEFF-4271F14DF511}" name="16-Mar" dataDxfId="651"/>
    <tableColumn id="10" xr3:uid="{D494F86D-A799-4C68-A7F5-E6F6139A4869}" name="17-Mar" dataDxfId="650"/>
    <tableColumn id="11" xr3:uid="{8C25879E-5407-42D9-833E-9FBF77A2E017}" name="18-Mar" dataDxfId="649"/>
    <tableColumn id="12" xr3:uid="{D4675E5F-0BA3-4A7E-A068-3B176305F8E2}" name="19-Mar" dataDxfId="648"/>
    <tableColumn id="13" xr3:uid="{0E53F019-A0FB-4657-AB15-FB4E2B262DDD}" name="20-Mar" dataDxfId="647"/>
    <tableColumn id="14" xr3:uid="{8595FE8E-095F-44C0-96A2-B09637C3AC62}" name="21-Mar" dataDxfId="646"/>
    <tableColumn id="15" xr3:uid="{0CAF66A1-764F-4891-B632-17F7455BB6C3}" name="22-Mar" dataDxfId="645"/>
    <tableColumn id="16" xr3:uid="{6CDC0E8D-8EAF-4A59-BAA5-1D9F3C078807}" name="23-Mar" dataDxfId="644"/>
    <tableColumn id="17" xr3:uid="{0C50D530-86A0-4329-BDE5-D427A54D5FDE}" name="24-Mar" dataDxfId="643"/>
    <tableColumn id="18" xr3:uid="{931F802D-CF7B-4BE6-9653-B19A1BDB1EB6}" name="25-Mar" dataDxfId="642"/>
    <tableColumn id="19" xr3:uid="{0376536E-16E6-4B20-BDD9-719DFE15F4AB}" name="26-Mar" dataDxfId="641"/>
    <tableColumn id="20" xr3:uid="{33E706E1-1D0D-4369-959D-9AB16EC78296}" name="27-Mar" dataDxfId="640"/>
    <tableColumn id="21" xr3:uid="{082DEC25-4471-49BC-AC24-BA98F32A2BDA}" name="28-Mar" dataDxfId="639"/>
    <tableColumn id="22" xr3:uid="{7ECA6AF8-D009-4882-8513-15C47FB9314C}" name="29-Mar" dataDxfId="638"/>
    <tableColumn id="23" xr3:uid="{018EE2DF-B615-4998-BFAF-802CDA63A4E2}" name="30-Mar" dataDxfId="637"/>
    <tableColumn id="24" xr3:uid="{2B946A37-3177-432D-A620-95D4F61C930A}" name="31-Mar" dataDxfId="636"/>
    <tableColumn id="25" xr3:uid="{01DB2194-A214-42D2-80BC-F7DB91F50756}" name="Column20" dataDxfId="635"/>
    <tableColumn id="26" xr3:uid="{45D0FB46-AFE7-475C-9EC5-A79C962DA34D}" name="Column21" dataDxfId="634"/>
    <tableColumn id="27" xr3:uid="{E16FF320-1D4A-403F-87BC-2EFFD365CC1B}" name="Column22" dataDxfId="633"/>
    <tableColumn id="28" xr3:uid="{F4DA321A-B59A-437C-938C-32B5D513A50A}" name="Column23" dataDxfId="632"/>
    <tableColumn id="29" xr3:uid="{73CC91B0-0576-4ECD-9015-87D071D6E626}" name="Column24" dataDxfId="631"/>
    <tableColumn id="38" xr3:uid="{15ACC49C-CB9D-4AF8-BC3F-164698A5023E}" name="Column222" dataDxfId="630"/>
    <tableColumn id="37" xr3:uid="{FF9AFEE0-F26A-4787-B04E-7B8FE8541248}" name="Column233" dataDxfId="629"/>
    <tableColumn id="36" xr3:uid="{CD840881-FE14-4C36-8BD5-7F1DBDE349B2}" name="Column244" dataDxfId="628"/>
    <tableColumn id="30" xr3:uid="{685495C2-C027-4142-ABA9-46910D350510}" name="Column25" dataDxfId="627"/>
    <tableColumn id="31" xr3:uid="{28812831-B855-4C96-8C8B-27885C3364F4}" name="Column26" dataDxfId="626"/>
    <tableColumn id="32" xr3:uid="{5D8C6BC9-5AE8-40C9-A412-899AF0E2FF15}" name="Column27" dataDxfId="625"/>
    <tableColumn id="33" xr3:uid="{FC297CA7-D07D-4187-9F76-8ACE5D3CFBD3}" name="Total" dataDxfId="624"/>
    <tableColumn id="48" xr3:uid="{D65A25FC-E4C0-49D0-89E5-19FE1003AD8B}" name="Total Act. (pcs.)" dataDxfId="623">
      <calculatedColumnFormula>AJ10</calculatedColumnFormula>
    </tableColumn>
    <tableColumn id="34" xr3:uid="{CEA1CFD4-643C-4E6E-9636-BCDA1FC56D66}" name="Sale/Bahts." dataDxfId="622"/>
    <tableColumn id="49" xr3:uid="{BF53DE57-BF89-4911-AE87-25E0236F5159}" name="Total Amount (THB)" dataDxfId="621">
      <calculatedColumnFormula>AL10</calculatedColumnFormula>
    </tableColumn>
    <tableColumn id="35" xr3:uid="{03E3F610-0D62-46B8-BF93-1757878EEA08}" name="Price/Pcs." dataDxfId="620" dataCellStyle="Normal 2 3"/>
    <tableColumn id="45" xr3:uid="{B1D40FDC-33F4-4240-A430-D4E849CB912B}" name="Material usage (Kg)" dataDxfId="619" dataCellStyle="Normal 2 3"/>
    <tableColumn id="39" xr3:uid="{901927C8-3E78-48E2-AD3E-4185C44F5257}" name="Column1" dataDxfId="618"/>
    <tableColumn id="40" xr3:uid="{6D81DCEB-6F27-40D1-B486-0124F4553101}" name="Column2" dataDxfId="617"/>
    <tableColumn id="41" xr3:uid="{C9424E3C-10C3-43BA-ACF5-19BE21FDAF1A}" name="Column3" dataDxfId="616"/>
    <tableColumn id="42" xr3:uid="{F3670C36-46CA-457B-A1F4-65482B785413}" name="Column4" dataDxfId="615"/>
    <tableColumn id="43" xr3:uid="{4FFCA0A7-0FE4-4372-A447-ED054388D0D0}" name="Column5" dataDxfId="614"/>
    <tableColumn id="44" xr3:uid="{541FE152-615E-4EC1-939D-472F8EAEFE5D}" name="Column6" dataDxfId="613"/>
    <tableColumn id="46" xr3:uid="{6A421B5F-4456-4184-B0B5-8EB6A6DB65A5}" name="Column7" dataDxfId="6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2.xml"/><Relationship Id="rId4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5" Type="http://schemas.openxmlformats.org/officeDocument/2006/relationships/comments" Target="../comments3.xml"/><Relationship Id="rId4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Relationship Id="rId5" Type="http://schemas.openxmlformats.org/officeDocument/2006/relationships/comments" Target="../comments4.xml"/><Relationship Id="rId4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Relationship Id="rId5" Type="http://schemas.openxmlformats.org/officeDocument/2006/relationships/comments" Target="../comments5.xml"/><Relationship Id="rId4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Relationship Id="rId5" Type="http://schemas.openxmlformats.org/officeDocument/2006/relationships/comments" Target="../comments6.xml"/><Relationship Id="rId4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33A2B-0920-4B76-8D0F-C01C94D0069A}">
  <sheetPr>
    <tabColor rgb="FF2FEDB2"/>
  </sheetPr>
  <dimension ref="A1:L90"/>
  <sheetViews>
    <sheetView tabSelected="1" zoomScale="110" zoomScaleNormal="110" workbookViewId="0">
      <selection activeCell="H8" sqref="H8"/>
    </sheetView>
  </sheetViews>
  <sheetFormatPr defaultRowHeight="15"/>
  <cols>
    <col min="3" max="3" width="11.28515625" customWidth="1"/>
    <col min="5" max="5" width="17.7109375" style="1480" customWidth="1"/>
    <col min="6" max="6" width="37.5703125" customWidth="1"/>
    <col min="7" max="8" width="21.140625" customWidth="1"/>
    <col min="9" max="10" width="22.28515625" customWidth="1"/>
    <col min="11" max="11" width="18.140625" customWidth="1"/>
    <col min="12" max="12" width="16.42578125" customWidth="1"/>
  </cols>
  <sheetData>
    <row r="1" spans="1:12" ht="45">
      <c r="A1" s="1492" t="s">
        <v>589</v>
      </c>
      <c r="B1" s="1491" t="s">
        <v>588</v>
      </c>
      <c r="C1" s="1490" t="s">
        <v>587</v>
      </c>
      <c r="D1" s="1489" t="s">
        <v>586</v>
      </c>
      <c r="E1" s="1488" t="s">
        <v>585</v>
      </c>
      <c r="F1" s="1488" t="s">
        <v>584</v>
      </c>
      <c r="G1" s="1487" t="s">
        <v>583</v>
      </c>
      <c r="H1" s="1487" t="s">
        <v>582</v>
      </c>
      <c r="I1" s="1486" t="s">
        <v>581</v>
      </c>
      <c r="J1" s="1486" t="s">
        <v>580</v>
      </c>
      <c r="K1" s="1485" t="s">
        <v>718</v>
      </c>
      <c r="L1" s="1514" t="s">
        <v>721</v>
      </c>
    </row>
    <row r="2" spans="1:12">
      <c r="A2" s="1484">
        <v>2026</v>
      </c>
      <c r="B2" s="1484" t="s">
        <v>590</v>
      </c>
      <c r="C2" s="1502" t="s">
        <v>577</v>
      </c>
      <c r="D2" s="1483" t="s">
        <v>578</v>
      </c>
      <c r="E2" s="1503" t="str">
        <f>_xlfn.XLOOKUP(F2,'Daily WDC'!B:B,'Daily WDC'!C:C)</f>
        <v>H2(40ton)</v>
      </c>
      <c r="F2" s="1499" t="s">
        <v>675</v>
      </c>
      <c r="G2" s="1481">
        <f>SUMIFS('Daily WDC'!$AJ$9:$AJ$582,'Daily WDC'!$A$9:$A$582,Jun.26!E2,'Daily WDC'!$B$9:$B$582,Jun.26!F2)</f>
        <v>0</v>
      </c>
      <c r="H2" s="1481">
        <f>SUMIFS('Daily WDC'!$AK$9:$AK$582,'Daily WDC'!$A$9:$A$582,Jun.26!E2,'Daily WDC'!$B$9:$B$582,Jun.26!F2)</f>
        <v>0</v>
      </c>
      <c r="I2" s="1481">
        <f>SUMIFS('Daily WDC'!$AL$9:$AL$582,'Daily WDC'!$A$9:$A$582,Jun.26!E2,'Daily WDC'!$B$9:$B$582,Jun.26!F2)</f>
        <v>0</v>
      </c>
      <c r="J2" s="1481">
        <f>SUMIFS('Daily WDC'!$AM$9:$AM$582,'Daily WDC'!$A$9:$A$582,Jun.26!E2,'Daily WDC'!$B$9:$B$582,Jun.26!F2)</f>
        <v>0</v>
      </c>
      <c r="K2" s="1504" t="e">
        <f>H2/G2</f>
        <v>#DIV/0!</v>
      </c>
      <c r="L2" s="1484" t="e">
        <f>IF(K2&gt;1,"Achieved","Unachieved")</f>
        <v>#DIV/0!</v>
      </c>
    </row>
    <row r="3" spans="1:12">
      <c r="A3" s="1484">
        <v>2026</v>
      </c>
      <c r="B3" s="1484" t="s">
        <v>590</v>
      </c>
      <c r="C3" s="1502" t="s">
        <v>577</v>
      </c>
      <c r="D3" s="1483" t="s">
        <v>578</v>
      </c>
      <c r="E3" s="1503" t="str">
        <f>_xlfn.XLOOKUP(F3,'Daily WDC'!B:B,'Daily WDC'!C:C)</f>
        <v>H2(40ton)</v>
      </c>
      <c r="F3" s="1499" t="s">
        <v>615</v>
      </c>
      <c r="G3" s="1481">
        <f>SUMIFS('Daily WDC'!$AJ$9:$AJ$582,'Daily WDC'!$A$9:$A$582,Jun.26!E3,'Daily WDC'!$B$9:$B$582,Jun.26!F3)</f>
        <v>300000</v>
      </c>
      <c r="H3" s="1481">
        <f>SUMIFS('Daily WDC'!$AK$9:$AK$582,'Daily WDC'!$A$9:$A$582,Jun.26!E3,'Daily WDC'!$B$9:$B$582,Jun.26!F3)</f>
        <v>38000</v>
      </c>
      <c r="I3" s="1481">
        <f>SUMIFS('Daily WDC'!$AL$9:$AL$582,'Daily WDC'!$A$9:$A$582,Jun.26!E3,'Daily WDC'!$B$9:$B$582,Jun.26!F3)</f>
        <v>357537</v>
      </c>
      <c r="J3" s="1481">
        <f>SUMIFS('Daily WDC'!$AM$9:$AM$582,'Daily WDC'!$A$9:$A$582,Jun.26!E3,'Daily WDC'!$B$9:$B$582,Jun.26!F3)</f>
        <v>45288.02</v>
      </c>
      <c r="K3" s="1504" t="e">
        <f>H3/G2</f>
        <v>#DIV/0!</v>
      </c>
      <c r="L3" s="1484" t="e">
        <f t="shared" ref="L3:L66" si="0">IF(K3&gt;1,"Achieved","Unachieved")</f>
        <v>#DIV/0!</v>
      </c>
    </row>
    <row r="4" spans="1:12">
      <c r="A4" s="1484">
        <v>2026</v>
      </c>
      <c r="B4" s="1484" t="s">
        <v>590</v>
      </c>
      <c r="C4" s="1502" t="s">
        <v>577</v>
      </c>
      <c r="D4" s="1483" t="s">
        <v>578</v>
      </c>
      <c r="E4" s="1503" t="str">
        <f>_xlfn.XLOOKUP(F4,'Daily WDC'!B:B,'Daily WDC'!C:C)</f>
        <v>H3(50ton)</v>
      </c>
      <c r="F4" s="1499" t="s">
        <v>616</v>
      </c>
      <c r="G4" s="1481">
        <f>SUMIFS('Daily WDC'!$AJ$9:$AJ$582,'Daily WDC'!$A$9:$A$582,Jun.26!E4,'Daily WDC'!$B$9:$B$582,Jun.26!F4)</f>
        <v>300000</v>
      </c>
      <c r="H4" s="1481">
        <f>SUMIFS('Daily WDC'!$AK$9:$AK$582,'Daily WDC'!$A$9:$A$582,Jun.26!E4,'Daily WDC'!$B$9:$B$582,Jun.26!F4)</f>
        <v>241584</v>
      </c>
      <c r="I4" s="1481">
        <f>SUMIFS('Daily WDC'!$AL$9:$AL$582,'Daily WDC'!$A$9:$A$582,Jun.26!E4,'Daily WDC'!$B$9:$B$582,Jun.26!F4)</f>
        <v>1542018</v>
      </c>
      <c r="J4" s="1481">
        <f>SUMIFS('Daily WDC'!$AM$9:$AM$582,'Daily WDC'!$A$9:$A$582,Jun.26!E4,'Daily WDC'!$B$9:$B$582,Jun.26!F4)</f>
        <v>1241756.25504</v>
      </c>
      <c r="K4" s="1504">
        <f t="shared" ref="K4:K24" si="1">H4/G4</f>
        <v>0.80528</v>
      </c>
      <c r="L4" s="1484" t="str">
        <f t="shared" si="0"/>
        <v>Unachieved</v>
      </c>
    </row>
    <row r="5" spans="1:12">
      <c r="A5" s="1484">
        <v>2026</v>
      </c>
      <c r="B5" s="1484" t="s">
        <v>590</v>
      </c>
      <c r="C5" s="1502" t="s">
        <v>577</v>
      </c>
      <c r="D5" s="1483" t="s">
        <v>578</v>
      </c>
      <c r="E5" s="1503" t="str">
        <f>_xlfn.XLOOKUP(F5,'Daily WDC'!B:B,'Daily WDC'!C:C)</f>
        <v>H3(50ton)</v>
      </c>
      <c r="F5" s="1499" t="s">
        <v>676</v>
      </c>
      <c r="G5" s="1481">
        <f>SUMIFS('Daily WDC'!$AJ$9:$AJ$582,'Daily WDC'!$A$9:$A$582,Jun.26!E5,'Daily WDC'!$B$9:$B$582,Jun.26!F5)</f>
        <v>0</v>
      </c>
      <c r="H5" s="1481">
        <f>SUMIFS('Daily WDC'!$AK$9:$AK$582,'Daily WDC'!$A$9:$A$582,Jun.26!E5,'Daily WDC'!$B$9:$B$582,Jun.26!F5)</f>
        <v>0</v>
      </c>
      <c r="I5" s="1481">
        <f>SUMIFS('Daily WDC'!$AL$9:$AL$582,'Daily WDC'!$A$9:$A$582,Jun.26!E5,'Daily WDC'!$B$9:$B$582,Jun.26!F5)</f>
        <v>0</v>
      </c>
      <c r="J5" s="1481">
        <f>SUMIFS('Daily WDC'!$AM$9:$AM$582,'Daily WDC'!$A$9:$A$582,Jun.26!E5,'Daily WDC'!$B$9:$B$582,Jun.26!F5)</f>
        <v>0</v>
      </c>
      <c r="K5" s="1504" t="e">
        <f t="shared" si="1"/>
        <v>#DIV/0!</v>
      </c>
      <c r="L5" s="1484" t="e">
        <f t="shared" si="0"/>
        <v>#DIV/0!</v>
      </c>
    </row>
    <row r="6" spans="1:12">
      <c r="A6" s="1484">
        <v>2026</v>
      </c>
      <c r="B6" s="1484" t="s">
        <v>590</v>
      </c>
      <c r="C6" s="1502" t="s">
        <v>577</v>
      </c>
      <c r="D6" s="1483" t="s">
        <v>578</v>
      </c>
      <c r="E6" s="1503" t="str">
        <f>_xlfn.XLOOKUP(F6,'Daily WDC'!B:B,'Daily WDC'!C:C)</f>
        <v>H5(50ton)</v>
      </c>
      <c r="F6" s="1499" t="s">
        <v>617</v>
      </c>
      <c r="G6" s="1481">
        <f>SUMIFS('Daily WDC'!$AJ$9:$AJ$582,'Daily WDC'!$A$9:$A$582,Jun.26!E6,'Daily WDC'!$B$9:$B$582,Jun.26!F6)</f>
        <v>348000</v>
      </c>
      <c r="H6" s="1481">
        <f>SUMIFS('Daily WDC'!$AK$9:$AK$582,'Daily WDC'!$A$9:$A$582,Jun.26!E6,'Daily WDC'!$B$9:$B$582,Jun.26!F6)</f>
        <v>127680</v>
      </c>
      <c r="I6" s="1481">
        <f>SUMIFS('Daily WDC'!$AL$9:$AL$582,'Daily WDC'!$A$9:$A$582,Jun.26!E6,'Daily WDC'!$B$9:$B$582,Jun.26!F6)</f>
        <v>1788740.8800000001</v>
      </c>
      <c r="J6" s="1481">
        <f>SUMIFS('Daily WDC'!$AM$9:$AM$582,'Daily WDC'!$A$9:$A$582,Jun.26!E6,'Daily WDC'!$B$9:$B$582,Jun.26!F6)</f>
        <v>656282.86080000002</v>
      </c>
      <c r="K6" s="1504">
        <f t="shared" si="1"/>
        <v>0.36689655172413793</v>
      </c>
      <c r="L6" s="1484" t="str">
        <f t="shared" si="0"/>
        <v>Unachieved</v>
      </c>
    </row>
    <row r="7" spans="1:12">
      <c r="A7" s="1484">
        <v>2026</v>
      </c>
      <c r="B7" s="1484" t="s">
        <v>590</v>
      </c>
      <c r="C7" s="1502" t="s">
        <v>577</v>
      </c>
      <c r="D7" s="1483" t="s">
        <v>578</v>
      </c>
      <c r="E7" s="1503" t="str">
        <f>_xlfn.XLOOKUP(F7,'Daily WDC'!B:B,'Daily WDC'!C:C)</f>
        <v>H6(50ton)</v>
      </c>
      <c r="F7" s="1499" t="s">
        <v>618</v>
      </c>
      <c r="G7" s="1481">
        <f>SUMIFS('Daily WDC'!$AJ$9:$AJ$582,'Daily WDC'!$A$9:$A$582,Jun.26!E7,'Daily WDC'!$B$9:$B$582,Jun.26!F7)</f>
        <v>284000</v>
      </c>
      <c r="H7" s="1481">
        <f>SUMIFS('Daily WDC'!$AK$9:$AK$582,'Daily WDC'!$A$9:$A$582,Jun.26!E7,'Daily WDC'!$B$9:$B$582,Jun.26!F7)</f>
        <v>264264</v>
      </c>
      <c r="I7" s="1481">
        <f>SUMIFS('Daily WDC'!$AL$9:$AL$582,'Daily WDC'!$A$9:$A$582,Jun.26!E7,'Daily WDC'!$B$9:$B$582,Jun.26!F7)</f>
        <v>1459777.04</v>
      </c>
      <c r="J7" s="1481">
        <f>SUMIFS('Daily WDC'!$AM$9:$AM$582,'Daily WDC'!$A$9:$A$582,Jun.26!E7,'Daily WDC'!$B$9:$B$582,Jun.26!F7)</f>
        <v>1358332.8158400001</v>
      </c>
      <c r="K7" s="1504">
        <f t="shared" si="1"/>
        <v>0.9305070422535211</v>
      </c>
      <c r="L7" s="1484" t="str">
        <f t="shared" si="0"/>
        <v>Unachieved</v>
      </c>
    </row>
    <row r="8" spans="1:12">
      <c r="A8" s="1484">
        <v>2026</v>
      </c>
      <c r="B8" s="1484" t="s">
        <v>590</v>
      </c>
      <c r="C8" s="1502" t="s">
        <v>577</v>
      </c>
      <c r="D8" s="1483" t="s">
        <v>578</v>
      </c>
      <c r="E8" s="1503" t="str">
        <f>_xlfn.XLOOKUP(F8,'Daily WDC'!B:B,'Daily WDC'!C:C)</f>
        <v>H6(50ton)</v>
      </c>
      <c r="F8" s="1499" t="s">
        <v>685</v>
      </c>
      <c r="G8" s="1481">
        <f>SUMIFS('Daily WDC'!$AJ$9:$AJ$582,'Daily WDC'!$A$9:$A$582,Jun.26!E8,'Daily WDC'!$B$9:$B$582,Jun.26!F8)</f>
        <v>0</v>
      </c>
      <c r="H8" s="1481">
        <f>SUMIFS('Daily WDC'!$AK$9:$AK$582,'Daily WDC'!$A$9:$A$582,Jun.26!E8,'Daily WDC'!$B$9:$B$582,Jun.26!F8)</f>
        <v>0</v>
      </c>
      <c r="I8" s="1481">
        <f>SUMIFS('Daily WDC'!$AL$9:$AL$582,'Daily WDC'!$A$9:$A$582,Jun.26!E8,'Daily WDC'!$B$9:$B$582,Jun.26!F8)</f>
        <v>0</v>
      </c>
      <c r="J8" s="1481">
        <f>SUMIFS('Daily WDC'!$AM$9:$AM$582,'Daily WDC'!$A$9:$A$582,Jun.26!E8,'Daily WDC'!$B$9:$B$582,Jun.26!F8)</f>
        <v>0</v>
      </c>
      <c r="K8" s="1504" t="e">
        <f t="shared" si="1"/>
        <v>#DIV/0!</v>
      </c>
      <c r="L8" s="1484" t="e">
        <f t="shared" si="0"/>
        <v>#DIV/0!</v>
      </c>
    </row>
    <row r="9" spans="1:12">
      <c r="A9" s="1484">
        <v>2026</v>
      </c>
      <c r="B9" s="1484" t="s">
        <v>590</v>
      </c>
      <c r="C9" s="1502" t="s">
        <v>577</v>
      </c>
      <c r="D9" s="1483" t="s">
        <v>578</v>
      </c>
      <c r="E9" s="1503" t="str">
        <f>_xlfn.XLOOKUP(F9,'Daily WDC'!B:B,'Daily WDC'!C:C)</f>
        <v>H7(50ton)</v>
      </c>
      <c r="F9" s="1499" t="s">
        <v>688</v>
      </c>
      <c r="G9" s="1481">
        <f>SUMIFS('Daily WDC'!$AJ$9:$AJ$582,'Daily WDC'!$A$9:$A$582,Jun.26!E9,'Daily WDC'!$B$9:$B$582,Jun.26!F9)</f>
        <v>270000</v>
      </c>
      <c r="H9" s="1481">
        <f>SUMIFS('Daily WDC'!$AK$9:$AK$582,'Daily WDC'!$A$9:$A$582,Jun.26!E9,'Daily WDC'!$B$9:$B$582,Jun.26!F9)</f>
        <v>215208</v>
      </c>
      <c r="I9" s="1481">
        <f>SUMIFS('Daily WDC'!$AL$9:$AL$582,'Daily WDC'!$A$9:$A$582,Jun.26!E9,'Daily WDC'!$B$9:$B$582,Jun.26!F9)</f>
        <v>1110982.5</v>
      </c>
      <c r="J9" s="1481">
        <f>SUMIFS('Daily WDC'!$AM$9:$AM$582,'Daily WDC'!$A$9:$A$582,Jun.26!E9,'Daily WDC'!$B$9:$B$582,Jun.26!F9)</f>
        <v>885527.11800000002</v>
      </c>
      <c r="K9" s="1504">
        <f t="shared" si="1"/>
        <v>0.7970666666666667</v>
      </c>
      <c r="L9" s="1484" t="str">
        <f t="shared" si="0"/>
        <v>Unachieved</v>
      </c>
    </row>
    <row r="10" spans="1:12">
      <c r="A10" s="1484">
        <v>2026</v>
      </c>
      <c r="B10" s="1484" t="s">
        <v>590</v>
      </c>
      <c r="C10" s="1502" t="s">
        <v>577</v>
      </c>
      <c r="D10" s="1483" t="s">
        <v>578</v>
      </c>
      <c r="E10" s="1503" t="str">
        <f>_xlfn.XLOOKUP(F10,'Daily WDC'!B:B,'Daily WDC'!C:C)</f>
        <v>H8(50ton)</v>
      </c>
      <c r="F10" s="1499" t="s">
        <v>619</v>
      </c>
      <c r="G10" s="1481">
        <f>SUMIFS('Daily WDC'!$AJ$9:$AJ$582,'Daily WDC'!$A$9:$A$582,Jun.26!E10,'Daily WDC'!$B$9:$B$582,Jun.26!F10)</f>
        <v>240000</v>
      </c>
      <c r="H10" s="1481">
        <f>SUMIFS('Daily WDC'!$AK$9:$AK$582,'Daily WDC'!$A$9:$A$582,Jun.26!E10,'Daily WDC'!$B$9:$B$582,Jun.26!F10)</f>
        <v>182400</v>
      </c>
      <c r="I10" s="1481">
        <f>SUMIFS('Daily WDC'!$AL$9:$AL$582,'Daily WDC'!$A$9:$A$582,Jun.26!E10,'Daily WDC'!$B$9:$B$582,Jun.26!F10)</f>
        <v>1403613.6</v>
      </c>
      <c r="J10" s="1481">
        <f>SUMIFS('Daily WDC'!$AM$9:$AM$582,'Daily WDC'!$A$9:$A$582,Jun.26!E10,'Daily WDC'!$B$9:$B$582,Jun.26!F10)</f>
        <v>1066746.3360000001</v>
      </c>
      <c r="K10" s="1504">
        <f t="shared" si="1"/>
        <v>0.76</v>
      </c>
      <c r="L10" s="1484" t="str">
        <f t="shared" si="0"/>
        <v>Unachieved</v>
      </c>
    </row>
    <row r="11" spans="1:12">
      <c r="A11" s="1484">
        <v>2026</v>
      </c>
      <c r="B11" s="1484" t="s">
        <v>590</v>
      </c>
      <c r="C11" s="1502" t="s">
        <v>577</v>
      </c>
      <c r="D11" s="1483" t="s">
        <v>578</v>
      </c>
      <c r="E11" s="1503" t="str">
        <f>_xlfn.XLOOKUP(F11,'Daily WDC'!B:B,'Daily WDC'!C:C)</f>
        <v>H9(50ton)</v>
      </c>
      <c r="F11" s="1499" t="s">
        <v>620</v>
      </c>
      <c r="G11" s="1481">
        <f>SUMIFS('Daily WDC'!$AJ$9:$AJ$582,'Daily WDC'!$A$9:$A$582,Jun.26!E11,'Daily WDC'!$B$9:$B$582,Jun.26!F11)</f>
        <v>260000</v>
      </c>
      <c r="H11" s="1481">
        <f>SUMIFS('Daily WDC'!$AK$9:$AK$582,'Daily WDC'!$A$9:$A$582,Jun.26!E11,'Daily WDC'!$B$9:$B$582,Jun.26!F11)</f>
        <v>300000</v>
      </c>
      <c r="I11" s="1481">
        <f>SUMIFS('Daily WDC'!$AL$9:$AL$582,'Daily WDC'!$A$9:$A$582,Jun.26!E11,'Daily WDC'!$B$9:$B$582,Jun.26!F11)</f>
        <v>1520581.4000000001</v>
      </c>
      <c r="J11" s="1481">
        <f>SUMIFS('Daily WDC'!$AM$9:$AM$582,'Daily WDC'!$A$9:$A$582,Jun.26!E11,'Daily WDC'!$B$9:$B$582,Jun.26!F11)</f>
        <v>1754517</v>
      </c>
      <c r="K11" s="1504">
        <f t="shared" si="1"/>
        <v>1.1538461538461537</v>
      </c>
      <c r="L11" s="1484" t="str">
        <f t="shared" si="0"/>
        <v>Achieved</v>
      </c>
    </row>
    <row r="12" spans="1:12">
      <c r="A12" s="1484">
        <v>2026</v>
      </c>
      <c r="B12" s="1484" t="s">
        <v>590</v>
      </c>
      <c r="C12" s="1502" t="s">
        <v>577</v>
      </c>
      <c r="D12" s="1483" t="s">
        <v>578</v>
      </c>
      <c r="E12" s="1503" t="str">
        <f>_xlfn.XLOOKUP(F12,'Daily WDC'!B:B,'Daily WDC'!C:C)</f>
        <v>H9(50ton)</v>
      </c>
      <c r="F12" s="1499" t="s">
        <v>682</v>
      </c>
      <c r="G12" s="1481">
        <f>SUMIFS('Daily WDC'!$AJ$9:$AJ$582,'Daily WDC'!$A$9:$A$582,Jun.26!E12,'Daily WDC'!$B$9:$B$582,Jun.26!F12)</f>
        <v>0</v>
      </c>
      <c r="H12" s="1481">
        <f>SUMIFS('Daily WDC'!$AK$9:$AK$582,'Daily WDC'!$A$9:$A$582,Jun.26!E12,'Daily WDC'!$B$9:$B$582,Jun.26!F12)</f>
        <v>0</v>
      </c>
      <c r="I12" s="1481">
        <f>SUMIFS('Daily WDC'!$AL$9:$AL$582,'Daily WDC'!$A$9:$A$582,Jun.26!E12,'Daily WDC'!$B$9:$B$582,Jun.26!F12)</f>
        <v>0</v>
      </c>
      <c r="J12" s="1481">
        <f>SUMIFS('Daily WDC'!$AM$9:$AM$582,'Daily WDC'!$A$9:$A$582,Jun.26!E12,'Daily WDC'!$B$9:$B$582,Jun.26!F12)</f>
        <v>0</v>
      </c>
      <c r="K12" s="1504" t="e">
        <f t="shared" si="1"/>
        <v>#DIV/0!</v>
      </c>
      <c r="L12" s="1484" t="e">
        <f t="shared" si="0"/>
        <v>#DIV/0!</v>
      </c>
    </row>
    <row r="13" spans="1:12">
      <c r="A13" s="1484">
        <v>2026</v>
      </c>
      <c r="B13" s="1484" t="s">
        <v>590</v>
      </c>
      <c r="C13" s="1502" t="s">
        <v>577</v>
      </c>
      <c r="D13" s="1483" t="s">
        <v>578</v>
      </c>
      <c r="E13" s="1503" t="str">
        <f>_xlfn.XLOOKUP(F13,'Daily WDC'!B:B,'Daily WDC'!C:C)</f>
        <v>H9(50ton)</v>
      </c>
      <c r="F13" s="1499" t="s">
        <v>681</v>
      </c>
      <c r="G13" s="1481">
        <f>SUMIFS('Daily WDC'!$AJ$9:$AJ$582,'Daily WDC'!$A$9:$A$582,Jun.26!E13,'Daily WDC'!$B$9:$B$582,Jun.26!F13)</f>
        <v>0</v>
      </c>
      <c r="H13" s="1481">
        <f>SUMIFS('Daily WDC'!$AK$9:$AK$582,'Daily WDC'!$A$9:$A$582,Jun.26!E13,'Daily WDC'!$B$9:$B$582,Jun.26!F13)</f>
        <v>0</v>
      </c>
      <c r="I13" s="1481">
        <f>SUMIFS('Daily WDC'!$AL$9:$AL$582,'Daily WDC'!$A$9:$A$582,Jun.26!E13,'Daily WDC'!$B$9:$B$582,Jun.26!F13)</f>
        <v>0</v>
      </c>
      <c r="J13" s="1481">
        <f>SUMIFS('Daily WDC'!$AM$9:$AM$582,'Daily WDC'!$A$9:$A$582,Jun.26!E13,'Daily WDC'!$B$9:$B$582,Jun.26!F13)</f>
        <v>0</v>
      </c>
      <c r="K13" s="1504" t="e">
        <f t="shared" si="1"/>
        <v>#DIV/0!</v>
      </c>
      <c r="L13" s="1484" t="e">
        <f t="shared" si="0"/>
        <v>#DIV/0!</v>
      </c>
    </row>
    <row r="14" spans="1:12">
      <c r="A14" s="1484">
        <v>2026</v>
      </c>
      <c r="B14" s="1484" t="s">
        <v>590</v>
      </c>
      <c r="C14" s="1502" t="s">
        <v>577</v>
      </c>
      <c r="D14" s="1483" t="s">
        <v>578</v>
      </c>
      <c r="E14" s="1503" t="str">
        <f>_xlfn.XLOOKUP(F14,'Daily WDC'!B:B,'Daily WDC'!C:C)</f>
        <v>H10(50ton)</v>
      </c>
      <c r="F14" s="1499" t="s">
        <v>621</v>
      </c>
      <c r="G14" s="1481">
        <f>SUMIFS('Daily WDC'!$AJ$9:$AJ$582,'Daily WDC'!$A$9:$A$582,Jun.26!E14,'Daily WDC'!$B$9:$B$582,Jun.26!F14)</f>
        <v>120000</v>
      </c>
      <c r="H14" s="1481">
        <f>SUMIFS('Daily WDC'!$AK$9:$AK$582,'Daily WDC'!$A$9:$A$582,Jun.26!E14,'Daily WDC'!$B$9:$B$582,Jun.26!F14)</f>
        <v>102144</v>
      </c>
      <c r="I14" s="1481">
        <f>SUMIFS('Daily WDC'!$AL$9:$AL$582,'Daily WDC'!$A$9:$A$582,Jun.26!E14,'Daily WDC'!$B$9:$B$582,Jun.26!F14)</f>
        <v>311809.2</v>
      </c>
      <c r="J14" s="1481">
        <f>SUMIFS('Daily WDC'!$AM$9:$AM$582,'Daily WDC'!$A$9:$A$582,Jun.26!E14,'Daily WDC'!$B$9:$B$582,Jun.26!F14)</f>
        <v>265411.99103999999</v>
      </c>
      <c r="K14" s="1504">
        <f t="shared" si="1"/>
        <v>0.85119999999999996</v>
      </c>
      <c r="L14" s="1484" t="str">
        <f t="shared" si="0"/>
        <v>Unachieved</v>
      </c>
    </row>
    <row r="15" spans="1:12">
      <c r="A15" s="1484">
        <v>2026</v>
      </c>
      <c r="B15" s="1484" t="s">
        <v>590</v>
      </c>
      <c r="C15" s="1502" t="s">
        <v>577</v>
      </c>
      <c r="D15" s="1483" t="s">
        <v>578</v>
      </c>
      <c r="E15" s="1503" t="str">
        <f>_xlfn.XLOOKUP(F15,'Daily WDC'!B:B,'Daily WDC'!C:C)</f>
        <v>H10(50ton)</v>
      </c>
      <c r="F15" s="1499" t="s">
        <v>684</v>
      </c>
      <c r="G15" s="1481">
        <f>SUMIFS('Daily WDC'!$AJ$9:$AJ$582,'Daily WDC'!$A$9:$A$582,Jun.26!E15,'Daily WDC'!$B$9:$B$582,Jun.26!F15)</f>
        <v>0</v>
      </c>
      <c r="H15" s="1481">
        <f>SUMIFS('Daily WDC'!$AK$9:$AK$582,'Daily WDC'!$A$9:$A$582,Jun.26!E15,'Daily WDC'!$B$9:$B$582,Jun.26!F15)</f>
        <v>0</v>
      </c>
      <c r="I15" s="1481">
        <f>SUMIFS('Daily WDC'!$AL$9:$AL$582,'Daily WDC'!$A$9:$A$582,Jun.26!E15,'Daily WDC'!$B$9:$B$582,Jun.26!F15)</f>
        <v>0</v>
      </c>
      <c r="J15" s="1481">
        <f>SUMIFS('Daily WDC'!$AM$9:$AM$582,'Daily WDC'!$A$9:$A$582,Jun.26!E15,'Daily WDC'!$B$9:$B$582,Jun.26!F15)</f>
        <v>0</v>
      </c>
      <c r="K15" s="1504" t="e">
        <f t="shared" si="1"/>
        <v>#DIV/0!</v>
      </c>
      <c r="L15" s="1484" t="e">
        <f t="shared" si="0"/>
        <v>#DIV/0!</v>
      </c>
    </row>
    <row r="16" spans="1:12">
      <c r="A16" s="1484">
        <v>2026</v>
      </c>
      <c r="B16" s="1484" t="s">
        <v>590</v>
      </c>
      <c r="C16" s="1502" t="s">
        <v>577</v>
      </c>
      <c r="D16" s="1483" t="s">
        <v>578</v>
      </c>
      <c r="E16" s="1503" t="str">
        <f>_xlfn.XLOOKUP(F16,'Daily WDC'!B:B,'Daily WDC'!C:C)</f>
        <v>H11(50Ton)</v>
      </c>
      <c r="F16" s="1499" t="s">
        <v>686</v>
      </c>
      <c r="G16" s="1481">
        <f>SUMIFS('Daily WDC'!$AJ$9:$AJ$582,'Daily WDC'!$A$9:$A$582,Jun.26!E16,'Daily WDC'!$B$9:$B$582,Jun.26!F16)</f>
        <v>0</v>
      </c>
      <c r="H16" s="1481">
        <f>SUMIFS('Daily WDC'!$AK$9:$AK$582,'Daily WDC'!$A$9:$A$582,Jun.26!E16,'Daily WDC'!$B$9:$B$582,Jun.26!F16)</f>
        <v>0</v>
      </c>
      <c r="I16" s="1481">
        <f>SUMIFS('Daily WDC'!$AL$9:$AL$582,'Daily WDC'!$A$9:$A$582,Jun.26!E16,'Daily WDC'!$B$9:$B$582,Jun.26!F16)</f>
        <v>0</v>
      </c>
      <c r="J16" s="1481">
        <f>SUMIFS('Daily WDC'!$AM$9:$AM$582,'Daily WDC'!$A$9:$A$582,Jun.26!E16,'Daily WDC'!$B$9:$B$582,Jun.26!F16)</f>
        <v>0</v>
      </c>
      <c r="K16" s="1504" t="e">
        <f t="shared" si="1"/>
        <v>#DIV/0!</v>
      </c>
      <c r="L16" s="1484" t="e">
        <f t="shared" si="0"/>
        <v>#DIV/0!</v>
      </c>
    </row>
    <row r="17" spans="1:12">
      <c r="A17" s="1484">
        <v>2026</v>
      </c>
      <c r="B17" s="1484" t="s">
        <v>590</v>
      </c>
      <c r="C17" s="1502" t="s">
        <v>577</v>
      </c>
      <c r="D17" s="1483" t="s">
        <v>578</v>
      </c>
      <c r="E17" s="1503" t="str">
        <f>_xlfn.XLOOKUP(F17,'Daily WDC'!B:B,'Daily WDC'!C:C)</f>
        <v>H11(50ton)</v>
      </c>
      <c r="F17" s="1499" t="s">
        <v>622</v>
      </c>
      <c r="G17" s="1481">
        <f>SUMIFS('Daily WDC'!$AJ$9:$AJ$582,'Daily WDC'!$A$9:$A$582,Jun.26!E17,'Daily WDC'!$B$9:$B$582,Jun.26!F17)</f>
        <v>141000</v>
      </c>
      <c r="H17" s="1481">
        <f>SUMIFS('Daily WDC'!$AK$9:$AK$582,'Daily WDC'!$A$9:$A$582,Jun.26!E17,'Daily WDC'!$B$9:$B$582,Jun.26!F17)</f>
        <v>144480</v>
      </c>
      <c r="I17" s="1481">
        <f>SUMIFS('Daily WDC'!$AL$9:$AL$582,'Daily WDC'!$A$9:$A$582,Jun.26!E17,'Daily WDC'!$B$9:$B$582,Jun.26!F17)</f>
        <v>593105.22000000009</v>
      </c>
      <c r="J17" s="1481">
        <f>SUMIFS('Daily WDC'!$AM$9:$AM$582,'Daily WDC'!$A$9:$A$582,Jun.26!E17,'Daily WDC'!$B$9:$B$582,Jun.26!F17)</f>
        <v>607743.56160000002</v>
      </c>
      <c r="K17" s="1504">
        <f t="shared" si="1"/>
        <v>1.0246808510638299</v>
      </c>
      <c r="L17" s="1484" t="str">
        <f t="shared" si="0"/>
        <v>Achieved</v>
      </c>
    </row>
    <row r="18" spans="1:12">
      <c r="A18" s="1484">
        <v>2026</v>
      </c>
      <c r="B18" s="1484" t="s">
        <v>590</v>
      </c>
      <c r="C18" s="1502" t="s">
        <v>577</v>
      </c>
      <c r="D18" s="1483" t="s">
        <v>578</v>
      </c>
      <c r="E18" s="1503" t="str">
        <f>_xlfn.XLOOKUP(F18,'Daily WDC'!B:B,'Daily WDC'!C:C)</f>
        <v>H15(50ton)</v>
      </c>
      <c r="F18" s="1499" t="s">
        <v>623</v>
      </c>
      <c r="G18" s="1481">
        <f>SUMIFS('Daily WDC'!$AJ$9:$AJ$582,'Daily WDC'!$A$9:$A$582,Jun.26!E18,'Daily WDC'!$B$9:$B$582,Jun.26!F18)</f>
        <v>200000</v>
      </c>
      <c r="H18" s="1481">
        <f>SUMIFS('Daily WDC'!$AK$9:$AK$582,'Daily WDC'!$A$9:$A$582,Jun.26!E18,'Daily WDC'!$B$9:$B$582,Jun.26!F18)</f>
        <v>162400</v>
      </c>
      <c r="I18" s="1481">
        <f>SUMIFS('Daily WDC'!$AL$9:$AL$582,'Daily WDC'!$A$9:$A$582,Jun.26!E18,'Daily WDC'!$B$9:$B$582,Jun.26!F18)</f>
        <v>889829.99999999988</v>
      </c>
      <c r="J18" s="1481">
        <f>SUMIFS('Daily WDC'!$AM$9:$AM$582,'Daily WDC'!$A$9:$A$582,Jun.26!E18,'Daily WDC'!$B$9:$B$582,Jun.26!F18)</f>
        <v>722541.96</v>
      </c>
      <c r="K18" s="1504">
        <f t="shared" si="1"/>
        <v>0.81200000000000006</v>
      </c>
      <c r="L18" s="1484" t="str">
        <f t="shared" si="0"/>
        <v>Unachieved</v>
      </c>
    </row>
    <row r="19" spans="1:12">
      <c r="A19" s="1484">
        <v>2026</v>
      </c>
      <c r="B19" s="1484" t="s">
        <v>590</v>
      </c>
      <c r="C19" s="1502" t="s">
        <v>577</v>
      </c>
      <c r="D19" s="1483" t="s">
        <v>578</v>
      </c>
      <c r="E19" s="1503" t="str">
        <f>_xlfn.XLOOKUP(F19,'Daily WDC'!B:B,'Daily WDC'!C:C)</f>
        <v>H16(50ton)</v>
      </c>
      <c r="F19" s="1499" t="s">
        <v>624</v>
      </c>
      <c r="G19" s="1481">
        <f>SUMIFS('Daily WDC'!$AJ$9:$AJ$582,'Daily WDC'!$A$9:$A$582,Jun.26!E19,'Daily WDC'!$B$9:$B$582,Jun.26!F19)</f>
        <v>259000</v>
      </c>
      <c r="H19" s="1481">
        <f>SUMIFS('Daily WDC'!$AK$9:$AK$582,'Daily WDC'!$A$9:$A$582,Jun.26!E19,'Daily WDC'!$B$9:$B$582,Jun.26!F19)</f>
        <v>260064</v>
      </c>
      <c r="I19" s="1481">
        <f>SUMIFS('Daily WDC'!$AL$9:$AL$582,'Daily WDC'!$A$9:$A$582,Jun.26!E19,'Daily WDC'!$B$9:$B$582,Jun.26!F19)</f>
        <v>1089462.78</v>
      </c>
      <c r="J19" s="1481">
        <f>SUMIFS('Daily WDC'!$AM$9:$AM$582,'Daily WDC'!$A$9:$A$582,Jun.26!E19,'Daily WDC'!$B$9:$B$582,Jun.26!F19)</f>
        <v>1093938.4108800001</v>
      </c>
      <c r="K19" s="1504">
        <f t="shared" si="1"/>
        <v>1.004108108108108</v>
      </c>
      <c r="L19" s="1484" t="str">
        <f t="shared" si="0"/>
        <v>Achieved</v>
      </c>
    </row>
    <row r="20" spans="1:12">
      <c r="A20" s="1484">
        <v>2026</v>
      </c>
      <c r="B20" s="1484" t="s">
        <v>590</v>
      </c>
      <c r="C20" s="1502" t="s">
        <v>577</v>
      </c>
      <c r="D20" s="1483" t="s">
        <v>578</v>
      </c>
      <c r="E20" s="1503" t="str">
        <f>_xlfn.XLOOKUP(F20,'Daily WDC'!B:B,'Daily WDC'!C:C)</f>
        <v>H22(50ton)</v>
      </c>
      <c r="F20" s="1499" t="s">
        <v>625</v>
      </c>
      <c r="G20" s="1481">
        <f>SUMIFS('Daily WDC'!$AJ$9:$AJ$582,'Daily WDC'!$A$9:$A$582,Jun.26!E20,'Daily WDC'!$B$9:$B$582,Jun.26!F20)</f>
        <v>148000</v>
      </c>
      <c r="H20" s="1481">
        <f>SUMIFS('Daily WDC'!$AK$9:$AK$582,'Daily WDC'!$A$9:$A$582,Jun.26!E20,'Daily WDC'!$B$9:$B$582,Jun.26!F20)</f>
        <v>199920</v>
      </c>
      <c r="I20" s="1481">
        <f>SUMIFS('Daily WDC'!$AL$9:$AL$582,'Daily WDC'!$A$9:$A$582,Jun.26!E20,'Daily WDC'!$B$9:$B$582,Jun.26!F20)</f>
        <v>760728.88</v>
      </c>
      <c r="J20" s="1481">
        <f>SUMIFS('Daily WDC'!$AM$9:$AM$582,'Daily WDC'!$A$9:$A$582,Jun.26!E20,'Daily WDC'!$B$9:$B$582,Jun.26!F20)</f>
        <v>1027600.7952000001</v>
      </c>
      <c r="K20" s="1504">
        <f t="shared" si="1"/>
        <v>1.3508108108108108</v>
      </c>
      <c r="L20" s="1484" t="str">
        <f t="shared" si="0"/>
        <v>Achieved</v>
      </c>
    </row>
    <row r="21" spans="1:12">
      <c r="A21" s="1484">
        <v>2026</v>
      </c>
      <c r="B21" s="1484" t="s">
        <v>590</v>
      </c>
      <c r="C21" s="1503" t="s">
        <v>717</v>
      </c>
      <c r="D21" s="1483" t="s">
        <v>578</v>
      </c>
      <c r="E21" s="1503" t="str">
        <f>_xlfn.XLOOKUP(F21,'Daily Nidec'!B:B,'Daily Nidec'!C:C)</f>
        <v>H12(50ton)</v>
      </c>
      <c r="F21" s="1499" t="s">
        <v>626</v>
      </c>
      <c r="G21" s="1481">
        <f>SUMIFS('Daily Nidec'!$AJ$8:$AJ$35,'Daily Nidec'!$A$8:$A$35,Jun.26!E21,'Daily Nidec'!$B$8:$B$35,Jun.26!F21)</f>
        <v>19000</v>
      </c>
      <c r="H21" s="1481">
        <f>SUMIFS('Daily Nidec'!$AK$8:$AK$35,'Daily Nidec'!$A$8:$A$35,Jun.26!E21,'Daily Nidec'!$B$8:$B$35,Jun.26!F21)</f>
        <v>19040</v>
      </c>
      <c r="I21" s="1481">
        <f>SUMIFS('Daily Nidec'!$AL$8:$AL$35,'Daily Nidec'!$A$8:$A$35,Jun.26!E21,'Daily Nidec'!$B$8:$B$35,Jun.26!F21)</f>
        <v>73075.14</v>
      </c>
      <c r="J21" s="1481">
        <f>SUMIFS('Daily Nidec'!$AM$8:$AM$35,'Daily Nidec'!$A$8:$A$35,Jun.26!E21,'Daily Nidec'!$B$8:$B$35,Jun.26!F21)</f>
        <v>73228.982399999994</v>
      </c>
      <c r="K21" s="1504">
        <f t="shared" si="1"/>
        <v>1.0021052631578948</v>
      </c>
      <c r="L21" s="1484" t="str">
        <f t="shared" si="0"/>
        <v>Achieved</v>
      </c>
    </row>
    <row r="22" spans="1:12">
      <c r="A22" s="1484">
        <v>2026</v>
      </c>
      <c r="B22" s="1484" t="s">
        <v>590</v>
      </c>
      <c r="C22" s="1505" t="s">
        <v>4</v>
      </c>
      <c r="D22" s="1483" t="s">
        <v>578</v>
      </c>
      <c r="E22" s="1503" t="str">
        <f>_xlfn.XLOOKUP(F22,'Daily Seagate'!B:B,'Daily Seagate'!C:C)</f>
        <v>H17(50ton)</v>
      </c>
      <c r="F22" s="1499" t="s">
        <v>499</v>
      </c>
      <c r="G22" s="1481">
        <f>SUMIFS('Daily Seagate'!$AJ$9:$AJ$22,'Daily Seagate'!$A$9:$A$22,Jun.26!E22,'Daily Seagate'!$B$9:$B$22,Jun.26!F22)</f>
        <v>0</v>
      </c>
      <c r="H22" s="1481">
        <f>SUMIFS('Daily Seagate'!$AK$9:$AK$22,'Daily Seagate'!$A$9:$A$22,Jun.26!E22,'Daily Seagate'!$B$9:$B$22,Jun.26!F22)</f>
        <v>0</v>
      </c>
      <c r="I22" s="1481">
        <f>SUMIFS('Daily Seagate'!$AL$9:$AL$22,'Daily Seagate'!$A$9:$A$22,Jun.26!E22,'Daily Seagate'!$B$9:$B$22,Jun.26!F22)</f>
        <v>0</v>
      </c>
      <c r="J22" s="1481">
        <f>SUMIFS('Daily Seagate'!$AM$9:$AM$22,'Daily Seagate'!$A$9:$A$22,Jun.26!E22,'Daily Seagate'!$B$9:$B$22,Jun.26!F22)</f>
        <v>0</v>
      </c>
      <c r="K22" s="1504" t="e">
        <f t="shared" si="1"/>
        <v>#DIV/0!</v>
      </c>
      <c r="L22" s="1484" t="e">
        <f t="shared" si="0"/>
        <v>#DIV/0!</v>
      </c>
    </row>
    <row r="23" spans="1:12">
      <c r="A23" s="1484">
        <v>2026</v>
      </c>
      <c r="B23" s="1484" t="s">
        <v>590</v>
      </c>
      <c r="C23" s="1484" t="s">
        <v>691</v>
      </c>
      <c r="D23" s="1483" t="s">
        <v>578</v>
      </c>
      <c r="E23" s="1503" t="str">
        <f>_xlfn.XLOOKUP(F23,'Daily Belton'!B:B,'Daily Belton'!C:C)</f>
        <v>H19(110ton)</v>
      </c>
      <c r="F23" s="1482" t="s">
        <v>638</v>
      </c>
      <c r="G23" s="1481">
        <f>SUMIFS('Daily Belton'!$AJ$9:$AJ$64,'Daily Belton'!$A$9:$A$64,Jun.26!E23,'Daily Belton'!$B$9:$B$64,Jun.26!F23)</f>
        <v>600000</v>
      </c>
      <c r="H23" s="1481">
        <f>SUMIFS('Daily Belton'!$AK$9:$AK$64,'Daily Belton'!$A$9:$A$64,Jun.26!E23,'Daily Belton'!$B$9:$B$64,Jun.26!F23)</f>
        <v>612900</v>
      </c>
      <c r="I23" s="1481">
        <f>SUMIFS('Daily Belton'!$AL$9:$AL$64,'Daily Belton'!$A$9:$A$64,Jun.26!E23,'Daily Belton'!$B$9:$B$64,Jun.26!F23)</f>
        <v>2069460</v>
      </c>
      <c r="J23" s="1481">
        <f>SUMIFS('Daily Belton'!$AM$9:$AM$64,'Daily Belton'!$A$9:$A$64,Jun.26!E23,'Daily Belton'!$B$9:$B$64,Jun.26!F23)</f>
        <v>2113953.39</v>
      </c>
      <c r="K23" s="1504">
        <f t="shared" si="1"/>
        <v>1.0215000000000001</v>
      </c>
      <c r="L23" s="1484" t="str">
        <f t="shared" si="0"/>
        <v>Achieved</v>
      </c>
    </row>
    <row r="24" spans="1:12">
      <c r="A24" s="1484">
        <v>2026</v>
      </c>
      <c r="B24" s="1484" t="s">
        <v>590</v>
      </c>
      <c r="C24" s="1484" t="s">
        <v>691</v>
      </c>
      <c r="D24" s="1483" t="s">
        <v>578</v>
      </c>
      <c r="E24" s="1503" t="str">
        <f>_xlfn.XLOOKUP(F24,'Daily Belton'!B:B,'Daily Belton'!C:C)</f>
        <v>H18(110ton)</v>
      </c>
      <c r="F24" s="1482" t="s">
        <v>637</v>
      </c>
      <c r="G24" s="1481">
        <f>SUMIFS('Daily Belton'!$AJ$9:$AJ$64,'Daily Belton'!$A$9:$A$64,Jun.26!E24,'Daily Belton'!$B$9:$B$64,Jun.26!F24)</f>
        <v>0</v>
      </c>
      <c r="H24" s="1481">
        <f>SUMIFS('Daily Belton'!$AK$9:$AK$64,'Daily Belton'!$A$9:$A$64,Jun.26!E24,'Daily Belton'!$B$9:$B$64,Jun.26!F24)</f>
        <v>0</v>
      </c>
      <c r="I24" s="1481">
        <f>SUMIFS('Daily Belton'!$AL$9:$AL$64,'Daily Belton'!$A$9:$A$64,Jun.26!E24,'Daily Belton'!$B$9:$B$64,Jun.26!F24)</f>
        <v>0</v>
      </c>
      <c r="J24" s="1481">
        <f>SUMIFS('Daily Belton'!$AM$9:$AM$64,'Daily Belton'!$A$9:$A$64,Jun.26!E24,'Daily Belton'!$B$9:$B$64,Jun.26!F24)</f>
        <v>0</v>
      </c>
      <c r="K24" s="1504" t="e">
        <f t="shared" si="1"/>
        <v>#DIV/0!</v>
      </c>
      <c r="L24" s="1484" t="e">
        <f t="shared" si="0"/>
        <v>#DIV/0!</v>
      </c>
    </row>
    <row r="25" spans="1:12">
      <c r="A25" s="1484">
        <v>2026</v>
      </c>
      <c r="B25" s="1484" t="s">
        <v>590</v>
      </c>
      <c r="C25" s="1484" t="s">
        <v>692</v>
      </c>
      <c r="D25" s="1483" t="s">
        <v>578</v>
      </c>
      <c r="E25" s="1503" t="str">
        <f>_xlfn.XLOOKUP(F25,'Daily Belton'!B:B,'Daily Belton'!C:C)</f>
        <v>A1(75ton)</v>
      </c>
      <c r="F25" s="1482" t="s">
        <v>715</v>
      </c>
      <c r="G25" s="1481">
        <f>SUMIFS('Daily Belton'!$AJ$9:$AJ$64,'Daily Belton'!$A$9:$A$64,Jun.26!E25,'Daily Belton'!$B$9:$B$64,Jun.26!F25)</f>
        <v>0</v>
      </c>
      <c r="H25" s="1481">
        <f>SUMIFS('Daily Belton'!$AK$9:$AK$64,'Daily Belton'!$A$9:$A$64,Jun.26!E25,'Daily Belton'!$B$9:$B$64,Jun.26!F25)</f>
        <v>0</v>
      </c>
      <c r="I25" s="1481">
        <f>SUMIFS('Daily Belton'!$AL$9:$AL$64,'Daily Belton'!$A$9:$A$64,Jun.26!E25,'Daily Belton'!$B$9:$B$64,Jun.26!F25)</f>
        <v>0</v>
      </c>
      <c r="J25" s="1481">
        <f>SUMIFS('Daily Belton'!$AM$9:$AM$64,'Daily Belton'!$A$9:$A$64,Jun.26!E25,'Daily Belton'!$B$9:$B$64,Jun.26!F25)</f>
        <v>0</v>
      </c>
      <c r="K25" s="1504" t="e">
        <f>H25/G25</f>
        <v>#DIV/0!</v>
      </c>
      <c r="L25" s="1484" t="e">
        <f t="shared" si="0"/>
        <v>#DIV/0!</v>
      </c>
    </row>
    <row r="26" spans="1:12">
      <c r="A26" s="1484">
        <v>2026</v>
      </c>
      <c r="B26" s="1484" t="s">
        <v>590</v>
      </c>
      <c r="C26" s="1484" t="s">
        <v>692</v>
      </c>
      <c r="D26" s="1483" t="s">
        <v>578</v>
      </c>
      <c r="E26" s="1503" t="str">
        <f>_xlfn.XLOOKUP(F26,'Daily Belton'!B:B,'Daily Belton'!C:C)</f>
        <v>A1(75ton)</v>
      </c>
      <c r="F26" s="1482" t="s">
        <v>666</v>
      </c>
      <c r="G26" s="1481">
        <f>SUMIFS('Daily Belton'!$AJ$9:$AJ$64,'Daily Belton'!$A$9:$A$64,Jun.26!E26,'Daily Belton'!$B$9:$B$64,Jun.26!F26)</f>
        <v>300000</v>
      </c>
      <c r="H26" s="1481">
        <f>SUMIFS('Daily Belton'!$AK$9:$AK$64,'Daily Belton'!$A$9:$A$64,Jun.26!E26,'Daily Belton'!$B$9:$B$64,Jun.26!F26)</f>
        <v>301800</v>
      </c>
      <c r="I26" s="1481">
        <f>SUMIFS('Daily Belton'!$AL$9:$AL$64,'Daily Belton'!$A$9:$A$64,Jun.26!E26,'Daily Belton'!$B$9:$B$64,Jun.26!F26)</f>
        <v>493026.00000000006</v>
      </c>
      <c r="J26" s="1481">
        <f>SUMIFS('Daily Belton'!$AM$9:$AM$64,'Daily Belton'!$A$9:$A$64,Jun.26!E26,'Daily Belton'!$B$9:$B$64,Jun.26!F26)</f>
        <v>495984.15600000002</v>
      </c>
      <c r="K26" s="1504">
        <f>H26/G26</f>
        <v>1.006</v>
      </c>
      <c r="L26" s="1484" t="str">
        <f t="shared" si="0"/>
        <v>Achieved</v>
      </c>
    </row>
    <row r="27" spans="1:12">
      <c r="A27" s="1484">
        <v>2026</v>
      </c>
      <c r="B27" s="1484" t="s">
        <v>590</v>
      </c>
      <c r="C27" s="1506" t="s">
        <v>579</v>
      </c>
      <c r="D27" s="1483" t="s">
        <v>578</v>
      </c>
      <c r="E27" s="1503" t="str">
        <f>_xlfn.XLOOKUP(F27,'Daily Fujikura'!B:B,'Daily Fujikura'!C:C)</f>
        <v>A3(50Ton)</v>
      </c>
      <c r="F27" s="1482" t="s">
        <v>689</v>
      </c>
      <c r="G27" s="1481">
        <f>SUMIFS('Daily Fujikura'!$AJ$9:$AJ$50,'Daily Fujikura'!$A$9:$A$50,Jun.26!E27,'Daily Fujikura'!$B$9:$B$50,Jun.26!F27)</f>
        <v>0</v>
      </c>
      <c r="H27" s="1481">
        <f>SUMIFS('Daily Fujikura'!$AK$9:$AK$50,'Daily Fujikura'!$A$9:$A$50,Jun.26!E27,'Daily Fujikura'!$B$9:$B$50,Jun.26!F27)</f>
        <v>0</v>
      </c>
      <c r="I27" s="1481">
        <f>SUMIFS('Daily Fujikura'!$AL$9:$AL$50,'Daily Fujikura'!$A$9:$A$50,Jun.26!E27,'Daily Fujikura'!$B$9:$B$50,Jun.26!F27)</f>
        <v>0</v>
      </c>
      <c r="J27" s="1481">
        <f>SUMIFS('Daily Fujikura'!$AM$9:$AM$50,'Daily Fujikura'!$A$9:$A$50,Jun.26!E27,'Daily Fujikura'!$B$9:$B$50,Jun.26!F27)</f>
        <v>0</v>
      </c>
      <c r="K27" s="1504" t="e">
        <f>H27/G27</f>
        <v>#DIV/0!</v>
      </c>
      <c r="L27" s="1484" t="e">
        <f t="shared" si="0"/>
        <v>#DIV/0!</v>
      </c>
    </row>
    <row r="28" spans="1:12">
      <c r="A28" s="1484">
        <v>2026</v>
      </c>
      <c r="B28" s="1484" t="s">
        <v>590</v>
      </c>
      <c r="C28" s="1506" t="s">
        <v>579</v>
      </c>
      <c r="D28" s="1483" t="s">
        <v>578</v>
      </c>
      <c r="E28" s="1503" t="str">
        <f>_xlfn.XLOOKUP(F28,'Daily Fujikura'!B:B,'Daily Fujikura'!C:C)</f>
        <v>A4(40ton)</v>
      </c>
      <c r="F28" s="1482" t="s">
        <v>635</v>
      </c>
      <c r="G28" s="1481">
        <f>SUMIFS('Daily Fujikura'!$AJ$9:$AJ$50,'Daily Fujikura'!$A$9:$A$50,Jun.26!E28,'Daily Fujikura'!$B$9:$B$50,Jun.26!F28)</f>
        <v>250000</v>
      </c>
      <c r="H28" s="1481">
        <f>SUMIFS('Daily Fujikura'!$AK$9:$AK$50,'Daily Fujikura'!$A$9:$A$50,Jun.26!E28,'Daily Fujikura'!$B$9:$B$50,Jun.26!F28)</f>
        <v>228000</v>
      </c>
      <c r="I28" s="1481">
        <f>SUMIFS('Daily Fujikura'!$AL$9:$AL$50,'Daily Fujikura'!$A$9:$A$50,Jun.26!E28,'Daily Fujikura'!$B$9:$B$50,Jun.26!F28)</f>
        <v>699107.5</v>
      </c>
      <c r="J28" s="1481">
        <f>SUMIFS('Daily Fujikura'!$AM$9:$AM$50,'Daily Fujikura'!$A$9:$A$50,Jun.26!E28,'Daily Fujikura'!$B$9:$B$50,Jun.26!F28)</f>
        <v>637586.04</v>
      </c>
      <c r="K28" s="1504">
        <f>H28/G28</f>
        <v>0.91200000000000003</v>
      </c>
      <c r="L28" s="1484" t="str">
        <f t="shared" si="0"/>
        <v>Unachieved</v>
      </c>
    </row>
    <row r="29" spans="1:12">
      <c r="A29" s="1484">
        <v>2026</v>
      </c>
      <c r="B29" s="1484" t="s">
        <v>590</v>
      </c>
      <c r="C29" s="1506" t="s">
        <v>579</v>
      </c>
      <c r="D29" s="1483" t="s">
        <v>578</v>
      </c>
      <c r="E29" s="1503" t="str">
        <f>_xlfn.XLOOKUP(F29,'Daily Fujikura'!B:B,'Daily Fujikura'!C:C)</f>
        <v>A4(40ton)</v>
      </c>
      <c r="F29" s="1482" t="s">
        <v>636</v>
      </c>
      <c r="G29" s="1481">
        <f>SUMIFS('Daily Fujikura'!$AJ$9:$AJ$50,'Daily Fujikura'!$A$9:$A$50,Jun.26!E29,'Daily Fujikura'!$B$9:$B$50,Jun.26!F29)</f>
        <v>0</v>
      </c>
      <c r="H29" s="1481">
        <f>SUMIFS('Daily Fujikura'!$AK$9:$AK$50,'Daily Fujikura'!$A$9:$A$50,Jun.26!E29,'Daily Fujikura'!$B$9:$B$50,Jun.26!F29)</f>
        <v>24000</v>
      </c>
      <c r="I29" s="1481">
        <f>SUMIFS('Daily Fujikura'!$AL$9:$AL$50,'Daily Fujikura'!$A$9:$A$50,Jun.26!E29,'Daily Fujikura'!$B$9:$B$50,Jun.26!F29)</f>
        <v>0</v>
      </c>
      <c r="J29" s="1481">
        <f>SUMIFS('Daily Fujikura'!$AM$9:$AM$50,'Daily Fujikura'!$A$9:$A$50,Jun.26!E29,'Daily Fujikura'!$B$9:$B$50,Jun.26!F29)</f>
        <v>73741.439999999988</v>
      </c>
      <c r="K29" s="1507" t="e">
        <f>H29/G29</f>
        <v>#DIV/0!</v>
      </c>
      <c r="L29" s="1484" t="e">
        <f t="shared" si="0"/>
        <v>#DIV/0!</v>
      </c>
    </row>
    <row r="30" spans="1:12" s="1510" customFormat="1">
      <c r="A30" s="1484">
        <v>2026</v>
      </c>
      <c r="B30" s="1484" t="s">
        <v>590</v>
      </c>
      <c r="C30" s="1503" t="s">
        <v>577</v>
      </c>
      <c r="D30" s="1508" t="s">
        <v>576</v>
      </c>
      <c r="E30" s="1503" t="str">
        <f>_xlfn.XLOOKUP(F30,'Daily Ramp'!B:B,'Daily Ramp'!C:C)</f>
        <v>R1(75*75ton)</v>
      </c>
      <c r="F30" s="1499" t="s">
        <v>656</v>
      </c>
      <c r="G30" s="1509">
        <f>SUMIFS('Daily Ramp'!$AJ$8:$AJ$519,'Daily Ramp'!$A$8:$A$519,Jun.26!E30,'Daily Ramp'!$B$8:$B$519,Jun.26!F30)</f>
        <v>0</v>
      </c>
      <c r="H30" s="1509">
        <f>SUMIFS('Daily Ramp'!$AK$8:$AK$519,'Daily Ramp'!$A$8:$A$519,Jun.26!E30,'Daily Ramp'!$B$8:$B$519,Jun.26!F30)</f>
        <v>0</v>
      </c>
      <c r="I30" s="1509">
        <f>SUMIFS('Daily Ramp'!$AL$8:$AL$519,'Daily Ramp'!$A$8:$A$519,Jun.26!E30,'Daily Ramp'!$B$8:$B$519,Jun.26!F30)</f>
        <v>0</v>
      </c>
      <c r="J30" s="1509">
        <f>SUMIFS('Daily Ramp'!$AM$8:$AM$519,'Daily Ramp'!$A$8:$A$519,Jun.26!E30,'Daily Ramp'!$B$8:$B$519,Jun.26!F30)</f>
        <v>0</v>
      </c>
      <c r="K30" s="1507" t="e">
        <f t="shared" ref="K30:K38" si="2">H30/G30</f>
        <v>#DIV/0!</v>
      </c>
      <c r="L30" s="1484" t="e">
        <f t="shared" si="0"/>
        <v>#DIV/0!</v>
      </c>
    </row>
    <row r="31" spans="1:12">
      <c r="A31" s="1484">
        <v>2026</v>
      </c>
      <c r="B31" s="1484" t="s">
        <v>590</v>
      </c>
      <c r="C31" s="1484" t="s">
        <v>577</v>
      </c>
      <c r="D31" s="1483" t="s">
        <v>576</v>
      </c>
      <c r="E31" s="1503" t="str">
        <f>_xlfn.XLOOKUP(F31,'Daily Ramp'!B:B,'Daily Ramp'!C:C)</f>
        <v>R2(18ton)</v>
      </c>
      <c r="F31" s="1482" t="s">
        <v>667</v>
      </c>
      <c r="G31" s="1509">
        <f>SUMIFS('Daily Ramp'!$AJ$8:$AJ$519,'Daily Ramp'!$A$8:$A$519,Jun.26!E31,'Daily Ramp'!$B$8:$B$519,Jun.26!F31)</f>
        <v>300000</v>
      </c>
      <c r="H31" s="1509">
        <f>SUMIFS('Daily Ramp'!$AK$8:$AK$519,'Daily Ramp'!$A$8:$A$519,Jun.26!E31,'Daily Ramp'!$B$8:$B$519,Jun.26!F31)</f>
        <v>98280</v>
      </c>
      <c r="I31" s="1509">
        <f>SUMIFS('Daily Ramp'!$AL$8:$AL$519,'Daily Ramp'!$A$8:$A$519,Jun.26!E31,'Daily Ramp'!$B$8:$B$519,Jun.26!F31)</f>
        <v>1614579.0000000002</v>
      </c>
      <c r="J31" s="1509">
        <f>SUMIFS('Daily Ramp'!$AM$8:$AM$519,'Daily Ramp'!$A$8:$A$519,Jun.26!E31,'Daily Ramp'!$B$8:$B$519,Jun.26!F31)</f>
        <v>528936.08040000009</v>
      </c>
      <c r="K31" s="1504">
        <f t="shared" si="2"/>
        <v>0.3276</v>
      </c>
      <c r="L31" s="1484" t="str">
        <f t="shared" si="0"/>
        <v>Unachieved</v>
      </c>
    </row>
    <row r="32" spans="1:12">
      <c r="A32" s="1484">
        <v>2026</v>
      </c>
      <c r="B32" s="1484" t="s">
        <v>590</v>
      </c>
      <c r="C32" s="1484" t="s">
        <v>577</v>
      </c>
      <c r="D32" s="1483" t="s">
        <v>576</v>
      </c>
      <c r="E32" s="1503" t="str">
        <f>_xlfn.XLOOKUP(F32,'Daily Ramp'!B:B,'Daily Ramp'!C:C)</f>
        <v>R3(18ton)</v>
      </c>
      <c r="F32" s="1482" t="s">
        <v>649</v>
      </c>
      <c r="G32" s="1509">
        <f>SUMIFS('Daily Ramp'!$AJ$8:$AJ$519,'Daily Ramp'!$A$8:$A$519,Jun.26!E32,'Daily Ramp'!$B$8:$B$519,Jun.26!F32)</f>
        <v>0</v>
      </c>
      <c r="H32" s="1509">
        <f>SUMIFS('Daily Ramp'!$AK$8:$AK$519,'Daily Ramp'!$A$8:$A$519,Jun.26!E32,'Daily Ramp'!$B$8:$B$519,Jun.26!F32)</f>
        <v>0</v>
      </c>
      <c r="I32" s="1509">
        <f>SUMIFS('Daily Ramp'!$AL$8:$AL$519,'Daily Ramp'!$A$8:$A$519,Jun.26!E32,'Daily Ramp'!$B$8:$B$519,Jun.26!F32)</f>
        <v>0</v>
      </c>
      <c r="J32" s="1509">
        <f>SUMIFS('Daily Ramp'!$AM$8:$AM$519,'Daily Ramp'!$A$8:$A$519,Jun.26!E32,'Daily Ramp'!$B$8:$B$519,Jun.26!F32)</f>
        <v>0</v>
      </c>
      <c r="K32" s="1504" t="e">
        <f t="shared" si="2"/>
        <v>#DIV/0!</v>
      </c>
      <c r="L32" s="1484" t="e">
        <f t="shared" si="0"/>
        <v>#DIV/0!</v>
      </c>
    </row>
    <row r="33" spans="1:12">
      <c r="A33" s="1484">
        <v>2026</v>
      </c>
      <c r="B33" s="1484" t="s">
        <v>590</v>
      </c>
      <c r="C33" s="1484" t="s">
        <v>577</v>
      </c>
      <c r="D33" s="1483" t="s">
        <v>576</v>
      </c>
      <c r="E33" s="1503" t="str">
        <f>_xlfn.XLOOKUP(F33,'Daily Ramp'!B:B,'Daily Ramp'!C:C)</f>
        <v>R4(18ton)</v>
      </c>
      <c r="F33" s="1482" t="s">
        <v>651</v>
      </c>
      <c r="G33" s="1509">
        <f>SUMIFS('Daily Ramp'!$AJ$8:$AJ$519,'Daily Ramp'!$A$8:$A$519,Jun.26!E33,'Daily Ramp'!$B$8:$B$519,Jun.26!F33)</f>
        <v>0</v>
      </c>
      <c r="H33" s="1509">
        <f>SUMIFS('Daily Ramp'!$AK$8:$AK$519,'Daily Ramp'!$A$8:$A$519,Jun.26!E33,'Daily Ramp'!$B$8:$B$519,Jun.26!F33)</f>
        <v>0</v>
      </c>
      <c r="I33" s="1509">
        <f>SUMIFS('Daily Ramp'!$AL$8:$AL$519,'Daily Ramp'!$A$8:$A$519,Jun.26!E33,'Daily Ramp'!$B$8:$B$519,Jun.26!F33)</f>
        <v>0</v>
      </c>
      <c r="J33" s="1509">
        <f>SUMIFS('Daily Ramp'!$AM$8:$AM$519,'Daily Ramp'!$A$8:$A$519,Jun.26!E33,'Daily Ramp'!$B$8:$B$519,Jun.26!F33)</f>
        <v>0</v>
      </c>
      <c r="K33" s="1504" t="e">
        <f t="shared" si="2"/>
        <v>#DIV/0!</v>
      </c>
      <c r="L33" s="1484" t="e">
        <f t="shared" si="0"/>
        <v>#DIV/0!</v>
      </c>
    </row>
    <row r="34" spans="1:12">
      <c r="A34" s="1484">
        <v>2026</v>
      </c>
      <c r="B34" s="1484" t="s">
        <v>590</v>
      </c>
      <c r="C34" s="1484" t="s">
        <v>577</v>
      </c>
      <c r="D34" s="1483" t="s">
        <v>576</v>
      </c>
      <c r="E34" s="1503" t="str">
        <f>_xlfn.XLOOKUP(F34,'Daily Ramp'!B:B,'Daily Ramp'!C:C)</f>
        <v>R5(18ton)</v>
      </c>
      <c r="F34" s="1482" t="s">
        <v>653</v>
      </c>
      <c r="G34" s="1509">
        <f>SUMIFS('Daily Ramp'!$AJ$8:$AJ$519,'Daily Ramp'!$A$8:$A$519,Jun.26!E34,'Daily Ramp'!$B$8:$B$519,Jun.26!F34)</f>
        <v>0</v>
      </c>
      <c r="H34" s="1509">
        <f>SUMIFS('Daily Ramp'!$AK$8:$AK$519,'Daily Ramp'!$A$8:$A$519,Jun.26!E34,'Daily Ramp'!$B$8:$B$519,Jun.26!F34)</f>
        <v>0</v>
      </c>
      <c r="I34" s="1509">
        <f>SUMIFS('Daily Ramp'!$AL$8:$AL$519,'Daily Ramp'!$A$8:$A$519,Jun.26!E34,'Daily Ramp'!$B$8:$B$519,Jun.26!F34)</f>
        <v>0</v>
      </c>
      <c r="J34" s="1509">
        <f>SUMIFS('Daily Ramp'!$AM$8:$AM$519,'Daily Ramp'!$A$8:$A$519,Jun.26!E34,'Daily Ramp'!$B$8:$B$519,Jun.26!F34)</f>
        <v>0</v>
      </c>
      <c r="K34" s="1504" t="e">
        <f t="shared" si="2"/>
        <v>#DIV/0!</v>
      </c>
      <c r="L34" s="1484" t="e">
        <f t="shared" si="0"/>
        <v>#DIV/0!</v>
      </c>
    </row>
    <row r="35" spans="1:12">
      <c r="A35" s="1484">
        <v>2026</v>
      </c>
      <c r="B35" s="1484" t="s">
        <v>590</v>
      </c>
      <c r="C35" s="1484" t="s">
        <v>577</v>
      </c>
      <c r="D35" s="1483" t="s">
        <v>576</v>
      </c>
      <c r="E35" s="1503" t="str">
        <f>_xlfn.XLOOKUP(F35,'Daily Ramp'!B:B,'Daily Ramp'!C:C)</f>
        <v>R5(18ton)</v>
      </c>
      <c r="F35" s="1482" t="s">
        <v>628</v>
      </c>
      <c r="G35" s="1509">
        <f>SUMIFS('Daily Ramp'!$AJ$8:$AJ$519,'Daily Ramp'!$A$8:$A$519,Jun.26!E35,'Daily Ramp'!$B$8:$B$519,Jun.26!F35)</f>
        <v>456000</v>
      </c>
      <c r="H35" s="1509">
        <f>SUMIFS('Daily Ramp'!$AK$8:$AK$519,'Daily Ramp'!$A$8:$A$519,Jun.26!E35,'Daily Ramp'!$B$8:$B$519,Jun.26!F35)</f>
        <v>553600</v>
      </c>
      <c r="I35" s="1509">
        <f>SUMIFS('Daily Ramp'!$AL$8:$AL$519,'Daily Ramp'!$A$8:$A$519,Jun.26!E35,'Daily Ramp'!$B$8:$B$519,Jun.26!F35)</f>
        <v>1683907.6800000002</v>
      </c>
      <c r="J35" s="1509">
        <f>SUMIFS('Daily Ramp'!$AM$8:$AM$519,'Daily Ramp'!$A$8:$A$519,Jun.26!E35,'Daily Ramp'!$B$8:$B$519,Jun.26!F35)</f>
        <v>2044323.0080000001</v>
      </c>
      <c r="K35" s="1504">
        <f t="shared" si="2"/>
        <v>1.2140350877192982</v>
      </c>
      <c r="L35" s="1484" t="str">
        <f t="shared" si="0"/>
        <v>Achieved</v>
      </c>
    </row>
    <row r="36" spans="1:12">
      <c r="A36" s="1484">
        <v>2026</v>
      </c>
      <c r="B36" s="1484" t="s">
        <v>590</v>
      </c>
      <c r="C36" s="1484" t="s">
        <v>577</v>
      </c>
      <c r="D36" s="1483" t="s">
        <v>576</v>
      </c>
      <c r="E36" s="1503" t="str">
        <f>_xlfn.XLOOKUP(F36,'Daily Ramp'!B:B,'Daily Ramp'!C:C)</f>
        <v xml:space="preserve">R16(18 ton) </v>
      </c>
      <c r="F36" s="1482" t="s">
        <v>716</v>
      </c>
      <c r="G36" s="1509">
        <f>SUMIFS('Daily Ramp'!$AJ$8:$AJ$519,'Daily Ramp'!$A$8:$A$519,Jun.26!E36,'Daily Ramp'!$B$8:$B$519,Jun.26!F36)</f>
        <v>344000</v>
      </c>
      <c r="H36" s="1509">
        <f>SUMIFS('Daily Ramp'!$AK$8:$AK$519,'Daily Ramp'!$A$8:$A$519,Jun.26!E36,'Daily Ramp'!$B$8:$B$519,Jun.26!F36)</f>
        <v>465600</v>
      </c>
      <c r="I36" s="1509">
        <f>SUMIFS('Daily Ramp'!$AL$8:$AL$519,'Daily Ramp'!$A$8:$A$519,Jun.26!E36,'Daily Ramp'!$B$8:$B$519,Jun.26!F36)</f>
        <v>1270316.32</v>
      </c>
      <c r="J36" s="1509">
        <f>SUMIFS('Daily Ramp'!$AM$8:$AM$519,'Daily Ramp'!$A$8:$A$519,Jun.26!E36,'Daily Ramp'!$B$8:$B$519,Jun.26!F36)</f>
        <v>1719358.3680000002</v>
      </c>
      <c r="K36" s="1504">
        <f t="shared" ref="K36" si="3">H36/G36</f>
        <v>1.3534883720930233</v>
      </c>
      <c r="L36" s="1484" t="str">
        <f t="shared" si="0"/>
        <v>Achieved</v>
      </c>
    </row>
    <row r="37" spans="1:12">
      <c r="A37" s="1484">
        <v>2026</v>
      </c>
      <c r="B37" s="1484" t="s">
        <v>590</v>
      </c>
      <c r="C37" s="1484" t="s">
        <v>577</v>
      </c>
      <c r="D37" s="1483" t="s">
        <v>576</v>
      </c>
      <c r="E37" s="1503" t="str">
        <f>_xlfn.XLOOKUP(F37,'Daily Ramp'!B:B,'Daily Ramp'!C:C)</f>
        <v>R6(18ton)</v>
      </c>
      <c r="F37" s="1482" t="s">
        <v>655</v>
      </c>
      <c r="G37" s="1509">
        <f>SUMIFS('Daily Ramp'!$AJ$8:$AJ$519,'Daily Ramp'!$A$8:$A$519,Jun.26!E37,'Daily Ramp'!$B$8:$B$519,Jun.26!F37)</f>
        <v>0</v>
      </c>
      <c r="H37" s="1509">
        <f>SUMIFS('Daily Ramp'!$AK$8:$AK$519,'Daily Ramp'!$A$8:$A$519,Jun.26!E37,'Daily Ramp'!$B$8:$B$519,Jun.26!F37)</f>
        <v>0</v>
      </c>
      <c r="I37" s="1509">
        <f>SUMIFS('Daily Ramp'!$AL$8:$AL$519,'Daily Ramp'!$A$8:$A$519,Jun.26!E37,'Daily Ramp'!$B$8:$B$519,Jun.26!F37)</f>
        <v>0</v>
      </c>
      <c r="J37" s="1509">
        <f>SUMIFS('Daily Ramp'!$AM$8:$AM$519,'Daily Ramp'!$A$8:$A$519,Jun.26!E37,'Daily Ramp'!$B$8:$B$519,Jun.26!F37)</f>
        <v>0</v>
      </c>
      <c r="K37" s="1504" t="e">
        <f t="shared" si="2"/>
        <v>#DIV/0!</v>
      </c>
      <c r="L37" s="1484" t="e">
        <f t="shared" si="0"/>
        <v>#DIV/0!</v>
      </c>
    </row>
    <row r="38" spans="1:12">
      <c r="A38" s="1484">
        <v>2026</v>
      </c>
      <c r="B38" s="1484" t="s">
        <v>590</v>
      </c>
      <c r="C38" s="1484" t="s">
        <v>577</v>
      </c>
      <c r="D38" s="1483" t="s">
        <v>576</v>
      </c>
      <c r="E38" s="1503" t="str">
        <f>_xlfn.XLOOKUP(F38,'Daily Ramp'!B:B,'Daily Ramp'!C:C)</f>
        <v>R7(75*75ton)</v>
      </c>
      <c r="F38" s="1482" t="s">
        <v>629</v>
      </c>
      <c r="G38" s="1509">
        <f>SUMIFS('Daily Ramp'!$AJ$8:$AJ$519,'Daily Ramp'!$A$8:$A$519,Jun.26!E38,'Daily Ramp'!$B$8:$B$519,Jun.26!F38)</f>
        <v>150000</v>
      </c>
      <c r="H38" s="1509">
        <f>SUMIFS('Daily Ramp'!$AK$8:$AK$519,'Daily Ramp'!$A$8:$A$519,Jun.26!E38,'Daily Ramp'!$B$8:$B$519,Jun.26!F38)</f>
        <v>158720</v>
      </c>
      <c r="I38" s="1509">
        <f>SUMIFS('Daily Ramp'!$AL$8:$AL$519,'Daily Ramp'!$A$8:$A$519,Jun.26!E38,'Daily Ramp'!$B$8:$B$519,Jun.26!F38)</f>
        <v>556983</v>
      </c>
      <c r="J38" s="1509">
        <f>SUMIFS('Daily Ramp'!$AM$8:$AM$519,'Daily Ramp'!$A$8:$A$519,Jun.26!E38,'Daily Ramp'!$B$8:$B$519,Jun.26!F38)</f>
        <v>589362.27839999995</v>
      </c>
      <c r="K38" s="1504">
        <f t="shared" si="2"/>
        <v>1.0581333333333334</v>
      </c>
      <c r="L38" s="1484" t="str">
        <f t="shared" si="0"/>
        <v>Achieved</v>
      </c>
    </row>
    <row r="39" spans="1:12">
      <c r="A39" s="1484">
        <v>2026</v>
      </c>
      <c r="B39" s="1484" t="s">
        <v>590</v>
      </c>
      <c r="C39" s="1484" t="s">
        <v>577</v>
      </c>
      <c r="D39" s="1483" t="s">
        <v>576</v>
      </c>
      <c r="E39" s="1503" t="str">
        <f>_xlfn.XLOOKUP(F39,'Daily Ramp'!B:B,'Daily Ramp'!C:C)</f>
        <v>R8(18ton)</v>
      </c>
      <c r="F39" s="1482" t="s">
        <v>630</v>
      </c>
      <c r="G39" s="1509">
        <f>SUMIFS('Daily Ramp'!$AJ$8:$AJ$519,'Daily Ramp'!$A$8:$A$519,Jun.26!E39,'Daily Ramp'!$B$8:$B$519,Jun.26!F39)</f>
        <v>150000</v>
      </c>
      <c r="H39" s="1509">
        <f>SUMIFS('Daily Ramp'!$AK$8:$AK$519,'Daily Ramp'!$A$8:$A$519,Jun.26!E39,'Daily Ramp'!$B$8:$B$519,Jun.26!F39)</f>
        <v>439200</v>
      </c>
      <c r="I39" s="1509">
        <f>SUMIFS('Daily Ramp'!$AL$8:$AL$519,'Daily Ramp'!$A$8:$A$519,Jun.26!E39,'Daily Ramp'!$B$8:$B$519,Jun.26!F39)</f>
        <v>658773</v>
      </c>
      <c r="J39" s="1509">
        <f>SUMIFS('Daily Ramp'!$AM$8:$AM$519,'Daily Ramp'!$A$8:$A$519,Jun.26!E39,'Daily Ramp'!$B$8:$B$519,Jun.26!F39)</f>
        <v>1928887.344</v>
      </c>
      <c r="K39" s="1504">
        <f t="shared" ref="K39:K69" si="4">H39/G39</f>
        <v>2.9279999999999999</v>
      </c>
      <c r="L39" s="1484" t="str">
        <f t="shared" si="0"/>
        <v>Achieved</v>
      </c>
    </row>
    <row r="40" spans="1:12">
      <c r="A40" s="1484">
        <v>2026</v>
      </c>
      <c r="B40" s="1484" t="s">
        <v>590</v>
      </c>
      <c r="C40" s="1484" t="s">
        <v>577</v>
      </c>
      <c r="D40" s="1483" t="s">
        <v>576</v>
      </c>
      <c r="E40" s="1503" t="str">
        <f>_xlfn.XLOOKUP(F40,'Daily Ramp'!B:B,'Daily Ramp'!C:C)</f>
        <v>R9(18ton)</v>
      </c>
      <c r="F40" s="1482" t="s">
        <v>657</v>
      </c>
      <c r="G40" s="1509">
        <f>SUMIFS('Daily Ramp'!$AJ$8:$AJ$519,'Daily Ramp'!$A$8:$A$519,Jun.26!E40,'Daily Ramp'!$B$8:$B$519,Jun.26!F40)</f>
        <v>100000</v>
      </c>
      <c r="H40" s="1509">
        <f>SUMIFS('Daily Ramp'!$AK$8:$AK$519,'Daily Ramp'!$A$8:$A$519,Jun.26!E40,'Daily Ramp'!$B$8:$B$519,Jun.26!F40)</f>
        <v>0</v>
      </c>
      <c r="I40" s="1509">
        <f>SUMIFS('Daily Ramp'!$AL$8:$AL$519,'Daily Ramp'!$A$8:$A$519,Jun.26!E40,'Daily Ramp'!$B$8:$B$519,Jun.26!F40)</f>
        <v>586918</v>
      </c>
      <c r="J40" s="1509">
        <f>SUMIFS('Daily Ramp'!$AM$8:$AM$519,'Daily Ramp'!$A$8:$A$519,Jun.26!E40,'Daily Ramp'!$B$8:$B$519,Jun.26!F40)</f>
        <v>0</v>
      </c>
      <c r="K40" s="1504">
        <f t="shared" si="4"/>
        <v>0</v>
      </c>
      <c r="L40" s="1484" t="str">
        <f t="shared" si="0"/>
        <v>Unachieved</v>
      </c>
    </row>
    <row r="41" spans="1:12">
      <c r="A41" s="1484">
        <v>2026</v>
      </c>
      <c r="B41" s="1484" t="s">
        <v>590</v>
      </c>
      <c r="C41" s="1484" t="s">
        <v>577</v>
      </c>
      <c r="D41" s="1483" t="s">
        <v>576</v>
      </c>
      <c r="E41" s="1503" t="str">
        <f>_xlfn.XLOOKUP(F41,'Daily Ramp'!B:B,'Daily Ramp'!C:C)</f>
        <v>R9(18ton)</v>
      </c>
      <c r="F41" s="1482" t="s">
        <v>658</v>
      </c>
      <c r="G41" s="1509">
        <f>SUMIFS('Daily Ramp'!$AJ$8:$AJ$519,'Daily Ramp'!$A$8:$A$519,Jun.26!E41,'Daily Ramp'!$B$8:$B$519,Jun.26!F41)</f>
        <v>0</v>
      </c>
      <c r="H41" s="1509">
        <f>SUMIFS('Daily Ramp'!$AK$8:$AK$519,'Daily Ramp'!$A$8:$A$519,Jun.26!E41,'Daily Ramp'!$B$8:$B$519,Jun.26!F41)</f>
        <v>0</v>
      </c>
      <c r="I41" s="1509">
        <f>SUMIFS('Daily Ramp'!$AL$8:$AL$519,'Daily Ramp'!$A$8:$A$519,Jun.26!E41,'Daily Ramp'!$B$8:$B$519,Jun.26!F41)</f>
        <v>0</v>
      </c>
      <c r="J41" s="1509">
        <f>SUMIFS('Daily Ramp'!$AM$8:$AM$519,'Daily Ramp'!$A$8:$A$519,Jun.26!E41,'Daily Ramp'!$B$8:$B$519,Jun.26!F41)</f>
        <v>0</v>
      </c>
      <c r="K41" s="1504" t="e">
        <f t="shared" si="4"/>
        <v>#DIV/0!</v>
      </c>
      <c r="L41" s="1484" t="e">
        <f t="shared" si="0"/>
        <v>#DIV/0!</v>
      </c>
    </row>
    <row r="42" spans="1:12">
      <c r="A42" s="1484">
        <v>2026</v>
      </c>
      <c r="B42" s="1484" t="s">
        <v>590</v>
      </c>
      <c r="C42" s="1484" t="s">
        <v>577</v>
      </c>
      <c r="D42" s="1483" t="s">
        <v>576</v>
      </c>
      <c r="E42" s="1503" t="str">
        <f>_xlfn.XLOOKUP(F42,'Daily Ramp'!B:B,'Daily Ramp'!C:C)</f>
        <v>R11(50ton)</v>
      </c>
      <c r="F42" s="1482" t="s">
        <v>659</v>
      </c>
      <c r="G42" s="1509">
        <f>SUMIFS('Daily Ramp'!$AJ$8:$AJ$519,'Daily Ramp'!$A$8:$A$519,Jun.26!E42,'Daily Ramp'!$B$8:$B$519,Jun.26!F42)</f>
        <v>0</v>
      </c>
      <c r="H42" s="1509">
        <f>SUMIFS('Daily Ramp'!$AK$8:$AK$519,'Daily Ramp'!$A$8:$A$519,Jun.26!E42,'Daily Ramp'!$B$8:$B$519,Jun.26!F42)</f>
        <v>0</v>
      </c>
      <c r="I42" s="1509">
        <f>SUMIFS('Daily Ramp'!$AL$8:$AL$519,'Daily Ramp'!$A$8:$A$519,Jun.26!E42,'Daily Ramp'!$B$8:$B$519,Jun.26!F42)</f>
        <v>0</v>
      </c>
      <c r="J42" s="1509">
        <f>SUMIFS('Daily Ramp'!$AM$8:$AM$519,'Daily Ramp'!$A$8:$A$519,Jun.26!E42,'Daily Ramp'!$B$8:$B$519,Jun.26!F42)</f>
        <v>0</v>
      </c>
      <c r="K42" s="1504" t="e">
        <f t="shared" si="4"/>
        <v>#DIV/0!</v>
      </c>
      <c r="L42" s="1484" t="e">
        <f t="shared" si="0"/>
        <v>#DIV/0!</v>
      </c>
    </row>
    <row r="43" spans="1:12">
      <c r="A43" s="1484">
        <v>2026</v>
      </c>
      <c r="B43" s="1484" t="s">
        <v>590</v>
      </c>
      <c r="C43" s="1484" t="s">
        <v>577</v>
      </c>
      <c r="D43" s="1483" t="s">
        <v>576</v>
      </c>
      <c r="E43" s="1503" t="str">
        <f>_xlfn.XLOOKUP(F43,'Daily Ramp'!B:B,'Daily Ramp'!C:C)</f>
        <v>R11(50ton)</v>
      </c>
      <c r="F43" s="1482" t="s">
        <v>660</v>
      </c>
      <c r="G43" s="1509">
        <f>SUMIFS('Daily Ramp'!$AJ$8:$AJ$519,'Daily Ramp'!$A$8:$A$519,Jun.26!E43,'Daily Ramp'!$B$8:$B$519,Jun.26!F43)</f>
        <v>350000</v>
      </c>
      <c r="H43" s="1509">
        <f>SUMIFS('Daily Ramp'!$AK$8:$AK$519,'Daily Ramp'!$A$8:$A$519,Jun.26!E43,'Daily Ramp'!$B$8:$B$519,Jun.26!F43)</f>
        <v>287010</v>
      </c>
      <c r="I43" s="1509">
        <f>SUMIFS('Daily Ramp'!$AL$8:$AL$519,'Daily Ramp'!$A$8:$A$519,Jun.26!E43,'Daily Ramp'!$B$8:$B$519,Jun.26!F43)</f>
        <v>2403702</v>
      </c>
      <c r="J43" s="1509">
        <f>SUMIFS('Daily Ramp'!$AM$8:$AM$519,'Daily Ramp'!$A$8:$A$519,Jun.26!E43,'Daily Ramp'!$B$8:$B$519,Jun.26!F43)</f>
        <v>1971104.3172000002</v>
      </c>
      <c r="K43" s="1504">
        <f t="shared" si="4"/>
        <v>0.82002857142857144</v>
      </c>
      <c r="L43" s="1484" t="str">
        <f t="shared" si="0"/>
        <v>Unachieved</v>
      </c>
    </row>
    <row r="44" spans="1:12">
      <c r="A44" s="1484">
        <v>2026</v>
      </c>
      <c r="B44" s="1484" t="s">
        <v>590</v>
      </c>
      <c r="C44" s="1484" t="s">
        <v>577</v>
      </c>
      <c r="D44" s="1483" t="s">
        <v>576</v>
      </c>
      <c r="E44" s="1503" t="str">
        <f>_xlfn.XLOOKUP(F44,'Daily Ramp'!B:B,'Daily Ramp'!C:C)</f>
        <v>R11(50ton)</v>
      </c>
      <c r="F44" s="1482" t="s">
        <v>661</v>
      </c>
      <c r="G44" s="1509">
        <f>SUMIFS('Daily Ramp'!$AJ$8:$AJ$519,'Daily Ramp'!$A$8:$A$519,Jun.26!E44,'Daily Ramp'!$B$8:$B$519,Jun.26!F44)</f>
        <v>0</v>
      </c>
      <c r="H44" s="1509">
        <f>SUMIFS('Daily Ramp'!$AK$8:$AK$519,'Daily Ramp'!$A$8:$A$519,Jun.26!E44,'Daily Ramp'!$B$8:$B$519,Jun.26!F44)</f>
        <v>0</v>
      </c>
      <c r="I44" s="1509">
        <f>SUMIFS('Daily Ramp'!$AL$8:$AL$519,'Daily Ramp'!$A$8:$A$519,Jun.26!E44,'Daily Ramp'!$B$8:$B$519,Jun.26!F44)</f>
        <v>0</v>
      </c>
      <c r="J44" s="1509">
        <f>SUMIFS('Daily Ramp'!$AM$8:$AM$519,'Daily Ramp'!$A$8:$A$519,Jun.26!E44,'Daily Ramp'!$B$8:$B$519,Jun.26!F44)</f>
        <v>0</v>
      </c>
      <c r="K44" s="1504" t="e">
        <f t="shared" si="4"/>
        <v>#DIV/0!</v>
      </c>
      <c r="L44" s="1484" t="e">
        <f t="shared" si="0"/>
        <v>#DIV/0!</v>
      </c>
    </row>
    <row r="45" spans="1:12">
      <c r="A45" s="1484">
        <v>2026</v>
      </c>
      <c r="B45" s="1484" t="s">
        <v>590</v>
      </c>
      <c r="C45" s="1484" t="s">
        <v>577</v>
      </c>
      <c r="D45" s="1483" t="s">
        <v>576</v>
      </c>
      <c r="E45" s="1503" t="str">
        <f>_xlfn.XLOOKUP(F45,'Daily Ramp'!B:B,'Daily Ramp'!C:C)</f>
        <v>R12(18ton)</v>
      </c>
      <c r="F45" s="1482" t="s">
        <v>668</v>
      </c>
      <c r="G45" s="1509">
        <f>SUMIFS('Daily Ramp'!$AJ$8:$AJ$519,'Daily Ramp'!$A$8:$A$519,Jun.26!E45,'Daily Ramp'!$B$8:$B$519,Jun.26!F45)</f>
        <v>240000</v>
      </c>
      <c r="H45" s="1509">
        <f>SUMIFS('Daily Ramp'!$AK$8:$AK$519,'Daily Ramp'!$A$8:$A$519,Jun.26!E45,'Daily Ramp'!$B$8:$B$519,Jun.26!F45)</f>
        <v>99630</v>
      </c>
      <c r="I45" s="1509">
        <f>SUMIFS('Daily Ramp'!$AL$8:$AL$519,'Daily Ramp'!$A$8:$A$519,Jun.26!E45,'Daily Ramp'!$B$8:$B$519,Jun.26!F45)</f>
        <v>1291663.2000000002</v>
      </c>
      <c r="J45" s="1509">
        <f>SUMIFS('Daily Ramp'!$AM$8:$AM$519,'Daily Ramp'!$A$8:$A$519,Jun.26!E45,'Daily Ramp'!$B$8:$B$519,Jun.26!F45)</f>
        <v>536201.68590000004</v>
      </c>
      <c r="K45" s="1504">
        <f t="shared" si="4"/>
        <v>0.41512500000000002</v>
      </c>
      <c r="L45" s="1484" t="str">
        <f t="shared" si="0"/>
        <v>Unachieved</v>
      </c>
    </row>
    <row r="46" spans="1:12">
      <c r="A46" s="1484">
        <v>2026</v>
      </c>
      <c r="B46" s="1484" t="s">
        <v>590</v>
      </c>
      <c r="C46" s="1484" t="s">
        <v>577</v>
      </c>
      <c r="D46" s="1483" t="s">
        <v>576</v>
      </c>
      <c r="E46" s="1503" t="str">
        <f>_xlfn.XLOOKUP(F46,'Daily Ramp'!B:B,'Daily Ramp'!C:C)</f>
        <v>R13(75*75ton)</v>
      </c>
      <c r="F46" s="1482" t="s">
        <v>631</v>
      </c>
      <c r="G46" s="1509">
        <f>SUMIFS('Daily Ramp'!$AJ$8:$AJ$519,'Daily Ramp'!$A$8:$A$519,Jun.26!E46,'Daily Ramp'!$B$8:$B$519,Jun.26!F46)</f>
        <v>280000</v>
      </c>
      <c r="H46" s="1509">
        <f>SUMIFS('Daily Ramp'!$AK$8:$AK$519,'Daily Ramp'!$A$8:$A$519,Jun.26!E46,'Daily Ramp'!$B$8:$B$519,Jun.26!F46)</f>
        <v>133434</v>
      </c>
      <c r="I46" s="1509">
        <f>SUMIFS('Daily Ramp'!$AL$8:$AL$519,'Daily Ramp'!$A$8:$A$519,Jun.26!E46,'Daily Ramp'!$B$8:$B$519,Jun.26!F46)</f>
        <v>1064870.8</v>
      </c>
      <c r="J46" s="1509">
        <f>SUMIFS('Daily Ramp'!$AM$8:$AM$519,'Daily Ramp'!$A$8:$A$519,Jun.26!E46,'Daily Ramp'!$B$8:$B$519,Jun.26!F46)</f>
        <v>507464.17974000005</v>
      </c>
      <c r="K46" s="1504">
        <f t="shared" si="4"/>
        <v>0.47654999999999997</v>
      </c>
      <c r="L46" s="1484" t="str">
        <f t="shared" si="0"/>
        <v>Unachieved</v>
      </c>
    </row>
    <row r="47" spans="1:12">
      <c r="A47" s="1484">
        <v>2026</v>
      </c>
      <c r="B47" s="1484" t="s">
        <v>590</v>
      </c>
      <c r="C47" s="1484" t="s">
        <v>577</v>
      </c>
      <c r="D47" s="1483" t="s">
        <v>576</v>
      </c>
      <c r="E47" s="1503" t="str">
        <f>_xlfn.XLOOKUP(F47,'Daily Ramp'!B:B,'Daily Ramp'!C:C)</f>
        <v>R14(50ton)</v>
      </c>
      <c r="F47" s="1482" t="s">
        <v>632</v>
      </c>
      <c r="G47" s="1509">
        <f>SUMIFS('Daily Ramp'!$AJ$8:$AJ$519,'Daily Ramp'!$A$8:$A$519,Jun.26!E47,'Daily Ramp'!$B$8:$B$519,Jun.26!F47)</f>
        <v>250000</v>
      </c>
      <c r="H47" s="1509">
        <f>SUMIFS('Daily Ramp'!$AK$8:$AK$519,'Daily Ramp'!$A$8:$A$519,Jun.26!E47,'Daily Ramp'!$B$8:$B$519,Jun.26!F47)</f>
        <v>56898</v>
      </c>
      <c r="I47" s="1509">
        <f>SUMIFS('Daily Ramp'!$AL$8:$AL$519,'Daily Ramp'!$A$8:$A$519,Jun.26!E47,'Daily Ramp'!$B$8:$B$519,Jun.26!F47)</f>
        <v>1716930</v>
      </c>
      <c r="J47" s="1509">
        <f>SUMIFS('Daily Ramp'!$AM$8:$AM$519,'Daily Ramp'!$A$8:$A$519,Jun.26!E47,'Daily Ramp'!$B$8:$B$519,Jun.26!F47)</f>
        <v>390759.53256000002</v>
      </c>
      <c r="K47" s="1504">
        <f t="shared" si="4"/>
        <v>0.22759199999999999</v>
      </c>
      <c r="L47" s="1484" t="str">
        <f t="shared" si="0"/>
        <v>Unachieved</v>
      </c>
    </row>
    <row r="48" spans="1:12">
      <c r="A48" s="1484">
        <v>2026</v>
      </c>
      <c r="B48" s="1484" t="s">
        <v>590</v>
      </c>
      <c r="C48" s="1484" t="s">
        <v>577</v>
      </c>
      <c r="D48" s="1483" t="s">
        <v>576</v>
      </c>
      <c r="E48" s="1503" t="str">
        <f>_xlfn.XLOOKUP(F48,'Daily Ramp'!B:B,'Daily Ramp'!C:C)</f>
        <v>R14(50ton)</v>
      </c>
      <c r="F48" s="1482" t="s">
        <v>647</v>
      </c>
      <c r="G48" s="1509">
        <f>SUMIFS('Daily Ramp'!$AJ$8:$AJ$519,'Daily Ramp'!$A$8:$A$519,Jun.26!E48,'Daily Ramp'!$B$8:$B$519,Jun.26!F48)</f>
        <v>0</v>
      </c>
      <c r="H48" s="1509">
        <f>SUMIFS('Daily Ramp'!$AK$8:$AK$519,'Daily Ramp'!$A$8:$A$519,Jun.26!E48,'Daily Ramp'!$B$8:$B$519,Jun.26!F48)</f>
        <v>0</v>
      </c>
      <c r="I48" s="1509">
        <f>SUMIFS('Daily Ramp'!$AL$8:$AL$519,'Daily Ramp'!$A$8:$A$519,Jun.26!E48,'Daily Ramp'!$B$8:$B$519,Jun.26!F48)</f>
        <v>0</v>
      </c>
      <c r="J48" s="1509">
        <f>SUMIFS('Daily Ramp'!$AM$8:$AM$519,'Daily Ramp'!$A$8:$A$519,Jun.26!E48,'Daily Ramp'!$B$8:$B$519,Jun.26!F48)</f>
        <v>0</v>
      </c>
      <c r="K48" s="1504" t="e">
        <f t="shared" si="4"/>
        <v>#DIV/0!</v>
      </c>
      <c r="L48" s="1484" t="e">
        <f t="shared" si="0"/>
        <v>#DIV/0!</v>
      </c>
    </row>
    <row r="49" spans="1:12">
      <c r="A49" s="1484">
        <v>2026</v>
      </c>
      <c r="B49" s="1484" t="s">
        <v>590</v>
      </c>
      <c r="C49" s="1484" t="s">
        <v>577</v>
      </c>
      <c r="D49" s="1483" t="s">
        <v>576</v>
      </c>
      <c r="E49" s="1503" t="str">
        <f>_xlfn.XLOOKUP(F49,'Daily Ramp'!B:B,'Daily Ramp'!C:C)</f>
        <v>R14(50ton)</v>
      </c>
      <c r="F49" s="1482" t="s">
        <v>646</v>
      </c>
      <c r="G49" s="1509">
        <f>SUMIFS('Daily Ramp'!$AJ$8:$AJ$519,'Daily Ramp'!$A$8:$A$519,Jun.26!E49,'Daily Ramp'!$B$8:$B$519,Jun.26!F49)</f>
        <v>0</v>
      </c>
      <c r="H49" s="1509">
        <f>SUMIFS('Daily Ramp'!$AK$8:$AK$519,'Daily Ramp'!$A$8:$A$519,Jun.26!E49,'Daily Ramp'!$B$8:$B$519,Jun.26!F49)</f>
        <v>0</v>
      </c>
      <c r="I49" s="1509">
        <f>SUMIFS('Daily Ramp'!$AL$8:$AL$519,'Daily Ramp'!$A$8:$A$519,Jun.26!E49,'Daily Ramp'!$B$8:$B$519,Jun.26!F49)</f>
        <v>0</v>
      </c>
      <c r="J49" s="1509">
        <f>SUMIFS('Daily Ramp'!$AM$8:$AM$519,'Daily Ramp'!$A$8:$A$519,Jun.26!E49,'Daily Ramp'!$B$8:$B$519,Jun.26!F49)</f>
        <v>0</v>
      </c>
      <c r="K49" s="1504" t="e">
        <f t="shared" si="4"/>
        <v>#DIV/0!</v>
      </c>
      <c r="L49" s="1484" t="e">
        <f t="shared" si="0"/>
        <v>#DIV/0!</v>
      </c>
    </row>
    <row r="50" spans="1:12">
      <c r="A50" s="1484">
        <v>2026</v>
      </c>
      <c r="B50" s="1484" t="s">
        <v>590</v>
      </c>
      <c r="C50" s="1484" t="s">
        <v>577</v>
      </c>
      <c r="D50" s="1483" t="s">
        <v>576</v>
      </c>
      <c r="E50" s="1503" t="str">
        <f>_xlfn.XLOOKUP(F50,'Daily Ramp'!B:B,'Daily Ramp'!C:C)</f>
        <v>R15(18ton)</v>
      </c>
      <c r="F50" s="1482" t="s">
        <v>645</v>
      </c>
      <c r="G50" s="1509">
        <f>SUMIFS('Daily Ramp'!$AJ$8:$AJ$519,'Daily Ramp'!$A$8:$A$519,Jun.26!E50,'Daily Ramp'!$B$8:$B$519,Jun.26!F50)</f>
        <v>0</v>
      </c>
      <c r="H50" s="1509">
        <f>SUMIFS('Daily Ramp'!$AK$8:$AK$519,'Daily Ramp'!$A$8:$A$519,Jun.26!E50,'Daily Ramp'!$B$8:$B$519,Jun.26!F50)</f>
        <v>0</v>
      </c>
      <c r="I50" s="1509">
        <f>SUMIFS('Daily Ramp'!$AL$8:$AL$519,'Daily Ramp'!$A$8:$A$519,Jun.26!E50,'Daily Ramp'!$B$8:$B$519,Jun.26!F50)</f>
        <v>0</v>
      </c>
      <c r="J50" s="1509">
        <f>SUMIFS('Daily Ramp'!$AM$8:$AM$519,'Daily Ramp'!$A$8:$A$519,Jun.26!E50,'Daily Ramp'!$B$8:$B$519,Jun.26!F50)</f>
        <v>0</v>
      </c>
      <c r="K50" s="1504" t="e">
        <f t="shared" si="4"/>
        <v>#DIV/0!</v>
      </c>
      <c r="L50" s="1484" t="e">
        <f t="shared" si="0"/>
        <v>#DIV/0!</v>
      </c>
    </row>
    <row r="51" spans="1:12">
      <c r="A51" s="1484">
        <v>2026</v>
      </c>
      <c r="B51" s="1484" t="s">
        <v>590</v>
      </c>
      <c r="C51" s="1484" t="s">
        <v>577</v>
      </c>
      <c r="D51" s="1483" t="s">
        <v>576</v>
      </c>
      <c r="E51" s="1503" t="str">
        <f>_xlfn.XLOOKUP(F51,'Daily Ramp'!B:B,'Daily Ramp'!C:C)</f>
        <v>R17(18ton)</v>
      </c>
      <c r="F51" s="1482" t="s">
        <v>662</v>
      </c>
      <c r="G51" s="1509">
        <f>SUMIFS('Daily Ramp'!$AJ$8:$AJ$519,'Daily Ramp'!$A$8:$A$519,Jun.26!E51,'Daily Ramp'!$B$8:$B$519,Jun.26!F51)</f>
        <v>0</v>
      </c>
      <c r="H51" s="1509">
        <f>SUMIFS('Daily Ramp'!$AK$8:$AK$519,'Daily Ramp'!$A$8:$A$519,Jun.26!E51,'Daily Ramp'!$B$8:$B$519,Jun.26!F51)</f>
        <v>0</v>
      </c>
      <c r="I51" s="1509">
        <f>SUMIFS('Daily Ramp'!$AL$8:$AL$519,'Daily Ramp'!$A$8:$A$519,Jun.26!E51,'Daily Ramp'!$B$8:$B$519,Jun.26!F51)</f>
        <v>0</v>
      </c>
      <c r="J51" s="1509">
        <f>SUMIFS('Daily Ramp'!$AM$8:$AM$519,'Daily Ramp'!$A$8:$A$519,Jun.26!E51,'Daily Ramp'!$B$8:$B$519,Jun.26!F51)</f>
        <v>0</v>
      </c>
      <c r="K51" s="1504" t="e">
        <f t="shared" si="4"/>
        <v>#DIV/0!</v>
      </c>
      <c r="L51" s="1484" t="e">
        <f t="shared" si="0"/>
        <v>#DIV/0!</v>
      </c>
    </row>
    <row r="52" spans="1:12">
      <c r="A52" s="1484">
        <v>2026</v>
      </c>
      <c r="B52" s="1484" t="s">
        <v>590</v>
      </c>
      <c r="C52" s="1484" t="s">
        <v>577</v>
      </c>
      <c r="D52" s="1483" t="s">
        <v>576</v>
      </c>
      <c r="E52" s="1503" t="str">
        <f>_xlfn.XLOOKUP(F52,'Daily Ramp'!B:B,'Daily Ramp'!C:C)</f>
        <v>R17(18ton)</v>
      </c>
      <c r="F52" s="1482" t="s">
        <v>663</v>
      </c>
      <c r="G52" s="1509">
        <f>SUMIFS('Daily Ramp'!$AJ$8:$AJ$519,'Daily Ramp'!$A$8:$A$519,Jun.26!E52,'Daily Ramp'!$B$8:$B$519,Jun.26!F52)</f>
        <v>200000</v>
      </c>
      <c r="H52" s="1509">
        <f>SUMIFS('Daily Ramp'!$AK$8:$AK$519,'Daily Ramp'!$A$8:$A$519,Jun.26!E52,'Daily Ramp'!$B$8:$B$519,Jun.26!F52)</f>
        <v>296370</v>
      </c>
      <c r="I52" s="1509">
        <f>SUMIFS('Daily Ramp'!$AL$8:$AL$519,'Daily Ramp'!$A$8:$A$519,Jun.26!E52,'Daily Ramp'!$B$8:$B$519,Jun.26!F52)</f>
        <v>1156982</v>
      </c>
      <c r="J52" s="1509">
        <f>SUMIFS('Daily Ramp'!$AM$8:$AM$519,'Daily Ramp'!$A$8:$A$519,Jun.26!E52,'Daily Ramp'!$B$8:$B$519,Jun.26!F52)</f>
        <v>1714473.7767</v>
      </c>
      <c r="K52" s="1504">
        <f t="shared" si="4"/>
        <v>1.4818499999999999</v>
      </c>
      <c r="L52" s="1484" t="str">
        <f t="shared" si="0"/>
        <v>Achieved</v>
      </c>
    </row>
    <row r="53" spans="1:12">
      <c r="A53" s="1484">
        <v>2026</v>
      </c>
      <c r="B53" s="1484" t="s">
        <v>590</v>
      </c>
      <c r="C53" s="1484" t="s">
        <v>577</v>
      </c>
      <c r="D53" s="1483" t="s">
        <v>576</v>
      </c>
      <c r="E53" s="1503" t="str">
        <f>_xlfn.XLOOKUP(F53,'Daily Ramp'!B:B,'Daily Ramp'!C:C)</f>
        <v>R18(18ton)</v>
      </c>
      <c r="F53" s="1482" t="s">
        <v>640</v>
      </c>
      <c r="G53" s="1509">
        <f>SUMIFS('Daily Ramp'!$AJ$8:$AJ$519,'Daily Ramp'!$A$8:$A$519,Jun.26!E53,'Daily Ramp'!$B$8:$B$519,Jun.26!F53)</f>
        <v>0</v>
      </c>
      <c r="H53" s="1509">
        <f>SUMIFS('Daily Ramp'!$AK$8:$AK$519,'Daily Ramp'!$A$8:$A$519,Jun.26!E53,'Daily Ramp'!$B$8:$B$519,Jun.26!F53)</f>
        <v>0</v>
      </c>
      <c r="I53" s="1509">
        <f>SUMIFS('Daily Ramp'!$AL$8:$AL$519,'Daily Ramp'!$A$8:$A$519,Jun.26!E53,'Daily Ramp'!$B$8:$B$519,Jun.26!F53)</f>
        <v>0</v>
      </c>
      <c r="J53" s="1509">
        <f>SUMIFS('Daily Ramp'!$AM$8:$AM$519,'Daily Ramp'!$A$8:$A$519,Jun.26!E53,'Daily Ramp'!$B$8:$B$519,Jun.26!F53)</f>
        <v>0</v>
      </c>
      <c r="K53" s="1504" t="e">
        <f t="shared" si="4"/>
        <v>#DIV/0!</v>
      </c>
      <c r="L53" s="1484" t="e">
        <f t="shared" si="0"/>
        <v>#DIV/0!</v>
      </c>
    </row>
    <row r="54" spans="1:12">
      <c r="A54" s="1484">
        <v>2026</v>
      </c>
      <c r="B54" s="1484" t="s">
        <v>590</v>
      </c>
      <c r="C54" s="1484" t="s">
        <v>577</v>
      </c>
      <c r="D54" s="1483" t="s">
        <v>576</v>
      </c>
      <c r="E54" s="1503" t="str">
        <f>_xlfn.XLOOKUP(F54,'Daily Ramp'!B:B,'Daily Ramp'!C:C)</f>
        <v>R19(75*75ton)</v>
      </c>
      <c r="F54" s="1482" t="s">
        <v>693</v>
      </c>
      <c r="G54" s="1509">
        <f>SUMIFS('Daily Ramp'!$AJ$8:$AJ$519,'Daily Ramp'!$A$8:$A$519,Jun.26!E54,'Daily Ramp'!$B$8:$B$519,Jun.26!F54)</f>
        <v>0</v>
      </c>
      <c r="H54" s="1509">
        <f>SUMIFS('Daily Ramp'!$AK$8:$AK$519,'Daily Ramp'!$A$8:$A$519,Jun.26!E54,'Daily Ramp'!$B$8:$B$519,Jun.26!F54)</f>
        <v>0</v>
      </c>
      <c r="I54" s="1509">
        <f>SUMIFS('Daily Ramp'!$AL$8:$AL$519,'Daily Ramp'!$A$8:$A$519,Jun.26!E54,'Daily Ramp'!$B$8:$B$519,Jun.26!F54)</f>
        <v>0</v>
      </c>
      <c r="J54" s="1509">
        <f>SUMIFS('Daily Ramp'!$AM$8:$AM$519,'Daily Ramp'!$A$8:$A$519,Jun.26!E54,'Daily Ramp'!$B$8:$B$519,Jun.26!F54)</f>
        <v>0</v>
      </c>
      <c r="K54" s="1504" t="e">
        <f t="shared" si="4"/>
        <v>#DIV/0!</v>
      </c>
      <c r="L54" s="1484" t="e">
        <f t="shared" si="0"/>
        <v>#DIV/0!</v>
      </c>
    </row>
    <row r="55" spans="1:12">
      <c r="A55" s="1484">
        <v>2026</v>
      </c>
      <c r="B55" s="1484" t="s">
        <v>590</v>
      </c>
      <c r="C55" s="1484" t="s">
        <v>577</v>
      </c>
      <c r="D55" s="1483" t="s">
        <v>576</v>
      </c>
      <c r="E55" s="1503" t="str">
        <f>_xlfn.XLOOKUP(F55,'Daily Ramp'!B:B,'Daily Ramp'!C:C)</f>
        <v>R20(18ton)</v>
      </c>
      <c r="F55" s="1482" t="s">
        <v>664</v>
      </c>
      <c r="G55" s="1509">
        <f>SUMIFS('Daily Ramp'!$AJ$8:$AJ$519,'Daily Ramp'!$A$8:$A$519,Jun.26!E55,'Daily Ramp'!$B$8:$B$519,Jun.26!F55)</f>
        <v>0</v>
      </c>
      <c r="H55" s="1509">
        <f>SUMIFS('Daily Ramp'!$AK$8:$AK$519,'Daily Ramp'!$A$8:$A$519,Jun.26!E55,'Daily Ramp'!$B$8:$B$519,Jun.26!F55)</f>
        <v>0</v>
      </c>
      <c r="I55" s="1509">
        <f>SUMIFS('Daily Ramp'!$AL$8:$AL$519,'Daily Ramp'!$A$8:$A$519,Jun.26!E55,'Daily Ramp'!$B$8:$B$519,Jun.26!F55)</f>
        <v>0</v>
      </c>
      <c r="J55" s="1509">
        <f>SUMIFS('Daily Ramp'!$AM$8:$AM$519,'Daily Ramp'!$A$8:$A$519,Jun.26!E55,'Daily Ramp'!$B$8:$B$519,Jun.26!F55)</f>
        <v>0</v>
      </c>
      <c r="K55" s="1504" t="e">
        <f t="shared" si="4"/>
        <v>#DIV/0!</v>
      </c>
      <c r="L55" s="1484" t="e">
        <f t="shared" si="0"/>
        <v>#DIV/0!</v>
      </c>
    </row>
    <row r="56" spans="1:12">
      <c r="A56" s="1484">
        <v>2026</v>
      </c>
      <c r="B56" s="1484" t="s">
        <v>590</v>
      </c>
      <c r="C56" s="1484" t="s">
        <v>577</v>
      </c>
      <c r="D56" s="1483" t="s">
        <v>576</v>
      </c>
      <c r="E56" s="1503" t="str">
        <f>_xlfn.XLOOKUP(F56,'Daily Ramp'!B:B,'Daily Ramp'!C:C)</f>
        <v>R21(18ton)</v>
      </c>
      <c r="F56" s="1482" t="s">
        <v>669</v>
      </c>
      <c r="G56" s="1509">
        <f>SUMIFS('Daily Ramp'!$AJ$8:$AJ$519,'Daily Ramp'!$A$8:$A$519,Jun.26!E56,'Daily Ramp'!$B$8:$B$519,Jun.26!F56)</f>
        <v>0</v>
      </c>
      <c r="H56" s="1509">
        <f>SUMIFS('Daily Ramp'!$AK$8:$AK$519,'Daily Ramp'!$A$8:$A$519,Jun.26!E56,'Daily Ramp'!$B$8:$B$519,Jun.26!F56)</f>
        <v>0</v>
      </c>
      <c r="I56" s="1509">
        <f>SUMIFS('Daily Ramp'!$AL$8:$AL$519,'Daily Ramp'!$A$8:$A$519,Jun.26!E56,'Daily Ramp'!$B$8:$B$519,Jun.26!F56)</f>
        <v>0</v>
      </c>
      <c r="J56" s="1509">
        <f>SUMIFS('Daily Ramp'!$AM$8:$AM$519,'Daily Ramp'!$A$8:$A$519,Jun.26!E56,'Daily Ramp'!$B$8:$B$519,Jun.26!F56)</f>
        <v>0</v>
      </c>
      <c r="K56" s="1504" t="e">
        <f t="shared" si="4"/>
        <v>#DIV/0!</v>
      </c>
      <c r="L56" s="1484" t="e">
        <f t="shared" si="0"/>
        <v>#DIV/0!</v>
      </c>
    </row>
    <row r="57" spans="1:12">
      <c r="A57" s="1484">
        <v>2026</v>
      </c>
      <c r="B57" s="1484" t="s">
        <v>590</v>
      </c>
      <c r="C57" s="1484" t="s">
        <v>577</v>
      </c>
      <c r="D57" s="1483" t="s">
        <v>576</v>
      </c>
      <c r="E57" s="1503" t="str">
        <f>_xlfn.XLOOKUP(F57,'Daily Ramp'!B:B,'Daily Ramp'!C:C)</f>
        <v>R22(50ton)</v>
      </c>
      <c r="F57" s="1482" t="s">
        <v>665</v>
      </c>
      <c r="G57" s="1509">
        <f>SUMIFS('Daily Ramp'!$AJ$8:$AJ$519,'Daily Ramp'!$A$8:$A$519,Jun.26!E57,'Daily Ramp'!$B$8:$B$519,Jun.26!F57)</f>
        <v>0</v>
      </c>
      <c r="H57" s="1509">
        <f>SUMIFS('Daily Ramp'!$AK$8:$AK$519,'Daily Ramp'!$A$8:$A$519,Jun.26!E57,'Daily Ramp'!$B$8:$B$519,Jun.26!F57)</f>
        <v>0</v>
      </c>
      <c r="I57" s="1509">
        <f>SUMIFS('Daily Ramp'!$AL$8:$AL$519,'Daily Ramp'!$A$8:$A$519,Jun.26!E57,'Daily Ramp'!$B$8:$B$519,Jun.26!F57)</f>
        <v>0</v>
      </c>
      <c r="J57" s="1509">
        <f>SUMIFS('Daily Ramp'!$AM$8:$AM$519,'Daily Ramp'!$A$8:$A$519,Jun.26!E57,'Daily Ramp'!$B$8:$B$519,Jun.26!F57)</f>
        <v>0</v>
      </c>
      <c r="K57" s="1504" t="e">
        <f t="shared" si="4"/>
        <v>#DIV/0!</v>
      </c>
      <c r="L57" s="1484" t="e">
        <f t="shared" si="0"/>
        <v>#DIV/0!</v>
      </c>
    </row>
    <row r="58" spans="1:12">
      <c r="A58" s="1484">
        <v>2026</v>
      </c>
      <c r="B58" s="1484" t="s">
        <v>590</v>
      </c>
      <c r="C58" s="1484" t="s">
        <v>577</v>
      </c>
      <c r="D58" s="1483" t="s">
        <v>576</v>
      </c>
      <c r="E58" s="1503" t="str">
        <f>_xlfn.XLOOKUP(F58,'Daily Ramp'!B:B,'Daily Ramp'!C:C)</f>
        <v>R22(50ton)</v>
      </c>
      <c r="F58" s="1482" t="s">
        <v>633</v>
      </c>
      <c r="G58" s="1509">
        <f>SUMIFS('Daily Ramp'!$AJ$8:$AJ$519,'Daily Ramp'!$A$8:$A$519,Jun.26!E58,'Daily Ramp'!$B$8:$B$519,Jun.26!F58)</f>
        <v>200000</v>
      </c>
      <c r="H58" s="1509">
        <f>SUMIFS('Daily Ramp'!$AK$8:$AK$519,'Daily Ramp'!$A$8:$A$519,Jun.26!E58,'Daily Ramp'!$B$8:$B$519,Jun.26!F58)</f>
        <v>189180</v>
      </c>
      <c r="I58" s="1509">
        <f>SUMIFS('Daily Ramp'!$AL$8:$AL$519,'Daily Ramp'!$A$8:$A$519,Jun.26!E58,'Daily Ramp'!$B$8:$B$519,Jun.26!F58)</f>
        <v>1411684</v>
      </c>
      <c r="J58" s="1509">
        <f>SUMIFS('Daily Ramp'!$AM$8:$AM$519,'Daily Ramp'!$A$8:$A$519,Jun.26!E58,'Daily Ramp'!$B$8:$B$519,Jun.26!F58)</f>
        <v>1335311.8955999999</v>
      </c>
      <c r="K58" s="1504">
        <f t="shared" si="4"/>
        <v>0.94589999999999996</v>
      </c>
      <c r="L58" s="1484" t="str">
        <f t="shared" si="0"/>
        <v>Unachieved</v>
      </c>
    </row>
    <row r="59" spans="1:12">
      <c r="A59" s="1484">
        <v>2026</v>
      </c>
      <c r="B59" s="1484" t="s">
        <v>590</v>
      </c>
      <c r="C59" s="1484" t="s">
        <v>577</v>
      </c>
      <c r="D59" s="1483" t="s">
        <v>576</v>
      </c>
      <c r="E59" s="1503" t="str">
        <f>_xlfn.XLOOKUP(F59,'Daily Ramp'!B:B,'Daily Ramp'!C:C)</f>
        <v>R22(50ton)</v>
      </c>
      <c r="F59" s="1482" t="s">
        <v>639</v>
      </c>
      <c r="G59" s="1509">
        <f>SUMIFS('Daily Ramp'!$AJ$8:$AJ$519,'Daily Ramp'!$A$8:$A$519,Jun.26!E59,'Daily Ramp'!$B$8:$B$519,Jun.26!F59)</f>
        <v>0</v>
      </c>
      <c r="H59" s="1509">
        <f>SUMIFS('Daily Ramp'!$AK$8:$AK$519,'Daily Ramp'!$A$8:$A$519,Jun.26!E59,'Daily Ramp'!$B$8:$B$519,Jun.26!F59)</f>
        <v>0</v>
      </c>
      <c r="I59" s="1509">
        <f>SUMIFS('Daily Ramp'!$AL$8:$AL$519,'Daily Ramp'!$A$8:$A$519,Jun.26!E59,'Daily Ramp'!$B$8:$B$519,Jun.26!F59)</f>
        <v>0</v>
      </c>
      <c r="J59" s="1509">
        <f>SUMIFS('Daily Ramp'!$AM$8:$AM$519,'Daily Ramp'!$A$8:$A$519,Jun.26!E59,'Daily Ramp'!$B$8:$B$519,Jun.26!F59)</f>
        <v>0</v>
      </c>
      <c r="K59" s="1504" t="e">
        <f t="shared" si="4"/>
        <v>#DIV/0!</v>
      </c>
      <c r="L59" s="1484" t="e">
        <f t="shared" si="0"/>
        <v>#DIV/0!</v>
      </c>
    </row>
    <row r="60" spans="1:12">
      <c r="A60" s="1484">
        <v>2026</v>
      </c>
      <c r="B60" s="1484" t="s">
        <v>590</v>
      </c>
      <c r="C60" s="1484" t="s">
        <v>577</v>
      </c>
      <c r="D60" s="1483" t="s">
        <v>576</v>
      </c>
      <c r="E60" s="1503" t="str">
        <f>_xlfn.XLOOKUP(F60,'Daily Ramp'!B:B,'Daily Ramp'!C:C)</f>
        <v>R24(50ton)</v>
      </c>
      <c r="F60" s="1482" t="s">
        <v>634</v>
      </c>
      <c r="G60" s="1509">
        <f>SUMIFS('Daily Ramp'!$AJ$8:$AJ$519,'Daily Ramp'!$A$8:$A$519,Jun.26!E60,'Daily Ramp'!$B$8:$B$519,Jun.26!F60)</f>
        <v>100000</v>
      </c>
      <c r="H60" s="1509">
        <f>SUMIFS('Daily Ramp'!$AK$8:$AK$519,'Daily Ramp'!$A$8:$A$519,Jun.26!E60,'Daily Ramp'!$B$8:$B$519,Jun.26!F60)</f>
        <v>15300</v>
      </c>
      <c r="I60" s="1509">
        <f>SUMIFS('Daily Ramp'!$AL$8:$AL$519,'Daily Ramp'!$A$8:$A$519,Jun.26!E60,'Daily Ramp'!$B$8:$B$519,Jun.26!F60)</f>
        <v>686772</v>
      </c>
      <c r="J60" s="1509">
        <f>SUMIFS('Daily Ramp'!$AM$8:$AM$519,'Daily Ramp'!$A$8:$A$519,Jun.26!E60,'Daily Ramp'!$B$8:$B$519,Jun.26!F60)</f>
        <v>105076.11600000001</v>
      </c>
      <c r="K60" s="1504">
        <f t="shared" ref="K60" si="5">H60/G60</f>
        <v>0.153</v>
      </c>
      <c r="L60" s="1484" t="str">
        <f t="shared" si="0"/>
        <v>Unachieved</v>
      </c>
    </row>
    <row r="61" spans="1:12">
      <c r="A61" s="1484">
        <v>2026</v>
      </c>
      <c r="B61" s="1484" t="s">
        <v>590</v>
      </c>
      <c r="C61" s="1484" t="s">
        <v>575</v>
      </c>
      <c r="D61" s="1483" t="s">
        <v>3</v>
      </c>
      <c r="E61" s="1483" t="str">
        <f>_xlfn.XLOOKUP(F61,'Daily Advics'!B:B,'Daily Advics'!C:C)</f>
        <v>A3(50Ton)</v>
      </c>
      <c r="F61" s="1482" t="s">
        <v>670</v>
      </c>
      <c r="G61" s="1511">
        <f>SUMIFS('Daily Advics'!$AJ$9:$AJ$78,'Daily Advics'!$A$9:$A$78,Jun.26!E61,'Daily Advics'!$B$9:$B$78,Jun.26!F61)</f>
        <v>0</v>
      </c>
      <c r="H61" s="1511">
        <f>SUMIFS('Daily Advics'!$AK$9:$AK$78,'Daily Advics'!$A$9:$A$78,Jun.26!E61,'Daily Advics'!$B$9:$B$78,Jun.26!F61)</f>
        <v>0</v>
      </c>
      <c r="I61" s="1511">
        <f>SUMIFS('Daily Advics'!$AL$9:$AL$78,'Daily Advics'!$A$9:$A$78,Jun.26!E61,'Daily Advics'!$B$9:$B$78,Jun.26!F61)</f>
        <v>0</v>
      </c>
      <c r="J61" s="1511">
        <f>SUMIFS('Daily Advics'!$AM$9:$AM$78,'Daily Advics'!$A$9:$A$78,Jun.26!E61,'Daily Advics'!$B$9:$B$78,Jun.26!F61)</f>
        <v>0</v>
      </c>
      <c r="K61" s="1504" t="e">
        <f t="shared" si="4"/>
        <v>#DIV/0!</v>
      </c>
      <c r="L61" s="1484" t="e">
        <f t="shared" si="0"/>
        <v>#DIV/0!</v>
      </c>
    </row>
    <row r="62" spans="1:12">
      <c r="A62" s="1484">
        <v>2026</v>
      </c>
      <c r="B62" s="1484" t="s">
        <v>590</v>
      </c>
      <c r="C62" s="1484" t="s">
        <v>575</v>
      </c>
      <c r="D62" s="1483" t="s">
        <v>3</v>
      </c>
      <c r="E62" s="1483" t="str">
        <f>_xlfn.XLOOKUP(F62,'Daily Advics'!B:B,'Daily Advics'!C:C)</f>
        <v>A15(50Ton)</v>
      </c>
      <c r="F62" s="1482" t="s">
        <v>671</v>
      </c>
      <c r="G62" s="1511">
        <f>SUMIFS('Daily Advics'!$AJ$9:$AJ$78,'Daily Advics'!$A$9:$A$78,Jun.26!E62,'Daily Advics'!$B$9:$B$78,Jun.26!F62)</f>
        <v>0</v>
      </c>
      <c r="H62" s="1511">
        <f>SUMIFS('Daily Advics'!$AK$9:$AK$78,'Daily Advics'!$A$9:$A$78,Jun.26!E62,'Daily Advics'!$B$9:$B$78,Jun.26!F62)</f>
        <v>0</v>
      </c>
      <c r="I62" s="1511">
        <f>SUMIFS('Daily Advics'!$AL$9:$AL$78,'Daily Advics'!$A$9:$A$78,Jun.26!E62,'Daily Advics'!$B$9:$B$78,Jun.26!F62)</f>
        <v>0</v>
      </c>
      <c r="J62" s="1511">
        <f>SUMIFS('Daily Advics'!$AM$9:$AM$78,'Daily Advics'!$A$9:$A$78,Jun.26!E62,'Daily Advics'!$B$9:$B$78,Jun.26!F62)</f>
        <v>0</v>
      </c>
      <c r="K62" s="1504" t="e">
        <f t="shared" si="4"/>
        <v>#DIV/0!</v>
      </c>
      <c r="L62" s="1484" t="e">
        <f t="shared" si="0"/>
        <v>#DIV/0!</v>
      </c>
    </row>
    <row r="63" spans="1:12">
      <c r="A63" s="1484">
        <v>2026</v>
      </c>
      <c r="B63" s="1484" t="s">
        <v>590</v>
      </c>
      <c r="C63" s="1512" t="s">
        <v>575</v>
      </c>
      <c r="D63" s="1513" t="s">
        <v>3</v>
      </c>
      <c r="E63" s="1483" t="str">
        <f>_xlfn.XLOOKUP(F63,'Daily Advics'!B:B,'Daily Advics'!C:C)</f>
        <v>A15(50Ton)</v>
      </c>
      <c r="F63" s="1500" t="s">
        <v>611</v>
      </c>
      <c r="G63" s="1511">
        <f>SUMIFS('Daily Advics'!$AJ$9:$AJ$78,'Daily Advics'!$A$9:$A$78,Jun.26!E63,'Daily Advics'!$B$9:$B$78,Jun.26!F63)</f>
        <v>350000</v>
      </c>
      <c r="H63" s="1511">
        <f>SUMIFS('Daily Advics'!$AK$9:$AK$78,'Daily Advics'!$A$9:$A$78,Jun.26!E63,'Daily Advics'!$B$9:$B$78,Jun.26!F63)</f>
        <v>406800</v>
      </c>
      <c r="I63" s="1511">
        <f>SUMIFS('Daily Advics'!$AL$9:$AL$78,'Daily Advics'!$A$9:$A$78,Jun.26!E63,'Daily Advics'!$B$9:$B$78,Jun.26!F63)</f>
        <v>719456.5</v>
      </c>
      <c r="J63" s="1511">
        <f>SUMIFS('Daily Advics'!$AM$9:$AM$78,'Daily Advics'!$A$9:$A$78,Jun.26!E63,'Daily Advics'!$B$9:$B$78,Jun.26!F63)</f>
        <v>836214.01199999999</v>
      </c>
      <c r="K63" s="1504">
        <f t="shared" si="4"/>
        <v>1.1622857142857144</v>
      </c>
      <c r="L63" s="1484" t="str">
        <f t="shared" si="0"/>
        <v>Achieved</v>
      </c>
    </row>
    <row r="64" spans="1:12">
      <c r="A64" s="1484">
        <v>2026</v>
      </c>
      <c r="B64" s="1484" t="s">
        <v>590</v>
      </c>
      <c r="C64" s="1484" t="s">
        <v>573</v>
      </c>
      <c r="D64" s="1483" t="s">
        <v>3</v>
      </c>
      <c r="E64" s="1483" t="str">
        <f>_xlfn.XLOOKUP(F64,'Daily TRT '!B:B,'Daily TRT '!C:C)</f>
        <v>A4(40ton)</v>
      </c>
      <c r="F64" s="1482" t="s">
        <v>674</v>
      </c>
      <c r="G64" s="1481">
        <f>SUMIFS('Daily TRT '!$AJ$9:$AJ$236,'Daily TRT '!$A$9:$A$236,Jun.26!E64,'Daily TRT '!$B$9:$B$236,Jun.26!F64)</f>
        <v>0</v>
      </c>
      <c r="H64" s="1481">
        <f>SUMIFS('Daily TRT '!$AK$9:$AK$236,'Daily TRT '!$A$9:$A$236,Jun.26!E64,'Daily TRT '!$B$9:$B$236,Jun.26!F64)</f>
        <v>0</v>
      </c>
      <c r="I64" s="1481">
        <f>SUMIFS('Daily TRT '!$AL$9:$AL$236,'Daily TRT '!$A$9:$A$236,Jun.26!E64,'Daily TRT '!$B$9:$B$236,Jun.26!F64)</f>
        <v>0</v>
      </c>
      <c r="J64" s="1481">
        <f>SUMIFS('Daily TRT '!$AM$9:$AM$236,'Daily TRT '!$A$9:$A$236,Jun.26!E64,'Daily TRT '!$B$9:$B$236,Jun.26!F64)</f>
        <v>0</v>
      </c>
      <c r="K64" s="1504" t="e">
        <f t="shared" ref="K64" si="6">H64/G64</f>
        <v>#DIV/0!</v>
      </c>
      <c r="L64" s="1484" t="e">
        <f t="shared" si="0"/>
        <v>#DIV/0!</v>
      </c>
    </row>
    <row r="65" spans="1:12">
      <c r="A65" s="1484">
        <v>2026</v>
      </c>
      <c r="B65" s="1484" t="s">
        <v>590</v>
      </c>
      <c r="C65" s="1484" t="s">
        <v>573</v>
      </c>
      <c r="D65" s="1483" t="s">
        <v>3</v>
      </c>
      <c r="E65" s="1483" t="str">
        <f>_xlfn.XLOOKUP(F65,'Daily TRT '!B:B,'Daily TRT '!C:C)</f>
        <v>A5(50ton)</v>
      </c>
      <c r="F65" s="1482" t="s">
        <v>612</v>
      </c>
      <c r="G65" s="1481">
        <f>SUMIFS('Daily TRT '!$AJ$9:$AJ$236,'Daily TRT '!$A$9:$A$236,Jun.26!E65,'Daily TRT '!$B$9:$B$236,Jun.26!F65)</f>
        <v>0</v>
      </c>
      <c r="H65" s="1481">
        <f>SUMIFS('Daily TRT '!$AK$9:$AK$236,'Daily TRT '!$A$9:$A$236,Jun.26!E65,'Daily TRT '!$B$9:$B$236,Jun.26!F65)</f>
        <v>0</v>
      </c>
      <c r="I65" s="1481">
        <f>SUMIFS('Daily TRT '!$AL$9:$AL$236,'Daily TRT '!$A$9:$A$236,Jun.26!E65,'Daily TRT '!$B$9:$B$236,Jun.26!F65)</f>
        <v>0</v>
      </c>
      <c r="J65" s="1481">
        <f>SUMIFS('Daily TRT '!$AM$9:$AM$236,'Daily TRT '!$A$9:$A$236,Jun.26!E65,'Daily TRT '!$B$9:$B$236,Jun.26!F65)</f>
        <v>0</v>
      </c>
      <c r="K65" s="1504" t="e">
        <f t="shared" si="4"/>
        <v>#DIV/0!</v>
      </c>
      <c r="L65" s="1484" t="e">
        <f t="shared" si="0"/>
        <v>#DIV/0!</v>
      </c>
    </row>
    <row r="66" spans="1:12">
      <c r="A66" s="1484">
        <v>2026</v>
      </c>
      <c r="B66" s="1484" t="s">
        <v>590</v>
      </c>
      <c r="C66" s="1484" t="s">
        <v>573</v>
      </c>
      <c r="D66" s="1483" t="s">
        <v>3</v>
      </c>
      <c r="E66" s="1483" t="str">
        <f>_xlfn.XLOOKUP(F66,'Daily TRT '!B:B,'Daily TRT '!C:C)</f>
        <v>A5(50ton)</v>
      </c>
      <c r="F66" s="1482" t="s">
        <v>270</v>
      </c>
      <c r="G66" s="1481">
        <f>SUMIFS('Daily TRT '!$AJ$9:$AJ$236,'Daily TRT '!$A$9:$A$236,Jun.26!E66,'Daily TRT '!$B$9:$B$236,Jun.26!F66)</f>
        <v>0</v>
      </c>
      <c r="H66" s="1481">
        <f>SUMIFS('Daily TRT '!$AK$9:$AK$236,'Daily TRT '!$A$9:$A$236,Jun.26!E66,'Daily TRT '!$B$9:$B$236,Jun.26!F66)</f>
        <v>0</v>
      </c>
      <c r="I66" s="1481">
        <f>SUMIFS('Daily TRT '!$AL$9:$AL$236,'Daily TRT '!$A$9:$A$236,Jun.26!E66,'Daily TRT '!$B$9:$B$236,Jun.26!F66)</f>
        <v>0</v>
      </c>
      <c r="J66" s="1481">
        <f>SUMIFS('Daily TRT '!$AM$9:$AM$236,'Daily TRT '!$A$9:$A$236,Jun.26!E66,'Daily TRT '!$B$9:$B$236,Jun.26!F66)</f>
        <v>0</v>
      </c>
      <c r="K66" s="1504" t="e">
        <f t="shared" si="4"/>
        <v>#DIV/0!</v>
      </c>
      <c r="L66" s="1484" t="e">
        <f t="shared" si="0"/>
        <v>#DIV/0!</v>
      </c>
    </row>
    <row r="67" spans="1:12">
      <c r="A67" s="1484">
        <v>2026</v>
      </c>
      <c r="B67" s="1484" t="s">
        <v>590</v>
      </c>
      <c r="C67" s="1484" t="s">
        <v>573</v>
      </c>
      <c r="D67" s="1483" t="s">
        <v>3</v>
      </c>
      <c r="E67" s="1483" t="str">
        <f>_xlfn.XLOOKUP(F67,'Daily TRT '!B:B,'Daily TRT '!C:C)</f>
        <v>A5(50ton)</v>
      </c>
      <c r="F67" s="1482" t="s">
        <v>274</v>
      </c>
      <c r="G67" s="1481">
        <f>SUMIFS('Daily TRT '!$AJ$9:$AJ$236,'Daily TRT '!$A$9:$A$236,Jun.26!E67,'Daily TRT '!$B$9:$B$236,Jun.26!F67)</f>
        <v>0</v>
      </c>
      <c r="H67" s="1481">
        <f>SUMIFS('Daily TRT '!$AK$9:$AK$236,'Daily TRT '!$A$9:$A$236,Jun.26!E67,'Daily TRT '!$B$9:$B$236,Jun.26!F67)</f>
        <v>0</v>
      </c>
      <c r="I67" s="1481">
        <f>SUMIFS('Daily TRT '!$AL$9:$AL$236,'Daily TRT '!$A$9:$A$236,Jun.26!E67,'Daily TRT '!$B$9:$B$236,Jun.26!F67)</f>
        <v>0</v>
      </c>
      <c r="J67" s="1481">
        <f>SUMIFS('Daily TRT '!$AM$9:$AM$236,'Daily TRT '!$A$9:$A$236,Jun.26!E67,'Daily TRT '!$B$9:$B$236,Jun.26!F67)</f>
        <v>0</v>
      </c>
      <c r="K67" s="1504" t="e">
        <f t="shared" si="4"/>
        <v>#DIV/0!</v>
      </c>
      <c r="L67" s="1484" t="e">
        <f t="shared" ref="L67:L90" si="7">IF(K67&gt;1,"Achieved","Unachieved")</f>
        <v>#DIV/0!</v>
      </c>
    </row>
    <row r="68" spans="1:12">
      <c r="A68" s="1484">
        <v>2026</v>
      </c>
      <c r="B68" s="1484" t="s">
        <v>590</v>
      </c>
      <c r="C68" s="1484" t="s">
        <v>573</v>
      </c>
      <c r="D68" s="1483" t="s">
        <v>3</v>
      </c>
      <c r="E68" s="1483" t="str">
        <f>_xlfn.XLOOKUP(F68,'Daily TRT '!B:B,'Daily TRT '!C:C)</f>
        <v>A4(40ton)</v>
      </c>
      <c r="F68" s="1482" t="s">
        <v>279</v>
      </c>
      <c r="G68" s="1481">
        <f>SUMIFS('Daily TRT '!$AJ$9:$AJ$236,'Daily TRT '!$A$9:$A$236,Jun.26!E68,'Daily TRT '!$B$9:$B$236,Jun.26!F68)</f>
        <v>0</v>
      </c>
      <c r="H68" s="1481">
        <f>SUMIFS('Daily TRT '!$AK$9:$AK$236,'Daily TRT '!$A$9:$A$236,Jun.26!E68,'Daily TRT '!$B$9:$B$236,Jun.26!F68)</f>
        <v>0</v>
      </c>
      <c r="I68" s="1481">
        <f>SUMIFS('Daily TRT '!$AL$9:$AL$236,'Daily TRT '!$A$9:$A$236,Jun.26!E68,'Daily TRT '!$B$9:$B$236,Jun.26!F68)</f>
        <v>0</v>
      </c>
      <c r="J68" s="1481">
        <f>SUMIFS('Daily TRT '!$AM$9:$AM$236,'Daily TRT '!$A$9:$A$236,Jun.26!E68,'Daily TRT '!$B$9:$B$236,Jun.26!F68)</f>
        <v>0</v>
      </c>
      <c r="K68" s="1504" t="e">
        <f t="shared" si="4"/>
        <v>#DIV/0!</v>
      </c>
      <c r="L68" s="1484" t="e">
        <f t="shared" si="7"/>
        <v>#DIV/0!</v>
      </c>
    </row>
    <row r="69" spans="1:12">
      <c r="A69" s="1484">
        <v>2026</v>
      </c>
      <c r="B69" s="1484" t="s">
        <v>590</v>
      </c>
      <c r="C69" s="1484" t="s">
        <v>573</v>
      </c>
      <c r="D69" s="1483" t="s">
        <v>3</v>
      </c>
      <c r="E69" s="1483" t="str">
        <f>_xlfn.XLOOKUP(F69,'Daily TRT '!B:B,'Daily TRT '!C:C)</f>
        <v>A7(80ton)</v>
      </c>
      <c r="F69" s="1482" t="s">
        <v>282</v>
      </c>
      <c r="G69" s="1481">
        <f>SUMIFS('Daily TRT '!$AJ$9:$AJ$236,'Daily TRT '!$A$9:$A$236,Jun.26!E69,'Daily TRT '!$B$9:$B$236,Jun.26!F69)</f>
        <v>0</v>
      </c>
      <c r="H69" s="1481">
        <f>SUMIFS('Daily TRT '!$AK$9:$AK$236,'Daily TRT '!$A$9:$A$236,Jun.26!E69,'Daily TRT '!$B$9:$B$236,Jun.26!F69)</f>
        <v>0</v>
      </c>
      <c r="I69" s="1481">
        <f>SUMIFS('Daily TRT '!$AL$9:$AL$236,'Daily TRT '!$A$9:$A$236,Jun.26!E69,'Daily TRT '!$B$9:$B$236,Jun.26!F69)</f>
        <v>0</v>
      </c>
      <c r="J69" s="1481">
        <f>SUMIFS('Daily TRT '!$AM$9:$AM$236,'Daily TRT '!$A$9:$A$236,Jun.26!E69,'Daily TRT '!$B$9:$B$236,Jun.26!F69)</f>
        <v>0</v>
      </c>
      <c r="K69" s="1504" t="e">
        <f t="shared" si="4"/>
        <v>#DIV/0!</v>
      </c>
      <c r="L69" s="1484" t="e">
        <f t="shared" si="7"/>
        <v>#DIV/0!</v>
      </c>
    </row>
    <row r="70" spans="1:12">
      <c r="A70" s="1484">
        <v>2026</v>
      </c>
      <c r="B70" s="1484" t="s">
        <v>590</v>
      </c>
      <c r="C70" s="1484" t="s">
        <v>573</v>
      </c>
      <c r="D70" s="1483" t="s">
        <v>3</v>
      </c>
      <c r="E70" s="1483" t="str">
        <f>_xlfn.XLOOKUP(F70,'Daily TRT '!B:B,'Daily TRT '!C:C)</f>
        <v>A7(80ton)</v>
      </c>
      <c r="F70" s="1482" t="s">
        <v>613</v>
      </c>
      <c r="G70" s="1481">
        <f>SUMIFS('Daily TRT '!$AJ$9:$AJ$236,'Daily TRT '!$A$9:$A$236,Jun.26!E70,'Daily TRT '!$B$9:$B$236,Jun.26!F70)</f>
        <v>0</v>
      </c>
      <c r="H70" s="1481">
        <f>SUMIFS('Daily TRT '!$AK$9:$AK$236,'Daily TRT '!$A$9:$A$236,Jun.26!E70,'Daily TRT '!$B$9:$B$236,Jun.26!F70)</f>
        <v>0</v>
      </c>
      <c r="I70" s="1481">
        <f>SUMIFS('Daily TRT '!$AL$9:$AL$236,'Daily TRT '!$A$9:$A$236,Jun.26!E70,'Daily TRT '!$B$9:$B$236,Jun.26!F70)</f>
        <v>0</v>
      </c>
      <c r="J70" s="1481">
        <f>SUMIFS('Daily TRT '!$AM$9:$AM$236,'Daily TRT '!$A$9:$A$236,Jun.26!E70,'Daily TRT '!$B$9:$B$236,Jun.26!F70)</f>
        <v>0</v>
      </c>
      <c r="K70" s="1504" t="e">
        <f t="shared" ref="K70:K90" si="8">H70/G70</f>
        <v>#DIV/0!</v>
      </c>
      <c r="L70" s="1484" t="e">
        <f t="shared" si="7"/>
        <v>#DIV/0!</v>
      </c>
    </row>
    <row r="71" spans="1:12">
      <c r="A71" s="1484">
        <v>2026</v>
      </c>
      <c r="B71" s="1484" t="s">
        <v>590</v>
      </c>
      <c r="C71" s="1484" t="s">
        <v>573</v>
      </c>
      <c r="D71" s="1483" t="s">
        <v>3</v>
      </c>
      <c r="E71" s="1483" t="str">
        <f>_xlfn.XLOOKUP(F71,'Daily TRT '!B:B,'Daily TRT '!C:C)</f>
        <v>A7(80ton)</v>
      </c>
      <c r="F71" s="1482" t="s">
        <v>613</v>
      </c>
      <c r="G71" s="1481">
        <f>SUMIFS('Daily TRT '!$AJ$9:$AJ$236,'Daily TRT '!$A$9:$A$236,Jun.26!E71,'Daily TRT '!$B$9:$B$236,Jun.26!F71)</f>
        <v>0</v>
      </c>
      <c r="H71" s="1481">
        <f>SUMIFS('Daily TRT '!$AK$9:$AK$236,'Daily TRT '!$A$9:$A$236,Jun.26!E71,'Daily TRT '!$B$9:$B$236,Jun.26!F71)</f>
        <v>0</v>
      </c>
      <c r="I71" s="1481">
        <f>SUMIFS('Daily TRT '!$AL$9:$AL$236,'Daily TRT '!$A$9:$A$236,Jun.26!E71,'Daily TRT '!$B$9:$B$236,Jun.26!F71)</f>
        <v>0</v>
      </c>
      <c r="J71" s="1481">
        <f>SUMIFS('Daily TRT '!$AM$9:$AM$236,'Daily TRT '!$A$9:$A$236,Jun.26!E71,'Daily TRT '!$B$9:$B$236,Jun.26!F71)</f>
        <v>0</v>
      </c>
      <c r="K71" s="1504" t="e">
        <f t="shared" si="8"/>
        <v>#DIV/0!</v>
      </c>
      <c r="L71" s="1484" t="e">
        <f t="shared" si="7"/>
        <v>#DIV/0!</v>
      </c>
    </row>
    <row r="72" spans="1:12">
      <c r="A72" s="1484">
        <v>2026</v>
      </c>
      <c r="B72" s="1484" t="s">
        <v>590</v>
      </c>
      <c r="C72" s="1484" t="s">
        <v>573</v>
      </c>
      <c r="D72" s="1483" t="s">
        <v>3</v>
      </c>
      <c r="E72" s="1483" t="str">
        <f>_xlfn.XLOOKUP(F72,'Daily TRT '!B:B,'Daily TRT '!C:C)</f>
        <v>A7(80ton)</v>
      </c>
      <c r="F72" s="1482" t="s">
        <v>282</v>
      </c>
      <c r="G72" s="1481">
        <f>SUMIFS('Daily TRT '!$AJ$9:$AJ$236,'Daily TRT '!$A$9:$A$236,Jun.26!E72,'Daily TRT '!$B$9:$B$236,Jun.26!F72)</f>
        <v>0</v>
      </c>
      <c r="H72" s="1481">
        <f>SUMIFS('Daily TRT '!$AK$9:$AK$236,'Daily TRT '!$A$9:$A$236,Jun.26!E72,'Daily TRT '!$B$9:$B$236,Jun.26!F72)</f>
        <v>0</v>
      </c>
      <c r="I72" s="1481">
        <f>SUMIFS('Daily TRT '!$AL$9:$AL$236,'Daily TRT '!$A$9:$A$236,Jun.26!E72,'Daily TRT '!$B$9:$B$236,Jun.26!F72)</f>
        <v>0</v>
      </c>
      <c r="J72" s="1481">
        <f>SUMIFS('Daily TRT '!$AM$9:$AM$236,'Daily TRT '!$A$9:$A$236,Jun.26!E72,'Daily TRT '!$B$9:$B$236,Jun.26!F72)</f>
        <v>0</v>
      </c>
      <c r="K72" s="1504" t="e">
        <f t="shared" si="8"/>
        <v>#DIV/0!</v>
      </c>
      <c r="L72" s="1484" t="e">
        <f t="shared" si="7"/>
        <v>#DIV/0!</v>
      </c>
    </row>
    <row r="73" spans="1:12">
      <c r="A73" s="1484">
        <v>2026</v>
      </c>
      <c r="B73" s="1484" t="s">
        <v>590</v>
      </c>
      <c r="C73" s="1484" t="s">
        <v>573</v>
      </c>
      <c r="D73" s="1483" t="s">
        <v>3</v>
      </c>
      <c r="E73" s="1483" t="str">
        <f>_xlfn.XLOOKUP(F73,'Daily TRT '!B:B,'Daily TRT '!C:C)</f>
        <v>A11(100*100ton)</v>
      </c>
      <c r="F73" s="1482" t="s">
        <v>293</v>
      </c>
      <c r="G73" s="1481">
        <f>SUMIFS('Daily TRT '!$AJ$9:$AJ$236,'Daily TRT '!$A$9:$A$236,Jun.26!E73,'Daily TRT '!$B$9:$B$236,Jun.26!F73)</f>
        <v>0</v>
      </c>
      <c r="H73" s="1481">
        <f>SUMIFS('Daily TRT '!$AK$9:$AK$236,'Daily TRT '!$A$9:$A$236,Jun.26!E73,'Daily TRT '!$B$9:$B$236,Jun.26!F73)</f>
        <v>0</v>
      </c>
      <c r="I73" s="1481">
        <f>SUMIFS('Daily TRT '!$AL$9:$AL$236,'Daily TRT '!$A$9:$A$236,Jun.26!E73,'Daily TRT '!$B$9:$B$236,Jun.26!F73)</f>
        <v>0</v>
      </c>
      <c r="J73" s="1481">
        <f>SUMIFS('Daily TRT '!$AM$9:$AM$236,'Daily TRT '!$A$9:$A$236,Jun.26!E73,'Daily TRT '!$B$9:$B$236,Jun.26!F73)</f>
        <v>0</v>
      </c>
      <c r="K73" s="1504" t="e">
        <f t="shared" si="8"/>
        <v>#DIV/0!</v>
      </c>
      <c r="L73" s="1484" t="e">
        <f t="shared" si="7"/>
        <v>#DIV/0!</v>
      </c>
    </row>
    <row r="74" spans="1:12">
      <c r="A74" s="1484">
        <v>2026</v>
      </c>
      <c r="B74" s="1484" t="s">
        <v>590</v>
      </c>
      <c r="C74" s="1484" t="s">
        <v>573</v>
      </c>
      <c r="D74" s="1483" t="s">
        <v>3</v>
      </c>
      <c r="E74" s="1483" t="str">
        <f>_xlfn.XLOOKUP(F74,'Daily TRT '!B:B,'Daily TRT '!C:C)</f>
        <v>A11(100*100ton)</v>
      </c>
      <c r="F74" s="1482" t="s">
        <v>298</v>
      </c>
      <c r="G74" s="1481">
        <f>SUMIFS('Daily TRT '!$AJ$9:$AJ$236,'Daily TRT '!$A$9:$A$236,Jun.26!E74,'Daily TRT '!$B$9:$B$236,Jun.26!F74)</f>
        <v>0</v>
      </c>
      <c r="H74" s="1481">
        <f>SUMIFS('Daily TRT '!$AK$9:$AK$236,'Daily TRT '!$A$9:$A$236,Jun.26!E74,'Daily TRT '!$B$9:$B$236,Jun.26!F74)</f>
        <v>0</v>
      </c>
      <c r="I74" s="1481">
        <f>SUMIFS('Daily TRT '!$AL$9:$AL$236,'Daily TRT '!$A$9:$A$236,Jun.26!E74,'Daily TRT '!$B$9:$B$236,Jun.26!F74)</f>
        <v>0</v>
      </c>
      <c r="J74" s="1481">
        <f>SUMIFS('Daily TRT '!$AM$9:$AM$236,'Daily TRT '!$A$9:$A$236,Jun.26!E74,'Daily TRT '!$B$9:$B$236,Jun.26!F74)</f>
        <v>0</v>
      </c>
      <c r="K74" s="1504" t="e">
        <f t="shared" si="8"/>
        <v>#DIV/0!</v>
      </c>
      <c r="L74" s="1484" t="e">
        <f t="shared" si="7"/>
        <v>#DIV/0!</v>
      </c>
    </row>
    <row r="75" spans="1:12">
      <c r="A75" s="1484">
        <v>2026</v>
      </c>
      <c r="B75" s="1484" t="s">
        <v>590</v>
      </c>
      <c r="C75" s="1484" t="s">
        <v>573</v>
      </c>
      <c r="D75" s="1483" t="s">
        <v>3</v>
      </c>
      <c r="E75" s="1483" t="str">
        <f>_xlfn.XLOOKUP(F75,'Daily TRT '!B:B,'Daily TRT '!C:C)</f>
        <v>A12(50Ton)</v>
      </c>
      <c r="F75" s="1482" t="s">
        <v>574</v>
      </c>
      <c r="G75" s="1481">
        <f>SUMIFS('Daily TRT '!$AJ$9:$AJ$236,'Daily TRT '!$A$9:$A$236,Jun.26!E75,'Daily TRT '!$B$9:$B$236,Jun.26!F75)</f>
        <v>0</v>
      </c>
      <c r="H75" s="1481">
        <f>SUMIFS('Daily TRT '!$AK$9:$AK$236,'Daily TRT '!$A$9:$A$236,Jun.26!E75,'Daily TRT '!$B$9:$B$236,Jun.26!F75)</f>
        <v>0</v>
      </c>
      <c r="I75" s="1481">
        <f>SUMIFS('Daily TRT '!$AL$9:$AL$236,'Daily TRT '!$A$9:$A$236,Jun.26!E75,'Daily TRT '!$B$9:$B$236,Jun.26!F75)</f>
        <v>0</v>
      </c>
      <c r="J75" s="1481">
        <f>SUMIFS('Daily TRT '!$AM$9:$AM$236,'Daily TRT '!$A$9:$A$236,Jun.26!E75,'Daily TRT '!$B$9:$B$236,Jun.26!F75)</f>
        <v>0</v>
      </c>
      <c r="K75" s="1501" t="e">
        <f t="shared" si="8"/>
        <v>#DIV/0!</v>
      </c>
      <c r="L75" s="1484" t="e">
        <f t="shared" si="7"/>
        <v>#DIV/0!</v>
      </c>
    </row>
    <row r="76" spans="1:12">
      <c r="A76" s="1484">
        <v>2026</v>
      </c>
      <c r="B76" s="1484" t="s">
        <v>590</v>
      </c>
      <c r="C76" s="1484" t="s">
        <v>573</v>
      </c>
      <c r="D76" s="1483" t="s">
        <v>3</v>
      </c>
      <c r="E76" s="1483" t="str">
        <f>_xlfn.XLOOKUP(F76,'Daily TRT '!B:B,'Daily TRT '!C:C)</f>
        <v>A12(50Ton)</v>
      </c>
      <c r="F76" s="1482" t="s">
        <v>303</v>
      </c>
      <c r="G76" s="1481">
        <f>SUMIFS('Daily TRT '!$AJ$9:$AJ$236,'Daily TRT '!$A$9:$A$236,Jun.26!E76,'Daily TRT '!$B$9:$B$236,Jun.26!F76)</f>
        <v>0</v>
      </c>
      <c r="H76" s="1481">
        <f>SUMIFS('Daily TRT '!$AK$9:$AK$236,'Daily TRT '!$A$9:$A$236,Jun.26!E76,'Daily TRT '!$B$9:$B$236,Jun.26!F76)</f>
        <v>0</v>
      </c>
      <c r="I76" s="1481">
        <f>SUMIFS('Daily TRT '!$AL$9:$AL$236,'Daily TRT '!$A$9:$A$236,Jun.26!E76,'Daily TRT '!$B$9:$B$236,Jun.26!F76)</f>
        <v>0</v>
      </c>
      <c r="J76" s="1481">
        <f>SUMIFS('Daily TRT '!$AM$9:$AM$236,'Daily TRT '!$A$9:$A$236,Jun.26!E76,'Daily TRT '!$B$9:$B$236,Jun.26!F76)</f>
        <v>0</v>
      </c>
      <c r="K76" s="1501" t="e">
        <f t="shared" si="8"/>
        <v>#DIV/0!</v>
      </c>
      <c r="L76" s="1484" t="e">
        <f t="shared" si="7"/>
        <v>#DIV/0!</v>
      </c>
    </row>
    <row r="77" spans="1:12">
      <c r="A77" s="1484">
        <v>2026</v>
      </c>
      <c r="B77" s="1484" t="s">
        <v>590</v>
      </c>
      <c r="C77" s="1484" t="s">
        <v>573</v>
      </c>
      <c r="D77" s="1483" t="s">
        <v>3</v>
      </c>
      <c r="E77" s="1483" t="str">
        <f>_xlfn.XLOOKUP(F77,'Daily TRT '!B:B,'Daily TRT '!C:C)</f>
        <v>A12(50Ton)</v>
      </c>
      <c r="F77" s="1482" t="s">
        <v>307</v>
      </c>
      <c r="G77" s="1481">
        <f>SUMIFS('Daily TRT '!$AJ$9:$AJ$236,'Daily TRT '!$A$9:$A$236,Jun.26!E77,'Daily TRT '!$B$9:$B$236,Jun.26!F77)</f>
        <v>0</v>
      </c>
      <c r="H77" s="1481">
        <f>SUMIFS('Daily TRT '!$AK$9:$AK$236,'Daily TRT '!$A$9:$A$236,Jun.26!E77,'Daily TRT '!$B$9:$B$236,Jun.26!F77)</f>
        <v>0</v>
      </c>
      <c r="I77" s="1481">
        <f>SUMIFS('Daily TRT '!$AL$9:$AL$236,'Daily TRT '!$A$9:$A$236,Jun.26!E77,'Daily TRT '!$B$9:$B$236,Jun.26!F77)</f>
        <v>0</v>
      </c>
      <c r="J77" s="1481">
        <f>SUMIFS('Daily TRT '!$AM$9:$AM$236,'Daily TRT '!$A$9:$A$236,Jun.26!E77,'Daily TRT '!$B$9:$B$236,Jun.26!F77)</f>
        <v>0</v>
      </c>
      <c r="K77" s="1501" t="e">
        <f t="shared" si="8"/>
        <v>#DIV/0!</v>
      </c>
      <c r="L77" s="1484" t="e">
        <f t="shared" si="7"/>
        <v>#DIV/0!</v>
      </c>
    </row>
    <row r="78" spans="1:12">
      <c r="A78" s="1484">
        <v>2026</v>
      </c>
      <c r="B78" s="1484" t="s">
        <v>590</v>
      </c>
      <c r="C78" s="1484" t="s">
        <v>573</v>
      </c>
      <c r="D78" s="1483" t="s">
        <v>3</v>
      </c>
      <c r="E78" s="1483" t="str">
        <f>_xlfn.XLOOKUP(F78,'Daily TRT '!B:B,'Daily TRT '!C:C)</f>
        <v>A12(50Ton)</v>
      </c>
      <c r="F78" s="1482" t="s">
        <v>310</v>
      </c>
      <c r="G78" s="1481">
        <f>SUMIFS('Daily TRT '!$AJ$9:$AJ$236,'Daily TRT '!$A$9:$A$236,Jun.26!E78,'Daily TRT '!$B$9:$B$236,Jun.26!F78)</f>
        <v>0</v>
      </c>
      <c r="H78" s="1481">
        <f>SUMIFS('Daily TRT '!$AK$9:$AK$236,'Daily TRT '!$A$9:$A$236,Jun.26!E78,'Daily TRT '!$B$9:$B$236,Jun.26!F78)</f>
        <v>0</v>
      </c>
      <c r="I78" s="1481">
        <f>SUMIFS('Daily TRT '!$AL$9:$AL$236,'Daily TRT '!$A$9:$A$236,Jun.26!E78,'Daily TRT '!$B$9:$B$236,Jun.26!F78)</f>
        <v>0</v>
      </c>
      <c r="J78" s="1481">
        <f>SUMIFS('Daily TRT '!$AM$9:$AM$236,'Daily TRT '!$A$9:$A$236,Jun.26!E78,'Daily TRT '!$B$9:$B$236,Jun.26!F78)</f>
        <v>0</v>
      </c>
      <c r="K78" s="1501" t="e">
        <f t="shared" si="8"/>
        <v>#DIV/0!</v>
      </c>
      <c r="L78" s="1484" t="e">
        <f t="shared" si="7"/>
        <v>#DIV/0!</v>
      </c>
    </row>
    <row r="79" spans="1:12">
      <c r="A79" s="1484">
        <v>2026</v>
      </c>
      <c r="B79" s="1484" t="s">
        <v>590</v>
      </c>
      <c r="C79" s="1484" t="s">
        <v>573</v>
      </c>
      <c r="D79" s="1483" t="s">
        <v>3</v>
      </c>
      <c r="E79" s="1483" t="str">
        <f>_xlfn.XLOOKUP(F79,'Daily TRT '!B:B,'Daily TRT '!C:C)</f>
        <v>A12(50Ton)</v>
      </c>
      <c r="F79" s="1482" t="s">
        <v>313</v>
      </c>
      <c r="G79" s="1481">
        <f>SUMIFS('Daily TRT '!$AJ$9:$AJ$236,'Daily TRT '!$A$9:$A$236,Jun.26!E79,'Daily TRT '!$B$9:$B$236,Jun.26!F79)</f>
        <v>0</v>
      </c>
      <c r="H79" s="1481">
        <f>SUMIFS('Daily TRT '!$AK$9:$AK$236,'Daily TRT '!$A$9:$A$236,Jun.26!E79,'Daily TRT '!$B$9:$B$236,Jun.26!F79)</f>
        <v>0</v>
      </c>
      <c r="I79" s="1481">
        <f>SUMIFS('Daily TRT '!$AL$9:$AL$236,'Daily TRT '!$A$9:$A$236,Jun.26!E79,'Daily TRT '!$B$9:$B$236,Jun.26!F79)</f>
        <v>0</v>
      </c>
      <c r="J79" s="1481">
        <f>SUMIFS('Daily TRT '!$AM$9:$AM$236,'Daily TRT '!$A$9:$A$236,Jun.26!E79,'Daily TRT '!$B$9:$B$236,Jun.26!F79)</f>
        <v>0</v>
      </c>
      <c r="K79" s="1501" t="e">
        <f t="shared" si="8"/>
        <v>#DIV/0!</v>
      </c>
      <c r="L79" s="1484" t="e">
        <f t="shared" si="7"/>
        <v>#DIV/0!</v>
      </c>
    </row>
    <row r="80" spans="1:12">
      <c r="A80" s="1484">
        <v>2026</v>
      </c>
      <c r="B80" s="1484" t="s">
        <v>590</v>
      </c>
      <c r="C80" s="1484" t="s">
        <v>573</v>
      </c>
      <c r="D80" s="1483" t="s">
        <v>3</v>
      </c>
      <c r="E80" s="1483" t="str">
        <f>_xlfn.XLOOKUP(F80,'Daily TRT '!B:B,'Daily TRT '!C:C)</f>
        <v>A12(50Ton)</v>
      </c>
      <c r="F80" s="1482" t="s">
        <v>690</v>
      </c>
      <c r="G80" s="1481">
        <f>SUMIFS('Daily TRT '!$AJ$9:$AJ$236,'Daily TRT '!$A$9:$A$236,Jun.26!E80,'Daily TRT '!$B$9:$B$236,Jun.26!F80)</f>
        <v>0</v>
      </c>
      <c r="H80" s="1481">
        <f>SUMIFS('Daily TRT '!$AK$9:$AK$236,'Daily TRT '!$A$9:$A$236,Jun.26!E80,'Daily TRT '!$B$9:$B$236,Jun.26!F80)</f>
        <v>0</v>
      </c>
      <c r="I80" s="1481">
        <f>SUMIFS('Daily TRT '!$AL$9:$AL$236,'Daily TRT '!$A$9:$A$236,Jun.26!E80,'Daily TRT '!$B$9:$B$236,Jun.26!F80)</f>
        <v>0</v>
      </c>
      <c r="J80" s="1481">
        <f>SUMIFS('Daily TRT '!$AM$9:$AM$236,'Daily TRT '!$A$9:$A$236,Jun.26!E80,'Daily TRT '!$B$9:$B$236,Jun.26!F80)</f>
        <v>0</v>
      </c>
      <c r="K80" s="1501" t="e">
        <f t="shared" si="8"/>
        <v>#DIV/0!</v>
      </c>
      <c r="L80" s="1484" t="e">
        <f t="shared" si="7"/>
        <v>#DIV/0!</v>
      </c>
    </row>
    <row r="81" spans="1:12">
      <c r="A81" s="1484">
        <v>2026</v>
      </c>
      <c r="B81" s="1484" t="s">
        <v>590</v>
      </c>
      <c r="C81" s="1484" t="s">
        <v>571</v>
      </c>
      <c r="D81" s="1483" t="s">
        <v>3</v>
      </c>
      <c r="E81" s="1483" t="str">
        <f>_xlfn.XLOOKUP(F81,'Daily Yazaki'!B:B,'Daily Yazaki'!C:C)</f>
        <v>A8(80ton)</v>
      </c>
      <c r="F81" s="1482" t="s">
        <v>572</v>
      </c>
      <c r="G81" s="1481">
        <f>SUMIFS('Daily Yazaki'!$AJ$9:$AJ$176,'Daily Yazaki'!$A$9:$A$176,Jun.26!E81,'Daily Yazaki'!$B$9:$B$176,Jun.26!F81)</f>
        <v>0</v>
      </c>
      <c r="H81" s="1481">
        <f>SUMIFS('Daily Yazaki'!$AK$9:$AK$176,'Daily Yazaki'!$A$9:$A$176,Jun.26!E81,'Daily Yazaki'!$B$9:$B$176,Jun.26!F81)</f>
        <v>0</v>
      </c>
      <c r="I81" s="1481">
        <f>SUMIFS('Daily Yazaki'!$AL$9:$AL$176,'Daily Yazaki'!$A$9:$A$176,Jun.26!E81,'Daily Yazaki'!$B$9:$B$176,Jun.26!F81)</f>
        <v>0</v>
      </c>
      <c r="J81" s="1481">
        <f>SUMIFS('Daily Yazaki'!$AM$9:$AM$176,'Daily Yazaki'!$A$9:$A$176,Jun.26!E81,'Daily Yazaki'!$B$9:$B$176,Jun.26!F81)</f>
        <v>0</v>
      </c>
      <c r="K81" s="1501" t="e">
        <f t="shared" si="8"/>
        <v>#DIV/0!</v>
      </c>
      <c r="L81" s="1484" t="e">
        <f t="shared" si="7"/>
        <v>#DIV/0!</v>
      </c>
    </row>
    <row r="82" spans="1:12">
      <c r="A82" s="1484">
        <v>2026</v>
      </c>
      <c r="B82" s="1484" t="s">
        <v>590</v>
      </c>
      <c r="C82" s="1484" t="s">
        <v>571</v>
      </c>
      <c r="D82" s="1483" t="s">
        <v>3</v>
      </c>
      <c r="E82" s="1483" t="str">
        <f>_xlfn.XLOOKUP(F82,'Daily Yazaki'!B:B,'Daily Yazaki'!C:C)</f>
        <v>A1(75ton)</v>
      </c>
      <c r="F82" s="1482" t="s">
        <v>325</v>
      </c>
      <c r="G82" s="1481">
        <f>SUMIFS('Daily Yazaki'!$AJ$9:$AJ$176,'Daily Yazaki'!$A$9:$A$176,Jun.26!E82,'Daily Yazaki'!$B$9:$B$176,Jun.26!F82)</f>
        <v>0</v>
      </c>
      <c r="H82" s="1481">
        <f>SUMIFS('Daily Yazaki'!$AK$9:$AK$176,'Daily Yazaki'!$A$9:$A$176,Jun.26!E82,'Daily Yazaki'!$B$9:$B$176,Jun.26!F82)</f>
        <v>0</v>
      </c>
      <c r="I82" s="1481">
        <f>SUMIFS('Daily Yazaki'!$AL$9:$AL$176,'Daily Yazaki'!$A$9:$A$176,Jun.26!E82,'Daily Yazaki'!$B$9:$B$176,Jun.26!F82)</f>
        <v>0</v>
      </c>
      <c r="J82" s="1481">
        <f>SUMIFS('Daily Yazaki'!$AM$9:$AM$176,'Daily Yazaki'!$A$9:$A$176,Jun.26!E82,'Daily Yazaki'!$B$9:$B$176,Jun.26!F82)</f>
        <v>0</v>
      </c>
      <c r="K82" s="1501" t="e">
        <f t="shared" si="8"/>
        <v>#DIV/0!</v>
      </c>
      <c r="L82" s="1484" t="e">
        <f t="shared" si="7"/>
        <v>#DIV/0!</v>
      </c>
    </row>
    <row r="83" spans="1:12">
      <c r="A83" s="1484">
        <v>2026</v>
      </c>
      <c r="B83" s="1484" t="s">
        <v>590</v>
      </c>
      <c r="C83" s="1484" t="s">
        <v>571</v>
      </c>
      <c r="D83" s="1483" t="s">
        <v>3</v>
      </c>
      <c r="E83" s="1483" t="str">
        <f>_xlfn.XLOOKUP(F83,'Daily Yazaki'!B:B,'Daily Yazaki'!C:C)</f>
        <v>A1(75ton)</v>
      </c>
      <c r="F83" s="1482" t="s">
        <v>328</v>
      </c>
      <c r="G83" s="1481">
        <f>SUMIFS('Daily Yazaki'!$AJ$9:$AJ$176,'Daily Yazaki'!$A$9:$A$176,Jun.26!E83,'Daily Yazaki'!$B$9:$B$176,Jun.26!F83)</f>
        <v>0</v>
      </c>
      <c r="H83" s="1481">
        <f>SUMIFS('Daily Yazaki'!$AK$9:$AK$176,'Daily Yazaki'!$A$9:$A$176,Jun.26!E83,'Daily Yazaki'!$B$9:$B$176,Jun.26!F83)</f>
        <v>0</v>
      </c>
      <c r="I83" s="1481">
        <f>SUMIFS('Daily Yazaki'!$AL$9:$AL$176,'Daily Yazaki'!$A$9:$A$176,Jun.26!E83,'Daily Yazaki'!$B$9:$B$176,Jun.26!F83)</f>
        <v>0</v>
      </c>
      <c r="J83" s="1481">
        <f>SUMIFS('Daily Yazaki'!$AM$9:$AM$176,'Daily Yazaki'!$A$9:$A$176,Jun.26!E83,'Daily Yazaki'!$B$9:$B$176,Jun.26!F83)</f>
        <v>0</v>
      </c>
      <c r="K83" s="1501" t="e">
        <f t="shared" si="8"/>
        <v>#DIV/0!</v>
      </c>
      <c r="L83" s="1484" t="e">
        <f t="shared" si="7"/>
        <v>#DIV/0!</v>
      </c>
    </row>
    <row r="84" spans="1:12">
      <c r="A84" s="1484">
        <v>2026</v>
      </c>
      <c r="B84" s="1484" t="s">
        <v>590</v>
      </c>
      <c r="C84" s="1484" t="s">
        <v>571</v>
      </c>
      <c r="D84" s="1483" t="s">
        <v>3</v>
      </c>
      <c r="E84" s="1483" t="str">
        <f>_xlfn.XLOOKUP(F84,'Daily Yazaki'!B:B,'Daily Yazaki'!C:C)</f>
        <v>A8(80ton)</v>
      </c>
      <c r="F84" s="1482" t="s">
        <v>331</v>
      </c>
      <c r="G84" s="1481">
        <f>SUMIFS('Daily Yazaki'!$AJ$9:$AJ$176,'Daily Yazaki'!$A$9:$A$176,Jun.26!E84,'Daily Yazaki'!$B$9:$B$176,Jun.26!F84)</f>
        <v>150000</v>
      </c>
      <c r="H84" s="1481">
        <f>SUMIFS('Daily Yazaki'!$AK$9:$AK$176,'Daily Yazaki'!$A$9:$A$176,Jun.26!E84,'Daily Yazaki'!$B$9:$B$176,Jun.26!F84)</f>
        <v>10500</v>
      </c>
      <c r="I84" s="1481">
        <f>SUMIFS('Daily Yazaki'!$AL$9:$AL$176,'Daily Yazaki'!$A$9:$A$176,Jun.26!E84,'Daily Yazaki'!$B$9:$B$176,Jun.26!F84)</f>
        <v>756489</v>
      </c>
      <c r="J84" s="1481">
        <f>SUMIFS('Daily Yazaki'!$AM$9:$AM$176,'Daily Yazaki'!$A$9:$A$176,Jun.26!E84,'Daily Yazaki'!$B$9:$B$176,Jun.26!F84)</f>
        <v>52954.23</v>
      </c>
      <c r="K84" s="1501">
        <f t="shared" si="8"/>
        <v>7.0000000000000007E-2</v>
      </c>
      <c r="L84" s="1484" t="str">
        <f t="shared" si="7"/>
        <v>Unachieved</v>
      </c>
    </row>
    <row r="85" spans="1:12">
      <c r="A85" s="1484">
        <v>2026</v>
      </c>
      <c r="B85" s="1484" t="s">
        <v>590</v>
      </c>
      <c r="C85" s="1484" t="s">
        <v>571</v>
      </c>
      <c r="D85" s="1483" t="s">
        <v>3</v>
      </c>
      <c r="E85" s="1483" t="str">
        <f>_xlfn.XLOOKUP(F85,'Daily Yazaki'!B:B,'Daily Yazaki'!C:C)</f>
        <v>A2(100ton)</v>
      </c>
      <c r="F85" s="1482" t="s">
        <v>719</v>
      </c>
      <c r="G85" s="1481">
        <f>SUMIFS('Daily Yazaki'!$AJ$9:$AJ$176,'Daily Yazaki'!$A$9:$A$176,Jun.26!E85,'Daily Yazaki'!$B$9:$B$176,Jun.26!F85)</f>
        <v>0</v>
      </c>
      <c r="H85" s="1481">
        <f>SUMIFS('Daily Yazaki'!$AK$9:$AK$176,'Daily Yazaki'!$A$9:$A$176,Jun.26!E85,'Daily Yazaki'!$B$9:$B$176,Jun.26!F85)</f>
        <v>0</v>
      </c>
      <c r="I85" s="1481">
        <f>SUMIFS('Daily Yazaki'!$AL$9:$AL$176,'Daily Yazaki'!$A$9:$A$176,Jun.26!E85,'Daily Yazaki'!$B$9:$B$176,Jun.26!F85)</f>
        <v>0</v>
      </c>
      <c r="J85" s="1481">
        <f>SUMIFS('Daily Yazaki'!$AM$9:$AM$176,'Daily Yazaki'!$A$9:$A$176,Jun.26!E85,'Daily Yazaki'!$B$9:$B$176,Jun.26!F85)</f>
        <v>0</v>
      </c>
      <c r="K85" s="1501" t="e">
        <f t="shared" si="8"/>
        <v>#DIV/0!</v>
      </c>
      <c r="L85" s="1484" t="e">
        <f t="shared" si="7"/>
        <v>#DIV/0!</v>
      </c>
    </row>
    <row r="86" spans="1:12">
      <c r="A86" s="1484">
        <v>2026</v>
      </c>
      <c r="B86" s="1484" t="s">
        <v>590</v>
      </c>
      <c r="C86" s="1484" t="s">
        <v>571</v>
      </c>
      <c r="D86" s="1483" t="s">
        <v>3</v>
      </c>
      <c r="E86" s="1483" t="str">
        <f>_xlfn.XLOOKUP(F86,'Daily Yazaki'!B:B,'Daily Yazaki'!C:C)</f>
        <v>A2(100ton)</v>
      </c>
      <c r="F86" s="1482" t="s">
        <v>614</v>
      </c>
      <c r="G86" s="1481">
        <f>SUMIFS('Daily Yazaki'!$AJ$9:$AJ$176,'Daily Yazaki'!$A$9:$A$176,Jun.26!E86,'Daily Yazaki'!$B$9:$B$176,Jun.26!F86)</f>
        <v>350000</v>
      </c>
      <c r="H86" s="1481">
        <f>SUMIFS('Daily Yazaki'!$AK$9:$AK$176,'Daily Yazaki'!$A$9:$A$176,Jun.26!E86,'Daily Yazaki'!$B$9:$B$176,Jun.26!F86)</f>
        <v>301824</v>
      </c>
      <c r="I86" s="1481">
        <f>SUMIFS('Daily Yazaki'!$AL$9:$AL$176,'Daily Yazaki'!$A$9:$A$176,Jun.26!E86,'Daily Yazaki'!$B$9:$B$176,Jun.26!F86)</f>
        <v>1297061.5</v>
      </c>
      <c r="J86" s="1481">
        <f>SUMIFS('Daily Yazaki'!$AM$9:$AM$176,'Daily Yazaki'!$A$9:$A$176,Jun.26!E86,'Daily Yazaki'!$B$9:$B$176,Jun.26!F86)</f>
        <v>1118526.54336</v>
      </c>
      <c r="K86" s="1501">
        <f t="shared" si="8"/>
        <v>0.86235428571428574</v>
      </c>
      <c r="L86" s="1484" t="str">
        <f t="shared" si="7"/>
        <v>Unachieved</v>
      </c>
    </row>
    <row r="87" spans="1:12">
      <c r="A87" s="1484">
        <v>2026</v>
      </c>
      <c r="B87" s="1484" t="s">
        <v>590</v>
      </c>
      <c r="C87" s="1484" t="s">
        <v>571</v>
      </c>
      <c r="D87" s="1483" t="s">
        <v>3</v>
      </c>
      <c r="E87" s="1483" t="str">
        <f>_xlfn.XLOOKUP(F87,'Daily Yazaki'!B:B,'Daily Yazaki'!C:C)</f>
        <v>A2(100ton)</v>
      </c>
      <c r="F87" s="1482" t="s">
        <v>720</v>
      </c>
      <c r="G87" s="1481">
        <f>SUMIFS('Daily Yazaki'!$AJ$9:$AJ$176,'Daily Yazaki'!$A$9:$A$176,Jun.26!E87,'Daily Yazaki'!$B$9:$B$176,Jun.26!F87)</f>
        <v>0</v>
      </c>
      <c r="H87" s="1481">
        <f>SUMIFS('Daily Yazaki'!$AK$9:$AK$176,'Daily Yazaki'!$A$9:$A$176,Jun.26!E87,'Daily Yazaki'!$B$9:$B$176,Jun.26!F87)</f>
        <v>0</v>
      </c>
      <c r="I87" s="1481">
        <f>SUMIFS('Daily Yazaki'!$AL$9:$AL$176,'Daily Yazaki'!$A$9:$A$176,Jun.26!E87,'Daily Yazaki'!$B$9:$B$176,Jun.26!F87)</f>
        <v>0</v>
      </c>
      <c r="J87" s="1481">
        <f>SUMIFS('Daily Yazaki'!$AM$9:$AM$176,'Daily Yazaki'!$A$9:$A$176,Jun.26!E87,'Daily Yazaki'!$B$9:$B$176,Jun.26!F87)</f>
        <v>0</v>
      </c>
      <c r="K87" s="1501" t="e">
        <f t="shared" si="8"/>
        <v>#DIV/0!</v>
      </c>
      <c r="L87" s="1484" t="e">
        <f t="shared" si="7"/>
        <v>#DIV/0!</v>
      </c>
    </row>
    <row r="88" spans="1:12">
      <c r="A88" s="1484">
        <v>2026</v>
      </c>
      <c r="B88" s="1484" t="s">
        <v>590</v>
      </c>
      <c r="C88" s="1484" t="s">
        <v>571</v>
      </c>
      <c r="D88" s="1483" t="s">
        <v>3</v>
      </c>
      <c r="E88" s="1483" t="str">
        <f>_xlfn.XLOOKUP(F88,'Daily Yazaki'!B:B,'Daily Yazaki'!C:C)</f>
        <v>A5(50ton)</v>
      </c>
      <c r="F88" s="1482" t="s">
        <v>344</v>
      </c>
      <c r="G88" s="1481">
        <f>SUMIFS('Daily Yazaki'!$AJ$9:$AJ$176,'Daily Yazaki'!$A$9:$A$176,Jun.26!E88,'Daily Yazaki'!$B$9:$B$176,Jun.26!F88)</f>
        <v>0</v>
      </c>
      <c r="H88" s="1481">
        <f>SUMIFS('Daily Yazaki'!$AK$9:$AK$176,'Daily Yazaki'!$A$9:$A$176,Jun.26!E88,'Daily Yazaki'!$B$9:$B$176,Jun.26!F88)</f>
        <v>0</v>
      </c>
      <c r="I88" s="1481">
        <f>SUMIFS('Daily Yazaki'!$AL$9:$AL$176,'Daily Yazaki'!$A$9:$A$176,Jun.26!E88,'Daily Yazaki'!$B$9:$B$176,Jun.26!F88)</f>
        <v>0</v>
      </c>
      <c r="J88" s="1481">
        <f>SUMIFS('Daily Yazaki'!$AM$9:$AM$176,'Daily Yazaki'!$A$9:$A$176,Jun.26!E88,'Daily Yazaki'!$B$9:$B$176,Jun.26!F88)</f>
        <v>0</v>
      </c>
      <c r="K88" s="1501" t="e">
        <f t="shared" si="8"/>
        <v>#DIV/0!</v>
      </c>
      <c r="L88" s="1484" t="e">
        <f t="shared" si="7"/>
        <v>#DIV/0!</v>
      </c>
    </row>
    <row r="89" spans="1:12">
      <c r="A89" s="1484">
        <v>2026</v>
      </c>
      <c r="B89" s="1484" t="s">
        <v>590</v>
      </c>
      <c r="C89" s="1484" t="s">
        <v>571</v>
      </c>
      <c r="D89" s="1483" t="s">
        <v>3</v>
      </c>
      <c r="E89" s="1483" t="str">
        <f>_xlfn.XLOOKUP(F89,'Daily Yazaki'!B:B,'Daily Yazaki'!C:C)</f>
        <v>A1(75ton)</v>
      </c>
      <c r="F89" s="1482" t="s">
        <v>328</v>
      </c>
      <c r="G89" s="1481">
        <f>SUMIFS('Daily Yazaki'!$AJ$9:$AJ$176,'Daily Yazaki'!$A$9:$A$176,Jun.26!E89,'Daily Yazaki'!$B$9:$B$176,Jun.26!F89)</f>
        <v>0</v>
      </c>
      <c r="H89" s="1481">
        <f>SUMIFS('Daily Yazaki'!$AK$9:$AK$176,'Daily Yazaki'!$A$9:$A$176,Jun.26!E89,'Daily Yazaki'!$B$9:$B$176,Jun.26!F89)</f>
        <v>0</v>
      </c>
      <c r="I89" s="1481">
        <f>SUMIFS('Daily Yazaki'!$AL$9:$AL$176,'Daily Yazaki'!$A$9:$A$176,Jun.26!E89,'Daily Yazaki'!$B$9:$B$176,Jun.26!F89)</f>
        <v>0</v>
      </c>
      <c r="J89" s="1481">
        <f>SUMIFS('Daily Yazaki'!$AM$9:$AM$176,'Daily Yazaki'!$A$9:$A$176,Jun.26!E89,'Daily Yazaki'!$B$9:$B$176,Jun.26!F89)</f>
        <v>0</v>
      </c>
      <c r="K89" s="1501" t="e">
        <f t="shared" si="8"/>
        <v>#DIV/0!</v>
      </c>
      <c r="L89" s="1484" t="e">
        <f t="shared" si="7"/>
        <v>#DIV/0!</v>
      </c>
    </row>
    <row r="90" spans="1:12">
      <c r="A90" s="1484">
        <v>2026</v>
      </c>
      <c r="B90" s="1484" t="s">
        <v>590</v>
      </c>
      <c r="C90" s="1484" t="s">
        <v>571</v>
      </c>
      <c r="D90" s="1483" t="s">
        <v>3</v>
      </c>
      <c r="E90" s="1483" t="str">
        <f>_xlfn.XLOOKUP(F90,'Daily Yazaki'!B:B,'Daily Yazaki'!C:C)</f>
        <v>A14(100ton)</v>
      </c>
      <c r="F90" s="1482" t="s">
        <v>673</v>
      </c>
      <c r="G90" s="1481">
        <f>SUMIFS('Daily Yazaki'!$AJ$9:$AJ$176,'Daily Yazaki'!$A$9:$A$176,Jun.26!E90,'Daily Yazaki'!$B$9:$B$176,Jun.26!F90)</f>
        <v>0</v>
      </c>
      <c r="H90" s="1481">
        <f>SUMIFS('Daily Yazaki'!$AK$9:$AK$176,'Daily Yazaki'!$A$9:$A$176,Jun.26!E90,'Daily Yazaki'!$B$9:$B$176,Jun.26!F90)</f>
        <v>0</v>
      </c>
      <c r="I90" s="1481">
        <f>SUMIFS('Daily Yazaki'!$AL$9:$AL$176,'Daily Yazaki'!$A$9:$A$176,Jun.26!E90,'Daily Yazaki'!$B$9:$B$176,Jun.26!F90)</f>
        <v>0</v>
      </c>
      <c r="J90" s="1481">
        <f>SUMIFS('Daily Yazaki'!$AM$9:$AM$176,'Daily Yazaki'!$A$9:$A$176,Jun.26!E90,'Daily Yazaki'!$B$9:$B$176,Jun.26!F90)</f>
        <v>0</v>
      </c>
      <c r="K90" s="1501" t="e">
        <f t="shared" si="8"/>
        <v>#DIV/0!</v>
      </c>
      <c r="L90" s="1484" t="e">
        <f t="shared" si="7"/>
        <v>#DIV/0!</v>
      </c>
    </row>
  </sheetData>
  <autoFilter ref="A1:K1" xr:uid="{02033A2B-0920-4B76-8D0F-C01C94D0069A}"/>
  <phoneticPr fontId="14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E2AF6-77A8-474F-9D3A-D4AD7201764A}">
  <sheetPr codeName="Sheet1">
    <tabColor theme="9" tint="0.39997558519241921"/>
  </sheetPr>
  <dimension ref="A1:AV1207"/>
  <sheetViews>
    <sheetView showGridLines="0" zoomScale="68" zoomScaleNormal="68" zoomScaleSheetLayoutView="40" workbookViewId="0">
      <pane xSplit="5" ySplit="7" topLeftCell="F1078" activePane="bottomRight" state="frozen"/>
      <selection pane="topRight" activeCell="B167" sqref="B167"/>
      <selection pane="bottomLeft" activeCell="B167" sqref="B167"/>
      <selection pane="bottomRight" activeCell="M1200" sqref="M1200"/>
    </sheetView>
  </sheetViews>
  <sheetFormatPr defaultColWidth="9.42578125" defaultRowHeight="15.75"/>
  <cols>
    <col min="1" max="1" width="17.28515625" style="1" customWidth="1"/>
    <col min="2" max="2" width="57.5703125" style="2" customWidth="1"/>
    <col min="3" max="3" width="28" style="3" customWidth="1"/>
    <col min="4" max="4" width="41" style="195" customWidth="1"/>
    <col min="5" max="33" width="13" style="1" customWidth="1"/>
    <col min="34" max="34" width="13.42578125" style="1" customWidth="1"/>
    <col min="35" max="35" width="13.42578125" style="1" hidden="1" customWidth="1"/>
    <col min="36" max="40" width="17.5703125" style="1" customWidth="1"/>
    <col min="41" max="41" width="13.5703125" style="1" customWidth="1"/>
    <col min="42" max="42" width="36.7109375" style="1" customWidth="1"/>
    <col min="43" max="44" width="14.42578125" style="1" bestFit="1" customWidth="1"/>
    <col min="45" max="48" width="13.42578125" style="1" customWidth="1"/>
    <col min="49" max="16384" width="9.42578125" style="1"/>
  </cols>
  <sheetData>
    <row r="1" spans="1:48" ht="25.5" customHeight="1">
      <c r="D1" s="4"/>
    </row>
    <row r="2" spans="1:48" ht="25.5" customHeight="1">
      <c r="D2" s="4"/>
      <c r="AB2" s="801">
        <v>151431</v>
      </c>
    </row>
    <row r="3" spans="1:48" ht="11.1" customHeight="1">
      <c r="D3" s="1516" t="s">
        <v>32</v>
      </c>
      <c r="N3" s="1517"/>
      <c r="O3" s="1517"/>
      <c r="AB3" s="801"/>
    </row>
    <row r="4" spans="1:48" ht="25.35" customHeight="1">
      <c r="A4" s="5" t="s">
        <v>568</v>
      </c>
      <c r="D4" s="1516"/>
      <c r="N4" s="4"/>
      <c r="O4" s="4"/>
      <c r="AB4" s="801"/>
    </row>
    <row r="5" spans="1:48" s="7" customFormat="1" ht="25.35" customHeight="1" thickBot="1">
      <c r="A5" s="6" t="s">
        <v>33</v>
      </c>
      <c r="C5" s="8"/>
      <c r="D5" s="9"/>
      <c r="P5" s="1518"/>
      <c r="Q5" s="1518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spans="1:48" ht="30.75" customHeight="1" thickTop="1" thickBot="1">
      <c r="A6" s="11" t="s">
        <v>34</v>
      </c>
      <c r="B6" s="11" t="s">
        <v>35</v>
      </c>
      <c r="C6" s="11" t="s">
        <v>36</v>
      </c>
      <c r="D6" s="12" t="s">
        <v>37</v>
      </c>
      <c r="E6" s="13" t="s">
        <v>561</v>
      </c>
      <c r="F6" s="14" t="s">
        <v>38</v>
      </c>
      <c r="G6" s="14" t="s">
        <v>39</v>
      </c>
      <c r="H6" s="14" t="s">
        <v>40</v>
      </c>
      <c r="I6" s="14" t="s">
        <v>41</v>
      </c>
      <c r="J6" s="14" t="s">
        <v>42</v>
      </c>
      <c r="K6" s="14" t="s">
        <v>43</v>
      </c>
      <c r="L6" s="14" t="s">
        <v>44</v>
      </c>
      <c r="M6" s="14" t="s">
        <v>45</v>
      </c>
      <c r="N6" s="14" t="s">
        <v>46</v>
      </c>
      <c r="O6" s="14" t="s">
        <v>47</v>
      </c>
      <c r="P6" s="14" t="s">
        <v>48</v>
      </c>
      <c r="Q6" s="14" t="s">
        <v>49</v>
      </c>
      <c r="R6" s="14" t="s">
        <v>50</v>
      </c>
      <c r="S6" s="14" t="s">
        <v>51</v>
      </c>
      <c r="T6" s="14" t="s">
        <v>52</v>
      </c>
      <c r="U6" s="14" t="s">
        <v>53</v>
      </c>
      <c r="V6" s="14" t="s">
        <v>54</v>
      </c>
      <c r="W6" s="14" t="s">
        <v>55</v>
      </c>
      <c r="X6" s="14" t="s">
        <v>56</v>
      </c>
      <c r="Y6" s="14" t="s">
        <v>57</v>
      </c>
      <c r="Z6" s="14" t="s">
        <v>58</v>
      </c>
      <c r="AA6" s="14" t="s">
        <v>59</v>
      </c>
      <c r="AB6" s="14" t="s">
        <v>60</v>
      </c>
      <c r="AC6" s="14" t="s">
        <v>61</v>
      </c>
      <c r="AD6" s="14" t="s">
        <v>62</v>
      </c>
      <c r="AE6" s="14" t="s">
        <v>63</v>
      </c>
      <c r="AF6" s="14" t="s">
        <v>64</v>
      </c>
      <c r="AG6" s="14" t="s">
        <v>65</v>
      </c>
      <c r="AH6" s="14" t="s">
        <v>66</v>
      </c>
      <c r="AI6" s="14" t="s">
        <v>67</v>
      </c>
      <c r="AJ6" s="15" t="s">
        <v>68</v>
      </c>
      <c r="AK6" s="1013" t="s">
        <v>69</v>
      </c>
      <c r="AL6" s="506" t="s">
        <v>70</v>
      </c>
      <c r="AM6" s="1018" t="s">
        <v>71</v>
      </c>
      <c r="AN6" s="16" t="s">
        <v>72</v>
      </c>
      <c r="AO6" s="620" t="s">
        <v>73</v>
      </c>
      <c r="AP6" s="1" t="s">
        <v>74</v>
      </c>
      <c r="AQ6" s="1" t="s">
        <v>75</v>
      </c>
      <c r="AR6" s="1" t="s">
        <v>76</v>
      </c>
      <c r="AS6" s="1" t="s">
        <v>77</v>
      </c>
      <c r="AT6" s="1" t="s">
        <v>78</v>
      </c>
      <c r="AU6" s="1" t="s">
        <v>79</v>
      </c>
      <c r="AV6" s="1" t="s">
        <v>80</v>
      </c>
    </row>
    <row r="7" spans="1:48" s="24" customFormat="1" ht="21" thickBot="1">
      <c r="A7" s="17"/>
      <c r="B7" s="17"/>
      <c r="C7" s="18"/>
      <c r="D7" s="19"/>
      <c r="E7" s="1364">
        <v>46174</v>
      </c>
      <c r="F7" s="1094">
        <f>Table75[[#This Row],[June''2026]]+1</f>
        <v>46175</v>
      </c>
      <c r="G7" s="1206">
        <f>Table75[[#This Row],[Column1]]+1</f>
        <v>46176</v>
      </c>
      <c r="H7" s="1094">
        <f>Table75[[#This Row],[Column2]]+1</f>
        <v>46177</v>
      </c>
      <c r="I7" s="1094">
        <f>Table75[[#This Row],[Column3]]+1</f>
        <v>46178</v>
      </c>
      <c r="J7" s="1206">
        <f>Table75[[#This Row],[Column4]]+1</f>
        <v>46179</v>
      </c>
      <c r="K7" s="1206">
        <f>Table75[[#This Row],[Column5]]+1</f>
        <v>46180</v>
      </c>
      <c r="L7" s="1094">
        <f>Table75[[#This Row],[Column6]]+1</f>
        <v>46181</v>
      </c>
      <c r="M7" s="1094">
        <f>Table75[[#This Row],[Column7]]+1</f>
        <v>46182</v>
      </c>
      <c r="N7" s="1094">
        <f>Table75[[#This Row],[Column8]]+1</f>
        <v>46183</v>
      </c>
      <c r="O7" s="1094">
        <f>Table75[[#This Row],[Column9]]+1</f>
        <v>46184</v>
      </c>
      <c r="P7" s="1094">
        <f>Table75[[#This Row],[Column10]]+1</f>
        <v>46185</v>
      </c>
      <c r="Q7" s="1206">
        <f>Table75[[#This Row],[Column11]]+1</f>
        <v>46186</v>
      </c>
      <c r="R7" s="1206">
        <f>Table75[[#This Row],[Column12]]+1</f>
        <v>46187</v>
      </c>
      <c r="S7" s="1094">
        <f>Table75[[#This Row],[Column13]]+1</f>
        <v>46188</v>
      </c>
      <c r="T7" s="1094">
        <f>Table75[[#This Row],[Column14]]+1</f>
        <v>46189</v>
      </c>
      <c r="U7" s="1094">
        <f>Table75[[#This Row],[Column15]]+1</f>
        <v>46190</v>
      </c>
      <c r="V7" s="1094">
        <f>Table75[[#This Row],[Column16]]+1</f>
        <v>46191</v>
      </c>
      <c r="W7" s="1094">
        <f>Table75[[#This Row],[Column17]]+1</f>
        <v>46192</v>
      </c>
      <c r="X7" s="1206">
        <f>Table75[[#This Row],[Column18]]+1</f>
        <v>46193</v>
      </c>
      <c r="Y7" s="1206">
        <f>Table75[[#This Row],[Column19]]+1</f>
        <v>46194</v>
      </c>
      <c r="Z7" s="1094">
        <f>Table75[[#This Row],[Column20]]+1</f>
        <v>46195</v>
      </c>
      <c r="AA7" s="1094">
        <f>Table75[[#This Row],[Column21]]+1</f>
        <v>46196</v>
      </c>
      <c r="AB7" s="1094">
        <f>Table75[[#This Row],[Column22]]+1</f>
        <v>46197</v>
      </c>
      <c r="AC7" s="1094">
        <f>Table75[[#This Row],[Column23]]+1</f>
        <v>46198</v>
      </c>
      <c r="AD7" s="1094">
        <f>Table75[[#This Row],[Column24]]+1</f>
        <v>46199</v>
      </c>
      <c r="AE7" s="1206">
        <f>Table75[[#This Row],[Column242]]+1</f>
        <v>46200</v>
      </c>
      <c r="AF7" s="1206">
        <f>Table75[[#This Row],[Column243]]+1</f>
        <v>46201</v>
      </c>
      <c r="AG7" s="1094">
        <f>Table75[[#This Row],[Column244]]+1</f>
        <v>46202</v>
      </c>
      <c r="AH7" s="1094">
        <f>Table75[[#This Row],[Column25]]+1</f>
        <v>46203</v>
      </c>
      <c r="AI7" s="1462">
        <f>Table75[[#This Row],[Column26]]+1</f>
        <v>46204</v>
      </c>
      <c r="AJ7" s="20"/>
      <c r="AK7" s="944">
        <f t="shared" ref="AK7:AK63" si="0">AJ9</f>
        <v>0</v>
      </c>
      <c r="AL7" s="372"/>
      <c r="AM7" s="976">
        <f t="shared" ref="AM7:AM70" si="1">AL9</f>
        <v>0</v>
      </c>
      <c r="AN7" s="22"/>
      <c r="AO7" s="621"/>
      <c r="AP7" s="23"/>
      <c r="AQ7" s="23"/>
      <c r="AR7" s="23"/>
      <c r="AS7" s="23"/>
      <c r="AT7" s="23"/>
      <c r="AU7" s="23"/>
      <c r="AV7" s="23"/>
    </row>
    <row r="8" spans="1:48" ht="19.5" hidden="1" customHeight="1" thickTop="1">
      <c r="A8" s="25"/>
      <c r="B8" s="26" t="s">
        <v>81</v>
      </c>
      <c r="C8" s="27"/>
      <c r="D8" s="28" t="s">
        <v>82</v>
      </c>
      <c r="E8" s="1095"/>
      <c r="F8" s="1095"/>
      <c r="G8" s="1194"/>
      <c r="H8" s="1095"/>
      <c r="I8" s="1095"/>
      <c r="J8" s="1194"/>
      <c r="K8" s="1194"/>
      <c r="L8" s="1095"/>
      <c r="M8" s="1095"/>
      <c r="N8" s="1095"/>
      <c r="O8" s="1095"/>
      <c r="P8" s="1095"/>
      <c r="Q8" s="1194"/>
      <c r="R8" s="1194"/>
      <c r="S8" s="1095"/>
      <c r="T8" s="1095"/>
      <c r="U8" s="1095"/>
      <c r="V8" s="1095"/>
      <c r="W8" s="1095"/>
      <c r="X8" s="1194"/>
      <c r="Y8" s="1194"/>
      <c r="Z8" s="1095"/>
      <c r="AA8" s="1095"/>
      <c r="AB8" s="1095"/>
      <c r="AC8" s="1095"/>
      <c r="AD8" s="1095"/>
      <c r="AE8" s="1194"/>
      <c r="AF8" s="1194"/>
      <c r="AG8" s="1095"/>
      <c r="AH8" s="1095"/>
      <c r="AI8" s="1418"/>
      <c r="AJ8" s="29">
        <f>SUM(E8:AI8)</f>
        <v>0</v>
      </c>
      <c r="AK8" s="29">
        <f t="shared" si="0"/>
        <v>0</v>
      </c>
      <c r="AL8" s="30">
        <f>+AJ8*AN8</f>
        <v>0</v>
      </c>
      <c r="AM8" s="694">
        <f t="shared" si="1"/>
        <v>0</v>
      </c>
      <c r="AN8" s="31"/>
      <c r="AO8" s="622">
        <f>Table5[[#This Row],[Total]]*B12/1000</f>
        <v>0</v>
      </c>
      <c r="AP8" s="32" t="s">
        <v>134</v>
      </c>
      <c r="AQ8" s="33" t="s">
        <v>84</v>
      </c>
      <c r="AR8" s="33" t="s">
        <v>85</v>
      </c>
      <c r="AS8" s="33" t="s">
        <v>86</v>
      </c>
      <c r="AT8" s="33" t="s">
        <v>87</v>
      </c>
      <c r="AU8" s="33" t="s">
        <v>88</v>
      </c>
      <c r="AV8" s="34" t="s">
        <v>68</v>
      </c>
    </row>
    <row r="9" spans="1:48" ht="27.75" hidden="1" customHeight="1">
      <c r="A9" s="25"/>
      <c r="B9" s="35" t="s">
        <v>89</v>
      </c>
      <c r="C9" s="36"/>
      <c r="D9" s="37" t="s">
        <v>90</v>
      </c>
      <c r="E9" s="1373">
        <f>IF(E8="",0,+ E8/E15)</f>
        <v>0</v>
      </c>
      <c r="F9" s="1096">
        <f t="shared" ref="F9:AI9" si="2">IF(F8="",0, E9+F8/F15)</f>
        <v>0</v>
      </c>
      <c r="G9" s="1207">
        <f t="shared" si="2"/>
        <v>0</v>
      </c>
      <c r="H9" s="1096">
        <f t="shared" si="2"/>
        <v>0</v>
      </c>
      <c r="I9" s="1096">
        <f t="shared" si="2"/>
        <v>0</v>
      </c>
      <c r="J9" s="1207">
        <f t="shared" si="2"/>
        <v>0</v>
      </c>
      <c r="K9" s="1207">
        <f t="shared" si="2"/>
        <v>0</v>
      </c>
      <c r="L9" s="1096">
        <f t="shared" si="2"/>
        <v>0</v>
      </c>
      <c r="M9" s="1096">
        <f t="shared" si="2"/>
        <v>0</v>
      </c>
      <c r="N9" s="1096">
        <f t="shared" si="2"/>
        <v>0</v>
      </c>
      <c r="O9" s="1096">
        <f>IF(O8="",0, N9+O8/O15)</f>
        <v>0</v>
      </c>
      <c r="P9" s="1096">
        <f>IF(P8="",0, O9+P8/P15)</f>
        <v>0</v>
      </c>
      <c r="Q9" s="1207">
        <f t="shared" si="2"/>
        <v>0</v>
      </c>
      <c r="R9" s="1207">
        <f t="shared" si="2"/>
        <v>0</v>
      </c>
      <c r="S9" s="1096">
        <f t="shared" si="2"/>
        <v>0</v>
      </c>
      <c r="T9" s="1096">
        <f t="shared" si="2"/>
        <v>0</v>
      </c>
      <c r="U9" s="1096">
        <f t="shared" si="2"/>
        <v>0</v>
      </c>
      <c r="V9" s="1096">
        <f t="shared" si="2"/>
        <v>0</v>
      </c>
      <c r="W9" s="1096">
        <f t="shared" si="2"/>
        <v>0</v>
      </c>
      <c r="X9" s="1207">
        <f t="shared" si="2"/>
        <v>0</v>
      </c>
      <c r="Y9" s="1207">
        <f t="shared" si="2"/>
        <v>0</v>
      </c>
      <c r="Z9" s="1096">
        <f t="shared" si="2"/>
        <v>0</v>
      </c>
      <c r="AA9" s="1096">
        <f t="shared" si="2"/>
        <v>0</v>
      </c>
      <c r="AB9" s="1096">
        <f t="shared" si="2"/>
        <v>0</v>
      </c>
      <c r="AC9" s="1096">
        <f t="shared" si="2"/>
        <v>0</v>
      </c>
      <c r="AD9" s="1096">
        <f t="shared" si="2"/>
        <v>0</v>
      </c>
      <c r="AE9" s="1207">
        <f t="shared" si="2"/>
        <v>0</v>
      </c>
      <c r="AF9" s="1207">
        <f t="shared" si="2"/>
        <v>0</v>
      </c>
      <c r="AG9" s="1096">
        <f t="shared" si="2"/>
        <v>0</v>
      </c>
      <c r="AH9" s="1096">
        <f t="shared" si="2"/>
        <v>0</v>
      </c>
      <c r="AI9" s="1324">
        <f t="shared" si="2"/>
        <v>0</v>
      </c>
      <c r="AJ9" s="38"/>
      <c r="AK9" s="29"/>
      <c r="AL9" s="30"/>
      <c r="AM9" s="694">
        <f t="shared" si="1"/>
        <v>0</v>
      </c>
      <c r="AN9" s="31"/>
      <c r="AO9" s="630"/>
      <c r="AP9" s="39" t="s">
        <v>91</v>
      </c>
      <c r="AQ9" s="40">
        <f>SUM(E8:I8)</f>
        <v>0</v>
      </c>
      <c r="AR9" s="41">
        <f>SUM(J8:P8)</f>
        <v>0</v>
      </c>
      <c r="AS9" s="41">
        <f>SUM(Q8:W8)</f>
        <v>0</v>
      </c>
      <c r="AT9" s="41">
        <f>SUM(X8:AD8)</f>
        <v>0</v>
      </c>
      <c r="AU9" s="41">
        <f>SUM(AE8:AI8)</f>
        <v>0</v>
      </c>
      <c r="AV9" s="34">
        <f t="shared" ref="AV9:AV14" si="3">SUM(AQ9:AU9)</f>
        <v>0</v>
      </c>
    </row>
    <row r="10" spans="1:48" ht="19.5" hidden="1" customHeight="1">
      <c r="A10" s="25"/>
      <c r="B10" s="26" t="s">
        <v>92</v>
      </c>
      <c r="C10" s="42"/>
      <c r="D10" s="43" t="s">
        <v>93</v>
      </c>
      <c r="E10" s="1325"/>
      <c r="F10" s="1089"/>
      <c r="G10" s="44"/>
      <c r="H10" s="1089"/>
      <c r="I10" s="1089"/>
      <c r="J10" s="44"/>
      <c r="K10" s="44"/>
      <c r="L10" s="1089"/>
      <c r="M10" s="1089"/>
      <c r="N10" s="1089"/>
      <c r="O10" s="1089"/>
      <c r="P10" s="1089"/>
      <c r="Q10" s="44"/>
      <c r="R10" s="44"/>
      <c r="S10" s="1089"/>
      <c r="T10" s="1089"/>
      <c r="U10" s="1089"/>
      <c r="V10" s="1089"/>
      <c r="W10" s="1089"/>
      <c r="X10" s="44"/>
      <c r="Y10" s="44"/>
      <c r="Z10" s="1089"/>
      <c r="AA10" s="1089"/>
      <c r="AB10" s="1089"/>
      <c r="AC10" s="1089"/>
      <c r="AD10" s="1089"/>
      <c r="AE10" s="44"/>
      <c r="AF10" s="44"/>
      <c r="AG10" s="1089"/>
      <c r="AH10" s="1089"/>
      <c r="AI10" s="1326"/>
      <c r="AJ10" s="45">
        <f>SUM(E10:AI10)</f>
        <v>0</v>
      </c>
      <c r="AK10" s="45"/>
      <c r="AL10" s="46">
        <f>+AJ10*AN8</f>
        <v>0</v>
      </c>
      <c r="AM10" s="1066">
        <f t="shared" si="1"/>
        <v>0</v>
      </c>
      <c r="AN10" s="31"/>
      <c r="AO10" s="632">
        <f>(AJ10+AJ12+AJ13+AJ14)*B12/1000</f>
        <v>0</v>
      </c>
      <c r="AP10" s="47" t="s">
        <v>94</v>
      </c>
      <c r="AQ10" s="48">
        <f>SUM(E10:I10)</f>
        <v>0</v>
      </c>
      <c r="AR10" s="49">
        <f>SUM(J10:P10)</f>
        <v>0</v>
      </c>
      <c r="AS10" s="49">
        <f>SUM(Q10:W10)</f>
        <v>0</v>
      </c>
      <c r="AT10" s="49">
        <f>SUM(X10:AD10)</f>
        <v>0</v>
      </c>
      <c r="AU10" s="49">
        <f>SUM(AE10:AI10)</f>
        <v>0</v>
      </c>
      <c r="AV10" s="50">
        <f t="shared" si="3"/>
        <v>0</v>
      </c>
    </row>
    <row r="11" spans="1:48" ht="21" hidden="1" customHeight="1">
      <c r="A11" s="25"/>
      <c r="B11" s="51"/>
      <c r="C11" s="52" t="s">
        <v>95</v>
      </c>
      <c r="D11" s="53" t="s">
        <v>96</v>
      </c>
      <c r="E11" s="1327">
        <f t="shared" ref="E11:AI11" si="4">+E10-E8</f>
        <v>0</v>
      </c>
      <c r="F11" s="1097">
        <f t="shared" si="4"/>
        <v>0</v>
      </c>
      <c r="G11" s="1205">
        <f t="shared" si="4"/>
        <v>0</v>
      </c>
      <c r="H11" s="1097">
        <f t="shared" si="4"/>
        <v>0</v>
      </c>
      <c r="I11" s="1097">
        <f t="shared" si="4"/>
        <v>0</v>
      </c>
      <c r="J11" s="1205">
        <f t="shared" si="4"/>
        <v>0</v>
      </c>
      <c r="K11" s="1205">
        <f t="shared" si="4"/>
        <v>0</v>
      </c>
      <c r="L11" s="1097">
        <f t="shared" si="4"/>
        <v>0</v>
      </c>
      <c r="M11" s="1097">
        <f t="shared" si="4"/>
        <v>0</v>
      </c>
      <c r="N11" s="1097">
        <f t="shared" si="4"/>
        <v>0</v>
      </c>
      <c r="O11" s="1097">
        <f t="shared" si="4"/>
        <v>0</v>
      </c>
      <c r="P11" s="1097">
        <f>+P10-P8</f>
        <v>0</v>
      </c>
      <c r="Q11" s="1205">
        <f>+Q10-Q8</f>
        <v>0</v>
      </c>
      <c r="R11" s="1205">
        <f t="shared" si="4"/>
        <v>0</v>
      </c>
      <c r="S11" s="1097">
        <f t="shared" si="4"/>
        <v>0</v>
      </c>
      <c r="T11" s="1097">
        <f t="shared" si="4"/>
        <v>0</v>
      </c>
      <c r="U11" s="1097">
        <f t="shared" si="4"/>
        <v>0</v>
      </c>
      <c r="V11" s="1097">
        <f t="shared" si="4"/>
        <v>0</v>
      </c>
      <c r="W11" s="1097">
        <f t="shared" si="4"/>
        <v>0</v>
      </c>
      <c r="X11" s="1205">
        <f t="shared" si="4"/>
        <v>0</v>
      </c>
      <c r="Y11" s="1205">
        <f t="shared" si="4"/>
        <v>0</v>
      </c>
      <c r="Z11" s="1097">
        <f t="shared" si="4"/>
        <v>0</v>
      </c>
      <c r="AA11" s="1097">
        <f>+AA10-AA8</f>
        <v>0</v>
      </c>
      <c r="AB11" s="1097">
        <f t="shared" si="4"/>
        <v>0</v>
      </c>
      <c r="AC11" s="1097">
        <f t="shared" si="4"/>
        <v>0</v>
      </c>
      <c r="AD11" s="1097">
        <f t="shared" si="4"/>
        <v>0</v>
      </c>
      <c r="AE11" s="1205">
        <f t="shared" si="4"/>
        <v>0</v>
      </c>
      <c r="AF11" s="1205">
        <f t="shared" si="4"/>
        <v>0</v>
      </c>
      <c r="AG11" s="1097">
        <f t="shared" si="4"/>
        <v>0</v>
      </c>
      <c r="AH11" s="1097">
        <f t="shared" si="4"/>
        <v>0</v>
      </c>
      <c r="AI11" s="1328">
        <f t="shared" si="4"/>
        <v>0</v>
      </c>
      <c r="AJ11" s="54">
        <f>+AJ10-AJ8</f>
        <v>0</v>
      </c>
      <c r="AK11" s="54"/>
      <c r="AL11" s="55">
        <f>+AJ11*AN8</f>
        <v>0</v>
      </c>
      <c r="AM11" s="1067">
        <f t="shared" si="1"/>
        <v>0</v>
      </c>
      <c r="AN11" s="31" t="s">
        <v>97</v>
      </c>
      <c r="AO11" s="622"/>
      <c r="AP11" s="39" t="s">
        <v>98</v>
      </c>
      <c r="AQ11" s="56">
        <f>AQ10-AQ9</f>
        <v>0</v>
      </c>
      <c r="AR11" s="70">
        <f>AR10-AR9</f>
        <v>0</v>
      </c>
      <c r="AS11" s="70">
        <f>AS10-AS9</f>
        <v>0</v>
      </c>
      <c r="AT11" s="70">
        <f>AT10-AT9</f>
        <v>0</v>
      </c>
      <c r="AU11" s="70">
        <f>AU10-AU9</f>
        <v>0</v>
      </c>
      <c r="AV11" s="57">
        <f t="shared" si="3"/>
        <v>0</v>
      </c>
    </row>
    <row r="12" spans="1:48" ht="19.5" hidden="1" customHeight="1">
      <c r="A12" s="58" t="s">
        <v>524</v>
      </c>
      <c r="B12" s="59"/>
      <c r="C12" s="60" t="s">
        <v>100</v>
      </c>
      <c r="D12" s="61" t="s">
        <v>101</v>
      </c>
      <c r="E12" s="1098"/>
      <c r="F12" s="1099"/>
      <c r="G12" s="1208"/>
      <c r="H12" s="1099"/>
      <c r="I12" s="1099"/>
      <c r="J12" s="1208"/>
      <c r="K12" s="1208"/>
      <c r="L12" s="1099"/>
      <c r="M12" s="1099"/>
      <c r="N12" s="1099"/>
      <c r="O12" s="1099"/>
      <c r="P12" s="1099"/>
      <c r="Q12" s="1208"/>
      <c r="R12" s="1208"/>
      <c r="S12" s="1099"/>
      <c r="T12" s="1099"/>
      <c r="U12" s="1099"/>
      <c r="V12" s="1099"/>
      <c r="W12" s="1099"/>
      <c r="X12" s="1208"/>
      <c r="Y12" s="1208"/>
      <c r="Z12" s="1099"/>
      <c r="AA12" s="1099"/>
      <c r="AB12" s="1099"/>
      <c r="AC12" s="1099"/>
      <c r="AD12" s="1099"/>
      <c r="AE12" s="1208"/>
      <c r="AF12" s="1208"/>
      <c r="AG12" s="1099"/>
      <c r="AH12" s="1099"/>
      <c r="AI12" s="1330"/>
      <c r="AJ12" s="62">
        <f>SUM(E12:AI12)</f>
        <v>0</v>
      </c>
      <c r="AK12" s="62"/>
      <c r="AL12" s="63">
        <f>+AJ12*AN8</f>
        <v>0</v>
      </c>
      <c r="AM12" s="1068">
        <f t="shared" si="1"/>
        <v>0</v>
      </c>
      <c r="AN12" s="64" t="e">
        <f>+AJ12/AJ10*100</f>
        <v>#DIV/0!</v>
      </c>
      <c r="AO12" s="635" t="e">
        <f>AO10/AO8</f>
        <v>#DIV/0!</v>
      </c>
      <c r="AP12" s="39" t="s">
        <v>102</v>
      </c>
      <c r="AQ12" s="56">
        <f>SUM(E12:I12)</f>
        <v>0</v>
      </c>
      <c r="AR12" s="70">
        <f>SUM(J12:P12)</f>
        <v>0</v>
      </c>
      <c r="AS12" s="70">
        <f>SUM(Q12:W12)</f>
        <v>0</v>
      </c>
      <c r="AT12" s="70">
        <f>SUM(X12:AD12)</f>
        <v>0</v>
      </c>
      <c r="AU12" s="70">
        <f>SUM(AE12:AI12)</f>
        <v>0</v>
      </c>
      <c r="AV12" s="57">
        <f t="shared" si="3"/>
        <v>0</v>
      </c>
    </row>
    <row r="13" spans="1:48" ht="19.5" hidden="1" customHeight="1">
      <c r="A13" s="25"/>
      <c r="B13" s="65"/>
      <c r="C13" s="66"/>
      <c r="D13" s="67" t="s">
        <v>103</v>
      </c>
      <c r="E13" s="1100"/>
      <c r="F13" s="1101"/>
      <c r="G13" s="1209"/>
      <c r="H13" s="1101"/>
      <c r="I13" s="1101"/>
      <c r="J13" s="1209"/>
      <c r="K13" s="1209"/>
      <c r="L13" s="1101"/>
      <c r="M13" s="1101"/>
      <c r="N13" s="1101"/>
      <c r="O13" s="1101"/>
      <c r="P13" s="1101"/>
      <c r="Q13" s="1209"/>
      <c r="R13" s="1209"/>
      <c r="S13" s="1101"/>
      <c r="T13" s="1101"/>
      <c r="U13" s="1101"/>
      <c r="V13" s="1101"/>
      <c r="W13" s="1101"/>
      <c r="X13" s="1209"/>
      <c r="Y13" s="1209"/>
      <c r="Z13" s="1101"/>
      <c r="AA13" s="1101"/>
      <c r="AB13" s="1101"/>
      <c r="AC13" s="1101"/>
      <c r="AD13" s="1101"/>
      <c r="AE13" s="1209"/>
      <c r="AF13" s="1209"/>
      <c r="AG13" s="1101"/>
      <c r="AH13" s="1101"/>
      <c r="AI13" s="1332"/>
      <c r="AJ13" s="68">
        <f>SUM(E13:AI13)</f>
        <v>0</v>
      </c>
      <c r="AK13" s="68"/>
      <c r="AL13" s="69">
        <f>+AJ13*AN8</f>
        <v>0</v>
      </c>
      <c r="AM13" s="1069">
        <f t="shared" si="1"/>
        <v>0</v>
      </c>
      <c r="AN13" s="31"/>
      <c r="AO13" s="622"/>
      <c r="AP13" s="39" t="s">
        <v>19</v>
      </c>
      <c r="AQ13" s="56">
        <f>AQ12*AN8</f>
        <v>0</v>
      </c>
      <c r="AR13" s="56">
        <f>AR12*AN8</f>
        <v>0</v>
      </c>
      <c r="AS13" s="56">
        <f>AS12*AN8</f>
        <v>0</v>
      </c>
      <c r="AT13" s="56">
        <f>AT12*AN8</f>
        <v>0</v>
      </c>
      <c r="AU13" s="56">
        <f>AU12*AN8</f>
        <v>0</v>
      </c>
      <c r="AV13" s="57">
        <f t="shared" si="3"/>
        <v>0</v>
      </c>
    </row>
    <row r="14" spans="1:48" ht="29.25" hidden="1" customHeight="1">
      <c r="A14" s="71"/>
      <c r="B14" s="65"/>
      <c r="C14" s="72" t="s">
        <v>104</v>
      </c>
      <c r="D14" s="73" t="s">
        <v>105</v>
      </c>
      <c r="E14" s="1102"/>
      <c r="F14" s="1103"/>
      <c r="G14" s="1210"/>
      <c r="H14" s="1103"/>
      <c r="I14" s="1103"/>
      <c r="J14" s="1210"/>
      <c r="K14" s="1210"/>
      <c r="L14" s="1103"/>
      <c r="M14" s="1103"/>
      <c r="N14" s="1103"/>
      <c r="O14" s="1103"/>
      <c r="P14" s="1103"/>
      <c r="Q14" s="1210"/>
      <c r="R14" s="1210"/>
      <c r="S14" s="1103"/>
      <c r="T14" s="1103"/>
      <c r="U14" s="1103"/>
      <c r="V14" s="1103"/>
      <c r="W14" s="1103"/>
      <c r="X14" s="1210"/>
      <c r="Y14" s="1210"/>
      <c r="Z14" s="1103"/>
      <c r="AA14" s="1103"/>
      <c r="AB14" s="1103"/>
      <c r="AC14" s="1103"/>
      <c r="AD14" s="1103"/>
      <c r="AE14" s="1210"/>
      <c r="AF14" s="1210"/>
      <c r="AG14" s="1103"/>
      <c r="AH14" s="1103"/>
      <c r="AI14" s="1352"/>
      <c r="AJ14" s="74">
        <f>SUM(E14:AI14)</f>
        <v>0</v>
      </c>
      <c r="AK14" s="74"/>
      <c r="AL14" s="75">
        <f>+AJ14*AN9</f>
        <v>0</v>
      </c>
      <c r="AM14" s="1070">
        <f t="shared" si="1"/>
        <v>0</v>
      </c>
      <c r="AN14" s="76"/>
      <c r="AO14" s="636"/>
      <c r="AP14" s="47" t="s">
        <v>106</v>
      </c>
      <c r="AQ14" s="48">
        <f>AQ10*AN8</f>
        <v>0</v>
      </c>
      <c r="AR14" s="48">
        <f>AR10*AN8</f>
        <v>0</v>
      </c>
      <c r="AS14" s="48">
        <f>AS10*AN8</f>
        <v>0</v>
      </c>
      <c r="AT14" s="48">
        <f>AT10*AN8</f>
        <v>0</v>
      </c>
      <c r="AU14" s="48">
        <f>AU10*AN8</f>
        <v>0</v>
      </c>
      <c r="AV14" s="50">
        <f t="shared" si="3"/>
        <v>0</v>
      </c>
    </row>
    <row r="15" spans="1:48" ht="19.5" hidden="1" customHeight="1">
      <c r="A15" s="25"/>
      <c r="B15" s="65"/>
      <c r="C15" s="77">
        <v>300000</v>
      </c>
      <c r="D15" s="78" t="s">
        <v>107</v>
      </c>
      <c r="E15" s="1327">
        <v>1</v>
      </c>
      <c r="F15" s="1097">
        <v>1</v>
      </c>
      <c r="G15" s="1205">
        <v>1</v>
      </c>
      <c r="H15" s="1097">
        <v>1</v>
      </c>
      <c r="I15" s="1097">
        <v>1</v>
      </c>
      <c r="J15" s="1205">
        <v>1</v>
      </c>
      <c r="K15" s="1205">
        <v>1</v>
      </c>
      <c r="L15" s="1097">
        <v>1</v>
      </c>
      <c r="M15" s="1097">
        <v>1</v>
      </c>
      <c r="N15" s="1097">
        <v>1</v>
      </c>
      <c r="O15" s="1097">
        <v>1</v>
      </c>
      <c r="P15" s="1097">
        <v>1</v>
      </c>
      <c r="Q15" s="1205">
        <v>1</v>
      </c>
      <c r="R15" s="1205">
        <v>1</v>
      </c>
      <c r="S15" s="1097">
        <v>1</v>
      </c>
      <c r="T15" s="1097">
        <v>1</v>
      </c>
      <c r="U15" s="1097">
        <v>1</v>
      </c>
      <c r="V15" s="1097">
        <v>1</v>
      </c>
      <c r="W15" s="1097">
        <v>1</v>
      </c>
      <c r="X15" s="1205">
        <v>1</v>
      </c>
      <c r="Y15" s="1205">
        <v>1</v>
      </c>
      <c r="Z15" s="1097">
        <v>1</v>
      </c>
      <c r="AA15" s="1097">
        <v>1</v>
      </c>
      <c r="AB15" s="1097">
        <v>1</v>
      </c>
      <c r="AC15" s="1097">
        <v>1</v>
      </c>
      <c r="AD15" s="1097">
        <v>1</v>
      </c>
      <c r="AE15" s="1205">
        <v>1</v>
      </c>
      <c r="AF15" s="1205">
        <v>1</v>
      </c>
      <c r="AG15" s="1097">
        <v>1</v>
      </c>
      <c r="AH15" s="1097">
        <v>1</v>
      </c>
      <c r="AI15" s="1328">
        <v>1</v>
      </c>
      <c r="AJ15" s="79"/>
      <c r="AK15" s="79"/>
      <c r="AL15" s="55"/>
      <c r="AM15" s="1067">
        <f t="shared" si="1"/>
        <v>0</v>
      </c>
      <c r="AN15" s="31"/>
      <c r="AO15" s="622"/>
      <c r="AP15" s="23"/>
      <c r="AQ15" s="23"/>
      <c r="AR15" s="23"/>
      <c r="AS15" s="23"/>
      <c r="AT15" s="23"/>
      <c r="AU15" s="23"/>
      <c r="AV15" s="23"/>
    </row>
    <row r="16" spans="1:48" ht="19.5" hidden="1" customHeight="1">
      <c r="A16" s="25"/>
      <c r="B16" s="65"/>
      <c r="C16" s="80" t="s">
        <v>108</v>
      </c>
      <c r="D16" s="81" t="s">
        <v>109</v>
      </c>
      <c r="E16" s="1374">
        <f>SUM(E10+E12+E13+E14)/E15</f>
        <v>0</v>
      </c>
      <c r="F16" s="1104">
        <f t="shared" ref="F16:AI16" si="5">SUM(F10+F12+F13+F14)/F15</f>
        <v>0</v>
      </c>
      <c r="G16" s="1211">
        <f t="shared" si="5"/>
        <v>0</v>
      </c>
      <c r="H16" s="1104">
        <f t="shared" si="5"/>
        <v>0</v>
      </c>
      <c r="I16" s="1104">
        <f t="shared" si="5"/>
        <v>0</v>
      </c>
      <c r="J16" s="1211">
        <f t="shared" si="5"/>
        <v>0</v>
      </c>
      <c r="K16" s="1211">
        <f t="shared" si="5"/>
        <v>0</v>
      </c>
      <c r="L16" s="1104">
        <f t="shared" si="5"/>
        <v>0</v>
      </c>
      <c r="M16" s="1104">
        <f t="shared" si="5"/>
        <v>0</v>
      </c>
      <c r="N16" s="1104">
        <f t="shared" si="5"/>
        <v>0</v>
      </c>
      <c r="O16" s="1104">
        <f t="shared" si="5"/>
        <v>0</v>
      </c>
      <c r="P16" s="1104">
        <f t="shared" si="5"/>
        <v>0</v>
      </c>
      <c r="Q16" s="1211">
        <f t="shared" ref="Q16" si="6">SUM(Q10+Q12+Q13+Q14)/Q15</f>
        <v>0</v>
      </c>
      <c r="R16" s="1211">
        <f t="shared" si="5"/>
        <v>0</v>
      </c>
      <c r="S16" s="1104">
        <f t="shared" si="5"/>
        <v>0</v>
      </c>
      <c r="T16" s="1104">
        <f t="shared" si="5"/>
        <v>0</v>
      </c>
      <c r="U16" s="1104">
        <f t="shared" si="5"/>
        <v>0</v>
      </c>
      <c r="V16" s="1104">
        <f t="shared" si="5"/>
        <v>0</v>
      </c>
      <c r="W16" s="1104">
        <f t="shared" si="5"/>
        <v>0</v>
      </c>
      <c r="X16" s="1211">
        <f t="shared" si="5"/>
        <v>0</v>
      </c>
      <c r="Y16" s="1211">
        <f t="shared" si="5"/>
        <v>0</v>
      </c>
      <c r="Z16" s="1104">
        <f t="shared" si="5"/>
        <v>0</v>
      </c>
      <c r="AA16" s="1104">
        <f t="shared" si="5"/>
        <v>0</v>
      </c>
      <c r="AB16" s="1104">
        <f t="shared" si="5"/>
        <v>0</v>
      </c>
      <c r="AC16" s="1104">
        <f t="shared" si="5"/>
        <v>0</v>
      </c>
      <c r="AD16" s="1104">
        <f t="shared" si="5"/>
        <v>0</v>
      </c>
      <c r="AE16" s="1211">
        <f t="shared" si="5"/>
        <v>0</v>
      </c>
      <c r="AF16" s="1211">
        <f t="shared" si="5"/>
        <v>0</v>
      </c>
      <c r="AG16" s="1104">
        <f t="shared" si="5"/>
        <v>0</v>
      </c>
      <c r="AH16" s="1104">
        <f t="shared" si="5"/>
        <v>0</v>
      </c>
      <c r="AI16" s="1353">
        <f t="shared" si="5"/>
        <v>0</v>
      </c>
      <c r="AJ16" s="82">
        <f>SUM(E16:AI16)</f>
        <v>0</v>
      </c>
      <c r="AK16" s="82"/>
      <c r="AL16" s="83"/>
      <c r="AM16" s="1068">
        <f t="shared" si="1"/>
        <v>0</v>
      </c>
      <c r="AN16" s="31"/>
      <c r="AO16" s="622"/>
      <c r="AP16" s="23"/>
      <c r="AQ16" s="23"/>
      <c r="AR16" s="23"/>
      <c r="AS16" s="23"/>
      <c r="AT16" s="23"/>
      <c r="AU16" s="23"/>
      <c r="AV16" s="23"/>
    </row>
    <row r="17" spans="1:48" ht="19.5" hidden="1" customHeight="1">
      <c r="A17" s="25"/>
      <c r="B17" s="59"/>
      <c r="C17" s="84">
        <f>+C15*0.8</f>
        <v>240000</v>
      </c>
      <c r="D17" s="85" t="s">
        <v>110</v>
      </c>
      <c r="E17" s="1105"/>
      <c r="F17" s="1106"/>
      <c r="G17" s="1211"/>
      <c r="H17" s="1104"/>
      <c r="I17" s="1104"/>
      <c r="J17" s="1211"/>
      <c r="K17" s="1211"/>
      <c r="L17" s="1104"/>
      <c r="M17" s="1104"/>
      <c r="N17" s="1104"/>
      <c r="O17" s="1104"/>
      <c r="P17" s="1104"/>
      <c r="Q17" s="1211"/>
      <c r="R17" s="1211"/>
      <c r="S17" s="1104"/>
      <c r="T17" s="1107"/>
      <c r="U17" s="1104"/>
      <c r="V17" s="1107"/>
      <c r="W17" s="1104"/>
      <c r="X17" s="1211"/>
      <c r="Y17" s="1211"/>
      <c r="Z17" s="1104"/>
      <c r="AA17" s="1104"/>
      <c r="AB17" s="1104"/>
      <c r="AC17" s="1104"/>
      <c r="AD17" s="1104"/>
      <c r="AE17" s="1211"/>
      <c r="AF17" s="1211"/>
      <c r="AG17" s="1104"/>
      <c r="AH17" s="1104"/>
      <c r="AI17" s="1353"/>
      <c r="AJ17" s="86"/>
      <c r="AK17" s="86"/>
      <c r="AL17" s="690"/>
      <c r="AM17" s="694">
        <f t="shared" si="1"/>
        <v>0</v>
      </c>
      <c r="AN17" s="31"/>
      <c r="AO17" s="622"/>
      <c r="AP17" s="23"/>
      <c r="AQ17" s="23"/>
      <c r="AR17" s="23"/>
      <c r="AS17" s="23"/>
      <c r="AT17" s="23"/>
      <c r="AU17" s="23"/>
      <c r="AV17" s="23"/>
    </row>
    <row r="18" spans="1:48" ht="19.5" hidden="1" customHeight="1">
      <c r="A18" s="25"/>
      <c r="B18" s="87"/>
      <c r="C18" s="77"/>
      <c r="D18" s="88" t="s">
        <v>111</v>
      </c>
      <c r="E18" s="1108">
        <f>IF(E17="O/H",E16,0+E16)</f>
        <v>0</v>
      </c>
      <c r="F18" s="1089">
        <f t="shared" ref="F18:AI18" si="7">IF(F17="O/H",F16,+E18+F16)</f>
        <v>0</v>
      </c>
      <c r="G18" s="44">
        <f t="shared" si="7"/>
        <v>0</v>
      </c>
      <c r="H18" s="1089">
        <f t="shared" si="7"/>
        <v>0</v>
      </c>
      <c r="I18" s="1089">
        <f t="shared" si="7"/>
        <v>0</v>
      </c>
      <c r="J18" s="44">
        <f t="shared" si="7"/>
        <v>0</v>
      </c>
      <c r="K18" s="44">
        <f t="shared" si="7"/>
        <v>0</v>
      </c>
      <c r="L18" s="1089">
        <f t="shared" si="7"/>
        <v>0</v>
      </c>
      <c r="M18" s="1089">
        <f t="shared" si="7"/>
        <v>0</v>
      </c>
      <c r="N18" s="1089">
        <f t="shared" si="7"/>
        <v>0</v>
      </c>
      <c r="O18" s="1089">
        <f t="shared" si="7"/>
        <v>0</v>
      </c>
      <c r="P18" s="1089">
        <f t="shared" si="7"/>
        <v>0</v>
      </c>
      <c r="Q18" s="44">
        <f t="shared" si="7"/>
        <v>0</v>
      </c>
      <c r="R18" s="44">
        <f t="shared" si="7"/>
        <v>0</v>
      </c>
      <c r="S18" s="1089">
        <f t="shared" si="7"/>
        <v>0</v>
      </c>
      <c r="T18" s="1089">
        <f t="shared" si="7"/>
        <v>0</v>
      </c>
      <c r="U18" s="1089">
        <f t="shared" si="7"/>
        <v>0</v>
      </c>
      <c r="V18" s="1089">
        <f t="shared" si="7"/>
        <v>0</v>
      </c>
      <c r="W18" s="1089">
        <f t="shared" si="7"/>
        <v>0</v>
      </c>
      <c r="X18" s="44">
        <f t="shared" si="7"/>
        <v>0</v>
      </c>
      <c r="Y18" s="44">
        <f t="shared" si="7"/>
        <v>0</v>
      </c>
      <c r="Z18" s="1089">
        <f t="shared" si="7"/>
        <v>0</v>
      </c>
      <c r="AA18" s="1089">
        <f t="shared" si="7"/>
        <v>0</v>
      </c>
      <c r="AB18" s="1089">
        <f t="shared" si="7"/>
        <v>0</v>
      </c>
      <c r="AC18" s="1089">
        <f t="shared" si="7"/>
        <v>0</v>
      </c>
      <c r="AD18" s="1089">
        <f t="shared" si="7"/>
        <v>0</v>
      </c>
      <c r="AE18" s="44">
        <f t="shared" si="7"/>
        <v>0</v>
      </c>
      <c r="AF18" s="44">
        <f>IF(AF17="O/H",AF16,+AE18+AF16)</f>
        <v>0</v>
      </c>
      <c r="AG18" s="1089">
        <f t="shared" si="7"/>
        <v>0</v>
      </c>
      <c r="AH18" s="1089">
        <f t="shared" si="7"/>
        <v>0</v>
      </c>
      <c r="AI18" s="1326">
        <f t="shared" si="7"/>
        <v>0</v>
      </c>
      <c r="AJ18" s="79"/>
      <c r="AK18" s="86"/>
      <c r="AL18" s="689"/>
      <c r="AM18" s="694">
        <f t="shared" si="1"/>
        <v>0</v>
      </c>
      <c r="AN18" s="31"/>
      <c r="AO18" s="622"/>
      <c r="AP18" s="23"/>
      <c r="AQ18" s="23"/>
      <c r="AR18" s="23"/>
      <c r="AS18" s="23"/>
      <c r="AT18" s="23"/>
      <c r="AU18" s="23"/>
      <c r="AV18" s="23"/>
    </row>
    <row r="19" spans="1:48" s="23" customFormat="1" ht="16.5" hidden="1" customHeight="1">
      <c r="A19" s="274"/>
      <c r="B19" s="312"/>
      <c r="C19" s="308"/>
      <c r="D19" s="795" t="s">
        <v>112</v>
      </c>
      <c r="E19" s="1108" t="b">
        <f>IF(AND(ISNUMBER(E10)),151896+E16)</f>
        <v>0</v>
      </c>
      <c r="F19" s="1089" t="str">
        <f>IF(AND(ISNUMBER(F10)),E19+F16,"")</f>
        <v/>
      </c>
      <c r="G19" s="44" t="str">
        <f t="shared" ref="G19" si="8">IF(AND(ISNUMBER(G10)),F19+G16,"")</f>
        <v/>
      </c>
      <c r="H19" s="1089" t="str">
        <f t="shared" ref="H19" si="9">IF(AND(ISNUMBER(H10)),G19+H16,"")</f>
        <v/>
      </c>
      <c r="I19" s="1089" t="str">
        <f t="shared" ref="I19" si="10">IF(AND(ISNUMBER(I10)),H19+I16,"")</f>
        <v/>
      </c>
      <c r="J19" s="44" t="str">
        <f t="shared" ref="J19" si="11">IF(AND(ISNUMBER(J10)),I19+J16,"")</f>
        <v/>
      </c>
      <c r="K19" s="44" t="str">
        <f>IF(AND(ISNUMBER(K10)),J19+K16,"")</f>
        <v/>
      </c>
      <c r="L19" s="1089" t="str">
        <f t="shared" ref="L19:AI19" si="12">IF(AND(ISNUMBER(L10)),K19+L16,"")</f>
        <v/>
      </c>
      <c r="M19" s="1089" t="str">
        <f t="shared" si="12"/>
        <v/>
      </c>
      <c r="N19" s="1089" t="str">
        <f t="shared" si="12"/>
        <v/>
      </c>
      <c r="O19" s="1089" t="str">
        <f t="shared" si="12"/>
        <v/>
      </c>
      <c r="P19" s="1089" t="str">
        <f t="shared" si="12"/>
        <v/>
      </c>
      <c r="Q19" s="44" t="str">
        <f t="shared" si="12"/>
        <v/>
      </c>
      <c r="R19" s="44" t="str">
        <f t="shared" si="12"/>
        <v/>
      </c>
      <c r="S19" s="1089" t="str">
        <f t="shared" si="12"/>
        <v/>
      </c>
      <c r="T19" s="1089" t="str">
        <f t="shared" si="12"/>
        <v/>
      </c>
      <c r="U19" s="1089" t="str">
        <f t="shared" si="12"/>
        <v/>
      </c>
      <c r="V19" s="1089" t="str">
        <f t="shared" si="12"/>
        <v/>
      </c>
      <c r="W19" s="1089" t="str">
        <f t="shared" si="12"/>
        <v/>
      </c>
      <c r="X19" s="44" t="str">
        <f t="shared" si="12"/>
        <v/>
      </c>
      <c r="Y19" s="44" t="str">
        <f t="shared" si="12"/>
        <v/>
      </c>
      <c r="Z19" s="1089" t="str">
        <f t="shared" si="12"/>
        <v/>
      </c>
      <c r="AA19" s="1089" t="str">
        <f t="shared" si="12"/>
        <v/>
      </c>
      <c r="AB19" s="1089" t="str">
        <f t="shared" si="12"/>
        <v/>
      </c>
      <c r="AC19" s="1089" t="str">
        <f t="shared" si="12"/>
        <v/>
      </c>
      <c r="AD19" s="1089" t="str">
        <f t="shared" si="12"/>
        <v/>
      </c>
      <c r="AE19" s="44" t="str">
        <f t="shared" si="12"/>
        <v/>
      </c>
      <c r="AF19" s="44" t="str">
        <f t="shared" si="12"/>
        <v/>
      </c>
      <c r="AG19" s="1089" t="str">
        <f t="shared" si="12"/>
        <v/>
      </c>
      <c r="AH19" s="1089" t="str">
        <f t="shared" si="12"/>
        <v/>
      </c>
      <c r="AI19" s="1089" t="str">
        <f t="shared" si="12"/>
        <v/>
      </c>
      <c r="AJ19" s="793"/>
      <c r="AK19" s="793"/>
      <c r="AL19" s="909"/>
      <c r="AM19" s="890">
        <f t="shared" si="1"/>
        <v>0</v>
      </c>
      <c r="AN19" s="76"/>
      <c r="AO19" s="624"/>
      <c r="AP19" s="285"/>
      <c r="AQ19" s="285"/>
      <c r="AR19" s="285"/>
      <c r="AS19" s="285"/>
      <c r="AT19" s="286"/>
      <c r="AU19" s="285"/>
      <c r="AV19" s="287"/>
    </row>
    <row r="20" spans="1:48" ht="19.5" hidden="1" customHeight="1">
      <c r="A20" s="25"/>
      <c r="B20" s="89"/>
      <c r="C20" s="80"/>
      <c r="D20" s="90" t="s">
        <v>104</v>
      </c>
      <c r="E20" s="1108"/>
      <c r="F20" s="1089"/>
      <c r="G20" s="44"/>
      <c r="H20" s="1089"/>
      <c r="I20" s="1089"/>
      <c r="J20" s="44"/>
      <c r="K20" s="44"/>
      <c r="L20" s="1089"/>
      <c r="M20" s="1089"/>
      <c r="N20" s="1089"/>
      <c r="O20" s="1089"/>
      <c r="P20" s="1089"/>
      <c r="Q20" s="44"/>
      <c r="R20" s="44"/>
      <c r="S20" s="1089"/>
      <c r="T20" s="1089"/>
      <c r="U20" s="1089"/>
      <c r="V20" s="1089"/>
      <c r="W20" s="1089"/>
      <c r="X20" s="44"/>
      <c r="Y20" s="44"/>
      <c r="Z20" s="1089"/>
      <c r="AA20" s="1089"/>
      <c r="AB20" s="1089"/>
      <c r="AC20" s="1089"/>
      <c r="AD20" s="1089"/>
      <c r="AE20" s="44"/>
      <c r="AF20" s="44"/>
      <c r="AG20" s="1089"/>
      <c r="AH20" s="1089"/>
      <c r="AI20" s="1326"/>
      <c r="AJ20" s="79"/>
      <c r="AK20" s="79"/>
      <c r="AL20" s="63"/>
      <c r="AM20" s="1068">
        <f t="shared" si="1"/>
        <v>0</v>
      </c>
      <c r="AN20" s="91"/>
      <c r="AO20" s="622"/>
      <c r="AP20" s="23"/>
      <c r="AQ20" s="23"/>
      <c r="AR20" s="23"/>
      <c r="AS20" s="23"/>
      <c r="AT20" s="23"/>
      <c r="AU20" s="23"/>
      <c r="AV20" s="23"/>
    </row>
    <row r="21" spans="1:48" ht="20.25" hidden="1" customHeight="1" thickBot="1">
      <c r="A21" s="92"/>
      <c r="B21" s="93"/>
      <c r="C21" s="94"/>
      <c r="D21" s="95" t="s">
        <v>111</v>
      </c>
      <c r="E21" s="1109">
        <f>IF(E20="O/H",E16,0+E16)</f>
        <v>0</v>
      </c>
      <c r="F21" s="1110">
        <f t="shared" ref="F21:AI21" si="13">IF(F20="O/H",F16,+E21+F16)</f>
        <v>0</v>
      </c>
      <c r="G21" s="1212">
        <f t="shared" si="13"/>
        <v>0</v>
      </c>
      <c r="H21" s="1110">
        <f t="shared" si="13"/>
        <v>0</v>
      </c>
      <c r="I21" s="1110">
        <f t="shared" si="13"/>
        <v>0</v>
      </c>
      <c r="J21" s="1212">
        <f t="shared" si="13"/>
        <v>0</v>
      </c>
      <c r="K21" s="1212">
        <f t="shared" si="13"/>
        <v>0</v>
      </c>
      <c r="L21" s="1110">
        <f t="shared" si="13"/>
        <v>0</v>
      </c>
      <c r="M21" s="1110">
        <f t="shared" si="13"/>
        <v>0</v>
      </c>
      <c r="N21" s="1110">
        <f t="shared" si="13"/>
        <v>0</v>
      </c>
      <c r="O21" s="1110">
        <f t="shared" si="13"/>
        <v>0</v>
      </c>
      <c r="P21" s="1110">
        <f t="shared" si="13"/>
        <v>0</v>
      </c>
      <c r="Q21" s="1212">
        <f t="shared" si="13"/>
        <v>0</v>
      </c>
      <c r="R21" s="1212">
        <f t="shared" si="13"/>
        <v>0</v>
      </c>
      <c r="S21" s="1110">
        <f t="shared" si="13"/>
        <v>0</v>
      </c>
      <c r="T21" s="1110">
        <f t="shared" si="13"/>
        <v>0</v>
      </c>
      <c r="U21" s="1110">
        <f t="shared" si="13"/>
        <v>0</v>
      </c>
      <c r="V21" s="1110">
        <f t="shared" si="13"/>
        <v>0</v>
      </c>
      <c r="W21" s="1110">
        <f t="shared" si="13"/>
        <v>0</v>
      </c>
      <c r="X21" s="1212">
        <f t="shared" si="13"/>
        <v>0</v>
      </c>
      <c r="Y21" s="1212">
        <f t="shared" si="13"/>
        <v>0</v>
      </c>
      <c r="Z21" s="1110">
        <f t="shared" si="13"/>
        <v>0</v>
      </c>
      <c r="AA21" s="1110">
        <f t="shared" si="13"/>
        <v>0</v>
      </c>
      <c r="AB21" s="1110">
        <f t="shared" si="13"/>
        <v>0</v>
      </c>
      <c r="AC21" s="1110">
        <f t="shared" si="13"/>
        <v>0</v>
      </c>
      <c r="AD21" s="1110">
        <f t="shared" si="13"/>
        <v>0</v>
      </c>
      <c r="AE21" s="1212">
        <f t="shared" si="13"/>
        <v>0</v>
      </c>
      <c r="AF21" s="1212">
        <f t="shared" si="13"/>
        <v>0</v>
      </c>
      <c r="AG21" s="1110">
        <f t="shared" si="13"/>
        <v>0</v>
      </c>
      <c r="AH21" s="1110">
        <f t="shared" si="13"/>
        <v>0</v>
      </c>
      <c r="AI21" s="1340">
        <f t="shared" si="13"/>
        <v>0</v>
      </c>
      <c r="AJ21" s="96"/>
      <c r="AK21" s="96"/>
      <c r="AL21" s="97"/>
      <c r="AM21" s="1071">
        <f t="shared" si="1"/>
        <v>0</v>
      </c>
      <c r="AN21" s="98"/>
      <c r="AO21" s="625"/>
      <c r="AP21" s="23"/>
      <c r="AQ21" s="23"/>
      <c r="AR21" s="23"/>
      <c r="AS21" s="23"/>
      <c r="AT21" s="23"/>
      <c r="AU21" s="23"/>
      <c r="AV21" s="23"/>
    </row>
    <row r="22" spans="1:48" ht="19.5" hidden="1" customHeight="1" thickTop="1">
      <c r="A22" s="99"/>
      <c r="B22" s="26" t="s">
        <v>113</v>
      </c>
      <c r="C22" s="27"/>
      <c r="D22" s="28" t="s">
        <v>82</v>
      </c>
      <c r="E22" s="1111"/>
      <c r="F22" s="1111"/>
      <c r="G22" s="1201"/>
      <c r="H22" s="1111"/>
      <c r="I22" s="1111"/>
      <c r="J22" s="1201"/>
      <c r="K22" s="1201"/>
      <c r="L22" s="1111"/>
      <c r="M22" s="1111"/>
      <c r="N22" s="1111"/>
      <c r="O22" s="1111"/>
      <c r="P22" s="1111"/>
      <c r="Q22" s="1201"/>
      <c r="R22" s="1201"/>
      <c r="S22" s="1111"/>
      <c r="T22" s="1111"/>
      <c r="U22" s="1111"/>
      <c r="V22" s="1111"/>
      <c r="W22" s="1111"/>
      <c r="X22" s="1201"/>
      <c r="Y22" s="1201"/>
      <c r="Z22" s="1111"/>
      <c r="AA22" s="1111"/>
      <c r="AB22" s="1111"/>
      <c r="AC22" s="1111"/>
      <c r="AD22" s="1111"/>
      <c r="AE22" s="1201"/>
      <c r="AF22" s="1201"/>
      <c r="AG22" s="1111"/>
      <c r="AH22" s="1111"/>
      <c r="AI22" s="1412"/>
      <c r="AJ22" s="100">
        <f>SUM(Table75[[#This Row],[June''2026]:[Column27]])</f>
        <v>0</v>
      </c>
      <c r="AK22" s="100">
        <f t="shared" si="0"/>
        <v>0</v>
      </c>
      <c r="AL22" s="101">
        <f>+AJ22*AN22</f>
        <v>0</v>
      </c>
      <c r="AM22" s="1072">
        <f t="shared" si="1"/>
        <v>0</v>
      </c>
      <c r="AN22" s="102"/>
      <c r="AO22" s="622">
        <f>Table5[[#This Row],[Total]]*B26/1000</f>
        <v>0</v>
      </c>
      <c r="AP22" s="32" t="s">
        <v>134</v>
      </c>
      <c r="AQ22" s="33" t="s">
        <v>84</v>
      </c>
      <c r="AR22" s="33" t="s">
        <v>85</v>
      </c>
      <c r="AS22" s="33" t="s">
        <v>86</v>
      </c>
      <c r="AT22" s="33" t="s">
        <v>87</v>
      </c>
      <c r="AU22" s="33" t="s">
        <v>88</v>
      </c>
      <c r="AV22" s="34" t="s">
        <v>68</v>
      </c>
    </row>
    <row r="23" spans="1:48" ht="29.25" hidden="1" customHeight="1">
      <c r="A23" s="103"/>
      <c r="B23" s="35" t="s">
        <v>114</v>
      </c>
      <c r="C23" s="36"/>
      <c r="D23" s="37" t="s">
        <v>90</v>
      </c>
      <c r="E23" s="1373">
        <f>IF(E22="",0,+ E22/E29)</f>
        <v>0</v>
      </c>
      <c r="F23" s="1096">
        <f t="shared" ref="F23:AI23" si="14">IF(F22="",0, E23+F22/F29)</f>
        <v>0</v>
      </c>
      <c r="G23" s="1207">
        <f t="shared" si="14"/>
        <v>0</v>
      </c>
      <c r="H23" s="1096">
        <f t="shared" si="14"/>
        <v>0</v>
      </c>
      <c r="I23" s="1096">
        <f t="shared" si="14"/>
        <v>0</v>
      </c>
      <c r="J23" s="1207">
        <f t="shared" si="14"/>
        <v>0</v>
      </c>
      <c r="K23" s="1207">
        <f t="shared" si="14"/>
        <v>0</v>
      </c>
      <c r="L23" s="1096">
        <f t="shared" si="14"/>
        <v>0</v>
      </c>
      <c r="M23" s="1096">
        <f t="shared" si="14"/>
        <v>0</v>
      </c>
      <c r="N23" s="1096">
        <f t="shared" si="14"/>
        <v>0</v>
      </c>
      <c r="O23" s="1096">
        <f t="shared" si="14"/>
        <v>0</v>
      </c>
      <c r="P23" s="1096">
        <f t="shared" si="14"/>
        <v>0</v>
      </c>
      <c r="Q23" s="1207">
        <f t="shared" si="14"/>
        <v>0</v>
      </c>
      <c r="R23" s="1207">
        <f t="shared" si="14"/>
        <v>0</v>
      </c>
      <c r="S23" s="1096">
        <f t="shared" si="14"/>
        <v>0</v>
      </c>
      <c r="T23" s="1096">
        <f t="shared" si="14"/>
        <v>0</v>
      </c>
      <c r="U23" s="1096">
        <f t="shared" si="14"/>
        <v>0</v>
      </c>
      <c r="V23" s="1096">
        <f t="shared" si="14"/>
        <v>0</v>
      </c>
      <c r="W23" s="1096">
        <f t="shared" si="14"/>
        <v>0</v>
      </c>
      <c r="X23" s="1207">
        <f t="shared" si="14"/>
        <v>0</v>
      </c>
      <c r="Y23" s="1207">
        <f t="shared" si="14"/>
        <v>0</v>
      </c>
      <c r="Z23" s="1096">
        <f t="shared" si="14"/>
        <v>0</v>
      </c>
      <c r="AA23" s="1096">
        <f t="shared" si="14"/>
        <v>0</v>
      </c>
      <c r="AB23" s="1096">
        <f t="shared" si="14"/>
        <v>0</v>
      </c>
      <c r="AC23" s="1096">
        <f t="shared" si="14"/>
        <v>0</v>
      </c>
      <c r="AD23" s="1096">
        <f t="shared" si="14"/>
        <v>0</v>
      </c>
      <c r="AE23" s="1207">
        <f t="shared" si="14"/>
        <v>0</v>
      </c>
      <c r="AF23" s="1207">
        <f t="shared" si="14"/>
        <v>0</v>
      </c>
      <c r="AG23" s="1096">
        <f t="shared" si="14"/>
        <v>0</v>
      </c>
      <c r="AH23" s="1096">
        <f t="shared" si="14"/>
        <v>0</v>
      </c>
      <c r="AI23" s="1324">
        <f t="shared" si="14"/>
        <v>0</v>
      </c>
      <c r="AJ23" s="38"/>
      <c r="AK23" s="29"/>
      <c r="AL23" s="30"/>
      <c r="AM23" s="694">
        <f t="shared" si="1"/>
        <v>0</v>
      </c>
      <c r="AN23" s="31"/>
      <c r="AO23" s="630"/>
      <c r="AP23" s="39" t="s">
        <v>91</v>
      </c>
      <c r="AQ23" s="40">
        <f>SUM(E22:I22)</f>
        <v>0</v>
      </c>
      <c r="AR23" s="41">
        <f>SUM(J22:P22)</f>
        <v>0</v>
      </c>
      <c r="AS23" s="41">
        <f>SUM(Q22:W22)</f>
        <v>0</v>
      </c>
      <c r="AT23" s="41">
        <f>SUM(X22:AD22)</f>
        <v>0</v>
      </c>
      <c r="AU23" s="41">
        <f>SUM(AE22:AI22)</f>
        <v>0</v>
      </c>
      <c r="AV23" s="34">
        <f t="shared" ref="AV23:AV28" si="15">SUM(AQ23:AU23)</f>
        <v>0</v>
      </c>
    </row>
    <row r="24" spans="1:48" ht="19.5" hidden="1" customHeight="1">
      <c r="A24" s="103"/>
      <c r="B24" s="26" t="s">
        <v>92</v>
      </c>
      <c r="C24" s="42"/>
      <c r="D24" s="43" t="s">
        <v>93</v>
      </c>
      <c r="E24" s="1325"/>
      <c r="F24" s="1089"/>
      <c r="G24" s="44"/>
      <c r="H24" s="1089"/>
      <c r="I24" s="1089"/>
      <c r="J24" s="44"/>
      <c r="K24" s="44"/>
      <c r="L24" s="1089"/>
      <c r="M24" s="1089"/>
      <c r="N24" s="1089"/>
      <c r="O24" s="1089"/>
      <c r="P24" s="1089"/>
      <c r="Q24" s="44"/>
      <c r="R24" s="44"/>
      <c r="S24" s="1089"/>
      <c r="T24" s="1089"/>
      <c r="U24" s="1089"/>
      <c r="V24" s="1089"/>
      <c r="W24" s="1089"/>
      <c r="X24" s="44"/>
      <c r="Y24" s="44"/>
      <c r="Z24" s="1089"/>
      <c r="AA24" s="1089"/>
      <c r="AB24" s="1089"/>
      <c r="AC24" s="1089"/>
      <c r="AD24" s="1089"/>
      <c r="AE24" s="44"/>
      <c r="AF24" s="44"/>
      <c r="AG24" s="1089"/>
      <c r="AH24" s="1089"/>
      <c r="AI24" s="1326"/>
      <c r="AJ24" s="45">
        <f>SUM(E24:AI24)</f>
        <v>0</v>
      </c>
      <c r="AK24" s="45"/>
      <c r="AL24" s="46">
        <f>+AJ24*AN22</f>
        <v>0</v>
      </c>
      <c r="AM24" s="1066">
        <f t="shared" si="1"/>
        <v>0</v>
      </c>
      <c r="AN24" s="31"/>
      <c r="AO24" s="632">
        <f>(AJ24+AJ26+AJ27+AJ28)*B26/1000</f>
        <v>0</v>
      </c>
      <c r="AP24" s="47" t="s">
        <v>94</v>
      </c>
      <c r="AQ24" s="48">
        <f>SUM(E24:I24)</f>
        <v>0</v>
      </c>
      <c r="AR24" s="49">
        <f>SUM(J24:P24)</f>
        <v>0</v>
      </c>
      <c r="AS24" s="49">
        <f>SUM(Q24:W24)</f>
        <v>0</v>
      </c>
      <c r="AT24" s="49">
        <f>SUM(X24:AD24)</f>
        <v>0</v>
      </c>
      <c r="AU24" s="49">
        <f>SUM(AE24:AI24)</f>
        <v>0</v>
      </c>
      <c r="AV24" s="50">
        <f t="shared" si="15"/>
        <v>0</v>
      </c>
    </row>
    <row r="25" spans="1:48" ht="21" hidden="1" customHeight="1">
      <c r="A25" s="103"/>
      <c r="B25" s="51"/>
      <c r="C25" s="52" t="s">
        <v>95</v>
      </c>
      <c r="D25" s="53" t="s">
        <v>96</v>
      </c>
      <c r="E25" s="1327">
        <f t="shared" ref="E25:AJ25" si="16">+E24-E22</f>
        <v>0</v>
      </c>
      <c r="F25" s="1097">
        <f t="shared" si="16"/>
        <v>0</v>
      </c>
      <c r="G25" s="1205">
        <f t="shared" si="16"/>
        <v>0</v>
      </c>
      <c r="H25" s="1097">
        <f t="shared" si="16"/>
        <v>0</v>
      </c>
      <c r="I25" s="1097">
        <f t="shared" si="16"/>
        <v>0</v>
      </c>
      <c r="J25" s="1205">
        <f t="shared" si="16"/>
        <v>0</v>
      </c>
      <c r="K25" s="1205">
        <f t="shared" si="16"/>
        <v>0</v>
      </c>
      <c r="L25" s="1097">
        <f t="shared" si="16"/>
        <v>0</v>
      </c>
      <c r="M25" s="1097">
        <f t="shared" si="16"/>
        <v>0</v>
      </c>
      <c r="N25" s="1097">
        <f t="shared" si="16"/>
        <v>0</v>
      </c>
      <c r="O25" s="1097">
        <f t="shared" si="16"/>
        <v>0</v>
      </c>
      <c r="P25" s="1097">
        <f t="shared" si="16"/>
        <v>0</v>
      </c>
      <c r="Q25" s="1205">
        <f t="shared" ref="Q25" si="17">+Q24-Q22</f>
        <v>0</v>
      </c>
      <c r="R25" s="1205">
        <f t="shared" si="16"/>
        <v>0</v>
      </c>
      <c r="S25" s="1097">
        <f t="shared" si="16"/>
        <v>0</v>
      </c>
      <c r="T25" s="1097">
        <f t="shared" si="16"/>
        <v>0</v>
      </c>
      <c r="U25" s="1097">
        <f t="shared" si="16"/>
        <v>0</v>
      </c>
      <c r="V25" s="1097">
        <f t="shared" si="16"/>
        <v>0</v>
      </c>
      <c r="W25" s="1097">
        <f t="shared" si="16"/>
        <v>0</v>
      </c>
      <c r="X25" s="1205">
        <f t="shared" si="16"/>
        <v>0</v>
      </c>
      <c r="Y25" s="1205">
        <f t="shared" si="16"/>
        <v>0</v>
      </c>
      <c r="Z25" s="1097">
        <f t="shared" si="16"/>
        <v>0</v>
      </c>
      <c r="AA25" s="1097">
        <f t="shared" si="16"/>
        <v>0</v>
      </c>
      <c r="AB25" s="1097">
        <f t="shared" si="16"/>
        <v>0</v>
      </c>
      <c r="AC25" s="1097">
        <f t="shared" si="16"/>
        <v>0</v>
      </c>
      <c r="AD25" s="1097">
        <f t="shared" si="16"/>
        <v>0</v>
      </c>
      <c r="AE25" s="1205">
        <f t="shared" si="16"/>
        <v>0</v>
      </c>
      <c r="AF25" s="1205">
        <f t="shared" si="16"/>
        <v>0</v>
      </c>
      <c r="AG25" s="1097">
        <f t="shared" si="16"/>
        <v>0</v>
      </c>
      <c r="AH25" s="1097">
        <f t="shared" si="16"/>
        <v>0</v>
      </c>
      <c r="AI25" s="1328">
        <f t="shared" si="16"/>
        <v>0</v>
      </c>
      <c r="AJ25" s="54">
        <f t="shared" si="16"/>
        <v>0</v>
      </c>
      <c r="AK25" s="54"/>
      <c r="AL25" s="55">
        <f>+AJ25*AN22</f>
        <v>0</v>
      </c>
      <c r="AM25" s="1067">
        <f t="shared" si="1"/>
        <v>0</v>
      </c>
      <c r="AN25" s="31" t="s">
        <v>97</v>
      </c>
      <c r="AO25" s="622"/>
      <c r="AP25" s="39" t="s">
        <v>98</v>
      </c>
      <c r="AQ25" s="56">
        <f>AQ24-AQ23</f>
        <v>0</v>
      </c>
      <c r="AR25" s="70">
        <f>AR24-AR23</f>
        <v>0</v>
      </c>
      <c r="AS25" s="70">
        <f>AS24-AS23</f>
        <v>0</v>
      </c>
      <c r="AT25" s="70">
        <f>AT24-AT23</f>
        <v>0</v>
      </c>
      <c r="AU25" s="70">
        <f>AU24-AU23</f>
        <v>0</v>
      </c>
      <c r="AV25" s="57">
        <f t="shared" si="15"/>
        <v>0</v>
      </c>
    </row>
    <row r="26" spans="1:48" ht="19.5" hidden="1" customHeight="1">
      <c r="A26" s="58"/>
      <c r="B26" s="59"/>
      <c r="C26" s="60" t="s">
        <v>100</v>
      </c>
      <c r="D26" s="61" t="s">
        <v>101</v>
      </c>
      <c r="E26" s="1329"/>
      <c r="F26" s="1099"/>
      <c r="G26" s="1208"/>
      <c r="H26" s="1099"/>
      <c r="I26" s="1099"/>
      <c r="J26" s="1208"/>
      <c r="K26" s="1208"/>
      <c r="L26" s="1099"/>
      <c r="M26" s="1099"/>
      <c r="N26" s="1099"/>
      <c r="O26" s="1099"/>
      <c r="P26" s="1099"/>
      <c r="Q26" s="1208"/>
      <c r="R26" s="1208"/>
      <c r="S26" s="1099"/>
      <c r="T26" s="1099"/>
      <c r="U26" s="1099"/>
      <c r="V26" s="1099"/>
      <c r="W26" s="1099"/>
      <c r="X26" s="1208"/>
      <c r="Y26" s="1208"/>
      <c r="Z26" s="1099"/>
      <c r="AA26" s="1099"/>
      <c r="AB26" s="1099"/>
      <c r="AC26" s="1099"/>
      <c r="AD26" s="1099"/>
      <c r="AE26" s="1208"/>
      <c r="AF26" s="1208"/>
      <c r="AG26" s="1099"/>
      <c r="AH26" s="1099"/>
      <c r="AI26" s="1330"/>
      <c r="AJ26" s="62">
        <f>SUM(E26:AI26)</f>
        <v>0</v>
      </c>
      <c r="AK26" s="62"/>
      <c r="AL26" s="63">
        <f>+AJ26*AN22</f>
        <v>0</v>
      </c>
      <c r="AM26" s="1068">
        <f t="shared" si="1"/>
        <v>0</v>
      </c>
      <c r="AN26" s="64" t="e">
        <f>+AJ26/AJ24*100</f>
        <v>#DIV/0!</v>
      </c>
      <c r="AO26" s="635" t="e">
        <f>AO24/AO22</f>
        <v>#DIV/0!</v>
      </c>
      <c r="AP26" s="39" t="s">
        <v>102</v>
      </c>
      <c r="AQ26" s="56">
        <f>SUM(E26:I26)</f>
        <v>0</v>
      </c>
      <c r="AR26" s="70">
        <f>SUM(J26:P26)</f>
        <v>0</v>
      </c>
      <c r="AS26" s="70">
        <f>SUM(Q26:W26)</f>
        <v>0</v>
      </c>
      <c r="AT26" s="70">
        <f>SUM(X26:AD26)</f>
        <v>0</v>
      </c>
      <c r="AU26" s="70">
        <f>SUM(AE26:AI26)</f>
        <v>0</v>
      </c>
      <c r="AV26" s="57">
        <f t="shared" si="15"/>
        <v>0</v>
      </c>
    </row>
    <row r="27" spans="1:48" ht="19.5" hidden="1" customHeight="1">
      <c r="A27" s="58" t="s">
        <v>524</v>
      </c>
      <c r="B27" s="65"/>
      <c r="C27" s="66"/>
      <c r="D27" s="67" t="s">
        <v>103</v>
      </c>
      <c r="E27" s="1331"/>
      <c r="F27" s="1101"/>
      <c r="G27" s="1209"/>
      <c r="H27" s="1101"/>
      <c r="I27" s="1101"/>
      <c r="J27" s="1209"/>
      <c r="K27" s="1209"/>
      <c r="L27" s="1101"/>
      <c r="M27" s="1101"/>
      <c r="N27" s="1101"/>
      <c r="O27" s="1101"/>
      <c r="P27" s="1101"/>
      <c r="Q27" s="1209"/>
      <c r="R27" s="1209"/>
      <c r="S27" s="1101"/>
      <c r="T27" s="1101"/>
      <c r="U27" s="1101"/>
      <c r="V27" s="1101"/>
      <c r="W27" s="1101"/>
      <c r="X27" s="1209"/>
      <c r="Y27" s="1209"/>
      <c r="Z27" s="1101"/>
      <c r="AA27" s="1101"/>
      <c r="AB27" s="1101"/>
      <c r="AC27" s="1101"/>
      <c r="AD27" s="1101"/>
      <c r="AE27" s="1209"/>
      <c r="AF27" s="1209"/>
      <c r="AG27" s="1101"/>
      <c r="AH27" s="1101"/>
      <c r="AI27" s="1332"/>
      <c r="AJ27" s="68">
        <f>SUM(E27:AI27)</f>
        <v>0</v>
      </c>
      <c r="AK27" s="68"/>
      <c r="AL27" s="69">
        <f>+AJ27*AN22</f>
        <v>0</v>
      </c>
      <c r="AM27" s="1069">
        <f t="shared" si="1"/>
        <v>0</v>
      </c>
      <c r="AN27" s="31"/>
      <c r="AO27" s="622"/>
      <c r="AP27" s="39" t="s">
        <v>19</v>
      </c>
      <c r="AQ27" s="56">
        <f>AQ26*AN22</f>
        <v>0</v>
      </c>
      <c r="AR27" s="56">
        <f>AR26*AN22</f>
        <v>0</v>
      </c>
      <c r="AS27" s="56">
        <f>AS26*AN22</f>
        <v>0</v>
      </c>
      <c r="AT27" s="56">
        <f>AT26*AN22</f>
        <v>0</v>
      </c>
      <c r="AU27" s="56">
        <f>AU26*AN22</f>
        <v>0</v>
      </c>
      <c r="AV27" s="57">
        <f t="shared" si="15"/>
        <v>0</v>
      </c>
    </row>
    <row r="28" spans="1:48" ht="19.5" hidden="1" customHeight="1">
      <c r="A28" s="103"/>
      <c r="B28" s="65"/>
      <c r="C28" s="72" t="s">
        <v>104</v>
      </c>
      <c r="D28" s="73" t="s">
        <v>105</v>
      </c>
      <c r="E28" s="1378"/>
      <c r="F28" s="1103"/>
      <c r="G28" s="1210"/>
      <c r="H28" s="1103"/>
      <c r="I28" s="1103"/>
      <c r="J28" s="1210"/>
      <c r="K28" s="1210"/>
      <c r="L28" s="1103"/>
      <c r="M28" s="1103"/>
      <c r="N28" s="1103"/>
      <c r="O28" s="1103"/>
      <c r="P28" s="1103"/>
      <c r="Q28" s="1210"/>
      <c r="R28" s="1210"/>
      <c r="S28" s="1103"/>
      <c r="T28" s="1103"/>
      <c r="U28" s="1103"/>
      <c r="V28" s="1103"/>
      <c r="W28" s="1103"/>
      <c r="X28" s="1210"/>
      <c r="Y28" s="1210"/>
      <c r="Z28" s="1103"/>
      <c r="AA28" s="1103"/>
      <c r="AB28" s="1103"/>
      <c r="AC28" s="1103"/>
      <c r="AD28" s="1103"/>
      <c r="AE28" s="1210"/>
      <c r="AF28" s="1210"/>
      <c r="AG28" s="1103"/>
      <c r="AH28" s="1103"/>
      <c r="AI28" s="1352"/>
      <c r="AJ28" s="74">
        <f>SUM(E28:AI28)</f>
        <v>0</v>
      </c>
      <c r="AK28" s="74"/>
      <c r="AL28" s="75">
        <f>+AJ28*AN22</f>
        <v>0</v>
      </c>
      <c r="AM28" s="1070">
        <f t="shared" si="1"/>
        <v>0</v>
      </c>
      <c r="AN28" s="76"/>
      <c r="AO28" s="636"/>
      <c r="AP28" s="47" t="s">
        <v>106</v>
      </c>
      <c r="AQ28" s="48">
        <f>AQ24*AN22</f>
        <v>0</v>
      </c>
      <c r="AR28" s="48">
        <f>AR24*AN22</f>
        <v>0</v>
      </c>
      <c r="AS28" s="48">
        <f>AS24*AN22</f>
        <v>0</v>
      </c>
      <c r="AT28" s="48">
        <f>AT24*AN22</f>
        <v>0</v>
      </c>
      <c r="AU28" s="48">
        <f>AU24*AN22</f>
        <v>0</v>
      </c>
      <c r="AV28" s="50">
        <f t="shared" si="15"/>
        <v>0</v>
      </c>
    </row>
    <row r="29" spans="1:48" ht="19.5" hidden="1" customHeight="1">
      <c r="A29" s="103"/>
      <c r="B29" s="65"/>
      <c r="C29" s="77">
        <v>300000</v>
      </c>
      <c r="D29" s="78" t="s">
        <v>107</v>
      </c>
      <c r="E29" s="1327">
        <v>1</v>
      </c>
      <c r="F29" s="1097">
        <v>1</v>
      </c>
      <c r="G29" s="1205">
        <v>1</v>
      </c>
      <c r="H29" s="1097">
        <v>1</v>
      </c>
      <c r="I29" s="1097">
        <v>1</v>
      </c>
      <c r="J29" s="1205">
        <v>1</v>
      </c>
      <c r="K29" s="1205">
        <v>1</v>
      </c>
      <c r="L29" s="1097">
        <v>1</v>
      </c>
      <c r="M29" s="1097">
        <v>1</v>
      </c>
      <c r="N29" s="1097">
        <v>1</v>
      </c>
      <c r="O29" s="1097">
        <v>1</v>
      </c>
      <c r="P29" s="1097">
        <v>1</v>
      </c>
      <c r="Q29" s="1205">
        <v>1</v>
      </c>
      <c r="R29" s="1205">
        <v>1</v>
      </c>
      <c r="S29" s="1097">
        <v>1</v>
      </c>
      <c r="T29" s="1097">
        <v>1</v>
      </c>
      <c r="U29" s="1097">
        <v>1</v>
      </c>
      <c r="V29" s="1097">
        <v>1</v>
      </c>
      <c r="W29" s="1097">
        <v>1</v>
      </c>
      <c r="X29" s="1205">
        <v>1</v>
      </c>
      <c r="Y29" s="1205">
        <v>1</v>
      </c>
      <c r="Z29" s="1097">
        <v>1</v>
      </c>
      <c r="AA29" s="1097">
        <v>1</v>
      </c>
      <c r="AB29" s="1097">
        <v>1</v>
      </c>
      <c r="AC29" s="1097">
        <v>1</v>
      </c>
      <c r="AD29" s="1097">
        <v>1</v>
      </c>
      <c r="AE29" s="1205">
        <v>1</v>
      </c>
      <c r="AF29" s="1205">
        <v>1</v>
      </c>
      <c r="AG29" s="1097">
        <v>1</v>
      </c>
      <c r="AH29" s="1097">
        <v>1</v>
      </c>
      <c r="AI29" s="1328">
        <v>1</v>
      </c>
      <c r="AJ29" s="79"/>
      <c r="AK29" s="79"/>
      <c r="AL29" s="55"/>
      <c r="AM29" s="1067">
        <f t="shared" si="1"/>
        <v>0</v>
      </c>
      <c r="AN29" s="31"/>
      <c r="AO29" s="622"/>
      <c r="AP29" s="23"/>
      <c r="AQ29" s="23"/>
      <c r="AR29" s="23"/>
      <c r="AS29" s="23"/>
      <c r="AT29" s="23"/>
      <c r="AU29" s="23"/>
      <c r="AV29" s="23"/>
    </row>
    <row r="30" spans="1:48" ht="19.5" hidden="1" customHeight="1">
      <c r="A30" s="103"/>
      <c r="B30" s="65"/>
      <c r="C30" s="80" t="s">
        <v>108</v>
      </c>
      <c r="D30" s="81" t="s">
        <v>109</v>
      </c>
      <c r="E30" s="1374">
        <f>SUM(E24+E26+E27+E28)/E29</f>
        <v>0</v>
      </c>
      <c r="F30" s="1104">
        <f>SUM(F24+F26+F27+F28)/F29</f>
        <v>0</v>
      </c>
      <c r="G30" s="1211">
        <f>SUM(G24+G26+G27+G28)/G29</f>
        <v>0</v>
      </c>
      <c r="H30" s="1104">
        <f t="shared" ref="H30:AH30" si="18">SUM(H24+H26+H27+H28)/H29</f>
        <v>0</v>
      </c>
      <c r="I30" s="1104">
        <f t="shared" si="18"/>
        <v>0</v>
      </c>
      <c r="J30" s="1211">
        <f t="shared" si="18"/>
        <v>0</v>
      </c>
      <c r="K30" s="1211">
        <f t="shared" si="18"/>
        <v>0</v>
      </c>
      <c r="L30" s="1104">
        <f t="shared" si="18"/>
        <v>0</v>
      </c>
      <c r="M30" s="1104">
        <f t="shared" si="18"/>
        <v>0</v>
      </c>
      <c r="N30" s="1104">
        <f t="shared" si="18"/>
        <v>0</v>
      </c>
      <c r="O30" s="1104">
        <f t="shared" si="18"/>
        <v>0</v>
      </c>
      <c r="P30" s="1104">
        <f t="shared" si="18"/>
        <v>0</v>
      </c>
      <c r="Q30" s="1211">
        <f t="shared" si="18"/>
        <v>0</v>
      </c>
      <c r="R30" s="1211">
        <f t="shared" si="18"/>
        <v>0</v>
      </c>
      <c r="S30" s="1104">
        <f t="shared" si="18"/>
        <v>0</v>
      </c>
      <c r="T30" s="1104">
        <f t="shared" si="18"/>
        <v>0</v>
      </c>
      <c r="U30" s="1104">
        <f t="shared" si="18"/>
        <v>0</v>
      </c>
      <c r="V30" s="1104">
        <f t="shared" si="18"/>
        <v>0</v>
      </c>
      <c r="W30" s="1104">
        <f t="shared" si="18"/>
        <v>0</v>
      </c>
      <c r="X30" s="1211">
        <f t="shared" si="18"/>
        <v>0</v>
      </c>
      <c r="Y30" s="1211">
        <f t="shared" si="18"/>
        <v>0</v>
      </c>
      <c r="Z30" s="1104">
        <f t="shared" si="18"/>
        <v>0</v>
      </c>
      <c r="AA30" s="1104">
        <f t="shared" si="18"/>
        <v>0</v>
      </c>
      <c r="AB30" s="1104">
        <f t="shared" si="18"/>
        <v>0</v>
      </c>
      <c r="AC30" s="1104">
        <f t="shared" si="18"/>
        <v>0</v>
      </c>
      <c r="AD30" s="1104">
        <f t="shared" si="18"/>
        <v>0</v>
      </c>
      <c r="AE30" s="1211">
        <f t="shared" si="18"/>
        <v>0</v>
      </c>
      <c r="AF30" s="1211">
        <f t="shared" si="18"/>
        <v>0</v>
      </c>
      <c r="AG30" s="1104">
        <f t="shared" si="18"/>
        <v>0</v>
      </c>
      <c r="AH30" s="1104">
        <f t="shared" si="18"/>
        <v>0</v>
      </c>
      <c r="AI30" s="1335">
        <f>SUM(AI24+AI26+AI27)/AI29</f>
        <v>0</v>
      </c>
      <c r="AJ30" s="104">
        <f>SUM(E30:AI30)</f>
        <v>0</v>
      </c>
      <c r="AK30" s="104"/>
      <c r="AL30" s="83"/>
      <c r="AM30" s="1068">
        <f t="shared" si="1"/>
        <v>0</v>
      </c>
      <c r="AN30" s="31"/>
      <c r="AO30" s="622"/>
      <c r="AP30" s="23"/>
      <c r="AQ30" s="23"/>
      <c r="AR30" s="23"/>
      <c r="AS30" s="23"/>
      <c r="AT30" s="23"/>
      <c r="AU30" s="23"/>
      <c r="AV30" s="23"/>
    </row>
    <row r="31" spans="1:48" ht="19.5" hidden="1" customHeight="1">
      <c r="A31" s="103"/>
      <c r="B31" s="59"/>
      <c r="C31" s="84">
        <f>+C29*0.8</f>
        <v>240000</v>
      </c>
      <c r="D31" s="85" t="s">
        <v>110</v>
      </c>
      <c r="E31" s="1105"/>
      <c r="F31" s="1106"/>
      <c r="G31" s="1211"/>
      <c r="H31" s="1104"/>
      <c r="I31" s="1104"/>
      <c r="J31" s="1211"/>
      <c r="K31" s="1211"/>
      <c r="L31" s="1104"/>
      <c r="M31" s="1104"/>
      <c r="N31" s="1104"/>
      <c r="O31" s="1107"/>
      <c r="P31" s="1104"/>
      <c r="Q31" s="1211"/>
      <c r="R31" s="1211"/>
      <c r="S31" s="1104"/>
      <c r="T31" s="1104"/>
      <c r="U31" s="1104"/>
      <c r="V31" s="1104"/>
      <c r="W31" s="1104"/>
      <c r="X31" s="1211"/>
      <c r="Y31" s="1211"/>
      <c r="Z31" s="1104"/>
      <c r="AA31" s="1104"/>
      <c r="AB31" s="1104"/>
      <c r="AC31" s="1104"/>
      <c r="AD31" s="1104"/>
      <c r="AE31" s="1211"/>
      <c r="AF31" s="1211"/>
      <c r="AG31" s="1104"/>
      <c r="AH31" s="1104"/>
      <c r="AI31" s="1353"/>
      <c r="AJ31" s="86"/>
      <c r="AK31" s="86"/>
      <c r="AL31" s="690"/>
      <c r="AM31" s="694">
        <f t="shared" si="1"/>
        <v>0</v>
      </c>
      <c r="AN31" s="31"/>
      <c r="AO31" s="622"/>
      <c r="AP31" s="23"/>
      <c r="AQ31" s="23"/>
      <c r="AR31" s="23"/>
      <c r="AS31" s="23"/>
      <c r="AT31" s="23"/>
      <c r="AU31" s="23"/>
      <c r="AV31" s="23"/>
    </row>
    <row r="32" spans="1:48" ht="19.5" hidden="1" customHeight="1">
      <c r="A32" s="103"/>
      <c r="B32" s="105"/>
      <c r="C32" s="77"/>
      <c r="D32" s="88" t="s">
        <v>111</v>
      </c>
      <c r="E32" s="1108">
        <f>IF(E31="O/H",E30,0+E30)</f>
        <v>0</v>
      </c>
      <c r="F32" s="1089">
        <f t="shared" ref="F32:AI32" si="19">IF(F31="O/H",F30,+E32+F30)</f>
        <v>0</v>
      </c>
      <c r="G32" s="44">
        <f t="shared" si="19"/>
        <v>0</v>
      </c>
      <c r="H32" s="1089">
        <f t="shared" si="19"/>
        <v>0</v>
      </c>
      <c r="I32" s="1089">
        <f t="shared" si="19"/>
        <v>0</v>
      </c>
      <c r="J32" s="44">
        <f t="shared" si="19"/>
        <v>0</v>
      </c>
      <c r="K32" s="44">
        <f t="shared" si="19"/>
        <v>0</v>
      </c>
      <c r="L32" s="1089">
        <f t="shared" si="19"/>
        <v>0</v>
      </c>
      <c r="M32" s="1089">
        <f t="shared" si="19"/>
        <v>0</v>
      </c>
      <c r="N32" s="1089">
        <f t="shared" si="19"/>
        <v>0</v>
      </c>
      <c r="O32" s="1089">
        <f t="shared" si="19"/>
        <v>0</v>
      </c>
      <c r="P32" s="1089">
        <f t="shared" si="19"/>
        <v>0</v>
      </c>
      <c r="Q32" s="44">
        <f t="shared" si="19"/>
        <v>0</v>
      </c>
      <c r="R32" s="44">
        <f t="shared" si="19"/>
        <v>0</v>
      </c>
      <c r="S32" s="1089">
        <f t="shared" si="19"/>
        <v>0</v>
      </c>
      <c r="T32" s="1089">
        <f t="shared" si="19"/>
        <v>0</v>
      </c>
      <c r="U32" s="1089">
        <f t="shared" si="19"/>
        <v>0</v>
      </c>
      <c r="V32" s="1089">
        <f t="shared" si="19"/>
        <v>0</v>
      </c>
      <c r="W32" s="1089">
        <f t="shared" si="19"/>
        <v>0</v>
      </c>
      <c r="X32" s="44">
        <f t="shared" si="19"/>
        <v>0</v>
      </c>
      <c r="Y32" s="44">
        <f t="shared" si="19"/>
        <v>0</v>
      </c>
      <c r="Z32" s="1089">
        <f t="shared" si="19"/>
        <v>0</v>
      </c>
      <c r="AA32" s="1089">
        <f t="shared" si="19"/>
        <v>0</v>
      </c>
      <c r="AB32" s="1089">
        <f t="shared" si="19"/>
        <v>0</v>
      </c>
      <c r="AC32" s="1089">
        <f t="shared" si="19"/>
        <v>0</v>
      </c>
      <c r="AD32" s="1089">
        <f t="shared" si="19"/>
        <v>0</v>
      </c>
      <c r="AE32" s="44">
        <f t="shared" si="19"/>
        <v>0</v>
      </c>
      <c r="AF32" s="44">
        <f t="shared" si="19"/>
        <v>0</v>
      </c>
      <c r="AG32" s="1089">
        <f t="shared" si="19"/>
        <v>0</v>
      </c>
      <c r="AH32" s="1089">
        <f t="shared" si="19"/>
        <v>0</v>
      </c>
      <c r="AI32" s="1326">
        <f t="shared" si="19"/>
        <v>0</v>
      </c>
      <c r="AJ32" s="79"/>
      <c r="AK32" s="86"/>
      <c r="AL32" s="689"/>
      <c r="AM32" s="694">
        <f t="shared" si="1"/>
        <v>0</v>
      </c>
      <c r="AN32" s="31"/>
      <c r="AO32" s="622"/>
      <c r="AP32" s="23"/>
      <c r="AQ32" s="23"/>
      <c r="AR32" s="23"/>
      <c r="AS32" s="23"/>
      <c r="AT32" s="23"/>
      <c r="AU32" s="23"/>
      <c r="AV32" s="23"/>
    </row>
    <row r="33" spans="1:48" s="23" customFormat="1" ht="16.5" hidden="1" customHeight="1">
      <c r="A33" s="274"/>
      <c r="B33" s="312"/>
      <c r="C33" s="308"/>
      <c r="D33" s="795" t="s">
        <v>112</v>
      </c>
      <c r="E33" s="1108" t="b">
        <f>IF(AND(ISNUMBER(E24)),1361139+E30)</f>
        <v>0</v>
      </c>
      <c r="F33" s="1089" t="str">
        <f>IF(AND(ISNUMBER(F24)),E33+F30,"")</f>
        <v/>
      </c>
      <c r="G33" s="44" t="str">
        <f t="shared" ref="G33" si="20">IF(AND(ISNUMBER(G24)),F33+G30,"")</f>
        <v/>
      </c>
      <c r="H33" s="1089" t="str">
        <f t="shared" ref="H33" si="21">IF(AND(ISNUMBER(H24)),G33+H30,"")</f>
        <v/>
      </c>
      <c r="I33" s="1089" t="str">
        <f>IF(AND(ISNUMBER(I24)),H33+I30,"")</f>
        <v/>
      </c>
      <c r="J33" s="44" t="str">
        <f>IF(AND(ISNUMBER(J24)),I33+J30,"")</f>
        <v/>
      </c>
      <c r="K33" s="44" t="str">
        <f>IF(AND(ISNUMBER(K24)),J33+K30,"")</f>
        <v/>
      </c>
      <c r="L33" s="1089" t="str">
        <f t="shared" ref="L33" si="22">IF(AND(ISNUMBER(L24)),K33+L30,"")</f>
        <v/>
      </c>
      <c r="M33" s="1089" t="str">
        <f t="shared" ref="M33" si="23">IF(AND(ISNUMBER(M24)),L33+M30,"")</f>
        <v/>
      </c>
      <c r="N33" s="1089" t="str">
        <f t="shared" ref="N33" si="24">IF(AND(ISNUMBER(N24)),M33+N30,"")</f>
        <v/>
      </c>
      <c r="O33" s="1089" t="str">
        <f t="shared" ref="O33" si="25">IF(AND(ISNUMBER(O24)),N33+O30,"")</f>
        <v/>
      </c>
      <c r="P33" s="1089" t="str">
        <f t="shared" ref="P33" si="26">IF(AND(ISNUMBER(P24)),O33+P30,"")</f>
        <v/>
      </c>
      <c r="Q33" s="44" t="str">
        <f t="shared" ref="Q33" si="27">IF(AND(ISNUMBER(Q24)),P33+Q30,"")</f>
        <v/>
      </c>
      <c r="R33" s="44" t="str">
        <f t="shared" ref="R33" si="28">IF(AND(ISNUMBER(R24)),Q33+R30,"")</f>
        <v/>
      </c>
      <c r="S33" s="1089" t="str">
        <f t="shared" ref="S33" si="29">IF(AND(ISNUMBER(S24)),R33+S30,"")</f>
        <v/>
      </c>
      <c r="T33" s="1089" t="str">
        <f t="shared" ref="T33" si="30">IF(AND(ISNUMBER(T24)),S33+T30,"")</f>
        <v/>
      </c>
      <c r="U33" s="1089" t="str">
        <f t="shared" ref="U33" si="31">IF(AND(ISNUMBER(U24)),T33+U30,"")</f>
        <v/>
      </c>
      <c r="V33" s="1089" t="str">
        <f t="shared" ref="V33" si="32">IF(AND(ISNUMBER(V24)),U33+V30,"")</f>
        <v/>
      </c>
      <c r="W33" s="1089" t="str">
        <f t="shared" ref="W33" si="33">IF(AND(ISNUMBER(W24)),V33+W30,"")</f>
        <v/>
      </c>
      <c r="X33" s="44" t="str">
        <f t="shared" ref="X33" si="34">IF(AND(ISNUMBER(X24)),W33+X30,"")</f>
        <v/>
      </c>
      <c r="Y33" s="44" t="str">
        <f t="shared" ref="Y33" si="35">IF(AND(ISNUMBER(Y24)),X33+Y30,"")</f>
        <v/>
      </c>
      <c r="Z33" s="1089" t="str">
        <f t="shared" ref="Z33" si="36">IF(AND(ISNUMBER(Z24)),Y33+Z30,"")</f>
        <v/>
      </c>
      <c r="AA33" s="1089" t="str">
        <f t="shared" ref="AA33" si="37">IF(AND(ISNUMBER(AA24)),Z33+AA30,"")</f>
        <v/>
      </c>
      <c r="AB33" s="1089" t="str">
        <f t="shared" ref="AB33" si="38">IF(AND(ISNUMBER(AB24)),AA33+AB30,"")</f>
        <v/>
      </c>
      <c r="AC33" s="1089" t="str">
        <f t="shared" ref="AC33" si="39">IF(AND(ISNUMBER(AC24)),AB33+AC30,"")</f>
        <v/>
      </c>
      <c r="AD33" s="1089" t="str">
        <f t="shared" ref="AD33" si="40">IF(AND(ISNUMBER(AD24)),AC33+AD30,"")</f>
        <v/>
      </c>
      <c r="AE33" s="44" t="str">
        <f t="shared" ref="AE33" si="41">IF(AND(ISNUMBER(AE24)),AD33+AE30,"")</f>
        <v/>
      </c>
      <c r="AF33" s="44" t="str">
        <f t="shared" ref="AF33" si="42">IF(AND(ISNUMBER(AF24)),AE33+AF30,"")</f>
        <v/>
      </c>
      <c r="AG33" s="1089" t="str">
        <f t="shared" ref="AG33" si="43">IF(AND(ISNUMBER(AG24)),AF33+AG30,"")</f>
        <v/>
      </c>
      <c r="AH33" s="1089" t="str">
        <f t="shared" ref="AH33" si="44">IF(AND(ISNUMBER(AH24)),AG33+AH30,"")</f>
        <v/>
      </c>
      <c r="AI33" s="1089" t="str">
        <f t="shared" ref="AI33" si="45">IF(AND(ISNUMBER(AI24)),AH33+AI30,"")</f>
        <v/>
      </c>
      <c r="AJ33" s="793"/>
      <c r="AK33" s="793"/>
      <c r="AL33" s="909"/>
      <c r="AM33" s="890">
        <f t="shared" si="1"/>
        <v>0</v>
      </c>
      <c r="AN33" s="76"/>
      <c r="AO33" s="624"/>
      <c r="AP33" s="285"/>
      <c r="AQ33" s="285"/>
      <c r="AR33" s="285"/>
      <c r="AS33" s="285"/>
      <c r="AT33" s="286"/>
      <c r="AU33" s="285"/>
      <c r="AV33" s="287"/>
    </row>
    <row r="34" spans="1:48" ht="19.5" hidden="1" customHeight="1">
      <c r="A34" s="103"/>
      <c r="B34" s="89"/>
      <c r="C34" s="80"/>
      <c r="D34" s="90" t="s">
        <v>104</v>
      </c>
      <c r="E34" s="1108"/>
      <c r="F34" s="1089"/>
      <c r="G34" s="44"/>
      <c r="H34" s="1089"/>
      <c r="I34" s="1089"/>
      <c r="J34" s="44"/>
      <c r="K34" s="44"/>
      <c r="L34" s="1089"/>
      <c r="M34" s="1089"/>
      <c r="N34" s="1089"/>
      <c r="O34" s="1089"/>
      <c r="P34" s="1089"/>
      <c r="Q34" s="44"/>
      <c r="R34" s="44"/>
      <c r="S34" s="1089"/>
      <c r="T34" s="1089"/>
      <c r="U34" s="1089"/>
      <c r="V34" s="1089"/>
      <c r="W34" s="1089"/>
      <c r="X34" s="44"/>
      <c r="Y34" s="44"/>
      <c r="Z34" s="1089"/>
      <c r="AA34" s="1089"/>
      <c r="AB34" s="1089"/>
      <c r="AC34" s="1089"/>
      <c r="AD34" s="1089"/>
      <c r="AE34" s="44"/>
      <c r="AF34" s="44"/>
      <c r="AG34" s="1089"/>
      <c r="AH34" s="1089"/>
      <c r="AI34" s="1326"/>
      <c r="AJ34" s="79"/>
      <c r="AK34" s="79"/>
      <c r="AL34" s="63"/>
      <c r="AM34" s="1068">
        <f t="shared" si="1"/>
        <v>0</v>
      </c>
      <c r="AN34" s="64"/>
      <c r="AO34" s="624"/>
      <c r="AP34" s="23"/>
      <c r="AQ34" s="23"/>
      <c r="AR34" s="23"/>
      <c r="AS34" s="23"/>
      <c r="AT34" s="23"/>
      <c r="AU34" s="23"/>
      <c r="AV34" s="23"/>
    </row>
    <row r="35" spans="1:48" ht="20.25" hidden="1" customHeight="1" thickBot="1">
      <c r="A35" s="106"/>
      <c r="B35" s="93"/>
      <c r="C35" s="94"/>
      <c r="D35" s="95" t="s">
        <v>111</v>
      </c>
      <c r="E35" s="1109">
        <f>IF(E34="O/H",E30,0+E30)</f>
        <v>0</v>
      </c>
      <c r="F35" s="1110">
        <f t="shared" ref="F35:AI35" si="46">IF(F34="O/H",F30,+E35+F30)</f>
        <v>0</v>
      </c>
      <c r="G35" s="1212">
        <f t="shared" si="46"/>
        <v>0</v>
      </c>
      <c r="H35" s="1110">
        <f t="shared" si="46"/>
        <v>0</v>
      </c>
      <c r="I35" s="1110">
        <f t="shared" si="46"/>
        <v>0</v>
      </c>
      <c r="J35" s="1212">
        <f t="shared" si="46"/>
        <v>0</v>
      </c>
      <c r="K35" s="1212">
        <f t="shared" si="46"/>
        <v>0</v>
      </c>
      <c r="L35" s="1110">
        <f t="shared" si="46"/>
        <v>0</v>
      </c>
      <c r="M35" s="1110">
        <f t="shared" si="46"/>
        <v>0</v>
      </c>
      <c r="N35" s="1110">
        <f t="shared" si="46"/>
        <v>0</v>
      </c>
      <c r="O35" s="1110">
        <f t="shared" si="46"/>
        <v>0</v>
      </c>
      <c r="P35" s="1110">
        <f t="shared" si="46"/>
        <v>0</v>
      </c>
      <c r="Q35" s="1212">
        <f t="shared" si="46"/>
        <v>0</v>
      </c>
      <c r="R35" s="1212">
        <f t="shared" si="46"/>
        <v>0</v>
      </c>
      <c r="S35" s="1110">
        <f t="shared" si="46"/>
        <v>0</v>
      </c>
      <c r="T35" s="1110">
        <f t="shared" si="46"/>
        <v>0</v>
      </c>
      <c r="U35" s="1110">
        <f t="shared" si="46"/>
        <v>0</v>
      </c>
      <c r="V35" s="1110">
        <f t="shared" si="46"/>
        <v>0</v>
      </c>
      <c r="W35" s="1110">
        <f t="shared" si="46"/>
        <v>0</v>
      </c>
      <c r="X35" s="1212">
        <f t="shared" si="46"/>
        <v>0</v>
      </c>
      <c r="Y35" s="1212">
        <f t="shared" si="46"/>
        <v>0</v>
      </c>
      <c r="Z35" s="1110">
        <f t="shared" si="46"/>
        <v>0</v>
      </c>
      <c r="AA35" s="1110">
        <f t="shared" si="46"/>
        <v>0</v>
      </c>
      <c r="AB35" s="1110">
        <f t="shared" si="46"/>
        <v>0</v>
      </c>
      <c r="AC35" s="1110">
        <f t="shared" si="46"/>
        <v>0</v>
      </c>
      <c r="AD35" s="1110">
        <f t="shared" si="46"/>
        <v>0</v>
      </c>
      <c r="AE35" s="1212">
        <f t="shared" si="46"/>
        <v>0</v>
      </c>
      <c r="AF35" s="1212">
        <f t="shared" si="46"/>
        <v>0</v>
      </c>
      <c r="AG35" s="1110">
        <f t="shared" si="46"/>
        <v>0</v>
      </c>
      <c r="AH35" s="1110">
        <f t="shared" si="46"/>
        <v>0</v>
      </c>
      <c r="AI35" s="1340">
        <f t="shared" si="46"/>
        <v>0</v>
      </c>
      <c r="AJ35" s="96"/>
      <c r="AK35" s="96"/>
      <c r="AL35" s="97"/>
      <c r="AM35" s="1071">
        <f t="shared" si="1"/>
        <v>0</v>
      </c>
      <c r="AN35" s="98"/>
      <c r="AO35" s="625"/>
      <c r="AP35" s="23"/>
      <c r="AQ35" s="23"/>
      <c r="AR35" s="23"/>
      <c r="AS35" s="23"/>
      <c r="AT35" s="23"/>
      <c r="AU35" s="23"/>
      <c r="AV35" s="23"/>
    </row>
    <row r="36" spans="1:48" ht="25.15" hidden="1" customHeight="1" thickTop="1">
      <c r="A36" s="99"/>
      <c r="B36" s="26" t="s">
        <v>115</v>
      </c>
      <c r="C36" s="27"/>
      <c r="D36" s="28" t="s">
        <v>82</v>
      </c>
      <c r="E36" s="1111"/>
      <c r="F36" s="1111"/>
      <c r="G36" s="1201"/>
      <c r="H36" s="1111"/>
      <c r="I36" s="1111"/>
      <c r="J36" s="1201"/>
      <c r="K36" s="1201"/>
      <c r="L36" s="1111"/>
      <c r="M36" s="1111"/>
      <c r="N36" s="1111"/>
      <c r="O36" s="1111"/>
      <c r="P36" s="1111"/>
      <c r="Q36" s="1201"/>
      <c r="R36" s="1201"/>
      <c r="S36" s="1111"/>
      <c r="T36" s="1111"/>
      <c r="U36" s="1111"/>
      <c r="V36" s="1111"/>
      <c r="W36" s="1111"/>
      <c r="X36" s="1201"/>
      <c r="Y36" s="1201"/>
      <c r="Z36" s="1111"/>
      <c r="AA36" s="1111"/>
      <c r="AB36" s="1111"/>
      <c r="AC36" s="1111"/>
      <c r="AD36" s="1111"/>
      <c r="AE36" s="1201"/>
      <c r="AF36" s="1201"/>
      <c r="AG36" s="1111"/>
      <c r="AH36" s="1111"/>
      <c r="AI36" s="1412"/>
      <c r="AJ36" s="100">
        <f>SUM(Table75[[#This Row],[June''2026]:[Column27]])</f>
        <v>0</v>
      </c>
      <c r="AK36" s="100">
        <f t="shared" si="0"/>
        <v>0</v>
      </c>
      <c r="AL36" s="101">
        <f>+AJ36*AN36</f>
        <v>0</v>
      </c>
      <c r="AM36" s="1072">
        <f t="shared" si="1"/>
        <v>0</v>
      </c>
      <c r="AN36" s="102"/>
      <c r="AO36" s="622">
        <f>Table5[[#This Row],[Total]]*B40/1000</f>
        <v>0</v>
      </c>
      <c r="AP36" s="32" t="s">
        <v>134</v>
      </c>
      <c r="AQ36" s="33" t="s">
        <v>84</v>
      </c>
      <c r="AR36" s="33" t="s">
        <v>85</v>
      </c>
      <c r="AS36" s="33" t="s">
        <v>86</v>
      </c>
      <c r="AT36" s="33" t="s">
        <v>87</v>
      </c>
      <c r="AU36" s="33" t="s">
        <v>88</v>
      </c>
      <c r="AV36" s="34" t="s">
        <v>68</v>
      </c>
    </row>
    <row r="37" spans="1:48" ht="25.15" hidden="1" customHeight="1">
      <c r="A37" s="103"/>
      <c r="B37" s="35" t="s">
        <v>116</v>
      </c>
      <c r="C37" s="36"/>
      <c r="D37" s="37" t="s">
        <v>90</v>
      </c>
      <c r="E37" s="1373">
        <f>IF(E36="",0,+ E36/E43)</f>
        <v>0</v>
      </c>
      <c r="F37" s="1096">
        <f t="shared" ref="F37:AI37" si="47">IF(F36="",0, E37+F36/F43)</f>
        <v>0</v>
      </c>
      <c r="G37" s="1207">
        <f t="shared" si="47"/>
        <v>0</v>
      </c>
      <c r="H37" s="1096">
        <f t="shared" si="47"/>
        <v>0</v>
      </c>
      <c r="I37" s="1096">
        <f t="shared" si="47"/>
        <v>0</v>
      </c>
      <c r="J37" s="1207">
        <f t="shared" si="47"/>
        <v>0</v>
      </c>
      <c r="K37" s="1207">
        <f t="shared" si="47"/>
        <v>0</v>
      </c>
      <c r="L37" s="1096">
        <f t="shared" si="47"/>
        <v>0</v>
      </c>
      <c r="M37" s="1096">
        <f t="shared" si="47"/>
        <v>0</v>
      </c>
      <c r="N37" s="1096">
        <f t="shared" si="47"/>
        <v>0</v>
      </c>
      <c r="O37" s="1096">
        <f t="shared" si="47"/>
        <v>0</v>
      </c>
      <c r="P37" s="1096">
        <f t="shared" si="47"/>
        <v>0</v>
      </c>
      <c r="Q37" s="1207">
        <f t="shared" si="47"/>
        <v>0</v>
      </c>
      <c r="R37" s="1207">
        <f t="shared" si="47"/>
        <v>0</v>
      </c>
      <c r="S37" s="1096">
        <f t="shared" si="47"/>
        <v>0</v>
      </c>
      <c r="T37" s="1096">
        <f t="shared" si="47"/>
        <v>0</v>
      </c>
      <c r="U37" s="1096">
        <f t="shared" si="47"/>
        <v>0</v>
      </c>
      <c r="V37" s="1096">
        <f t="shared" si="47"/>
        <v>0</v>
      </c>
      <c r="W37" s="1096">
        <f t="shared" si="47"/>
        <v>0</v>
      </c>
      <c r="X37" s="1207">
        <f t="shared" si="47"/>
        <v>0</v>
      </c>
      <c r="Y37" s="1207">
        <f t="shared" si="47"/>
        <v>0</v>
      </c>
      <c r="Z37" s="1096">
        <f t="shared" si="47"/>
        <v>0</v>
      </c>
      <c r="AA37" s="1096">
        <f t="shared" si="47"/>
        <v>0</v>
      </c>
      <c r="AB37" s="1096">
        <f t="shared" si="47"/>
        <v>0</v>
      </c>
      <c r="AC37" s="1096">
        <f t="shared" si="47"/>
        <v>0</v>
      </c>
      <c r="AD37" s="1096">
        <f t="shared" si="47"/>
        <v>0</v>
      </c>
      <c r="AE37" s="1207">
        <f t="shared" si="47"/>
        <v>0</v>
      </c>
      <c r="AF37" s="1207">
        <f t="shared" si="47"/>
        <v>0</v>
      </c>
      <c r="AG37" s="1096">
        <f t="shared" si="47"/>
        <v>0</v>
      </c>
      <c r="AH37" s="1096">
        <f t="shared" si="47"/>
        <v>0</v>
      </c>
      <c r="AI37" s="1324">
        <f t="shared" si="47"/>
        <v>0</v>
      </c>
      <c r="AJ37" s="38"/>
      <c r="AK37" s="29"/>
      <c r="AL37" s="30"/>
      <c r="AM37" s="694">
        <f t="shared" si="1"/>
        <v>0</v>
      </c>
      <c r="AN37" s="31"/>
      <c r="AO37" s="630"/>
      <c r="AP37" s="39" t="s">
        <v>91</v>
      </c>
      <c r="AQ37" s="40">
        <f>SUM(E36:I36)</f>
        <v>0</v>
      </c>
      <c r="AR37" s="41">
        <f>SUM(J36:P36)</f>
        <v>0</v>
      </c>
      <c r="AS37" s="41">
        <f>SUM(Q36:W36)</f>
        <v>0</v>
      </c>
      <c r="AT37" s="41">
        <f>SUM(X36:AD36)</f>
        <v>0</v>
      </c>
      <c r="AU37" s="41">
        <f>SUM(AE36:AI36)</f>
        <v>0</v>
      </c>
      <c r="AV37" s="34">
        <f t="shared" ref="AV37:AV42" si="48">SUM(AQ37:AU37)</f>
        <v>0</v>
      </c>
    </row>
    <row r="38" spans="1:48" ht="25.15" hidden="1" customHeight="1">
      <c r="A38" s="103"/>
      <c r="B38" s="26" t="s">
        <v>92</v>
      </c>
      <c r="C38" s="42"/>
      <c r="D38" s="43" t="s">
        <v>93</v>
      </c>
      <c r="E38" s="1325"/>
      <c r="F38" s="1089"/>
      <c r="G38" s="44"/>
      <c r="H38" s="1089"/>
      <c r="I38" s="1089"/>
      <c r="J38" s="44"/>
      <c r="K38" s="44"/>
      <c r="L38" s="1089"/>
      <c r="M38" s="1089"/>
      <c r="N38" s="1089"/>
      <c r="O38" s="1089"/>
      <c r="P38" s="1089"/>
      <c r="Q38" s="44"/>
      <c r="R38" s="44"/>
      <c r="S38" s="1089"/>
      <c r="T38" s="1089"/>
      <c r="U38" s="1089"/>
      <c r="V38" s="1089"/>
      <c r="W38" s="1089"/>
      <c r="X38" s="44"/>
      <c r="Y38" s="44"/>
      <c r="Z38" s="1089"/>
      <c r="AA38" s="1089"/>
      <c r="AB38" s="1089"/>
      <c r="AC38" s="1089"/>
      <c r="AD38" s="1089"/>
      <c r="AE38" s="44"/>
      <c r="AF38" s="44"/>
      <c r="AG38" s="1089"/>
      <c r="AH38" s="1089"/>
      <c r="AI38" s="1326"/>
      <c r="AJ38" s="45">
        <f>SUM(E38:AI38)</f>
        <v>0</v>
      </c>
      <c r="AK38" s="45"/>
      <c r="AL38" s="46">
        <f>+AJ38*AN36</f>
        <v>0</v>
      </c>
      <c r="AM38" s="1066">
        <f t="shared" si="1"/>
        <v>0</v>
      </c>
      <c r="AN38" s="31"/>
      <c r="AO38" s="632">
        <f>(AJ38+AJ40+AJ41+AJ42)*B40/1000</f>
        <v>0</v>
      </c>
      <c r="AP38" s="47" t="s">
        <v>94</v>
      </c>
      <c r="AQ38" s="48">
        <f>SUM(E38:I38)</f>
        <v>0</v>
      </c>
      <c r="AR38" s="49">
        <f>SUM(J38:P38)</f>
        <v>0</v>
      </c>
      <c r="AS38" s="49">
        <f>SUM(Q38:W38)</f>
        <v>0</v>
      </c>
      <c r="AT38" s="49">
        <f>SUM(X38:AD38)</f>
        <v>0</v>
      </c>
      <c r="AU38" s="49">
        <f>SUM(AE38:AI38)</f>
        <v>0</v>
      </c>
      <c r="AV38" s="50">
        <f t="shared" si="48"/>
        <v>0</v>
      </c>
    </row>
    <row r="39" spans="1:48" ht="25.15" hidden="1" customHeight="1">
      <c r="A39" s="103"/>
      <c r="B39" s="51"/>
      <c r="C39" s="52" t="s">
        <v>95</v>
      </c>
      <c r="D39" s="53" t="s">
        <v>96</v>
      </c>
      <c r="E39" s="1327">
        <f t="shared" ref="E39:AJ39" si="49">+E38-E36</f>
        <v>0</v>
      </c>
      <c r="F39" s="1097">
        <f t="shared" si="49"/>
        <v>0</v>
      </c>
      <c r="G39" s="1205">
        <f t="shared" si="49"/>
        <v>0</v>
      </c>
      <c r="H39" s="1097">
        <f t="shared" si="49"/>
        <v>0</v>
      </c>
      <c r="I39" s="1097">
        <f t="shared" si="49"/>
        <v>0</v>
      </c>
      <c r="J39" s="1205">
        <f t="shared" si="49"/>
        <v>0</v>
      </c>
      <c r="K39" s="1205">
        <f t="shared" si="49"/>
        <v>0</v>
      </c>
      <c r="L39" s="1097">
        <f t="shared" si="49"/>
        <v>0</v>
      </c>
      <c r="M39" s="1097">
        <f t="shared" ref="M39:N39" si="50">+M38-M36</f>
        <v>0</v>
      </c>
      <c r="N39" s="1097">
        <f t="shared" si="50"/>
        <v>0</v>
      </c>
      <c r="O39" s="1097">
        <f t="shared" si="49"/>
        <v>0</v>
      </c>
      <c r="P39" s="1097">
        <f t="shared" si="49"/>
        <v>0</v>
      </c>
      <c r="Q39" s="1205">
        <f t="shared" ref="Q39" si="51">+Q38-Q36</f>
        <v>0</v>
      </c>
      <c r="R39" s="1205">
        <f t="shared" si="49"/>
        <v>0</v>
      </c>
      <c r="S39" s="1097">
        <f t="shared" si="49"/>
        <v>0</v>
      </c>
      <c r="T39" s="1097">
        <f t="shared" si="49"/>
        <v>0</v>
      </c>
      <c r="U39" s="1097">
        <f t="shared" si="49"/>
        <v>0</v>
      </c>
      <c r="V39" s="1097">
        <f t="shared" si="49"/>
        <v>0</v>
      </c>
      <c r="W39" s="1097">
        <f t="shared" si="49"/>
        <v>0</v>
      </c>
      <c r="X39" s="1205">
        <f t="shared" si="49"/>
        <v>0</v>
      </c>
      <c r="Y39" s="1205">
        <f t="shared" si="49"/>
        <v>0</v>
      </c>
      <c r="Z39" s="1097">
        <f t="shared" si="49"/>
        <v>0</v>
      </c>
      <c r="AA39" s="1097">
        <f t="shared" si="49"/>
        <v>0</v>
      </c>
      <c r="AB39" s="1097">
        <f t="shared" si="49"/>
        <v>0</v>
      </c>
      <c r="AC39" s="1097">
        <f t="shared" si="49"/>
        <v>0</v>
      </c>
      <c r="AD39" s="1097">
        <f t="shared" si="49"/>
        <v>0</v>
      </c>
      <c r="AE39" s="1205">
        <f t="shared" si="49"/>
        <v>0</v>
      </c>
      <c r="AF39" s="1205">
        <f t="shared" si="49"/>
        <v>0</v>
      </c>
      <c r="AG39" s="1097">
        <f t="shared" si="49"/>
        <v>0</v>
      </c>
      <c r="AH39" s="1097">
        <f t="shared" si="49"/>
        <v>0</v>
      </c>
      <c r="AI39" s="1328">
        <f t="shared" si="49"/>
        <v>0</v>
      </c>
      <c r="AJ39" s="54">
        <f t="shared" si="49"/>
        <v>0</v>
      </c>
      <c r="AK39" s="54"/>
      <c r="AL39" s="55">
        <f>+AJ39*AN36</f>
        <v>0</v>
      </c>
      <c r="AM39" s="1067">
        <f t="shared" si="1"/>
        <v>0</v>
      </c>
      <c r="AN39" s="31" t="s">
        <v>97</v>
      </c>
      <c r="AO39" s="622"/>
      <c r="AP39" s="39" t="s">
        <v>98</v>
      </c>
      <c r="AQ39" s="56">
        <f>AQ38-AQ37</f>
        <v>0</v>
      </c>
      <c r="AR39" s="70">
        <f>AR38-AR37</f>
        <v>0</v>
      </c>
      <c r="AS39" s="70">
        <f>AS38-AS37</f>
        <v>0</v>
      </c>
      <c r="AT39" s="70">
        <f>AT38-AT37</f>
        <v>0</v>
      </c>
      <c r="AU39" s="70">
        <f>AU38-AU37</f>
        <v>0</v>
      </c>
      <c r="AV39" s="57">
        <f t="shared" si="48"/>
        <v>0</v>
      </c>
    </row>
    <row r="40" spans="1:48" ht="25.15" hidden="1" customHeight="1">
      <c r="A40" s="58"/>
      <c r="B40" s="59"/>
      <c r="C40" s="60" t="s">
        <v>100</v>
      </c>
      <c r="D40" s="61" t="s">
        <v>101</v>
      </c>
      <c r="E40" s="1367"/>
      <c r="F40" s="1112"/>
      <c r="G40" s="1213"/>
      <c r="H40" s="1112"/>
      <c r="I40" s="1112"/>
      <c r="J40" s="1213"/>
      <c r="K40" s="1213"/>
      <c r="L40" s="1112"/>
      <c r="M40" s="1112"/>
      <c r="N40" s="1112"/>
      <c r="O40" s="1112"/>
      <c r="P40" s="1112"/>
      <c r="Q40" s="1213"/>
      <c r="R40" s="1213"/>
      <c r="S40" s="1112"/>
      <c r="T40" s="1112"/>
      <c r="U40" s="1112"/>
      <c r="V40" s="1112"/>
      <c r="W40" s="1112"/>
      <c r="X40" s="1213"/>
      <c r="Y40" s="1208"/>
      <c r="Z40" s="1099"/>
      <c r="AA40" s="1112"/>
      <c r="AB40" s="1112"/>
      <c r="AC40" s="1112"/>
      <c r="AD40" s="1112"/>
      <c r="AE40" s="1213"/>
      <c r="AF40" s="1213"/>
      <c r="AG40" s="1112"/>
      <c r="AH40" s="1112"/>
      <c r="AI40" s="1330"/>
      <c r="AJ40" s="62">
        <f>SUM(E40:AI40)</f>
        <v>0</v>
      </c>
      <c r="AK40" s="62"/>
      <c r="AL40" s="63">
        <f>+AJ40*AN36</f>
        <v>0</v>
      </c>
      <c r="AM40" s="1068">
        <f t="shared" si="1"/>
        <v>0</v>
      </c>
      <c r="AN40" s="64" t="e">
        <f>+AJ40/AJ38*100</f>
        <v>#DIV/0!</v>
      </c>
      <c r="AO40" s="635" t="e">
        <f>AO38/AO36</f>
        <v>#DIV/0!</v>
      </c>
      <c r="AP40" s="39" t="s">
        <v>102</v>
      </c>
      <c r="AQ40" s="56">
        <f>SUM(E40:I40)</f>
        <v>0</v>
      </c>
      <c r="AR40" s="70">
        <f>SUM(J40:P40)</f>
        <v>0</v>
      </c>
      <c r="AS40" s="70">
        <f>SUM(Q40:W40)</f>
        <v>0</v>
      </c>
      <c r="AT40" s="70">
        <f>SUM(X40:AD40)</f>
        <v>0</v>
      </c>
      <c r="AU40" s="70">
        <f>SUM(AE40:AI40)</f>
        <v>0</v>
      </c>
      <c r="AV40" s="57">
        <f t="shared" si="48"/>
        <v>0</v>
      </c>
    </row>
    <row r="41" spans="1:48" ht="25.15" hidden="1" customHeight="1">
      <c r="A41" s="58" t="s">
        <v>524</v>
      </c>
      <c r="B41" s="65"/>
      <c r="C41" s="66"/>
      <c r="D41" s="67" t="s">
        <v>103</v>
      </c>
      <c r="E41" s="1113"/>
      <c r="F41" s="1114"/>
      <c r="G41" s="1214"/>
      <c r="H41" s="1114"/>
      <c r="I41" s="1114"/>
      <c r="J41" s="1214"/>
      <c r="K41" s="1214"/>
      <c r="L41" s="1114"/>
      <c r="M41" s="1114"/>
      <c r="N41" s="1114"/>
      <c r="O41" s="1114"/>
      <c r="P41" s="1114"/>
      <c r="Q41" s="1214"/>
      <c r="R41" s="1214"/>
      <c r="S41" s="1114"/>
      <c r="T41" s="1114"/>
      <c r="U41" s="1114"/>
      <c r="V41" s="1114"/>
      <c r="W41" s="1114"/>
      <c r="X41" s="1214"/>
      <c r="Y41" s="1209"/>
      <c r="Z41" s="1101"/>
      <c r="AA41" s="1114"/>
      <c r="AB41" s="1114"/>
      <c r="AC41" s="1114"/>
      <c r="AD41" s="1114"/>
      <c r="AE41" s="1214"/>
      <c r="AF41" s="1214"/>
      <c r="AG41" s="1114"/>
      <c r="AH41" s="1114"/>
      <c r="AI41" s="1332"/>
      <c r="AJ41" s="68">
        <f>SUM(E41:AI41)</f>
        <v>0</v>
      </c>
      <c r="AK41" s="68"/>
      <c r="AL41" s="69">
        <f>+AJ41*AN36</f>
        <v>0</v>
      </c>
      <c r="AM41" s="1069">
        <f t="shared" si="1"/>
        <v>0</v>
      </c>
      <c r="AN41" s="31"/>
      <c r="AO41" s="622"/>
      <c r="AP41" s="39" t="s">
        <v>19</v>
      </c>
      <c r="AQ41" s="56">
        <f>AQ40*AN36</f>
        <v>0</v>
      </c>
      <c r="AR41" s="56">
        <f>AR40*AN36</f>
        <v>0</v>
      </c>
      <c r="AS41" s="56">
        <f>AS40*AN36</f>
        <v>0</v>
      </c>
      <c r="AT41" s="56">
        <f>AT40*AN36</f>
        <v>0</v>
      </c>
      <c r="AU41" s="56">
        <f>AU40*AN36</f>
        <v>0</v>
      </c>
      <c r="AV41" s="57">
        <f t="shared" si="48"/>
        <v>0</v>
      </c>
    </row>
    <row r="42" spans="1:48" ht="25.15" hidden="1" customHeight="1">
      <c r="A42" s="103"/>
      <c r="B42" s="65"/>
      <c r="C42" s="72" t="s">
        <v>104</v>
      </c>
      <c r="D42" s="73" t="s">
        <v>105</v>
      </c>
      <c r="E42" s="1115"/>
      <c r="F42" s="1116"/>
      <c r="G42" s="1215"/>
      <c r="H42" s="1116"/>
      <c r="I42" s="1116"/>
      <c r="J42" s="1215"/>
      <c r="K42" s="1215"/>
      <c r="L42" s="1116"/>
      <c r="M42" s="1116"/>
      <c r="N42" s="1116"/>
      <c r="O42" s="1116"/>
      <c r="P42" s="1116"/>
      <c r="Q42" s="1215"/>
      <c r="R42" s="1215"/>
      <c r="S42" s="1116"/>
      <c r="T42" s="1116"/>
      <c r="U42" s="1116"/>
      <c r="V42" s="1116"/>
      <c r="W42" s="1116"/>
      <c r="X42" s="1215"/>
      <c r="Y42" s="1210"/>
      <c r="Z42" s="1103"/>
      <c r="AA42" s="1116"/>
      <c r="AB42" s="1116"/>
      <c r="AC42" s="1116"/>
      <c r="AD42" s="1116"/>
      <c r="AE42" s="1215"/>
      <c r="AF42" s="1215"/>
      <c r="AG42" s="1116"/>
      <c r="AH42" s="1116"/>
      <c r="AI42" s="1352"/>
      <c r="AJ42" s="74">
        <f>SUM(E42:AI42)</f>
        <v>0</v>
      </c>
      <c r="AK42" s="74"/>
      <c r="AL42" s="75">
        <f>+AJ42*AN36</f>
        <v>0</v>
      </c>
      <c r="AM42" s="1070">
        <f t="shared" si="1"/>
        <v>0</v>
      </c>
      <c r="AN42" s="76"/>
      <c r="AO42" s="636"/>
      <c r="AP42" s="47" t="s">
        <v>106</v>
      </c>
      <c r="AQ42" s="48">
        <f>AQ38*AN36</f>
        <v>0</v>
      </c>
      <c r="AR42" s="48">
        <f>AR38*AN36</f>
        <v>0</v>
      </c>
      <c r="AS42" s="48">
        <f>AS38*AN36</f>
        <v>0</v>
      </c>
      <c r="AT42" s="48">
        <f>AT38*AN36</f>
        <v>0</v>
      </c>
      <c r="AU42" s="48">
        <f>AU38*AN36</f>
        <v>0</v>
      </c>
      <c r="AV42" s="50">
        <f t="shared" si="48"/>
        <v>0</v>
      </c>
    </row>
    <row r="43" spans="1:48" ht="25.15" hidden="1" customHeight="1">
      <c r="A43" s="103"/>
      <c r="B43" s="65"/>
      <c r="C43" s="77">
        <v>300000</v>
      </c>
      <c r="D43" s="78" t="s">
        <v>107</v>
      </c>
      <c r="E43" s="1327">
        <v>1</v>
      </c>
      <c r="F43" s="1097">
        <v>1</v>
      </c>
      <c r="G43" s="1205">
        <v>1</v>
      </c>
      <c r="H43" s="1097">
        <v>1</v>
      </c>
      <c r="I43" s="1097">
        <v>1</v>
      </c>
      <c r="J43" s="1205">
        <v>1</v>
      </c>
      <c r="K43" s="1205">
        <v>1</v>
      </c>
      <c r="L43" s="1097">
        <v>1</v>
      </c>
      <c r="M43" s="1097">
        <v>1</v>
      </c>
      <c r="N43" s="1097">
        <v>1</v>
      </c>
      <c r="O43" s="1097">
        <v>1</v>
      </c>
      <c r="P43" s="1097">
        <v>1</v>
      </c>
      <c r="Q43" s="1205">
        <v>1</v>
      </c>
      <c r="R43" s="1205">
        <v>1</v>
      </c>
      <c r="S43" s="1097">
        <v>1</v>
      </c>
      <c r="T43" s="1097">
        <v>1</v>
      </c>
      <c r="U43" s="1097">
        <v>1</v>
      </c>
      <c r="V43" s="1097">
        <v>1</v>
      </c>
      <c r="W43" s="1097">
        <v>1</v>
      </c>
      <c r="X43" s="1205">
        <v>1</v>
      </c>
      <c r="Y43" s="1205">
        <v>1</v>
      </c>
      <c r="Z43" s="1097">
        <v>1</v>
      </c>
      <c r="AA43" s="1097">
        <v>1</v>
      </c>
      <c r="AB43" s="1097">
        <v>1</v>
      </c>
      <c r="AC43" s="1097">
        <v>1</v>
      </c>
      <c r="AD43" s="1097">
        <v>1</v>
      </c>
      <c r="AE43" s="1205">
        <v>1</v>
      </c>
      <c r="AF43" s="1205">
        <v>1</v>
      </c>
      <c r="AG43" s="1097">
        <v>1</v>
      </c>
      <c r="AH43" s="1097">
        <v>1</v>
      </c>
      <c r="AI43" s="1328">
        <v>1</v>
      </c>
      <c r="AJ43" s="79"/>
      <c r="AK43" s="79"/>
      <c r="AL43" s="55"/>
      <c r="AM43" s="1067">
        <f t="shared" si="1"/>
        <v>0</v>
      </c>
      <c r="AN43" s="31"/>
      <c r="AO43" s="622"/>
      <c r="AP43" s="23"/>
      <c r="AQ43" s="23"/>
      <c r="AR43" s="23"/>
      <c r="AS43" s="23"/>
      <c r="AT43" s="23"/>
      <c r="AU43" s="23"/>
      <c r="AV43" s="23"/>
    </row>
    <row r="44" spans="1:48" ht="25.15" hidden="1" customHeight="1">
      <c r="A44" s="103"/>
      <c r="B44" s="65"/>
      <c r="C44" s="80" t="s">
        <v>108</v>
      </c>
      <c r="D44" s="81" t="s">
        <v>109</v>
      </c>
      <c r="E44" s="1374">
        <f>SUM(E38+E40+E41+E42)/E43</f>
        <v>0</v>
      </c>
      <c r="F44" s="1104">
        <f>SUM(F38+F40+F41+F42)/F43</f>
        <v>0</v>
      </c>
      <c r="G44" s="1211">
        <f>SUM(G38+G40+G41+G42)/G43</f>
        <v>0</v>
      </c>
      <c r="H44" s="1104">
        <f t="shared" ref="H44:AH44" si="52">SUM(H38+H40+H41+H42)/H43</f>
        <v>0</v>
      </c>
      <c r="I44" s="1104">
        <f t="shared" si="52"/>
        <v>0</v>
      </c>
      <c r="J44" s="1211">
        <f t="shared" si="52"/>
        <v>0</v>
      </c>
      <c r="K44" s="1211">
        <f t="shared" si="52"/>
        <v>0</v>
      </c>
      <c r="L44" s="1104">
        <f t="shared" si="52"/>
        <v>0</v>
      </c>
      <c r="M44" s="1104">
        <f t="shared" si="52"/>
        <v>0</v>
      </c>
      <c r="N44" s="1104">
        <f t="shared" si="52"/>
        <v>0</v>
      </c>
      <c r="O44" s="1104">
        <f t="shared" si="52"/>
        <v>0</v>
      </c>
      <c r="P44" s="1104">
        <f t="shared" si="52"/>
        <v>0</v>
      </c>
      <c r="Q44" s="1211">
        <f t="shared" si="52"/>
        <v>0</v>
      </c>
      <c r="R44" s="1211">
        <f t="shared" si="52"/>
        <v>0</v>
      </c>
      <c r="S44" s="1104">
        <f t="shared" si="52"/>
        <v>0</v>
      </c>
      <c r="T44" s="1104">
        <f t="shared" si="52"/>
        <v>0</v>
      </c>
      <c r="U44" s="1104">
        <f t="shared" si="52"/>
        <v>0</v>
      </c>
      <c r="V44" s="1104">
        <f t="shared" si="52"/>
        <v>0</v>
      </c>
      <c r="W44" s="1104">
        <f t="shared" si="52"/>
        <v>0</v>
      </c>
      <c r="X44" s="1211">
        <f t="shared" si="52"/>
        <v>0</v>
      </c>
      <c r="Y44" s="1211">
        <f t="shared" si="52"/>
        <v>0</v>
      </c>
      <c r="Z44" s="1104">
        <f t="shared" si="52"/>
        <v>0</v>
      </c>
      <c r="AA44" s="1104">
        <f t="shared" si="52"/>
        <v>0</v>
      </c>
      <c r="AB44" s="1104">
        <f t="shared" si="52"/>
        <v>0</v>
      </c>
      <c r="AC44" s="1104">
        <f t="shared" si="52"/>
        <v>0</v>
      </c>
      <c r="AD44" s="1104">
        <f t="shared" si="52"/>
        <v>0</v>
      </c>
      <c r="AE44" s="1211">
        <f t="shared" si="52"/>
        <v>0</v>
      </c>
      <c r="AF44" s="1211">
        <f t="shared" si="52"/>
        <v>0</v>
      </c>
      <c r="AG44" s="1104">
        <f t="shared" si="52"/>
        <v>0</v>
      </c>
      <c r="AH44" s="1104">
        <f t="shared" si="52"/>
        <v>0</v>
      </c>
      <c r="AI44" s="1335">
        <f>SUM(AI38+AI40+AI41)/AI43</f>
        <v>0</v>
      </c>
      <c r="AJ44" s="104">
        <f>SUM(E44:AI44)</f>
        <v>0</v>
      </c>
      <c r="AK44" s="104"/>
      <c r="AL44" s="83"/>
      <c r="AM44" s="1068">
        <f t="shared" si="1"/>
        <v>0</v>
      </c>
      <c r="AN44" s="31"/>
      <c r="AO44" s="622"/>
      <c r="AP44" s="23"/>
      <c r="AQ44" s="23"/>
      <c r="AR44" s="23"/>
      <c r="AS44" s="23"/>
      <c r="AT44" s="23"/>
      <c r="AU44" s="23"/>
      <c r="AV44" s="23"/>
    </row>
    <row r="45" spans="1:48" ht="25.15" hidden="1" customHeight="1">
      <c r="A45" s="103"/>
      <c r="B45" s="59"/>
      <c r="C45" s="84">
        <f>+C43*0.8</f>
        <v>240000</v>
      </c>
      <c r="D45" s="85" t="s">
        <v>110</v>
      </c>
      <c r="E45" s="1105"/>
      <c r="F45" s="1106"/>
      <c r="G45" s="1211"/>
      <c r="H45" s="1104"/>
      <c r="I45" s="1104"/>
      <c r="J45" s="1211"/>
      <c r="K45" s="1211"/>
      <c r="L45" s="1104"/>
      <c r="M45" s="1104"/>
      <c r="N45" s="1104"/>
      <c r="O45" s="1107"/>
      <c r="P45" s="1104"/>
      <c r="Q45" s="1211"/>
      <c r="R45" s="1211"/>
      <c r="S45" s="1104"/>
      <c r="T45" s="1104"/>
      <c r="U45" s="1104"/>
      <c r="V45" s="1104"/>
      <c r="W45" s="1104"/>
      <c r="X45" s="1211"/>
      <c r="Y45" s="1211"/>
      <c r="Z45" s="1104"/>
      <c r="AA45" s="1104"/>
      <c r="AB45" s="1104"/>
      <c r="AC45" s="1104"/>
      <c r="AD45" s="1104"/>
      <c r="AE45" s="1211"/>
      <c r="AF45" s="1211"/>
      <c r="AG45" s="1104"/>
      <c r="AH45" s="1104"/>
      <c r="AI45" s="1353"/>
      <c r="AJ45" s="86"/>
      <c r="AK45" s="86"/>
      <c r="AL45" s="690"/>
      <c r="AM45" s="694">
        <f t="shared" si="1"/>
        <v>0</v>
      </c>
      <c r="AN45" s="31"/>
      <c r="AO45" s="622"/>
      <c r="AP45" s="23"/>
      <c r="AQ45" s="23"/>
      <c r="AR45" s="23"/>
      <c r="AS45" s="23"/>
      <c r="AT45" s="23"/>
      <c r="AU45" s="23"/>
      <c r="AV45" s="23"/>
    </row>
    <row r="46" spans="1:48" ht="25.15" hidden="1" customHeight="1">
      <c r="A46" s="103"/>
      <c r="B46" s="105"/>
      <c r="C46" s="77"/>
      <c r="D46" s="88" t="s">
        <v>111</v>
      </c>
      <c r="E46" s="1108">
        <f>IF(E45="O/H",E44,0+E44)</f>
        <v>0</v>
      </c>
      <c r="F46" s="1089">
        <f t="shared" ref="F46:AI46" si="53">IF(F45="O/H",F44,+E46+F44)</f>
        <v>0</v>
      </c>
      <c r="G46" s="44">
        <f t="shared" si="53"/>
        <v>0</v>
      </c>
      <c r="H46" s="1089">
        <f t="shared" si="53"/>
        <v>0</v>
      </c>
      <c r="I46" s="1089">
        <f t="shared" si="53"/>
        <v>0</v>
      </c>
      <c r="J46" s="44">
        <f t="shared" si="53"/>
        <v>0</v>
      </c>
      <c r="K46" s="44">
        <f t="shared" si="53"/>
        <v>0</v>
      </c>
      <c r="L46" s="1089">
        <f t="shared" si="53"/>
        <v>0</v>
      </c>
      <c r="M46" s="1089">
        <f t="shared" si="53"/>
        <v>0</v>
      </c>
      <c r="N46" s="1089">
        <f t="shared" si="53"/>
        <v>0</v>
      </c>
      <c r="O46" s="1089">
        <f t="shared" si="53"/>
        <v>0</v>
      </c>
      <c r="P46" s="1089">
        <f t="shared" si="53"/>
        <v>0</v>
      </c>
      <c r="Q46" s="44">
        <f t="shared" si="53"/>
        <v>0</v>
      </c>
      <c r="R46" s="44">
        <f t="shared" si="53"/>
        <v>0</v>
      </c>
      <c r="S46" s="1089">
        <f t="shared" si="53"/>
        <v>0</v>
      </c>
      <c r="T46" s="1089">
        <f t="shared" si="53"/>
        <v>0</v>
      </c>
      <c r="U46" s="1089">
        <f t="shared" si="53"/>
        <v>0</v>
      </c>
      <c r="V46" s="1089">
        <f t="shared" si="53"/>
        <v>0</v>
      </c>
      <c r="W46" s="1089">
        <f t="shared" si="53"/>
        <v>0</v>
      </c>
      <c r="X46" s="44">
        <f t="shared" si="53"/>
        <v>0</v>
      </c>
      <c r="Y46" s="44">
        <f t="shared" si="53"/>
        <v>0</v>
      </c>
      <c r="Z46" s="1089">
        <f t="shared" si="53"/>
        <v>0</v>
      </c>
      <c r="AA46" s="1089">
        <f t="shared" si="53"/>
        <v>0</v>
      </c>
      <c r="AB46" s="1089">
        <f t="shared" si="53"/>
        <v>0</v>
      </c>
      <c r="AC46" s="1089">
        <f t="shared" si="53"/>
        <v>0</v>
      </c>
      <c r="AD46" s="1089">
        <f t="shared" si="53"/>
        <v>0</v>
      </c>
      <c r="AE46" s="44">
        <f t="shared" si="53"/>
        <v>0</v>
      </c>
      <c r="AF46" s="44">
        <f t="shared" si="53"/>
        <v>0</v>
      </c>
      <c r="AG46" s="1089">
        <f t="shared" si="53"/>
        <v>0</v>
      </c>
      <c r="AH46" s="1089">
        <f t="shared" si="53"/>
        <v>0</v>
      </c>
      <c r="AI46" s="1326">
        <f t="shared" si="53"/>
        <v>0</v>
      </c>
      <c r="AJ46" s="79"/>
      <c r="AK46" s="86"/>
      <c r="AL46" s="689"/>
      <c r="AM46" s="694">
        <f t="shared" si="1"/>
        <v>0</v>
      </c>
      <c r="AN46" s="31"/>
      <c r="AO46" s="622"/>
      <c r="AP46" s="23"/>
      <c r="AQ46" s="23"/>
      <c r="AR46" s="23"/>
      <c r="AS46" s="23"/>
      <c r="AT46" s="23"/>
      <c r="AU46" s="23"/>
      <c r="AV46" s="23"/>
    </row>
    <row r="47" spans="1:48" s="23" customFormat="1" ht="20.65" hidden="1" customHeight="1">
      <c r="A47" s="274"/>
      <c r="B47" s="312"/>
      <c r="C47" s="308"/>
      <c r="D47" s="795" t="s">
        <v>112</v>
      </c>
      <c r="E47" s="1108" t="b">
        <f>IF(AND(ISNUMBER(E38)),0+E44)</f>
        <v>0</v>
      </c>
      <c r="F47" s="1089" t="str">
        <f>IF(AND(ISNUMBER(F38)),E47+F44,"")</f>
        <v/>
      </c>
      <c r="G47" s="44" t="str">
        <f t="shared" ref="G47" si="54">IF(AND(ISNUMBER(G38)),F47+G44,"")</f>
        <v/>
      </c>
      <c r="H47" s="1089" t="str">
        <f t="shared" ref="H47" si="55">IF(AND(ISNUMBER(H38)),G47+H44,"")</f>
        <v/>
      </c>
      <c r="I47" s="1089" t="str">
        <f>IF(AND(ISNUMBER(I38)),H47+I44,"")</f>
        <v/>
      </c>
      <c r="J47" s="44" t="str">
        <f>IF(AND(ISNUMBER(J38)),I47+J44,"")</f>
        <v/>
      </c>
      <c r="K47" s="44" t="str">
        <f>IF(AND(ISNUMBER(K38)),J47+K44,"")</f>
        <v/>
      </c>
      <c r="L47" s="1089" t="str">
        <f t="shared" ref="L47" si="56">IF(AND(ISNUMBER(L38)),K47+L44,"")</f>
        <v/>
      </c>
      <c r="M47" s="1089" t="str">
        <f t="shared" ref="M47" si="57">IF(AND(ISNUMBER(M38)),L47+M44,"")</f>
        <v/>
      </c>
      <c r="N47" s="1089" t="str">
        <f t="shared" ref="N47" si="58">IF(AND(ISNUMBER(N38)),M47+N44,"")</f>
        <v/>
      </c>
      <c r="O47" s="1089" t="str">
        <f t="shared" ref="O47" si="59">IF(AND(ISNUMBER(O38)),N47+O44,"")</f>
        <v/>
      </c>
      <c r="P47" s="1089" t="str">
        <f t="shared" ref="P47" si="60">IF(AND(ISNUMBER(P38)),O47+P44,"")</f>
        <v/>
      </c>
      <c r="Q47" s="44" t="str">
        <f t="shared" ref="Q47" si="61">IF(AND(ISNUMBER(Q38)),P47+Q44,"")</f>
        <v/>
      </c>
      <c r="R47" s="44" t="str">
        <f t="shared" ref="R47" si="62">IF(AND(ISNUMBER(R38)),Q47+R44,"")</f>
        <v/>
      </c>
      <c r="S47" s="1089" t="str">
        <f t="shared" ref="S47" si="63">IF(AND(ISNUMBER(S38)),R47+S44,"")</f>
        <v/>
      </c>
      <c r="T47" s="1089" t="str">
        <f t="shared" ref="T47" si="64">IF(AND(ISNUMBER(T38)),S47+T44,"")</f>
        <v/>
      </c>
      <c r="U47" s="1089" t="str">
        <f t="shared" ref="U47" si="65">IF(AND(ISNUMBER(U38)),T47+U44,"")</f>
        <v/>
      </c>
      <c r="V47" s="1089" t="str">
        <f t="shared" ref="V47" si="66">IF(AND(ISNUMBER(V38)),U47+V44,"")</f>
        <v/>
      </c>
      <c r="W47" s="1089" t="str">
        <f t="shared" ref="W47" si="67">IF(AND(ISNUMBER(W38)),V47+W44,"")</f>
        <v/>
      </c>
      <c r="X47" s="44" t="str">
        <f t="shared" ref="X47" si="68">IF(AND(ISNUMBER(X38)),W47+X44,"")</f>
        <v/>
      </c>
      <c r="Y47" s="44" t="str">
        <f t="shared" ref="Y47" si="69">IF(AND(ISNUMBER(Y38)),X47+Y44,"")</f>
        <v/>
      </c>
      <c r="Z47" s="1089" t="str">
        <f t="shared" ref="Z47" si="70">IF(AND(ISNUMBER(Z38)),Y47+Z44,"")</f>
        <v/>
      </c>
      <c r="AA47" s="1089" t="str">
        <f t="shared" ref="AA47" si="71">IF(AND(ISNUMBER(AA38)),Z47+AA44,"")</f>
        <v/>
      </c>
      <c r="AB47" s="1089" t="str">
        <f t="shared" ref="AB47" si="72">IF(AND(ISNUMBER(AB38)),AA47+AB44,"")</f>
        <v/>
      </c>
      <c r="AC47" s="1089" t="str">
        <f t="shared" ref="AC47" si="73">IF(AND(ISNUMBER(AC38)),AB47+AC44,"")</f>
        <v/>
      </c>
      <c r="AD47" s="1089" t="str">
        <f t="shared" ref="AD47" si="74">IF(AND(ISNUMBER(AD38)),AC47+AD44,"")</f>
        <v/>
      </c>
      <c r="AE47" s="44" t="str">
        <f t="shared" ref="AE47" si="75">IF(AND(ISNUMBER(AE38)),AD47+AE44,"")</f>
        <v/>
      </c>
      <c r="AF47" s="44" t="str">
        <f t="shared" ref="AF47" si="76">IF(AND(ISNUMBER(AF38)),AE47+AF44,"")</f>
        <v/>
      </c>
      <c r="AG47" s="1089" t="str">
        <f t="shared" ref="AG47" si="77">IF(AND(ISNUMBER(AG38)),AF47+AG44,"")</f>
        <v/>
      </c>
      <c r="AH47" s="1089" t="str">
        <f t="shared" ref="AH47" si="78">IF(AND(ISNUMBER(AH38)),AG47+AH44,"")</f>
        <v/>
      </c>
      <c r="AI47" s="1089" t="str">
        <f t="shared" ref="AI47" si="79">IF(AND(ISNUMBER(AI38)),AH47+AI44,"")</f>
        <v/>
      </c>
      <c r="AJ47" s="793"/>
      <c r="AK47" s="793"/>
      <c r="AL47" s="909"/>
      <c r="AM47" s="890">
        <f t="shared" si="1"/>
        <v>0</v>
      </c>
      <c r="AN47" s="76"/>
      <c r="AO47" s="624"/>
      <c r="AP47" s="285"/>
      <c r="AQ47" s="285"/>
      <c r="AR47" s="285"/>
      <c r="AS47" s="285"/>
      <c r="AT47" s="286"/>
      <c r="AU47" s="285"/>
      <c r="AV47" s="287"/>
    </row>
    <row r="48" spans="1:48" ht="25.15" hidden="1" customHeight="1">
      <c r="A48" s="103"/>
      <c r="B48" s="89"/>
      <c r="C48" s="80"/>
      <c r="D48" s="90" t="s">
        <v>104</v>
      </c>
      <c r="E48" s="1108"/>
      <c r="F48" s="1089"/>
      <c r="G48" s="44"/>
      <c r="H48" s="1089"/>
      <c r="I48" s="1089"/>
      <c r="J48" s="44"/>
      <c r="K48" s="44"/>
      <c r="L48" s="1089"/>
      <c r="M48" s="1089"/>
      <c r="N48" s="1089"/>
      <c r="O48" s="1089"/>
      <c r="P48" s="1089"/>
      <c r="Q48" s="44"/>
      <c r="R48" s="44"/>
      <c r="S48" s="1089"/>
      <c r="T48" s="1089"/>
      <c r="U48" s="1089"/>
      <c r="V48" s="1089"/>
      <c r="W48" s="1089"/>
      <c r="X48" s="44"/>
      <c r="Y48" s="44"/>
      <c r="Z48" s="1089"/>
      <c r="AA48" s="1089"/>
      <c r="AB48" s="1089"/>
      <c r="AC48" s="1089"/>
      <c r="AD48" s="1089"/>
      <c r="AE48" s="44"/>
      <c r="AF48" s="44"/>
      <c r="AG48" s="1089"/>
      <c r="AH48" s="1089"/>
      <c r="AI48" s="1326"/>
      <c r="AJ48" s="79"/>
      <c r="AK48" s="79"/>
      <c r="AL48" s="63"/>
      <c r="AM48" s="1068">
        <f t="shared" si="1"/>
        <v>0</v>
      </c>
      <c r="AN48" s="64"/>
      <c r="AO48" s="624"/>
      <c r="AP48" s="23"/>
      <c r="AQ48" s="23"/>
      <c r="AR48" s="23"/>
      <c r="AS48" s="23"/>
      <c r="AT48" s="23"/>
      <c r="AU48" s="23"/>
      <c r="AV48" s="23"/>
    </row>
    <row r="49" spans="1:48" ht="25.15" hidden="1" customHeight="1" thickBot="1">
      <c r="A49" s="106"/>
      <c r="B49" s="93"/>
      <c r="C49" s="94"/>
      <c r="D49" s="95" t="s">
        <v>111</v>
      </c>
      <c r="E49" s="1109">
        <f>IF(E48="O/H",E44,0+E44)</f>
        <v>0</v>
      </c>
      <c r="F49" s="1110">
        <f t="shared" ref="F49:AI49" si="80">IF(F48="O/H",F44,+E49+F44)</f>
        <v>0</v>
      </c>
      <c r="G49" s="1212">
        <f t="shared" si="80"/>
        <v>0</v>
      </c>
      <c r="H49" s="1110">
        <f t="shared" si="80"/>
        <v>0</v>
      </c>
      <c r="I49" s="1110">
        <f t="shared" si="80"/>
        <v>0</v>
      </c>
      <c r="J49" s="1212">
        <f t="shared" si="80"/>
        <v>0</v>
      </c>
      <c r="K49" s="1212">
        <f t="shared" si="80"/>
        <v>0</v>
      </c>
      <c r="L49" s="1110">
        <f t="shared" si="80"/>
        <v>0</v>
      </c>
      <c r="M49" s="1110">
        <f t="shared" si="80"/>
        <v>0</v>
      </c>
      <c r="N49" s="1110">
        <f t="shared" si="80"/>
        <v>0</v>
      </c>
      <c r="O49" s="1110">
        <f t="shared" si="80"/>
        <v>0</v>
      </c>
      <c r="P49" s="1110">
        <f t="shared" si="80"/>
        <v>0</v>
      </c>
      <c r="Q49" s="1212">
        <f t="shared" si="80"/>
        <v>0</v>
      </c>
      <c r="R49" s="1212">
        <f t="shared" si="80"/>
        <v>0</v>
      </c>
      <c r="S49" s="1110">
        <f t="shared" si="80"/>
        <v>0</v>
      </c>
      <c r="T49" s="1110">
        <f t="shared" si="80"/>
        <v>0</v>
      </c>
      <c r="U49" s="1110">
        <f t="shared" si="80"/>
        <v>0</v>
      </c>
      <c r="V49" s="1110">
        <f t="shared" si="80"/>
        <v>0</v>
      </c>
      <c r="W49" s="1110">
        <f t="shared" si="80"/>
        <v>0</v>
      </c>
      <c r="X49" s="1212">
        <f t="shared" si="80"/>
        <v>0</v>
      </c>
      <c r="Y49" s="1212">
        <f t="shared" si="80"/>
        <v>0</v>
      </c>
      <c r="Z49" s="1110">
        <f t="shared" si="80"/>
        <v>0</v>
      </c>
      <c r="AA49" s="1110">
        <f t="shared" si="80"/>
        <v>0</v>
      </c>
      <c r="AB49" s="1110">
        <f t="shared" si="80"/>
        <v>0</v>
      </c>
      <c r="AC49" s="1110">
        <f t="shared" si="80"/>
        <v>0</v>
      </c>
      <c r="AD49" s="1110">
        <f t="shared" si="80"/>
        <v>0</v>
      </c>
      <c r="AE49" s="1212">
        <f t="shared" si="80"/>
        <v>0</v>
      </c>
      <c r="AF49" s="1212">
        <f t="shared" si="80"/>
        <v>0</v>
      </c>
      <c r="AG49" s="1110">
        <f t="shared" si="80"/>
        <v>0</v>
      </c>
      <c r="AH49" s="1110">
        <f t="shared" si="80"/>
        <v>0</v>
      </c>
      <c r="AI49" s="1340">
        <f t="shared" si="80"/>
        <v>0</v>
      </c>
      <c r="AJ49" s="96"/>
      <c r="AK49" s="96"/>
      <c r="AL49" s="97"/>
      <c r="AM49" s="1071">
        <f t="shared" si="1"/>
        <v>0</v>
      </c>
      <c r="AN49" s="98"/>
      <c r="AO49" s="625"/>
      <c r="AP49" s="23"/>
      <c r="AQ49" s="23"/>
      <c r="AR49" s="23"/>
      <c r="AS49" s="23"/>
      <c r="AT49" s="23"/>
      <c r="AU49" s="23"/>
      <c r="AV49" s="23"/>
    </row>
    <row r="50" spans="1:48" ht="25.15" hidden="1" customHeight="1" thickTop="1">
      <c r="A50" s="99"/>
      <c r="B50" s="26" t="s">
        <v>117</v>
      </c>
      <c r="C50" s="27"/>
      <c r="D50" s="28" t="s">
        <v>82</v>
      </c>
      <c r="E50" s="1111"/>
      <c r="F50" s="1111"/>
      <c r="G50" s="1201"/>
      <c r="H50" s="1111"/>
      <c r="I50" s="1111"/>
      <c r="J50" s="1201"/>
      <c r="K50" s="1201"/>
      <c r="L50" s="1111"/>
      <c r="M50" s="1111"/>
      <c r="N50" s="1111"/>
      <c r="O50" s="1111"/>
      <c r="P50" s="1111"/>
      <c r="Q50" s="1201"/>
      <c r="R50" s="1201"/>
      <c r="S50" s="1111"/>
      <c r="T50" s="1111"/>
      <c r="U50" s="1111"/>
      <c r="V50" s="1111"/>
      <c r="W50" s="1111"/>
      <c r="X50" s="1201"/>
      <c r="Y50" s="1201"/>
      <c r="Z50" s="1111"/>
      <c r="AA50" s="1111"/>
      <c r="AB50" s="1111"/>
      <c r="AC50" s="1111"/>
      <c r="AD50" s="1111"/>
      <c r="AE50" s="1201"/>
      <c r="AF50" s="1201"/>
      <c r="AG50" s="1111"/>
      <c r="AH50" s="1111"/>
      <c r="AI50" s="1412"/>
      <c r="AJ50" s="100">
        <f>SUM(Table75[[#This Row],[June''2026]:[Column27]])</f>
        <v>0</v>
      </c>
      <c r="AK50" s="100">
        <f t="shared" si="0"/>
        <v>0</v>
      </c>
      <c r="AL50" s="101">
        <f>+AJ50*AN50</f>
        <v>0</v>
      </c>
      <c r="AM50" s="1072">
        <f t="shared" si="1"/>
        <v>0</v>
      </c>
      <c r="AN50" s="102"/>
      <c r="AO50" s="622">
        <f>Table5[[#This Row],[Total]]*B54/1000</f>
        <v>0</v>
      </c>
      <c r="AP50" s="32" t="s">
        <v>134</v>
      </c>
      <c r="AQ50" s="33" t="s">
        <v>84</v>
      </c>
      <c r="AR50" s="33" t="s">
        <v>85</v>
      </c>
      <c r="AS50" s="33" t="s">
        <v>86</v>
      </c>
      <c r="AT50" s="33" t="s">
        <v>87</v>
      </c>
      <c r="AU50" s="33" t="s">
        <v>88</v>
      </c>
      <c r="AV50" s="34" t="s">
        <v>68</v>
      </c>
    </row>
    <row r="51" spans="1:48" ht="25.15" hidden="1" customHeight="1">
      <c r="A51" s="103"/>
      <c r="B51" s="35" t="s">
        <v>116</v>
      </c>
      <c r="C51" s="36"/>
      <c r="D51" s="37" t="s">
        <v>90</v>
      </c>
      <c r="E51" s="1373">
        <f>IF(E50="",0,+ E50/E57)</f>
        <v>0</v>
      </c>
      <c r="F51" s="1096">
        <f t="shared" ref="F51:AI51" si="81">IF(F50="",0, E51+F50/F57)</f>
        <v>0</v>
      </c>
      <c r="G51" s="1207">
        <f t="shared" si="81"/>
        <v>0</v>
      </c>
      <c r="H51" s="1096">
        <f t="shared" si="81"/>
        <v>0</v>
      </c>
      <c r="I51" s="1096">
        <f t="shared" si="81"/>
        <v>0</v>
      </c>
      <c r="J51" s="1207">
        <f t="shared" si="81"/>
        <v>0</v>
      </c>
      <c r="K51" s="1207">
        <f t="shared" si="81"/>
        <v>0</v>
      </c>
      <c r="L51" s="1096">
        <f t="shared" si="81"/>
        <v>0</v>
      </c>
      <c r="M51" s="1096">
        <f t="shared" si="81"/>
        <v>0</v>
      </c>
      <c r="N51" s="1096">
        <f t="shared" si="81"/>
        <v>0</v>
      </c>
      <c r="O51" s="1096">
        <f t="shared" si="81"/>
        <v>0</v>
      </c>
      <c r="P51" s="1096">
        <f t="shared" si="81"/>
        <v>0</v>
      </c>
      <c r="Q51" s="1207">
        <f t="shared" si="81"/>
        <v>0</v>
      </c>
      <c r="R51" s="1207">
        <f t="shared" si="81"/>
        <v>0</v>
      </c>
      <c r="S51" s="1096">
        <f t="shared" si="81"/>
        <v>0</v>
      </c>
      <c r="T51" s="1096">
        <f t="shared" si="81"/>
        <v>0</v>
      </c>
      <c r="U51" s="1096">
        <f t="shared" si="81"/>
        <v>0</v>
      </c>
      <c r="V51" s="1096">
        <f t="shared" si="81"/>
        <v>0</v>
      </c>
      <c r="W51" s="1096">
        <f t="shared" si="81"/>
        <v>0</v>
      </c>
      <c r="X51" s="1207">
        <f t="shared" si="81"/>
        <v>0</v>
      </c>
      <c r="Y51" s="1207">
        <f t="shared" si="81"/>
        <v>0</v>
      </c>
      <c r="Z51" s="1096">
        <f t="shared" si="81"/>
        <v>0</v>
      </c>
      <c r="AA51" s="1096">
        <f t="shared" si="81"/>
        <v>0</v>
      </c>
      <c r="AB51" s="1096">
        <f t="shared" si="81"/>
        <v>0</v>
      </c>
      <c r="AC51" s="1096">
        <f t="shared" si="81"/>
        <v>0</v>
      </c>
      <c r="AD51" s="1096">
        <f t="shared" si="81"/>
        <v>0</v>
      </c>
      <c r="AE51" s="1207">
        <f t="shared" si="81"/>
        <v>0</v>
      </c>
      <c r="AF51" s="1207">
        <f t="shared" si="81"/>
        <v>0</v>
      </c>
      <c r="AG51" s="1096">
        <f t="shared" si="81"/>
        <v>0</v>
      </c>
      <c r="AH51" s="1096">
        <f t="shared" si="81"/>
        <v>0</v>
      </c>
      <c r="AI51" s="1324">
        <f t="shared" si="81"/>
        <v>0</v>
      </c>
      <c r="AJ51" s="38"/>
      <c r="AK51" s="29"/>
      <c r="AL51" s="30"/>
      <c r="AM51" s="694">
        <f t="shared" si="1"/>
        <v>0</v>
      </c>
      <c r="AN51" s="31"/>
      <c r="AO51" s="630"/>
      <c r="AP51" s="39" t="s">
        <v>91</v>
      </c>
      <c r="AQ51" s="40">
        <f>SUM(E50:I50)</f>
        <v>0</v>
      </c>
      <c r="AR51" s="41">
        <f>SUM(J50:P50)</f>
        <v>0</v>
      </c>
      <c r="AS51" s="41">
        <f>SUM(Q50:W50)</f>
        <v>0</v>
      </c>
      <c r="AT51" s="41">
        <f>SUM(X50:AD50)</f>
        <v>0</v>
      </c>
      <c r="AU51" s="41">
        <f>SUM(AE50:AI50)</f>
        <v>0</v>
      </c>
      <c r="AV51" s="34">
        <f t="shared" ref="AV51:AV56" si="82">SUM(AQ51:AU51)</f>
        <v>0</v>
      </c>
    </row>
    <row r="52" spans="1:48" ht="25.15" hidden="1" customHeight="1">
      <c r="A52" s="103"/>
      <c r="B52" s="26" t="s">
        <v>92</v>
      </c>
      <c r="C52" s="42"/>
      <c r="D52" s="43" t="s">
        <v>93</v>
      </c>
      <c r="E52" s="1325"/>
      <c r="F52" s="1089"/>
      <c r="G52" s="44"/>
      <c r="H52" s="1089"/>
      <c r="I52" s="1089"/>
      <c r="J52" s="44"/>
      <c r="K52" s="44"/>
      <c r="L52" s="1089"/>
      <c r="M52" s="1089"/>
      <c r="N52" s="1089"/>
      <c r="O52" s="1089"/>
      <c r="P52" s="1089"/>
      <c r="Q52" s="44"/>
      <c r="R52" s="44"/>
      <c r="S52" s="1089"/>
      <c r="T52" s="1089"/>
      <c r="U52" s="1089"/>
      <c r="V52" s="1089"/>
      <c r="W52" s="1089"/>
      <c r="X52" s="44"/>
      <c r="Y52" s="44"/>
      <c r="Z52" s="1089"/>
      <c r="AA52" s="1089"/>
      <c r="AB52" s="1089"/>
      <c r="AC52" s="1089"/>
      <c r="AD52" s="1089"/>
      <c r="AE52" s="44"/>
      <c r="AF52" s="44"/>
      <c r="AG52" s="1089"/>
      <c r="AH52" s="1089"/>
      <c r="AI52" s="1326"/>
      <c r="AJ52" s="45">
        <f>SUM(E52:AI52)</f>
        <v>0</v>
      </c>
      <c r="AK52" s="45"/>
      <c r="AL52" s="46">
        <f>+AJ52*AN50</f>
        <v>0</v>
      </c>
      <c r="AM52" s="1066">
        <f t="shared" si="1"/>
        <v>0</v>
      </c>
      <c r="AN52" s="31"/>
      <c r="AO52" s="632">
        <f>(AJ52+AJ54+AJ55+AJ56)*B54/1000</f>
        <v>0</v>
      </c>
      <c r="AP52" s="47" t="s">
        <v>94</v>
      </c>
      <c r="AQ52" s="48">
        <f>SUM(E52:I52)</f>
        <v>0</v>
      </c>
      <c r="AR52" s="49">
        <f>SUM(J52:P52)</f>
        <v>0</v>
      </c>
      <c r="AS52" s="49">
        <f>SUM(Q52:W52)</f>
        <v>0</v>
      </c>
      <c r="AT52" s="49">
        <f>SUM(X52:AD52)</f>
        <v>0</v>
      </c>
      <c r="AU52" s="49">
        <f>SUM(AE52:AI52)</f>
        <v>0</v>
      </c>
      <c r="AV52" s="50">
        <f t="shared" si="82"/>
        <v>0</v>
      </c>
    </row>
    <row r="53" spans="1:48" ht="25.15" hidden="1" customHeight="1">
      <c r="A53" s="103"/>
      <c r="B53" s="51"/>
      <c r="C53" s="52" t="s">
        <v>95</v>
      </c>
      <c r="D53" s="53" t="s">
        <v>96</v>
      </c>
      <c r="E53" s="1327">
        <f t="shared" ref="E53" si="83">+E52-E50</f>
        <v>0</v>
      </c>
      <c r="F53" s="1097">
        <f t="shared" ref="F53:AJ53" si="84">+F52-F50</f>
        <v>0</v>
      </c>
      <c r="G53" s="1205">
        <f t="shared" si="84"/>
        <v>0</v>
      </c>
      <c r="H53" s="1097">
        <f t="shared" si="84"/>
        <v>0</v>
      </c>
      <c r="I53" s="1097">
        <f t="shared" si="84"/>
        <v>0</v>
      </c>
      <c r="J53" s="1205">
        <f t="shared" si="84"/>
        <v>0</v>
      </c>
      <c r="K53" s="1205">
        <f t="shared" si="84"/>
        <v>0</v>
      </c>
      <c r="L53" s="1097">
        <f t="shared" si="84"/>
        <v>0</v>
      </c>
      <c r="M53" s="1097">
        <f t="shared" si="84"/>
        <v>0</v>
      </c>
      <c r="N53" s="1097">
        <f t="shared" si="84"/>
        <v>0</v>
      </c>
      <c r="O53" s="1097">
        <f t="shared" si="84"/>
        <v>0</v>
      </c>
      <c r="P53" s="1097">
        <f t="shared" si="84"/>
        <v>0</v>
      </c>
      <c r="Q53" s="1205">
        <f t="shared" ref="Q53" si="85">+Q52-Q50</f>
        <v>0</v>
      </c>
      <c r="R53" s="1205">
        <f t="shared" si="84"/>
        <v>0</v>
      </c>
      <c r="S53" s="1097">
        <f t="shared" si="84"/>
        <v>0</v>
      </c>
      <c r="T53" s="1097">
        <f t="shared" si="84"/>
        <v>0</v>
      </c>
      <c r="U53" s="1097">
        <f t="shared" si="84"/>
        <v>0</v>
      </c>
      <c r="V53" s="1097">
        <f t="shared" si="84"/>
        <v>0</v>
      </c>
      <c r="W53" s="1097">
        <f t="shared" si="84"/>
        <v>0</v>
      </c>
      <c r="X53" s="1205">
        <f t="shared" si="84"/>
        <v>0</v>
      </c>
      <c r="Y53" s="1205">
        <f t="shared" si="84"/>
        <v>0</v>
      </c>
      <c r="Z53" s="1097">
        <f t="shared" si="84"/>
        <v>0</v>
      </c>
      <c r="AA53" s="1097">
        <f t="shared" si="84"/>
        <v>0</v>
      </c>
      <c r="AB53" s="1097">
        <f t="shared" si="84"/>
        <v>0</v>
      </c>
      <c r="AC53" s="1097">
        <f t="shared" si="84"/>
        <v>0</v>
      </c>
      <c r="AD53" s="1097">
        <f t="shared" si="84"/>
        <v>0</v>
      </c>
      <c r="AE53" s="1205">
        <f t="shared" si="84"/>
        <v>0</v>
      </c>
      <c r="AF53" s="1205">
        <f t="shared" si="84"/>
        <v>0</v>
      </c>
      <c r="AG53" s="1097">
        <f t="shared" si="84"/>
        <v>0</v>
      </c>
      <c r="AH53" s="1097">
        <f t="shared" si="84"/>
        <v>0</v>
      </c>
      <c r="AI53" s="1328">
        <f t="shared" si="84"/>
        <v>0</v>
      </c>
      <c r="AJ53" s="54">
        <f t="shared" si="84"/>
        <v>0</v>
      </c>
      <c r="AK53" s="54"/>
      <c r="AL53" s="55">
        <f>+AJ53*AN50</f>
        <v>0</v>
      </c>
      <c r="AM53" s="1067">
        <f t="shared" si="1"/>
        <v>0</v>
      </c>
      <c r="AN53" s="31" t="s">
        <v>97</v>
      </c>
      <c r="AO53" s="622"/>
      <c r="AP53" s="39" t="s">
        <v>98</v>
      </c>
      <c r="AQ53" s="56">
        <f>AQ52-AQ51</f>
        <v>0</v>
      </c>
      <c r="AR53" s="70">
        <f>AR52-AR51</f>
        <v>0</v>
      </c>
      <c r="AS53" s="70">
        <f>AS52-AS51</f>
        <v>0</v>
      </c>
      <c r="AT53" s="70">
        <f>AT52-AT51</f>
        <v>0</v>
      </c>
      <c r="AU53" s="70">
        <f>AU52-AU51</f>
        <v>0</v>
      </c>
      <c r="AV53" s="57">
        <f t="shared" si="82"/>
        <v>0</v>
      </c>
    </row>
    <row r="54" spans="1:48" ht="25.15" hidden="1" customHeight="1">
      <c r="A54" s="58"/>
      <c r="B54" s="59"/>
      <c r="C54" s="60" t="s">
        <v>100</v>
      </c>
      <c r="D54" s="61" t="s">
        <v>101</v>
      </c>
      <c r="E54" s="1367"/>
      <c r="F54" s="1099"/>
      <c r="G54" s="1208"/>
      <c r="H54" s="1099"/>
      <c r="I54" s="1099"/>
      <c r="J54" s="1208"/>
      <c r="K54" s="1208"/>
      <c r="L54" s="1099"/>
      <c r="M54" s="1099"/>
      <c r="N54" s="1112"/>
      <c r="O54" s="1112"/>
      <c r="P54" s="1099"/>
      <c r="Q54" s="1208"/>
      <c r="R54" s="1213"/>
      <c r="S54" s="1112"/>
      <c r="T54" s="1099"/>
      <c r="U54" s="1099"/>
      <c r="V54" s="1099"/>
      <c r="W54" s="1099"/>
      <c r="X54" s="1208"/>
      <c r="Y54" s="1208"/>
      <c r="Z54" s="1099"/>
      <c r="AA54" s="1099"/>
      <c r="AB54" s="1099"/>
      <c r="AC54" s="1099"/>
      <c r="AD54" s="1099"/>
      <c r="AE54" s="1208"/>
      <c r="AF54" s="1208"/>
      <c r="AG54" s="1099"/>
      <c r="AH54" s="1099"/>
      <c r="AI54" s="1330"/>
      <c r="AJ54" s="62">
        <f>SUM(E54:AI54)</f>
        <v>0</v>
      </c>
      <c r="AK54" s="62"/>
      <c r="AL54" s="63">
        <f>+AJ54*AN50</f>
        <v>0</v>
      </c>
      <c r="AM54" s="1068">
        <f t="shared" si="1"/>
        <v>0</v>
      </c>
      <c r="AN54" s="64" t="e">
        <f>+AJ54/AJ52*100</f>
        <v>#DIV/0!</v>
      </c>
      <c r="AO54" s="635" t="e">
        <f>AO52/AO50</f>
        <v>#DIV/0!</v>
      </c>
      <c r="AP54" s="39" t="s">
        <v>102</v>
      </c>
      <c r="AQ54" s="56">
        <f>SUM(E54:I54)</f>
        <v>0</v>
      </c>
      <c r="AR54" s="70">
        <f>SUM(J54:P54)</f>
        <v>0</v>
      </c>
      <c r="AS54" s="70">
        <f>SUM(Q54:W54)</f>
        <v>0</v>
      </c>
      <c r="AT54" s="70">
        <f>SUM(X54:AD54)</f>
        <v>0</v>
      </c>
      <c r="AU54" s="70">
        <f>SUM(AE54:AI54)</f>
        <v>0</v>
      </c>
      <c r="AV54" s="57">
        <f t="shared" si="82"/>
        <v>0</v>
      </c>
    </row>
    <row r="55" spans="1:48" ht="25.15" hidden="1" customHeight="1">
      <c r="A55" s="58" t="s">
        <v>524</v>
      </c>
      <c r="B55" s="65"/>
      <c r="C55" s="66"/>
      <c r="D55" s="67" t="s">
        <v>103</v>
      </c>
      <c r="E55" s="1113"/>
      <c r="F55" s="1101"/>
      <c r="G55" s="1209"/>
      <c r="H55" s="1101"/>
      <c r="I55" s="1101"/>
      <c r="J55" s="1209"/>
      <c r="K55" s="1209"/>
      <c r="L55" s="1101"/>
      <c r="M55" s="1101"/>
      <c r="N55" s="1114"/>
      <c r="O55" s="1114"/>
      <c r="P55" s="1101"/>
      <c r="Q55" s="1209"/>
      <c r="R55" s="1214"/>
      <c r="S55" s="1114"/>
      <c r="T55" s="1101"/>
      <c r="U55" s="1101"/>
      <c r="V55" s="1101"/>
      <c r="W55" s="1101"/>
      <c r="X55" s="1209"/>
      <c r="Y55" s="1209"/>
      <c r="Z55" s="1101"/>
      <c r="AA55" s="1101"/>
      <c r="AB55" s="1101"/>
      <c r="AC55" s="1101"/>
      <c r="AD55" s="1101"/>
      <c r="AE55" s="1209"/>
      <c r="AF55" s="1209"/>
      <c r="AG55" s="1101"/>
      <c r="AH55" s="1101"/>
      <c r="AI55" s="1332"/>
      <c r="AJ55" s="68">
        <f>SUM(E55:AI55)</f>
        <v>0</v>
      </c>
      <c r="AK55" s="68"/>
      <c r="AL55" s="69">
        <f>+AJ55*AN50</f>
        <v>0</v>
      </c>
      <c r="AM55" s="1069">
        <f t="shared" si="1"/>
        <v>0</v>
      </c>
      <c r="AN55" s="31"/>
      <c r="AO55" s="622"/>
      <c r="AP55" s="39" t="s">
        <v>19</v>
      </c>
      <c r="AQ55" s="56">
        <f>AQ54*AN50</f>
        <v>0</v>
      </c>
      <c r="AR55" s="56">
        <f>AR54*AN50</f>
        <v>0</v>
      </c>
      <c r="AS55" s="56">
        <f>AS54*AN50</f>
        <v>0</v>
      </c>
      <c r="AT55" s="56">
        <f>AT54*AN50</f>
        <v>0</v>
      </c>
      <c r="AU55" s="56">
        <f>AU54*AN50</f>
        <v>0</v>
      </c>
      <c r="AV55" s="57">
        <f t="shared" si="82"/>
        <v>0</v>
      </c>
    </row>
    <row r="56" spans="1:48" ht="25.15" hidden="1" customHeight="1">
      <c r="A56" s="103"/>
      <c r="B56" s="65"/>
      <c r="C56" s="72" t="s">
        <v>104</v>
      </c>
      <c r="D56" s="73" t="s">
        <v>105</v>
      </c>
      <c r="E56" s="1115"/>
      <c r="F56" s="1103"/>
      <c r="G56" s="1210"/>
      <c r="H56" s="1103"/>
      <c r="I56" s="1103"/>
      <c r="J56" s="1210"/>
      <c r="K56" s="1210"/>
      <c r="L56" s="1103"/>
      <c r="M56" s="1103"/>
      <c r="N56" s="1116"/>
      <c r="O56" s="1116"/>
      <c r="P56" s="1103"/>
      <c r="Q56" s="1210"/>
      <c r="R56" s="1215"/>
      <c r="S56" s="1116"/>
      <c r="T56" s="1103"/>
      <c r="U56" s="1103"/>
      <c r="V56" s="1103"/>
      <c r="W56" s="1103"/>
      <c r="X56" s="1210"/>
      <c r="Y56" s="1210"/>
      <c r="Z56" s="1103"/>
      <c r="AA56" s="1103"/>
      <c r="AB56" s="1103"/>
      <c r="AC56" s="1103"/>
      <c r="AD56" s="1103"/>
      <c r="AE56" s="1210"/>
      <c r="AF56" s="1210"/>
      <c r="AG56" s="1103"/>
      <c r="AH56" s="1103"/>
      <c r="AI56" s="1352"/>
      <c r="AJ56" s="74">
        <f>SUM(E56:AI56)</f>
        <v>0</v>
      </c>
      <c r="AK56" s="74"/>
      <c r="AL56" s="75">
        <f>+AJ56*AN50</f>
        <v>0</v>
      </c>
      <c r="AM56" s="1070">
        <f t="shared" si="1"/>
        <v>0</v>
      </c>
      <c r="AN56" s="76"/>
      <c r="AO56" s="636"/>
      <c r="AP56" s="47" t="s">
        <v>106</v>
      </c>
      <c r="AQ56" s="48">
        <f>AQ52*AN50</f>
        <v>0</v>
      </c>
      <c r="AR56" s="48">
        <f>AR52*AN50</f>
        <v>0</v>
      </c>
      <c r="AS56" s="48">
        <f>AS52*AN50</f>
        <v>0</v>
      </c>
      <c r="AT56" s="48">
        <f>AT52*AN50</f>
        <v>0</v>
      </c>
      <c r="AU56" s="48">
        <f>AU52*AN50</f>
        <v>0</v>
      </c>
      <c r="AV56" s="50">
        <f t="shared" si="82"/>
        <v>0</v>
      </c>
    </row>
    <row r="57" spans="1:48" ht="25.15" hidden="1" customHeight="1">
      <c r="A57" s="103"/>
      <c r="B57" s="65"/>
      <c r="C57" s="77">
        <v>300000</v>
      </c>
      <c r="D57" s="78" t="s">
        <v>107</v>
      </c>
      <c r="E57" s="1327">
        <v>1</v>
      </c>
      <c r="F57" s="1097">
        <v>1</v>
      </c>
      <c r="G57" s="1205">
        <v>1</v>
      </c>
      <c r="H57" s="1097">
        <v>1</v>
      </c>
      <c r="I57" s="1097">
        <v>1</v>
      </c>
      <c r="J57" s="1205">
        <v>1</v>
      </c>
      <c r="K57" s="1205">
        <v>1</v>
      </c>
      <c r="L57" s="1097">
        <v>1</v>
      </c>
      <c r="M57" s="1097">
        <v>1</v>
      </c>
      <c r="N57" s="1097">
        <v>1</v>
      </c>
      <c r="O57" s="1097">
        <v>1</v>
      </c>
      <c r="P57" s="1097">
        <v>1</v>
      </c>
      <c r="Q57" s="1205">
        <v>1</v>
      </c>
      <c r="R57" s="1205">
        <v>1</v>
      </c>
      <c r="S57" s="1097">
        <v>1</v>
      </c>
      <c r="T57" s="1097">
        <v>1</v>
      </c>
      <c r="U57" s="1097">
        <v>1</v>
      </c>
      <c r="V57" s="1097">
        <v>1</v>
      </c>
      <c r="W57" s="1097">
        <v>1</v>
      </c>
      <c r="X57" s="1205">
        <v>1</v>
      </c>
      <c r="Y57" s="1205">
        <v>1</v>
      </c>
      <c r="Z57" s="1097">
        <v>1</v>
      </c>
      <c r="AA57" s="1097">
        <v>1</v>
      </c>
      <c r="AB57" s="1097">
        <v>1</v>
      </c>
      <c r="AC57" s="1097">
        <v>1</v>
      </c>
      <c r="AD57" s="1097">
        <v>1</v>
      </c>
      <c r="AE57" s="1205">
        <v>1</v>
      </c>
      <c r="AF57" s="1205">
        <v>1</v>
      </c>
      <c r="AG57" s="1097">
        <v>1</v>
      </c>
      <c r="AH57" s="1097">
        <v>1</v>
      </c>
      <c r="AI57" s="1328">
        <v>1</v>
      </c>
      <c r="AJ57" s="79"/>
      <c r="AK57" s="79"/>
      <c r="AL57" s="55"/>
      <c r="AM57" s="1067">
        <f t="shared" si="1"/>
        <v>0</v>
      </c>
      <c r="AN57" s="31"/>
      <c r="AO57" s="622"/>
      <c r="AP57" s="23"/>
      <c r="AQ57" s="23"/>
      <c r="AR57" s="23"/>
      <c r="AS57" s="23"/>
      <c r="AT57" s="23"/>
      <c r="AU57" s="23"/>
      <c r="AV57" s="23"/>
    </row>
    <row r="58" spans="1:48" ht="25.15" hidden="1" customHeight="1">
      <c r="A58" s="103"/>
      <c r="B58" s="65"/>
      <c r="C58" s="80" t="s">
        <v>108</v>
      </c>
      <c r="D58" s="81" t="s">
        <v>109</v>
      </c>
      <c r="E58" s="1374">
        <f>SUM(E52+E54+E55+E56)/E57</f>
        <v>0</v>
      </c>
      <c r="F58" s="1104">
        <f>SUM(F52+F54+F55+F56)/F57</f>
        <v>0</v>
      </c>
      <c r="G58" s="1211">
        <f>SUM(G52+G54+G55+G56)/G57</f>
        <v>0</v>
      </c>
      <c r="H58" s="1104">
        <f t="shared" ref="H58:AH58" si="86">SUM(H52+H54+H55+H56)/H57</f>
        <v>0</v>
      </c>
      <c r="I58" s="1104">
        <f t="shared" si="86"/>
        <v>0</v>
      </c>
      <c r="J58" s="1211">
        <f t="shared" si="86"/>
        <v>0</v>
      </c>
      <c r="K58" s="1211">
        <f t="shared" si="86"/>
        <v>0</v>
      </c>
      <c r="L58" s="1104">
        <f t="shared" si="86"/>
        <v>0</v>
      </c>
      <c r="M58" s="1104">
        <f t="shared" si="86"/>
        <v>0</v>
      </c>
      <c r="N58" s="1104">
        <f t="shared" si="86"/>
        <v>0</v>
      </c>
      <c r="O58" s="1104">
        <f t="shared" si="86"/>
        <v>0</v>
      </c>
      <c r="P58" s="1104">
        <f t="shared" si="86"/>
        <v>0</v>
      </c>
      <c r="Q58" s="1211">
        <f t="shared" si="86"/>
        <v>0</v>
      </c>
      <c r="R58" s="1211">
        <f t="shared" si="86"/>
        <v>0</v>
      </c>
      <c r="S58" s="1104">
        <f t="shared" si="86"/>
        <v>0</v>
      </c>
      <c r="T58" s="1104">
        <f t="shared" si="86"/>
        <v>0</v>
      </c>
      <c r="U58" s="1104">
        <f t="shared" si="86"/>
        <v>0</v>
      </c>
      <c r="V58" s="1104">
        <f t="shared" si="86"/>
        <v>0</v>
      </c>
      <c r="W58" s="1104">
        <f t="shared" si="86"/>
        <v>0</v>
      </c>
      <c r="X58" s="1211">
        <f t="shared" si="86"/>
        <v>0</v>
      </c>
      <c r="Y58" s="1211">
        <f t="shared" si="86"/>
        <v>0</v>
      </c>
      <c r="Z58" s="1104">
        <f t="shared" si="86"/>
        <v>0</v>
      </c>
      <c r="AA58" s="1104">
        <f t="shared" si="86"/>
        <v>0</v>
      </c>
      <c r="AB58" s="1104">
        <f t="shared" si="86"/>
        <v>0</v>
      </c>
      <c r="AC58" s="1104">
        <f t="shared" si="86"/>
        <v>0</v>
      </c>
      <c r="AD58" s="1104">
        <f t="shared" si="86"/>
        <v>0</v>
      </c>
      <c r="AE58" s="1211">
        <f t="shared" si="86"/>
        <v>0</v>
      </c>
      <c r="AF58" s="1211">
        <f t="shared" si="86"/>
        <v>0</v>
      </c>
      <c r="AG58" s="1104">
        <f t="shared" si="86"/>
        <v>0</v>
      </c>
      <c r="AH58" s="1104">
        <f t="shared" si="86"/>
        <v>0</v>
      </c>
      <c r="AI58" s="1335">
        <f>SUM(AI52+AI54+AI55)/AI57</f>
        <v>0</v>
      </c>
      <c r="AJ58" s="104">
        <f>SUM(E58:AI58)</f>
        <v>0</v>
      </c>
      <c r="AK58" s="104"/>
      <c r="AL58" s="83"/>
      <c r="AM58" s="1068">
        <f t="shared" si="1"/>
        <v>0</v>
      </c>
      <c r="AN58" s="31"/>
      <c r="AO58" s="622"/>
      <c r="AP58" s="23"/>
      <c r="AQ58" s="23"/>
      <c r="AR58" s="23"/>
      <c r="AS58" s="23"/>
      <c r="AT58" s="23"/>
      <c r="AU58" s="23"/>
      <c r="AV58" s="23"/>
    </row>
    <row r="59" spans="1:48" ht="25.15" hidden="1" customHeight="1">
      <c r="A59" s="103"/>
      <c r="B59" s="59"/>
      <c r="C59" s="84">
        <f>+C57*0.8</f>
        <v>240000</v>
      </c>
      <c r="D59" s="85" t="s">
        <v>110</v>
      </c>
      <c r="E59" s="1105"/>
      <c r="F59" s="1106"/>
      <c r="G59" s="1211"/>
      <c r="H59" s="1104"/>
      <c r="I59" s="1104"/>
      <c r="J59" s="1211"/>
      <c r="K59" s="1211"/>
      <c r="L59" s="1104"/>
      <c r="M59" s="1104"/>
      <c r="N59" s="1104"/>
      <c r="O59" s="1107"/>
      <c r="P59" s="1104"/>
      <c r="Q59" s="1211"/>
      <c r="R59" s="1211"/>
      <c r="S59" s="1104"/>
      <c r="T59" s="1104"/>
      <c r="U59" s="1104"/>
      <c r="V59" s="1104"/>
      <c r="W59" s="1104"/>
      <c r="X59" s="1211"/>
      <c r="Y59" s="1211"/>
      <c r="Z59" s="1104"/>
      <c r="AA59" s="1104"/>
      <c r="AB59" s="1104"/>
      <c r="AC59" s="1104"/>
      <c r="AD59" s="1104"/>
      <c r="AE59" s="1211"/>
      <c r="AF59" s="1211"/>
      <c r="AG59" s="1104"/>
      <c r="AH59" s="1104"/>
      <c r="AI59" s="1353"/>
      <c r="AJ59" s="86"/>
      <c r="AK59" s="86"/>
      <c r="AL59" s="690"/>
      <c r="AM59" s="694">
        <f t="shared" si="1"/>
        <v>0</v>
      </c>
      <c r="AN59" s="31"/>
      <c r="AO59" s="622"/>
      <c r="AP59" s="23"/>
      <c r="AQ59" s="23"/>
      <c r="AR59" s="23"/>
      <c r="AS59" s="23"/>
      <c r="AT59" s="23"/>
      <c r="AU59" s="23"/>
      <c r="AV59" s="23"/>
    </row>
    <row r="60" spans="1:48" ht="25.15" hidden="1" customHeight="1">
      <c r="A60" s="103"/>
      <c r="B60" s="105"/>
      <c r="C60" s="77"/>
      <c r="D60" s="88" t="s">
        <v>111</v>
      </c>
      <c r="E60" s="1108">
        <f>IF(E59="O/H",E58,0+E58)</f>
        <v>0</v>
      </c>
      <c r="F60" s="1089">
        <f t="shared" ref="F60:AI60" si="87">IF(F59="O/H",F58,+E60+F58)</f>
        <v>0</v>
      </c>
      <c r="G60" s="44">
        <f t="shared" si="87"/>
        <v>0</v>
      </c>
      <c r="H60" s="1089">
        <f t="shared" si="87"/>
        <v>0</v>
      </c>
      <c r="I60" s="1089">
        <f t="shared" si="87"/>
        <v>0</v>
      </c>
      <c r="J60" s="44">
        <f t="shared" si="87"/>
        <v>0</v>
      </c>
      <c r="K60" s="44">
        <f t="shared" si="87"/>
        <v>0</v>
      </c>
      <c r="L60" s="1089">
        <f t="shared" si="87"/>
        <v>0</v>
      </c>
      <c r="M60" s="1089">
        <f t="shared" si="87"/>
        <v>0</v>
      </c>
      <c r="N60" s="1089">
        <f t="shared" si="87"/>
        <v>0</v>
      </c>
      <c r="O60" s="1089">
        <f t="shared" si="87"/>
        <v>0</v>
      </c>
      <c r="P60" s="1089">
        <f t="shared" si="87"/>
        <v>0</v>
      </c>
      <c r="Q60" s="44">
        <f t="shared" si="87"/>
        <v>0</v>
      </c>
      <c r="R60" s="44">
        <f t="shared" si="87"/>
        <v>0</v>
      </c>
      <c r="S60" s="1089">
        <f t="shared" si="87"/>
        <v>0</v>
      </c>
      <c r="T60" s="1089">
        <f t="shared" si="87"/>
        <v>0</v>
      </c>
      <c r="U60" s="1089">
        <f t="shared" si="87"/>
        <v>0</v>
      </c>
      <c r="V60" s="1089">
        <f t="shared" si="87"/>
        <v>0</v>
      </c>
      <c r="W60" s="1089">
        <f t="shared" si="87"/>
        <v>0</v>
      </c>
      <c r="X60" s="44">
        <f t="shared" si="87"/>
        <v>0</v>
      </c>
      <c r="Y60" s="44">
        <f t="shared" si="87"/>
        <v>0</v>
      </c>
      <c r="Z60" s="1089">
        <f t="shared" si="87"/>
        <v>0</v>
      </c>
      <c r="AA60" s="1089">
        <f t="shared" si="87"/>
        <v>0</v>
      </c>
      <c r="AB60" s="1089">
        <f t="shared" si="87"/>
        <v>0</v>
      </c>
      <c r="AC60" s="1089">
        <f t="shared" si="87"/>
        <v>0</v>
      </c>
      <c r="AD60" s="1089">
        <f t="shared" si="87"/>
        <v>0</v>
      </c>
      <c r="AE60" s="44">
        <f t="shared" si="87"/>
        <v>0</v>
      </c>
      <c r="AF60" s="44">
        <f t="shared" si="87"/>
        <v>0</v>
      </c>
      <c r="AG60" s="1089">
        <f t="shared" si="87"/>
        <v>0</v>
      </c>
      <c r="AH60" s="1089">
        <f t="shared" si="87"/>
        <v>0</v>
      </c>
      <c r="AI60" s="1326">
        <f t="shared" si="87"/>
        <v>0</v>
      </c>
      <c r="AJ60" s="79"/>
      <c r="AK60" s="86"/>
      <c r="AL60" s="689"/>
      <c r="AM60" s="694">
        <f t="shared" si="1"/>
        <v>0</v>
      </c>
      <c r="AN60" s="31"/>
      <c r="AO60" s="622"/>
      <c r="AP60" s="23"/>
      <c r="AQ60" s="23"/>
      <c r="AR60" s="23"/>
      <c r="AS60" s="23"/>
      <c r="AT60" s="23"/>
      <c r="AU60" s="23"/>
      <c r="AV60" s="23"/>
    </row>
    <row r="61" spans="1:48" ht="25.15" hidden="1" customHeight="1">
      <c r="A61" s="103"/>
      <c r="B61" s="89"/>
      <c r="C61" s="80"/>
      <c r="D61" s="90" t="s">
        <v>104</v>
      </c>
      <c r="E61" s="1108"/>
      <c r="F61" s="1089"/>
      <c r="G61" s="44"/>
      <c r="H61" s="1089"/>
      <c r="I61" s="1089"/>
      <c r="J61" s="44"/>
      <c r="K61" s="44"/>
      <c r="L61" s="1089"/>
      <c r="M61" s="1089"/>
      <c r="N61" s="1089"/>
      <c r="O61" s="1089"/>
      <c r="P61" s="1089"/>
      <c r="Q61" s="44"/>
      <c r="R61" s="44"/>
      <c r="S61" s="1089"/>
      <c r="T61" s="1089"/>
      <c r="U61" s="1089"/>
      <c r="V61" s="1089"/>
      <c r="W61" s="1089"/>
      <c r="X61" s="44"/>
      <c r="Y61" s="44"/>
      <c r="Z61" s="1089"/>
      <c r="AA61" s="1089"/>
      <c r="AB61" s="1089"/>
      <c r="AC61" s="1089"/>
      <c r="AD61" s="1089"/>
      <c r="AE61" s="44"/>
      <c r="AF61" s="44"/>
      <c r="AG61" s="1089"/>
      <c r="AH61" s="1089"/>
      <c r="AI61" s="1326"/>
      <c r="AJ61" s="79"/>
      <c r="AK61" s="79"/>
      <c r="AL61" s="63"/>
      <c r="AM61" s="1068">
        <f t="shared" si="1"/>
        <v>0</v>
      </c>
      <c r="AN61" s="64"/>
      <c r="AO61" s="624"/>
      <c r="AP61" s="23"/>
      <c r="AQ61" s="23"/>
      <c r="AR61" s="23"/>
      <c r="AS61" s="23"/>
      <c r="AT61" s="23"/>
      <c r="AU61" s="23"/>
      <c r="AV61" s="23"/>
    </row>
    <row r="62" spans="1:48" ht="25.15" hidden="1" customHeight="1" thickBot="1">
      <c r="A62" s="106"/>
      <c r="B62" s="93"/>
      <c r="C62" s="94"/>
      <c r="D62" s="95" t="s">
        <v>111</v>
      </c>
      <c r="E62" s="1109">
        <f>IF(E61="O/H",E58,0+E58)</f>
        <v>0</v>
      </c>
      <c r="F62" s="1110">
        <f t="shared" ref="F62:AI62" si="88">IF(F61="O/H",F58,+E62+F58)</f>
        <v>0</v>
      </c>
      <c r="G62" s="1212">
        <f t="shared" si="88"/>
        <v>0</v>
      </c>
      <c r="H62" s="1110">
        <f t="shared" si="88"/>
        <v>0</v>
      </c>
      <c r="I62" s="1110">
        <f t="shared" si="88"/>
        <v>0</v>
      </c>
      <c r="J62" s="1212">
        <f t="shared" si="88"/>
        <v>0</v>
      </c>
      <c r="K62" s="1212">
        <f t="shared" si="88"/>
        <v>0</v>
      </c>
      <c r="L62" s="1110">
        <f t="shared" si="88"/>
        <v>0</v>
      </c>
      <c r="M62" s="1110">
        <f t="shared" si="88"/>
        <v>0</v>
      </c>
      <c r="N62" s="1110">
        <f t="shared" si="88"/>
        <v>0</v>
      </c>
      <c r="O62" s="1110">
        <f t="shared" si="88"/>
        <v>0</v>
      </c>
      <c r="P62" s="1110">
        <f t="shared" si="88"/>
        <v>0</v>
      </c>
      <c r="Q62" s="1212">
        <f t="shared" si="88"/>
        <v>0</v>
      </c>
      <c r="R62" s="1212">
        <f t="shared" si="88"/>
        <v>0</v>
      </c>
      <c r="S62" s="1110">
        <f t="shared" si="88"/>
        <v>0</v>
      </c>
      <c r="T62" s="1110">
        <f t="shared" si="88"/>
        <v>0</v>
      </c>
      <c r="U62" s="1110">
        <f t="shared" si="88"/>
        <v>0</v>
      </c>
      <c r="V62" s="1110">
        <f t="shared" si="88"/>
        <v>0</v>
      </c>
      <c r="W62" s="1110">
        <f t="shared" si="88"/>
        <v>0</v>
      </c>
      <c r="X62" s="1212">
        <f t="shared" si="88"/>
        <v>0</v>
      </c>
      <c r="Y62" s="1212">
        <f t="shared" si="88"/>
        <v>0</v>
      </c>
      <c r="Z62" s="1110">
        <f t="shared" si="88"/>
        <v>0</v>
      </c>
      <c r="AA62" s="1110">
        <f t="shared" si="88"/>
        <v>0</v>
      </c>
      <c r="AB62" s="1110">
        <f t="shared" si="88"/>
        <v>0</v>
      </c>
      <c r="AC62" s="1110">
        <f t="shared" si="88"/>
        <v>0</v>
      </c>
      <c r="AD62" s="1110">
        <f t="shared" si="88"/>
        <v>0</v>
      </c>
      <c r="AE62" s="1212">
        <f t="shared" si="88"/>
        <v>0</v>
      </c>
      <c r="AF62" s="1212">
        <f t="shared" si="88"/>
        <v>0</v>
      </c>
      <c r="AG62" s="1110">
        <f t="shared" si="88"/>
        <v>0</v>
      </c>
      <c r="AH62" s="1110">
        <f t="shared" si="88"/>
        <v>0</v>
      </c>
      <c r="AI62" s="1340">
        <f t="shared" si="88"/>
        <v>0</v>
      </c>
      <c r="AJ62" s="96"/>
      <c r="AK62" s="96"/>
      <c r="AL62" s="97"/>
      <c r="AM62" s="1071">
        <f t="shared" si="1"/>
        <v>0</v>
      </c>
      <c r="AN62" s="98"/>
      <c r="AO62" s="625"/>
      <c r="AP62" s="23"/>
      <c r="AQ62" s="23"/>
      <c r="AR62" s="23"/>
      <c r="AS62" s="23"/>
      <c r="AT62" s="23"/>
      <c r="AU62" s="23"/>
      <c r="AV62" s="23"/>
    </row>
    <row r="63" spans="1:48" ht="25.15" hidden="1" customHeight="1" thickTop="1">
      <c r="A63" s="99"/>
      <c r="B63" s="26" t="s">
        <v>536</v>
      </c>
      <c r="C63" s="27"/>
      <c r="D63" s="28" t="s">
        <v>82</v>
      </c>
      <c r="E63" s="1111"/>
      <c r="F63" s="1111"/>
      <c r="G63" s="1201"/>
      <c r="H63" s="1111"/>
      <c r="I63" s="1111"/>
      <c r="J63" s="1201"/>
      <c r="K63" s="1201"/>
      <c r="L63" s="1111"/>
      <c r="M63" s="1111"/>
      <c r="N63" s="1111"/>
      <c r="O63" s="1111"/>
      <c r="P63" s="1111"/>
      <c r="Q63" s="1201"/>
      <c r="R63" s="1201"/>
      <c r="S63" s="1111"/>
      <c r="T63" s="1111"/>
      <c r="U63" s="1111"/>
      <c r="V63" s="1111"/>
      <c r="W63" s="1111"/>
      <c r="X63" s="1201"/>
      <c r="Y63" s="1201"/>
      <c r="Z63" s="1111"/>
      <c r="AA63" s="1111"/>
      <c r="AB63" s="1111"/>
      <c r="AC63" s="1111"/>
      <c r="AD63" s="1111"/>
      <c r="AE63" s="1201"/>
      <c r="AF63" s="1201"/>
      <c r="AG63" s="1111"/>
      <c r="AH63" s="1111"/>
      <c r="AI63" s="1412"/>
      <c r="AJ63" s="100">
        <f>SUM(Table75[[#This Row],[June''2026]:[Column27]])</f>
        <v>0</v>
      </c>
      <c r="AK63" s="100">
        <f t="shared" si="0"/>
        <v>0</v>
      </c>
      <c r="AL63" s="101">
        <f>+AJ63*AN63</f>
        <v>0</v>
      </c>
      <c r="AM63" s="1072">
        <f t="shared" si="1"/>
        <v>0</v>
      </c>
      <c r="AN63" s="102"/>
      <c r="AO63" s="622">
        <f>Table5[[#This Row],[Total]]*B67/1000</f>
        <v>0</v>
      </c>
      <c r="AP63" s="32" t="s">
        <v>179</v>
      </c>
      <c r="AQ63" s="33" t="s">
        <v>84</v>
      </c>
      <c r="AR63" s="33" t="s">
        <v>85</v>
      </c>
      <c r="AS63" s="33" t="s">
        <v>86</v>
      </c>
      <c r="AT63" s="33" t="s">
        <v>87</v>
      </c>
      <c r="AU63" s="33" t="s">
        <v>88</v>
      </c>
      <c r="AV63" s="34" t="s">
        <v>68</v>
      </c>
    </row>
    <row r="64" spans="1:48" ht="25.15" hidden="1" customHeight="1">
      <c r="A64" s="103"/>
      <c r="B64" s="35"/>
      <c r="C64" s="36"/>
      <c r="D64" s="37" t="s">
        <v>90</v>
      </c>
      <c r="E64" s="1373">
        <f>IF(E63="",0,+ E63/E70)</f>
        <v>0</v>
      </c>
      <c r="F64" s="1096">
        <f t="shared" ref="F64:AI64" si="89">IF(F63="",0, E64+F63/F70)</f>
        <v>0</v>
      </c>
      <c r="G64" s="1207">
        <f t="shared" si="89"/>
        <v>0</v>
      </c>
      <c r="H64" s="1096">
        <f t="shared" si="89"/>
        <v>0</v>
      </c>
      <c r="I64" s="1096">
        <f t="shared" si="89"/>
        <v>0</v>
      </c>
      <c r="J64" s="1207">
        <f t="shared" si="89"/>
        <v>0</v>
      </c>
      <c r="K64" s="1207">
        <f t="shared" si="89"/>
        <v>0</v>
      </c>
      <c r="L64" s="1096">
        <f t="shared" si="89"/>
        <v>0</v>
      </c>
      <c r="M64" s="1096">
        <f t="shared" si="89"/>
        <v>0</v>
      </c>
      <c r="N64" s="1096">
        <f t="shared" si="89"/>
        <v>0</v>
      </c>
      <c r="O64" s="1096">
        <f t="shared" si="89"/>
        <v>0</v>
      </c>
      <c r="P64" s="1096">
        <f t="shared" si="89"/>
        <v>0</v>
      </c>
      <c r="Q64" s="1207">
        <f t="shared" si="89"/>
        <v>0</v>
      </c>
      <c r="R64" s="1207">
        <f t="shared" si="89"/>
        <v>0</v>
      </c>
      <c r="S64" s="1096">
        <f t="shared" si="89"/>
        <v>0</v>
      </c>
      <c r="T64" s="1096">
        <f t="shared" si="89"/>
        <v>0</v>
      </c>
      <c r="U64" s="1096">
        <f t="shared" si="89"/>
        <v>0</v>
      </c>
      <c r="V64" s="1096">
        <f t="shared" si="89"/>
        <v>0</v>
      </c>
      <c r="W64" s="1096">
        <f t="shared" si="89"/>
        <v>0</v>
      </c>
      <c r="X64" s="1207">
        <f t="shared" si="89"/>
        <v>0</v>
      </c>
      <c r="Y64" s="1207">
        <f t="shared" si="89"/>
        <v>0</v>
      </c>
      <c r="Z64" s="1096">
        <f t="shared" si="89"/>
        <v>0</v>
      </c>
      <c r="AA64" s="1096">
        <f t="shared" si="89"/>
        <v>0</v>
      </c>
      <c r="AB64" s="1096">
        <f t="shared" si="89"/>
        <v>0</v>
      </c>
      <c r="AC64" s="1096">
        <f t="shared" si="89"/>
        <v>0</v>
      </c>
      <c r="AD64" s="1096">
        <f t="shared" si="89"/>
        <v>0</v>
      </c>
      <c r="AE64" s="1207">
        <f t="shared" si="89"/>
        <v>0</v>
      </c>
      <c r="AF64" s="1207">
        <f t="shared" si="89"/>
        <v>0</v>
      </c>
      <c r="AG64" s="1096">
        <f t="shared" si="89"/>
        <v>0</v>
      </c>
      <c r="AH64" s="1096">
        <f t="shared" si="89"/>
        <v>0</v>
      </c>
      <c r="AI64" s="1324">
        <f t="shared" si="89"/>
        <v>0</v>
      </c>
      <c r="AJ64" s="38"/>
      <c r="AK64" s="29"/>
      <c r="AL64" s="30"/>
      <c r="AM64" s="694">
        <f t="shared" si="1"/>
        <v>0</v>
      </c>
      <c r="AN64" s="31"/>
      <c r="AO64" s="630"/>
      <c r="AP64" s="39" t="s">
        <v>91</v>
      </c>
      <c r="AQ64" s="40">
        <f>SUM(E63:I63)</f>
        <v>0</v>
      </c>
      <c r="AR64" s="41">
        <f>SUM(J63:P63)</f>
        <v>0</v>
      </c>
      <c r="AS64" s="41">
        <f>SUM(Q63:W63)</f>
        <v>0</v>
      </c>
      <c r="AT64" s="41">
        <f>SUM(X63:AD63)</f>
        <v>0</v>
      </c>
      <c r="AU64" s="41">
        <f>SUM(AE63:AI63)</f>
        <v>0</v>
      </c>
      <c r="AV64" s="34">
        <f t="shared" ref="AV64:AV69" si="90">SUM(AQ64:AU64)</f>
        <v>0</v>
      </c>
    </row>
    <row r="65" spans="1:48" ht="25.15" hidden="1" customHeight="1">
      <c r="A65" s="103"/>
      <c r="B65" s="26" t="s">
        <v>92</v>
      </c>
      <c r="C65" s="42"/>
      <c r="D65" s="43" t="s">
        <v>93</v>
      </c>
      <c r="E65" s="1325"/>
      <c r="F65" s="1089"/>
      <c r="G65" s="44"/>
      <c r="H65" s="1089"/>
      <c r="I65" s="1089"/>
      <c r="J65" s="44"/>
      <c r="K65" s="44"/>
      <c r="L65" s="1089"/>
      <c r="M65" s="1089"/>
      <c r="N65" s="1089"/>
      <c r="O65" s="1089"/>
      <c r="P65" s="1089"/>
      <c r="Q65" s="44"/>
      <c r="R65" s="44"/>
      <c r="S65" s="1089"/>
      <c r="T65" s="1089"/>
      <c r="U65" s="1089"/>
      <c r="V65" s="1089"/>
      <c r="W65" s="1089"/>
      <c r="X65" s="44"/>
      <c r="Y65" s="44"/>
      <c r="Z65" s="1089"/>
      <c r="AA65" s="1089"/>
      <c r="AB65" s="1089"/>
      <c r="AC65" s="1089"/>
      <c r="AD65" s="1089"/>
      <c r="AE65" s="44"/>
      <c r="AF65" s="44"/>
      <c r="AG65" s="1089"/>
      <c r="AH65" s="1089"/>
      <c r="AI65" s="1326"/>
      <c r="AJ65" s="45">
        <f>SUM(E65:AI65)</f>
        <v>0</v>
      </c>
      <c r="AK65" s="45"/>
      <c r="AL65" s="46">
        <f>+AJ65*AN63</f>
        <v>0</v>
      </c>
      <c r="AM65" s="1066">
        <f t="shared" si="1"/>
        <v>0</v>
      </c>
      <c r="AN65" s="31"/>
      <c r="AO65" s="632">
        <f>(AJ65+AJ67+AJ68+AJ69)*B67/1000</f>
        <v>0</v>
      </c>
      <c r="AP65" s="47" t="s">
        <v>94</v>
      </c>
      <c r="AQ65" s="48">
        <f>SUM(E65:I65)</f>
        <v>0</v>
      </c>
      <c r="AR65" s="49">
        <f>SUM(J65:P65)</f>
        <v>0</v>
      </c>
      <c r="AS65" s="49">
        <f>SUM(Q65:W65)</f>
        <v>0</v>
      </c>
      <c r="AT65" s="49">
        <f>SUM(X65:AD65)</f>
        <v>0</v>
      </c>
      <c r="AU65" s="49">
        <f>SUM(AE65:AI65)</f>
        <v>0</v>
      </c>
      <c r="AV65" s="50">
        <f t="shared" si="90"/>
        <v>0</v>
      </c>
    </row>
    <row r="66" spans="1:48" ht="25.15" hidden="1" customHeight="1">
      <c r="A66" s="103"/>
      <c r="B66" s="51"/>
      <c r="C66" s="52" t="s">
        <v>95</v>
      </c>
      <c r="D66" s="53" t="s">
        <v>96</v>
      </c>
      <c r="E66" s="1327">
        <f t="shared" ref="E66:AJ66" si="91">+E65-E63</f>
        <v>0</v>
      </c>
      <c r="F66" s="1097">
        <f>+F65-F63</f>
        <v>0</v>
      </c>
      <c r="G66" s="1205">
        <f>+G65-G63</f>
        <v>0</v>
      </c>
      <c r="H66" s="1097">
        <f t="shared" si="91"/>
        <v>0</v>
      </c>
      <c r="I66" s="1097">
        <f t="shared" si="91"/>
        <v>0</v>
      </c>
      <c r="J66" s="1205">
        <f t="shared" si="91"/>
        <v>0</v>
      </c>
      <c r="K66" s="1205">
        <f t="shared" si="91"/>
        <v>0</v>
      </c>
      <c r="L66" s="1097">
        <f t="shared" si="91"/>
        <v>0</v>
      </c>
      <c r="M66" s="1097">
        <f t="shared" si="91"/>
        <v>0</v>
      </c>
      <c r="N66" s="1097">
        <f t="shared" si="91"/>
        <v>0</v>
      </c>
      <c r="O66" s="1097">
        <f t="shared" si="91"/>
        <v>0</v>
      </c>
      <c r="P66" s="1097">
        <f t="shared" si="91"/>
        <v>0</v>
      </c>
      <c r="Q66" s="1205">
        <f t="shared" si="91"/>
        <v>0</v>
      </c>
      <c r="R66" s="1205">
        <f t="shared" si="91"/>
        <v>0</v>
      </c>
      <c r="S66" s="1097">
        <f t="shared" si="91"/>
        <v>0</v>
      </c>
      <c r="T66" s="1097">
        <f t="shared" si="91"/>
        <v>0</v>
      </c>
      <c r="U66" s="1097">
        <f t="shared" si="91"/>
        <v>0</v>
      </c>
      <c r="V66" s="1097">
        <f t="shared" si="91"/>
        <v>0</v>
      </c>
      <c r="W66" s="1097">
        <f t="shared" si="91"/>
        <v>0</v>
      </c>
      <c r="X66" s="1205">
        <f t="shared" si="91"/>
        <v>0</v>
      </c>
      <c r="Y66" s="1205">
        <f t="shared" si="91"/>
        <v>0</v>
      </c>
      <c r="Z66" s="1097">
        <f t="shared" si="91"/>
        <v>0</v>
      </c>
      <c r="AA66" s="1097">
        <f t="shared" si="91"/>
        <v>0</v>
      </c>
      <c r="AB66" s="1097">
        <f t="shared" si="91"/>
        <v>0</v>
      </c>
      <c r="AC66" s="1097">
        <f t="shared" si="91"/>
        <v>0</v>
      </c>
      <c r="AD66" s="1097">
        <f t="shared" si="91"/>
        <v>0</v>
      </c>
      <c r="AE66" s="1205">
        <f t="shared" si="91"/>
        <v>0</v>
      </c>
      <c r="AF66" s="1205">
        <f t="shared" si="91"/>
        <v>0</v>
      </c>
      <c r="AG66" s="1097">
        <f t="shared" si="91"/>
        <v>0</v>
      </c>
      <c r="AH66" s="1097">
        <f t="shared" si="91"/>
        <v>0</v>
      </c>
      <c r="AI66" s="1328">
        <f t="shared" si="91"/>
        <v>0</v>
      </c>
      <c r="AJ66" s="54">
        <f t="shared" si="91"/>
        <v>0</v>
      </c>
      <c r="AK66" s="54"/>
      <c r="AL66" s="55">
        <f>+AJ66*AN63</f>
        <v>0</v>
      </c>
      <c r="AM66" s="1067">
        <f t="shared" si="1"/>
        <v>0</v>
      </c>
      <c r="AN66" s="31" t="s">
        <v>97</v>
      </c>
      <c r="AO66" s="622"/>
      <c r="AP66" s="39" t="s">
        <v>98</v>
      </c>
      <c r="AQ66" s="56">
        <f>AQ65-AQ64</f>
        <v>0</v>
      </c>
      <c r="AR66" s="70">
        <f>AR65-AR64</f>
        <v>0</v>
      </c>
      <c r="AS66" s="70">
        <f>AS65-AS64</f>
        <v>0</v>
      </c>
      <c r="AT66" s="70">
        <f>AT65-AT64</f>
        <v>0</v>
      </c>
      <c r="AU66" s="70">
        <f>AU65-AU64</f>
        <v>0</v>
      </c>
      <c r="AV66" s="57">
        <f t="shared" si="90"/>
        <v>0</v>
      </c>
    </row>
    <row r="67" spans="1:48" ht="25.15" hidden="1" customHeight="1">
      <c r="A67" s="58"/>
      <c r="B67" s="59"/>
      <c r="C67" s="60" t="s">
        <v>100</v>
      </c>
      <c r="D67" s="61" t="s">
        <v>101</v>
      </c>
      <c r="E67" s="1329"/>
      <c r="F67" s="1099"/>
      <c r="G67" s="1208"/>
      <c r="H67" s="1099"/>
      <c r="I67" s="1099"/>
      <c r="J67" s="1208"/>
      <c r="K67" s="1208"/>
      <c r="L67" s="1099"/>
      <c r="M67" s="1099"/>
      <c r="N67" s="1099"/>
      <c r="O67" s="1099"/>
      <c r="P67" s="1099"/>
      <c r="Q67" s="1208"/>
      <c r="R67" s="1208"/>
      <c r="S67" s="1099"/>
      <c r="T67" s="1099"/>
      <c r="U67" s="1099"/>
      <c r="V67" s="1099"/>
      <c r="W67" s="1099"/>
      <c r="X67" s="1208"/>
      <c r="Y67" s="1208"/>
      <c r="Z67" s="1099"/>
      <c r="AA67" s="1099"/>
      <c r="AB67" s="1099"/>
      <c r="AC67" s="1099"/>
      <c r="AD67" s="1099"/>
      <c r="AE67" s="1208"/>
      <c r="AF67" s="1208"/>
      <c r="AG67" s="1099"/>
      <c r="AH67" s="1099"/>
      <c r="AI67" s="1330"/>
      <c r="AJ67" s="62">
        <f>SUM(E67:AI67)</f>
        <v>0</v>
      </c>
      <c r="AK67" s="62"/>
      <c r="AL67" s="63">
        <f>+AJ67*AN63</f>
        <v>0</v>
      </c>
      <c r="AM67" s="1068">
        <f t="shared" si="1"/>
        <v>0</v>
      </c>
      <c r="AN67" s="64" t="e">
        <f>+AJ67/AJ65*100</f>
        <v>#DIV/0!</v>
      </c>
      <c r="AO67" s="635" t="e">
        <f>AO65/AO63</f>
        <v>#DIV/0!</v>
      </c>
      <c r="AP67" s="39" t="s">
        <v>102</v>
      </c>
      <c r="AQ67" s="56">
        <f>SUM(E67:I67)</f>
        <v>0</v>
      </c>
      <c r="AR67" s="70">
        <f>SUM(J67:P67)</f>
        <v>0</v>
      </c>
      <c r="AS67" s="70">
        <f>SUM(Q67:W67)</f>
        <v>0</v>
      </c>
      <c r="AT67" s="70">
        <f>SUM(X67:AD67)</f>
        <v>0</v>
      </c>
      <c r="AU67" s="70">
        <f>SUM(AE67:AI67)</f>
        <v>0</v>
      </c>
      <c r="AV67" s="57">
        <f t="shared" si="90"/>
        <v>0</v>
      </c>
    </row>
    <row r="68" spans="1:48" ht="25.15" hidden="1" customHeight="1">
      <c r="A68" s="58" t="s">
        <v>180</v>
      </c>
      <c r="B68" s="65"/>
      <c r="C68" s="66"/>
      <c r="D68" s="67" t="s">
        <v>103</v>
      </c>
      <c r="E68" s="1331"/>
      <c r="F68" s="1101"/>
      <c r="G68" s="1209"/>
      <c r="H68" s="1101"/>
      <c r="I68" s="1101"/>
      <c r="J68" s="1209"/>
      <c r="K68" s="1209"/>
      <c r="L68" s="1101"/>
      <c r="M68" s="1101"/>
      <c r="N68" s="1101"/>
      <c r="O68" s="1101"/>
      <c r="P68" s="1101"/>
      <c r="Q68" s="1209"/>
      <c r="R68" s="1209"/>
      <c r="S68" s="1101"/>
      <c r="T68" s="1101"/>
      <c r="U68" s="1101"/>
      <c r="V68" s="1101"/>
      <c r="W68" s="1101"/>
      <c r="X68" s="1209"/>
      <c r="Y68" s="1209"/>
      <c r="Z68" s="1101"/>
      <c r="AA68" s="1101"/>
      <c r="AB68" s="1101"/>
      <c r="AC68" s="1101"/>
      <c r="AD68" s="1101"/>
      <c r="AE68" s="1209"/>
      <c r="AF68" s="1209"/>
      <c r="AG68" s="1101"/>
      <c r="AH68" s="1101"/>
      <c r="AI68" s="1332"/>
      <c r="AJ68" s="68">
        <f>SUM(E68:AI68)</f>
        <v>0</v>
      </c>
      <c r="AK68" s="68"/>
      <c r="AL68" s="69">
        <f>+AJ68*AN63</f>
        <v>0</v>
      </c>
      <c r="AM68" s="1069">
        <f t="shared" si="1"/>
        <v>0</v>
      </c>
      <c r="AN68" s="31"/>
      <c r="AO68" s="622"/>
      <c r="AP68" s="39" t="s">
        <v>19</v>
      </c>
      <c r="AQ68" s="56">
        <f>AQ67*AN63</f>
        <v>0</v>
      </c>
      <c r="AR68" s="56">
        <f>AR67*AN63</f>
        <v>0</v>
      </c>
      <c r="AS68" s="56">
        <f>AS67*AN63</f>
        <v>0</v>
      </c>
      <c r="AT68" s="56">
        <f>AT67*AN63</f>
        <v>0</v>
      </c>
      <c r="AU68" s="56">
        <f>AU67*AN63</f>
        <v>0</v>
      </c>
      <c r="AV68" s="57">
        <f t="shared" si="90"/>
        <v>0</v>
      </c>
    </row>
    <row r="69" spans="1:48" ht="25.15" hidden="1" customHeight="1">
      <c r="A69" s="103"/>
      <c r="B69" s="65"/>
      <c r="C69" s="72" t="s">
        <v>104</v>
      </c>
      <c r="D69" s="73" t="s">
        <v>105</v>
      </c>
      <c r="E69" s="1378"/>
      <c r="F69" s="1103"/>
      <c r="G69" s="1210"/>
      <c r="H69" s="1103"/>
      <c r="I69" s="1103"/>
      <c r="J69" s="1210"/>
      <c r="K69" s="1210"/>
      <c r="L69" s="1103"/>
      <c r="M69" s="1103"/>
      <c r="N69" s="1103"/>
      <c r="O69" s="1103"/>
      <c r="P69" s="1103"/>
      <c r="Q69" s="1210"/>
      <c r="R69" s="1210"/>
      <c r="S69" s="1103"/>
      <c r="T69" s="1103"/>
      <c r="U69" s="1103"/>
      <c r="V69" s="1103"/>
      <c r="W69" s="1103"/>
      <c r="X69" s="1210"/>
      <c r="Y69" s="1210"/>
      <c r="Z69" s="1103"/>
      <c r="AA69" s="1103"/>
      <c r="AB69" s="1103"/>
      <c r="AC69" s="1103"/>
      <c r="AD69" s="1103"/>
      <c r="AE69" s="1210"/>
      <c r="AF69" s="1210"/>
      <c r="AG69" s="1103"/>
      <c r="AH69" s="1103"/>
      <c r="AI69" s="1352"/>
      <c r="AJ69" s="74">
        <f>SUM(E69:AI69)</f>
        <v>0</v>
      </c>
      <c r="AK69" s="74"/>
      <c r="AL69" s="75">
        <f>+AJ69*AN63</f>
        <v>0</v>
      </c>
      <c r="AM69" s="1070">
        <f t="shared" si="1"/>
        <v>0</v>
      </c>
      <c r="AN69" s="76"/>
      <c r="AO69" s="636"/>
      <c r="AP69" s="47" t="s">
        <v>106</v>
      </c>
      <c r="AQ69" s="48">
        <f>AQ65*AN63</f>
        <v>0</v>
      </c>
      <c r="AR69" s="48">
        <f>AR65*AN63</f>
        <v>0</v>
      </c>
      <c r="AS69" s="48">
        <f>AS65*AN63</f>
        <v>0</v>
      </c>
      <c r="AT69" s="48">
        <f>AT65*AN63</f>
        <v>0</v>
      </c>
      <c r="AU69" s="48">
        <f>AU65*AN63</f>
        <v>0</v>
      </c>
      <c r="AV69" s="50">
        <f t="shared" si="90"/>
        <v>0</v>
      </c>
    </row>
    <row r="70" spans="1:48" ht="25.15" hidden="1" customHeight="1">
      <c r="A70" s="103"/>
      <c r="B70" s="65"/>
      <c r="C70" s="77">
        <v>300000</v>
      </c>
      <c r="D70" s="78" t="s">
        <v>107</v>
      </c>
      <c r="E70" s="1327">
        <v>1</v>
      </c>
      <c r="F70" s="1097">
        <v>1</v>
      </c>
      <c r="G70" s="1205">
        <v>1</v>
      </c>
      <c r="H70" s="1097">
        <v>1</v>
      </c>
      <c r="I70" s="1097">
        <v>1</v>
      </c>
      <c r="J70" s="1205">
        <v>1</v>
      </c>
      <c r="K70" s="1205">
        <v>1</v>
      </c>
      <c r="L70" s="1097">
        <v>1</v>
      </c>
      <c r="M70" s="1097">
        <v>1</v>
      </c>
      <c r="N70" s="1097">
        <v>1</v>
      </c>
      <c r="O70" s="1097">
        <v>1</v>
      </c>
      <c r="P70" s="1097">
        <v>1</v>
      </c>
      <c r="Q70" s="1205">
        <v>1</v>
      </c>
      <c r="R70" s="1205">
        <v>1</v>
      </c>
      <c r="S70" s="1097">
        <v>1</v>
      </c>
      <c r="T70" s="1097">
        <v>1</v>
      </c>
      <c r="U70" s="1097">
        <v>1</v>
      </c>
      <c r="V70" s="1097">
        <v>1</v>
      </c>
      <c r="W70" s="1097">
        <v>1</v>
      </c>
      <c r="X70" s="1205">
        <v>1</v>
      </c>
      <c r="Y70" s="1205">
        <v>1</v>
      </c>
      <c r="Z70" s="1097">
        <v>1</v>
      </c>
      <c r="AA70" s="1097">
        <v>1</v>
      </c>
      <c r="AB70" s="1097">
        <v>1</v>
      </c>
      <c r="AC70" s="1097">
        <v>1</v>
      </c>
      <c r="AD70" s="1097">
        <v>1</v>
      </c>
      <c r="AE70" s="1205">
        <v>1</v>
      </c>
      <c r="AF70" s="1205">
        <v>1</v>
      </c>
      <c r="AG70" s="1097">
        <v>1</v>
      </c>
      <c r="AH70" s="1097">
        <v>1</v>
      </c>
      <c r="AI70" s="1328">
        <v>1</v>
      </c>
      <c r="AJ70" s="79"/>
      <c r="AK70" s="79"/>
      <c r="AL70" s="55"/>
      <c r="AM70" s="1067">
        <f t="shared" si="1"/>
        <v>0</v>
      </c>
      <c r="AN70" s="31"/>
      <c r="AO70" s="622"/>
      <c r="AP70" s="23"/>
      <c r="AQ70" s="23"/>
      <c r="AR70" s="23"/>
      <c r="AS70" s="23"/>
      <c r="AT70" s="23"/>
      <c r="AU70" s="23"/>
      <c r="AV70" s="23"/>
    </row>
    <row r="71" spans="1:48" ht="25.15" hidden="1" customHeight="1">
      <c r="A71" s="103"/>
      <c r="B71" s="65"/>
      <c r="C71" s="80" t="s">
        <v>108</v>
      </c>
      <c r="D71" s="81" t="s">
        <v>109</v>
      </c>
      <c r="E71" s="1374">
        <f>SUM(E65+E67+E68+E69)/E70</f>
        <v>0</v>
      </c>
      <c r="F71" s="1104">
        <f>SUM(F65+F67+F68+F69)/F70</f>
        <v>0</v>
      </c>
      <c r="G71" s="1211">
        <f>SUM(G65+G67+G68+G69)/G70</f>
        <v>0</v>
      </c>
      <c r="H71" s="1104">
        <f t="shared" ref="H71:AH71" si="92">SUM(H65+H67+H68+H69)/H70</f>
        <v>0</v>
      </c>
      <c r="I71" s="1104">
        <f t="shared" si="92"/>
        <v>0</v>
      </c>
      <c r="J71" s="1211">
        <f t="shared" si="92"/>
        <v>0</v>
      </c>
      <c r="K71" s="1211">
        <f t="shared" si="92"/>
        <v>0</v>
      </c>
      <c r="L71" s="1104">
        <f t="shared" si="92"/>
        <v>0</v>
      </c>
      <c r="M71" s="1104">
        <f t="shared" si="92"/>
        <v>0</v>
      </c>
      <c r="N71" s="1104">
        <f t="shared" si="92"/>
        <v>0</v>
      </c>
      <c r="O71" s="1104">
        <f t="shared" si="92"/>
        <v>0</v>
      </c>
      <c r="P71" s="1104">
        <f t="shared" si="92"/>
        <v>0</v>
      </c>
      <c r="Q71" s="1211">
        <f t="shared" si="92"/>
        <v>0</v>
      </c>
      <c r="R71" s="1211">
        <f t="shared" si="92"/>
        <v>0</v>
      </c>
      <c r="S71" s="1104">
        <f t="shared" si="92"/>
        <v>0</v>
      </c>
      <c r="T71" s="1104">
        <f t="shared" si="92"/>
        <v>0</v>
      </c>
      <c r="U71" s="1104">
        <f t="shared" si="92"/>
        <v>0</v>
      </c>
      <c r="V71" s="1104">
        <f t="shared" si="92"/>
        <v>0</v>
      </c>
      <c r="W71" s="1104">
        <f t="shared" si="92"/>
        <v>0</v>
      </c>
      <c r="X71" s="1211">
        <f t="shared" si="92"/>
        <v>0</v>
      </c>
      <c r="Y71" s="1211">
        <f t="shared" si="92"/>
        <v>0</v>
      </c>
      <c r="Z71" s="1104">
        <f t="shared" si="92"/>
        <v>0</v>
      </c>
      <c r="AA71" s="1104">
        <f t="shared" si="92"/>
        <v>0</v>
      </c>
      <c r="AB71" s="1104">
        <f t="shared" si="92"/>
        <v>0</v>
      </c>
      <c r="AC71" s="1104">
        <f t="shared" si="92"/>
        <v>0</v>
      </c>
      <c r="AD71" s="1104">
        <f t="shared" si="92"/>
        <v>0</v>
      </c>
      <c r="AE71" s="1211">
        <f t="shared" si="92"/>
        <v>0</v>
      </c>
      <c r="AF71" s="1211">
        <f t="shared" si="92"/>
        <v>0</v>
      </c>
      <c r="AG71" s="1104">
        <f t="shared" si="92"/>
        <v>0</v>
      </c>
      <c r="AH71" s="1104">
        <f t="shared" si="92"/>
        <v>0</v>
      </c>
      <c r="AI71" s="1335">
        <f>SUM(AI65+AI67+AI68)/AI70</f>
        <v>0</v>
      </c>
      <c r="AJ71" s="104">
        <f>SUM(E71:AI71)</f>
        <v>0</v>
      </c>
      <c r="AK71" s="104"/>
      <c r="AL71" s="83"/>
      <c r="AM71" s="1068">
        <f t="shared" ref="AM71:AM134" si="93">AL73</f>
        <v>0</v>
      </c>
      <c r="AN71" s="31"/>
      <c r="AO71" s="622"/>
      <c r="AP71" s="23"/>
      <c r="AQ71" s="23"/>
      <c r="AR71" s="23"/>
      <c r="AS71" s="23"/>
      <c r="AT71" s="23"/>
      <c r="AU71" s="23"/>
      <c r="AV71" s="23"/>
    </row>
    <row r="72" spans="1:48" ht="25.15" hidden="1" customHeight="1">
      <c r="A72" s="103"/>
      <c r="B72" s="59"/>
      <c r="C72" s="84">
        <f>+C70*0.8</f>
        <v>240000</v>
      </c>
      <c r="D72" s="85" t="s">
        <v>110</v>
      </c>
      <c r="E72" s="1105"/>
      <c r="F72" s="1106"/>
      <c r="G72" s="1211"/>
      <c r="H72" s="1104"/>
      <c r="I72" s="1104"/>
      <c r="J72" s="1211"/>
      <c r="K72" s="1211"/>
      <c r="L72" s="1104"/>
      <c r="M72" s="1104"/>
      <c r="N72" s="1104"/>
      <c r="O72" s="1107"/>
      <c r="P72" s="1104"/>
      <c r="Q72" s="1211"/>
      <c r="R72" s="1211"/>
      <c r="S72" s="1104"/>
      <c r="T72" s="1104"/>
      <c r="U72" s="1104"/>
      <c r="V72" s="1104"/>
      <c r="W72" s="1104"/>
      <c r="X72" s="1211"/>
      <c r="Y72" s="1211"/>
      <c r="Z72" s="1104"/>
      <c r="AA72" s="1104"/>
      <c r="AB72" s="1104"/>
      <c r="AC72" s="1104"/>
      <c r="AD72" s="1104"/>
      <c r="AE72" s="1211"/>
      <c r="AF72" s="1211"/>
      <c r="AG72" s="1104"/>
      <c r="AH72" s="1104"/>
      <c r="AI72" s="1353"/>
      <c r="AJ72" s="86"/>
      <c r="AK72" s="86"/>
      <c r="AL72" s="690"/>
      <c r="AM72" s="694">
        <f t="shared" si="93"/>
        <v>0</v>
      </c>
      <c r="AN72" s="31"/>
      <c r="AO72" s="622"/>
      <c r="AP72" s="23"/>
      <c r="AQ72" s="23"/>
      <c r="AR72" s="23"/>
      <c r="AS72" s="23"/>
      <c r="AT72" s="23"/>
      <c r="AU72" s="23"/>
      <c r="AV72" s="23"/>
    </row>
    <row r="73" spans="1:48" ht="25.15" hidden="1" customHeight="1">
      <c r="A73" s="103"/>
      <c r="B73" s="105"/>
      <c r="C73" s="77"/>
      <c r="D73" s="88" t="s">
        <v>111</v>
      </c>
      <c r="E73" s="1108">
        <f>IF(E72="O/H",E71,0+E71)</f>
        <v>0</v>
      </c>
      <c r="F73" s="1089">
        <f t="shared" ref="F73:AI73" si="94">IF(F72="O/H",F71,+E73+F71)</f>
        <v>0</v>
      </c>
      <c r="G73" s="44">
        <f t="shared" si="94"/>
        <v>0</v>
      </c>
      <c r="H73" s="1089">
        <f t="shared" si="94"/>
        <v>0</v>
      </c>
      <c r="I73" s="1089">
        <f t="shared" si="94"/>
        <v>0</v>
      </c>
      <c r="J73" s="44">
        <f t="shared" si="94"/>
        <v>0</v>
      </c>
      <c r="K73" s="44">
        <f t="shared" si="94"/>
        <v>0</v>
      </c>
      <c r="L73" s="1089">
        <f t="shared" si="94"/>
        <v>0</v>
      </c>
      <c r="M73" s="1089">
        <f t="shared" si="94"/>
        <v>0</v>
      </c>
      <c r="N73" s="1089">
        <f t="shared" si="94"/>
        <v>0</v>
      </c>
      <c r="O73" s="1089">
        <f t="shared" si="94"/>
        <v>0</v>
      </c>
      <c r="P73" s="1089">
        <f t="shared" si="94"/>
        <v>0</v>
      </c>
      <c r="Q73" s="44">
        <f t="shared" si="94"/>
        <v>0</v>
      </c>
      <c r="R73" s="44">
        <f t="shared" si="94"/>
        <v>0</v>
      </c>
      <c r="S73" s="1089">
        <f t="shared" si="94"/>
        <v>0</v>
      </c>
      <c r="T73" s="1089">
        <f t="shared" si="94"/>
        <v>0</v>
      </c>
      <c r="U73" s="1089">
        <f t="shared" si="94"/>
        <v>0</v>
      </c>
      <c r="V73" s="1089">
        <f t="shared" si="94"/>
        <v>0</v>
      </c>
      <c r="W73" s="1089">
        <f t="shared" si="94"/>
        <v>0</v>
      </c>
      <c r="X73" s="44">
        <f t="shared" si="94"/>
        <v>0</v>
      </c>
      <c r="Y73" s="44">
        <f t="shared" si="94"/>
        <v>0</v>
      </c>
      <c r="Z73" s="1089">
        <f t="shared" si="94"/>
        <v>0</v>
      </c>
      <c r="AA73" s="1089">
        <f t="shared" si="94"/>
        <v>0</v>
      </c>
      <c r="AB73" s="1089">
        <f t="shared" si="94"/>
        <v>0</v>
      </c>
      <c r="AC73" s="1089">
        <f t="shared" si="94"/>
        <v>0</v>
      </c>
      <c r="AD73" s="1089">
        <f t="shared" si="94"/>
        <v>0</v>
      </c>
      <c r="AE73" s="44">
        <f t="shared" si="94"/>
        <v>0</v>
      </c>
      <c r="AF73" s="44">
        <f t="shared" si="94"/>
        <v>0</v>
      </c>
      <c r="AG73" s="1089">
        <f t="shared" si="94"/>
        <v>0</v>
      </c>
      <c r="AH73" s="1089">
        <f t="shared" si="94"/>
        <v>0</v>
      </c>
      <c r="AI73" s="1326">
        <f t="shared" si="94"/>
        <v>0</v>
      </c>
      <c r="AJ73" s="79"/>
      <c r="AK73" s="86"/>
      <c r="AL73" s="689"/>
      <c r="AM73" s="694">
        <f t="shared" si="93"/>
        <v>0</v>
      </c>
      <c r="AN73" s="31"/>
      <c r="AO73" s="622"/>
      <c r="AP73" s="23"/>
      <c r="AQ73" s="23"/>
      <c r="AR73" s="23"/>
      <c r="AS73" s="23"/>
      <c r="AT73" s="23"/>
      <c r="AU73" s="23"/>
      <c r="AV73" s="23"/>
    </row>
    <row r="74" spans="1:48" s="23" customFormat="1" ht="20.65" hidden="1" customHeight="1">
      <c r="A74" s="274"/>
      <c r="B74" s="312"/>
      <c r="C74" s="308"/>
      <c r="D74" s="795" t="s">
        <v>112</v>
      </c>
      <c r="E74" s="1108" t="b">
        <f>IF(AND(ISNUMBER(E65)),386302+E71)</f>
        <v>0</v>
      </c>
      <c r="F74" s="1089" t="str">
        <f>IF(AND(ISNUMBER(F65)),E74+F71,"")</f>
        <v/>
      </c>
      <c r="G74" s="44" t="str">
        <f>IF(AND(ISNUMBER(G65)),F74+G71,"")</f>
        <v/>
      </c>
      <c r="H74" s="1089" t="str">
        <f t="shared" ref="H74" si="95">IF(AND(ISNUMBER(H65)),G74+H71,"")</f>
        <v/>
      </c>
      <c r="I74" s="1089" t="str">
        <f>IF(AND(ISNUMBER(I65)),H74+I71,"")</f>
        <v/>
      </c>
      <c r="J74" s="44" t="str">
        <f>IF(AND(ISNUMBER(J65)),I74+J71,"")</f>
        <v/>
      </c>
      <c r="K74" s="44" t="str">
        <f>IF(AND(ISNUMBER(K65)),J74+K71,"")</f>
        <v/>
      </c>
      <c r="L74" s="1089" t="str">
        <f t="shared" ref="L74" si="96">IF(AND(ISNUMBER(L65)),K74+L71,"")</f>
        <v/>
      </c>
      <c r="M74" s="1089" t="str">
        <f t="shared" ref="M74" si="97">IF(AND(ISNUMBER(M65)),L74+M71,"")</f>
        <v/>
      </c>
      <c r="N74" s="1089" t="str">
        <f t="shared" ref="N74" si="98">IF(AND(ISNUMBER(N65)),M74+N71,"")</f>
        <v/>
      </c>
      <c r="O74" s="1089" t="str">
        <f t="shared" ref="O74" si="99">IF(AND(ISNUMBER(O65)),N74+O71,"")</f>
        <v/>
      </c>
      <c r="P74" s="1089" t="str">
        <f t="shared" ref="P74" si="100">IF(AND(ISNUMBER(P65)),O74+P71,"")</f>
        <v/>
      </c>
      <c r="Q74" s="44" t="str">
        <f t="shared" ref="Q74" si="101">IF(AND(ISNUMBER(Q65)),P74+Q71,"")</f>
        <v/>
      </c>
      <c r="R74" s="44" t="str">
        <f t="shared" ref="R74" si="102">IF(AND(ISNUMBER(R65)),Q74+R71,"")</f>
        <v/>
      </c>
      <c r="S74" s="1089" t="str">
        <f t="shared" ref="S74" si="103">IF(AND(ISNUMBER(S65)),R74+S71,"")</f>
        <v/>
      </c>
      <c r="T74" s="1089" t="str">
        <f t="shared" ref="T74" si="104">IF(AND(ISNUMBER(T65)),S74+T71,"")</f>
        <v/>
      </c>
      <c r="U74" s="1089" t="str">
        <f t="shared" ref="U74" si="105">IF(AND(ISNUMBER(U65)),T74+U71,"")</f>
        <v/>
      </c>
      <c r="V74" s="1089" t="str">
        <f t="shared" ref="V74" si="106">IF(AND(ISNUMBER(V65)),U74+V71,"")</f>
        <v/>
      </c>
      <c r="W74" s="1089" t="str">
        <f t="shared" ref="W74" si="107">IF(AND(ISNUMBER(W65)),V74+W71,"")</f>
        <v/>
      </c>
      <c r="X74" s="44" t="str">
        <f t="shared" ref="X74" si="108">IF(AND(ISNUMBER(X65)),W74+X71,"")</f>
        <v/>
      </c>
      <c r="Y74" s="44" t="str">
        <f t="shared" ref="Y74" si="109">IF(AND(ISNUMBER(Y65)),X74+Y71,"")</f>
        <v/>
      </c>
      <c r="Z74" s="1089" t="str">
        <f t="shared" ref="Z74" si="110">IF(AND(ISNUMBER(Z65)),Y74+Z71,"")</f>
        <v/>
      </c>
      <c r="AA74" s="1089" t="str">
        <f t="shared" ref="AA74" si="111">IF(AND(ISNUMBER(AA65)),Z74+AA71,"")</f>
        <v/>
      </c>
      <c r="AB74" s="1089" t="str">
        <f t="shared" ref="AB74" si="112">IF(AND(ISNUMBER(AB65)),AA74+AB71,"")</f>
        <v/>
      </c>
      <c r="AC74" s="1089" t="str">
        <f t="shared" ref="AC74" si="113">IF(AND(ISNUMBER(AC65)),AB74+AC71,"")</f>
        <v/>
      </c>
      <c r="AD74" s="1089" t="str">
        <f t="shared" ref="AD74" si="114">IF(AND(ISNUMBER(AD65)),AC74+AD71,"")</f>
        <v/>
      </c>
      <c r="AE74" s="44" t="str">
        <f t="shared" ref="AE74" si="115">IF(AND(ISNUMBER(AE65)),AD74+AE71,"")</f>
        <v/>
      </c>
      <c r="AF74" s="44" t="str">
        <f t="shared" ref="AF74" si="116">IF(AND(ISNUMBER(AF65)),AE74+AF71,"")</f>
        <v/>
      </c>
      <c r="AG74" s="1089" t="str">
        <f t="shared" ref="AG74" si="117">IF(AND(ISNUMBER(AG65)),AF74+AG71,"")</f>
        <v/>
      </c>
      <c r="AH74" s="1089" t="str">
        <f t="shared" ref="AH74" si="118">IF(AND(ISNUMBER(AH65)),AG74+AH71,"")</f>
        <v/>
      </c>
      <c r="AI74" s="1089" t="str">
        <f t="shared" ref="AI74" si="119">IF(AND(ISNUMBER(AI65)),AH74+AI71,"")</f>
        <v/>
      </c>
      <c r="AJ74" s="793"/>
      <c r="AK74" s="793"/>
      <c r="AL74" s="909"/>
      <c r="AM74" s="890">
        <f t="shared" si="93"/>
        <v>0</v>
      </c>
      <c r="AN74" s="76"/>
      <c r="AO74" s="624"/>
      <c r="AP74" s="285"/>
      <c r="AQ74" s="285"/>
      <c r="AR74" s="285"/>
      <c r="AS74" s="285"/>
      <c r="AT74" s="286"/>
      <c r="AU74" s="285"/>
      <c r="AV74" s="287"/>
    </row>
    <row r="75" spans="1:48" ht="25.15" hidden="1" customHeight="1">
      <c r="A75" s="103"/>
      <c r="B75" s="89"/>
      <c r="C75" s="80"/>
      <c r="D75" s="90" t="s">
        <v>104</v>
      </c>
      <c r="E75" s="1108"/>
      <c r="F75" s="1089"/>
      <c r="G75" s="44"/>
      <c r="H75" s="1089"/>
      <c r="I75" s="1089"/>
      <c r="J75" s="44"/>
      <c r="K75" s="44"/>
      <c r="L75" s="1089"/>
      <c r="M75" s="1089"/>
      <c r="N75" s="1089"/>
      <c r="O75" s="1089"/>
      <c r="P75" s="1089"/>
      <c r="Q75" s="44"/>
      <c r="R75" s="44"/>
      <c r="S75" s="1089"/>
      <c r="T75" s="1089"/>
      <c r="U75" s="1089"/>
      <c r="V75" s="1089"/>
      <c r="W75" s="1089"/>
      <c r="X75" s="44"/>
      <c r="Y75" s="44"/>
      <c r="Z75" s="1089"/>
      <c r="AA75" s="1089"/>
      <c r="AB75" s="1089"/>
      <c r="AC75" s="1089"/>
      <c r="AD75" s="1089"/>
      <c r="AE75" s="44"/>
      <c r="AF75" s="44"/>
      <c r="AG75" s="1089"/>
      <c r="AH75" s="1089"/>
      <c r="AI75" s="1326"/>
      <c r="AJ75" s="79"/>
      <c r="AK75" s="79"/>
      <c r="AL75" s="63"/>
      <c r="AM75" s="1068">
        <f t="shared" si="93"/>
        <v>0</v>
      </c>
      <c r="AN75" s="64"/>
      <c r="AO75" s="624"/>
      <c r="AP75" s="23"/>
      <c r="AQ75" s="23"/>
      <c r="AR75" s="23"/>
      <c r="AS75" s="23"/>
      <c r="AT75" s="23"/>
      <c r="AU75" s="23"/>
      <c r="AV75" s="23"/>
    </row>
    <row r="76" spans="1:48" ht="25.15" hidden="1" customHeight="1" thickBot="1">
      <c r="A76" s="106"/>
      <c r="B76" s="93"/>
      <c r="C76" s="94"/>
      <c r="D76" s="95" t="s">
        <v>111</v>
      </c>
      <c r="E76" s="1109">
        <f>IF(E75="O/H",E71,0+E71)</f>
        <v>0</v>
      </c>
      <c r="F76" s="1110">
        <f t="shared" ref="F76:AA76" si="120">IF(F75="O/H",F71,+E76+F71)</f>
        <v>0</v>
      </c>
      <c r="G76" s="1212">
        <f t="shared" si="120"/>
        <v>0</v>
      </c>
      <c r="H76" s="1110">
        <f t="shared" si="120"/>
        <v>0</v>
      </c>
      <c r="I76" s="1110">
        <f t="shared" si="120"/>
        <v>0</v>
      </c>
      <c r="J76" s="1212">
        <f t="shared" si="120"/>
        <v>0</v>
      </c>
      <c r="K76" s="1212">
        <f t="shared" si="120"/>
        <v>0</v>
      </c>
      <c r="L76" s="1110">
        <f t="shared" si="120"/>
        <v>0</v>
      </c>
      <c r="M76" s="1110">
        <f t="shared" si="120"/>
        <v>0</v>
      </c>
      <c r="N76" s="1110">
        <f t="shared" si="120"/>
        <v>0</v>
      </c>
      <c r="O76" s="1110">
        <f t="shared" si="120"/>
        <v>0</v>
      </c>
      <c r="P76" s="1110">
        <f t="shared" si="120"/>
        <v>0</v>
      </c>
      <c r="Q76" s="1212">
        <f t="shared" si="120"/>
        <v>0</v>
      </c>
      <c r="R76" s="1212">
        <f t="shared" si="120"/>
        <v>0</v>
      </c>
      <c r="S76" s="1110">
        <f t="shared" si="120"/>
        <v>0</v>
      </c>
      <c r="T76" s="1110">
        <f t="shared" si="120"/>
        <v>0</v>
      </c>
      <c r="U76" s="1110">
        <f t="shared" si="120"/>
        <v>0</v>
      </c>
      <c r="V76" s="1110">
        <f t="shared" si="120"/>
        <v>0</v>
      </c>
      <c r="W76" s="1110">
        <f t="shared" si="120"/>
        <v>0</v>
      </c>
      <c r="X76" s="1212">
        <f t="shared" si="120"/>
        <v>0</v>
      </c>
      <c r="Y76" s="1212">
        <f t="shared" si="120"/>
        <v>0</v>
      </c>
      <c r="Z76" s="1110">
        <f t="shared" si="120"/>
        <v>0</v>
      </c>
      <c r="AA76" s="1110">
        <f t="shared" si="120"/>
        <v>0</v>
      </c>
      <c r="AB76" s="1110">
        <f t="shared" ref="AB76" si="121">IF(AB75="O/H",AB71,+AA76+AB71)</f>
        <v>0</v>
      </c>
      <c r="AC76" s="1110">
        <f t="shared" ref="AC76" si="122">IF(AC75="O/H",AC71,+AB76+AC71)</f>
        <v>0</v>
      </c>
      <c r="AD76" s="1110">
        <f t="shared" ref="AD76" si="123">IF(AD75="O/H",AD71,+AC76+AD71)</f>
        <v>0</v>
      </c>
      <c r="AE76" s="1212">
        <f t="shared" ref="AE76" si="124">IF(AE75="O/H",AE71,+AD76+AE71)</f>
        <v>0</v>
      </c>
      <c r="AF76" s="1212">
        <f t="shared" ref="AF76" si="125">IF(AF75="O/H",AF71,+AE76+AF71)</f>
        <v>0</v>
      </c>
      <c r="AG76" s="1110">
        <f t="shared" ref="AG76" si="126">IF(AG75="O/H",AG71,+AF76+AG71)</f>
        <v>0</v>
      </c>
      <c r="AH76" s="1110">
        <f t="shared" ref="AH76" si="127">IF(AH75="O/H",AH71,+AG76+AH71)</f>
        <v>0</v>
      </c>
      <c r="AI76" s="1340">
        <f t="shared" ref="AI76" si="128">IF(AI75="O/H",AI71,+AH76+AI71)</f>
        <v>0</v>
      </c>
      <c r="AJ76" s="96"/>
      <c r="AK76" s="96"/>
      <c r="AL76" s="97"/>
      <c r="AM76" s="1071">
        <f t="shared" si="93"/>
        <v>0</v>
      </c>
      <c r="AN76" s="98"/>
      <c r="AO76" s="625"/>
      <c r="AP76" s="23"/>
      <c r="AQ76" s="23"/>
      <c r="AR76" s="23"/>
      <c r="AS76" s="23"/>
      <c r="AT76" s="23"/>
      <c r="AU76" s="23"/>
      <c r="AV76" s="23"/>
    </row>
    <row r="77" spans="1:48" ht="25.15" hidden="1" customHeight="1" thickTop="1">
      <c r="A77" s="99"/>
      <c r="B77" s="26" t="s">
        <v>537</v>
      </c>
      <c r="C77" s="27"/>
      <c r="D77" s="28" t="s">
        <v>82</v>
      </c>
      <c r="E77" s="1111"/>
      <c r="F77" s="1111"/>
      <c r="G77" s="1201"/>
      <c r="H77" s="1111"/>
      <c r="I77" s="1111"/>
      <c r="J77" s="1201"/>
      <c r="K77" s="1201"/>
      <c r="L77" s="1111"/>
      <c r="M77" s="1111"/>
      <c r="N77" s="1111"/>
      <c r="O77" s="1111"/>
      <c r="P77" s="1111"/>
      <c r="Q77" s="1201"/>
      <c r="R77" s="1201"/>
      <c r="S77" s="1111"/>
      <c r="T77" s="1111"/>
      <c r="U77" s="1111"/>
      <c r="V77" s="1111"/>
      <c r="W77" s="1111"/>
      <c r="X77" s="1201"/>
      <c r="Y77" s="1201"/>
      <c r="Z77" s="1111"/>
      <c r="AA77" s="1111"/>
      <c r="AB77" s="1111"/>
      <c r="AC77" s="1111"/>
      <c r="AD77" s="1111"/>
      <c r="AE77" s="1201"/>
      <c r="AF77" s="1201"/>
      <c r="AG77" s="1111"/>
      <c r="AH77" s="1111"/>
      <c r="AI77" s="1412"/>
      <c r="AJ77" s="100"/>
      <c r="AK77" s="100">
        <f t="shared" ref="AK77:AK131" si="129">AJ79</f>
        <v>0</v>
      </c>
      <c r="AL77" s="101">
        <f>+AJ77*AN77</f>
        <v>0</v>
      </c>
      <c r="AM77" s="1072">
        <f t="shared" si="93"/>
        <v>0</v>
      </c>
      <c r="AN77" s="102"/>
      <c r="AO77" s="622">
        <f>Table5[[#This Row],[Total]]*B81/1000</f>
        <v>0</v>
      </c>
      <c r="AP77" s="32" t="s">
        <v>179</v>
      </c>
      <c r="AQ77" s="33" t="s">
        <v>84</v>
      </c>
      <c r="AR77" s="33" t="s">
        <v>85</v>
      </c>
      <c r="AS77" s="33" t="s">
        <v>86</v>
      </c>
      <c r="AT77" s="33" t="s">
        <v>87</v>
      </c>
      <c r="AU77" s="33" t="s">
        <v>88</v>
      </c>
      <c r="AV77" s="34" t="s">
        <v>68</v>
      </c>
    </row>
    <row r="78" spans="1:48" ht="25.15" hidden="1" customHeight="1">
      <c r="A78" s="103"/>
      <c r="B78" s="35"/>
      <c r="C78" s="36"/>
      <c r="D78" s="37" t="s">
        <v>90</v>
      </c>
      <c r="E78" s="1373">
        <f>IF(E77="",0,+ E77/E84)</f>
        <v>0</v>
      </c>
      <c r="F78" s="1096">
        <f t="shared" ref="F78:AI78" si="130">IF(F77="",0, E78+F77/F84)</f>
        <v>0</v>
      </c>
      <c r="G78" s="1207">
        <f t="shared" si="130"/>
        <v>0</v>
      </c>
      <c r="H78" s="1096">
        <f t="shared" si="130"/>
        <v>0</v>
      </c>
      <c r="I78" s="1096">
        <f t="shared" si="130"/>
        <v>0</v>
      </c>
      <c r="J78" s="1207">
        <f t="shared" si="130"/>
        <v>0</v>
      </c>
      <c r="K78" s="1207">
        <f t="shared" si="130"/>
        <v>0</v>
      </c>
      <c r="L78" s="1096">
        <f t="shared" si="130"/>
        <v>0</v>
      </c>
      <c r="M78" s="1096">
        <f t="shared" si="130"/>
        <v>0</v>
      </c>
      <c r="N78" s="1096">
        <f t="shared" si="130"/>
        <v>0</v>
      </c>
      <c r="O78" s="1096">
        <f t="shared" si="130"/>
        <v>0</v>
      </c>
      <c r="P78" s="1096">
        <f t="shared" si="130"/>
        <v>0</v>
      </c>
      <c r="Q78" s="1207">
        <f t="shared" si="130"/>
        <v>0</v>
      </c>
      <c r="R78" s="1207">
        <f t="shared" si="130"/>
        <v>0</v>
      </c>
      <c r="S78" s="1096">
        <f t="shared" si="130"/>
        <v>0</v>
      </c>
      <c r="T78" s="1096">
        <f t="shared" si="130"/>
        <v>0</v>
      </c>
      <c r="U78" s="1096">
        <f t="shared" si="130"/>
        <v>0</v>
      </c>
      <c r="V78" s="1096">
        <f t="shared" si="130"/>
        <v>0</v>
      </c>
      <c r="W78" s="1096">
        <f t="shared" si="130"/>
        <v>0</v>
      </c>
      <c r="X78" s="1207">
        <f t="shared" si="130"/>
        <v>0</v>
      </c>
      <c r="Y78" s="1207">
        <f t="shared" si="130"/>
        <v>0</v>
      </c>
      <c r="Z78" s="1096">
        <f t="shared" si="130"/>
        <v>0</v>
      </c>
      <c r="AA78" s="1096">
        <f t="shared" si="130"/>
        <v>0</v>
      </c>
      <c r="AB78" s="1096">
        <f t="shared" si="130"/>
        <v>0</v>
      </c>
      <c r="AC78" s="1096">
        <f t="shared" si="130"/>
        <v>0</v>
      </c>
      <c r="AD78" s="1096">
        <f t="shared" si="130"/>
        <v>0</v>
      </c>
      <c r="AE78" s="1207">
        <f t="shared" si="130"/>
        <v>0</v>
      </c>
      <c r="AF78" s="1207">
        <f t="shared" si="130"/>
        <v>0</v>
      </c>
      <c r="AG78" s="1096">
        <f t="shared" si="130"/>
        <v>0</v>
      </c>
      <c r="AH78" s="1096">
        <f t="shared" si="130"/>
        <v>0</v>
      </c>
      <c r="AI78" s="1324">
        <f t="shared" si="130"/>
        <v>0</v>
      </c>
      <c r="AJ78" s="38"/>
      <c r="AK78" s="29"/>
      <c r="AL78" s="30"/>
      <c r="AM78" s="694">
        <f t="shared" si="93"/>
        <v>0</v>
      </c>
      <c r="AN78" s="31"/>
      <c r="AO78" s="630"/>
      <c r="AP78" s="39" t="s">
        <v>91</v>
      </c>
      <c r="AQ78" s="40">
        <f>SUM(E77:I77)</f>
        <v>0</v>
      </c>
      <c r="AR78" s="41">
        <f>SUM(J77:P77)</f>
        <v>0</v>
      </c>
      <c r="AS78" s="41">
        <f>SUM(Q77:W77)</f>
        <v>0</v>
      </c>
      <c r="AT78" s="41">
        <f>SUM(X77:AD77)</f>
        <v>0</v>
      </c>
      <c r="AU78" s="41">
        <f>SUM(AE77:AI77)</f>
        <v>0</v>
      </c>
      <c r="AV78" s="34">
        <f t="shared" ref="AV78:AV83" si="131">SUM(AQ78:AU78)</f>
        <v>0</v>
      </c>
    </row>
    <row r="79" spans="1:48" ht="25.15" hidden="1" customHeight="1">
      <c r="A79" s="103"/>
      <c r="B79" s="26" t="s">
        <v>92</v>
      </c>
      <c r="C79" s="42"/>
      <c r="D79" s="43" t="s">
        <v>93</v>
      </c>
      <c r="E79" s="1325"/>
      <c r="F79" s="1089"/>
      <c r="G79" s="44"/>
      <c r="H79" s="1089"/>
      <c r="I79" s="1089"/>
      <c r="J79" s="44"/>
      <c r="K79" s="44"/>
      <c r="L79" s="1089"/>
      <c r="M79" s="1089"/>
      <c r="N79" s="1089"/>
      <c r="O79" s="1089"/>
      <c r="P79" s="1089"/>
      <c r="Q79" s="44"/>
      <c r="R79" s="44"/>
      <c r="S79" s="1089"/>
      <c r="T79" s="1089"/>
      <c r="U79" s="1089"/>
      <c r="V79" s="1089"/>
      <c r="W79" s="1089"/>
      <c r="X79" s="44"/>
      <c r="Y79" s="44"/>
      <c r="Z79" s="1089"/>
      <c r="AA79" s="1089"/>
      <c r="AB79" s="1089"/>
      <c r="AC79" s="1089"/>
      <c r="AD79" s="1089"/>
      <c r="AE79" s="44"/>
      <c r="AF79" s="44"/>
      <c r="AG79" s="1089"/>
      <c r="AH79" s="1089"/>
      <c r="AI79" s="1326"/>
      <c r="AJ79" s="45">
        <f>SUM(E79:AI79)</f>
        <v>0</v>
      </c>
      <c r="AK79" s="45"/>
      <c r="AL79" s="46">
        <f>+AJ79*AN77</f>
        <v>0</v>
      </c>
      <c r="AM79" s="1066">
        <f t="shared" si="93"/>
        <v>0</v>
      </c>
      <c r="AN79" s="31"/>
      <c r="AO79" s="632">
        <f>(AJ79+AJ81+AJ82+AJ83)*B81/1000</f>
        <v>0</v>
      </c>
      <c r="AP79" s="47" t="s">
        <v>94</v>
      </c>
      <c r="AQ79" s="48">
        <f>SUM(E79:I79)</f>
        <v>0</v>
      </c>
      <c r="AR79" s="49">
        <f>SUM(J79:P79)</f>
        <v>0</v>
      </c>
      <c r="AS79" s="49">
        <f>SUM(Q79:W79)</f>
        <v>0</v>
      </c>
      <c r="AT79" s="49">
        <f>SUM(X79:AD79)</f>
        <v>0</v>
      </c>
      <c r="AU79" s="49">
        <f>SUM(AE79:AI79)</f>
        <v>0</v>
      </c>
      <c r="AV79" s="50">
        <f t="shared" si="131"/>
        <v>0</v>
      </c>
    </row>
    <row r="80" spans="1:48" ht="25.15" hidden="1" customHeight="1">
      <c r="A80" s="103"/>
      <c r="B80" s="51"/>
      <c r="C80" s="52" t="s">
        <v>95</v>
      </c>
      <c r="D80" s="53" t="s">
        <v>96</v>
      </c>
      <c r="E80" s="1327">
        <f t="shared" ref="E80:AJ80" si="132">+E79-E77</f>
        <v>0</v>
      </c>
      <c r="F80" s="1097">
        <f t="shared" si="132"/>
        <v>0</v>
      </c>
      <c r="G80" s="1205">
        <f t="shared" si="132"/>
        <v>0</v>
      </c>
      <c r="H80" s="1097">
        <f t="shared" si="132"/>
        <v>0</v>
      </c>
      <c r="I80" s="1097">
        <f t="shared" si="132"/>
        <v>0</v>
      </c>
      <c r="J80" s="1205">
        <f t="shared" si="132"/>
        <v>0</v>
      </c>
      <c r="K80" s="1205">
        <f t="shared" si="132"/>
        <v>0</v>
      </c>
      <c r="L80" s="1097">
        <f t="shared" si="132"/>
        <v>0</v>
      </c>
      <c r="M80" s="1097">
        <f t="shared" si="132"/>
        <v>0</v>
      </c>
      <c r="N80" s="1097">
        <f t="shared" si="132"/>
        <v>0</v>
      </c>
      <c r="O80" s="1097">
        <f t="shared" si="132"/>
        <v>0</v>
      </c>
      <c r="P80" s="1097">
        <f t="shared" si="132"/>
        <v>0</v>
      </c>
      <c r="Q80" s="1205">
        <f t="shared" si="132"/>
        <v>0</v>
      </c>
      <c r="R80" s="1205">
        <f t="shared" si="132"/>
        <v>0</v>
      </c>
      <c r="S80" s="1097">
        <f t="shared" si="132"/>
        <v>0</v>
      </c>
      <c r="T80" s="1097">
        <f t="shared" si="132"/>
        <v>0</v>
      </c>
      <c r="U80" s="1097">
        <f t="shared" si="132"/>
        <v>0</v>
      </c>
      <c r="V80" s="1097">
        <f t="shared" si="132"/>
        <v>0</v>
      </c>
      <c r="W80" s="1097">
        <f t="shared" si="132"/>
        <v>0</v>
      </c>
      <c r="X80" s="1205">
        <f t="shared" si="132"/>
        <v>0</v>
      </c>
      <c r="Y80" s="1205">
        <f t="shared" si="132"/>
        <v>0</v>
      </c>
      <c r="Z80" s="1097">
        <f t="shared" si="132"/>
        <v>0</v>
      </c>
      <c r="AA80" s="1097">
        <f t="shared" si="132"/>
        <v>0</v>
      </c>
      <c r="AB80" s="1097">
        <f t="shared" si="132"/>
        <v>0</v>
      </c>
      <c r="AC80" s="1097">
        <f t="shared" si="132"/>
        <v>0</v>
      </c>
      <c r="AD80" s="1097">
        <f t="shared" si="132"/>
        <v>0</v>
      </c>
      <c r="AE80" s="1205">
        <f t="shared" si="132"/>
        <v>0</v>
      </c>
      <c r="AF80" s="1205">
        <f t="shared" si="132"/>
        <v>0</v>
      </c>
      <c r="AG80" s="1097">
        <f t="shared" si="132"/>
        <v>0</v>
      </c>
      <c r="AH80" s="1097">
        <f t="shared" si="132"/>
        <v>0</v>
      </c>
      <c r="AI80" s="1328">
        <f t="shared" si="132"/>
        <v>0</v>
      </c>
      <c r="AJ80" s="54">
        <f t="shared" si="132"/>
        <v>0</v>
      </c>
      <c r="AK80" s="54"/>
      <c r="AL80" s="55">
        <f>+AJ80*AN77</f>
        <v>0</v>
      </c>
      <c r="AM80" s="1067">
        <f t="shared" si="93"/>
        <v>0</v>
      </c>
      <c r="AN80" s="31" t="s">
        <v>97</v>
      </c>
      <c r="AO80" s="622"/>
      <c r="AP80" s="39" t="s">
        <v>98</v>
      </c>
      <c r="AQ80" s="56">
        <f>AQ79-AQ78</f>
        <v>0</v>
      </c>
      <c r="AR80" s="70">
        <f>AR79-AR78</f>
        <v>0</v>
      </c>
      <c r="AS80" s="70">
        <f>AS79-AS78</f>
        <v>0</v>
      </c>
      <c r="AT80" s="70">
        <f>AT79-AT78</f>
        <v>0</v>
      </c>
      <c r="AU80" s="70">
        <f>AU79-AU78</f>
        <v>0</v>
      </c>
      <c r="AV80" s="57">
        <f t="shared" si="131"/>
        <v>0</v>
      </c>
    </row>
    <row r="81" spans="1:48" ht="25.15" hidden="1" customHeight="1">
      <c r="A81" s="58"/>
      <c r="B81" s="59"/>
      <c r="C81" s="60" t="s">
        <v>100</v>
      </c>
      <c r="D81" s="61" t="s">
        <v>101</v>
      </c>
      <c r="E81" s="1329"/>
      <c r="F81" s="1099"/>
      <c r="G81" s="1208"/>
      <c r="H81" s="1099"/>
      <c r="I81" s="1099"/>
      <c r="J81" s="1208"/>
      <c r="K81" s="1208"/>
      <c r="L81" s="1099"/>
      <c r="M81" s="1099"/>
      <c r="N81" s="1099"/>
      <c r="O81" s="1099"/>
      <c r="P81" s="1099"/>
      <c r="Q81" s="1208"/>
      <c r="R81" s="1208"/>
      <c r="S81" s="1099"/>
      <c r="T81" s="1099"/>
      <c r="U81" s="1099"/>
      <c r="V81" s="1099"/>
      <c r="W81" s="1099"/>
      <c r="X81" s="1208"/>
      <c r="Y81" s="1208"/>
      <c r="Z81" s="1099"/>
      <c r="AA81" s="1099"/>
      <c r="AB81" s="1099"/>
      <c r="AC81" s="1099"/>
      <c r="AD81" s="1099"/>
      <c r="AE81" s="1208"/>
      <c r="AF81" s="1208"/>
      <c r="AG81" s="1099"/>
      <c r="AH81" s="1099"/>
      <c r="AI81" s="1330"/>
      <c r="AJ81" s="62">
        <f>SUM(E81:AI81)</f>
        <v>0</v>
      </c>
      <c r="AK81" s="62"/>
      <c r="AL81" s="63">
        <f>+AJ81*AN77</f>
        <v>0</v>
      </c>
      <c r="AM81" s="1068">
        <f t="shared" si="93"/>
        <v>0</v>
      </c>
      <c r="AN81" s="64" t="e">
        <f>+AJ81/AJ79*100</f>
        <v>#DIV/0!</v>
      </c>
      <c r="AO81" s="635" t="e">
        <f>AO79/AO77</f>
        <v>#DIV/0!</v>
      </c>
      <c r="AP81" s="39" t="s">
        <v>102</v>
      </c>
      <c r="AQ81" s="56">
        <f>SUM(E81:I81)</f>
        <v>0</v>
      </c>
      <c r="AR81" s="70">
        <f>SUM(J81:P81)</f>
        <v>0</v>
      </c>
      <c r="AS81" s="70">
        <f>SUM(Q81:W81)</f>
        <v>0</v>
      </c>
      <c r="AT81" s="70">
        <f>SUM(X81:AD81)</f>
        <v>0</v>
      </c>
      <c r="AU81" s="70">
        <f>SUM(AE81:AI81)</f>
        <v>0</v>
      </c>
      <c r="AV81" s="57">
        <f t="shared" si="131"/>
        <v>0</v>
      </c>
    </row>
    <row r="82" spans="1:48" ht="25.15" hidden="1" customHeight="1">
      <c r="A82" s="58" t="s">
        <v>180</v>
      </c>
      <c r="B82" s="65"/>
      <c r="C82" s="66"/>
      <c r="D82" s="67" t="s">
        <v>103</v>
      </c>
      <c r="E82" s="1331"/>
      <c r="F82" s="1101"/>
      <c r="G82" s="1209"/>
      <c r="H82" s="1101"/>
      <c r="I82" s="1101"/>
      <c r="J82" s="1209"/>
      <c r="K82" s="1209"/>
      <c r="L82" s="1101"/>
      <c r="M82" s="1101"/>
      <c r="N82" s="1101"/>
      <c r="O82" s="1101"/>
      <c r="P82" s="1101"/>
      <c r="Q82" s="1209"/>
      <c r="R82" s="1209"/>
      <c r="S82" s="1101"/>
      <c r="T82" s="1101"/>
      <c r="U82" s="1101"/>
      <c r="V82" s="1101"/>
      <c r="W82" s="1101"/>
      <c r="X82" s="1209"/>
      <c r="Y82" s="1209"/>
      <c r="Z82" s="1101"/>
      <c r="AA82" s="1101"/>
      <c r="AB82" s="1101"/>
      <c r="AC82" s="1101"/>
      <c r="AD82" s="1101"/>
      <c r="AE82" s="1209"/>
      <c r="AF82" s="1209"/>
      <c r="AG82" s="1101"/>
      <c r="AH82" s="1101"/>
      <c r="AI82" s="1332"/>
      <c r="AJ82" s="68">
        <f>SUM(E82:AI82)</f>
        <v>0</v>
      </c>
      <c r="AK82" s="68"/>
      <c r="AL82" s="69">
        <f>+AJ82*AN77</f>
        <v>0</v>
      </c>
      <c r="AM82" s="1069">
        <f t="shared" si="93"/>
        <v>0</v>
      </c>
      <c r="AN82" s="31"/>
      <c r="AO82" s="622"/>
      <c r="AP82" s="39" t="s">
        <v>19</v>
      </c>
      <c r="AQ82" s="56">
        <f>AQ81*AN77</f>
        <v>0</v>
      </c>
      <c r="AR82" s="56">
        <f>AR81*AN77</f>
        <v>0</v>
      </c>
      <c r="AS82" s="56">
        <f>AS81*AN77</f>
        <v>0</v>
      </c>
      <c r="AT82" s="56">
        <f>AT81*AN77</f>
        <v>0</v>
      </c>
      <c r="AU82" s="56">
        <f>AU81*AN77</f>
        <v>0</v>
      </c>
      <c r="AV82" s="57">
        <f t="shared" si="131"/>
        <v>0</v>
      </c>
    </row>
    <row r="83" spans="1:48" ht="25.15" hidden="1" customHeight="1">
      <c r="A83" s="103"/>
      <c r="B83" s="65"/>
      <c r="C83" s="72" t="s">
        <v>104</v>
      </c>
      <c r="D83" s="73" t="s">
        <v>105</v>
      </c>
      <c r="E83" s="1378"/>
      <c r="F83" s="1103"/>
      <c r="G83" s="1210"/>
      <c r="H83" s="1103"/>
      <c r="I83" s="1103"/>
      <c r="J83" s="1210"/>
      <c r="K83" s="1210"/>
      <c r="L83" s="1103"/>
      <c r="M83" s="1103"/>
      <c r="N83" s="1103"/>
      <c r="O83" s="1103"/>
      <c r="P83" s="1103"/>
      <c r="Q83" s="1210"/>
      <c r="R83" s="1210"/>
      <c r="S83" s="1103"/>
      <c r="T83" s="1103"/>
      <c r="U83" s="1103"/>
      <c r="V83" s="1103"/>
      <c r="W83" s="1103"/>
      <c r="X83" s="1210"/>
      <c r="Y83" s="1210"/>
      <c r="Z83" s="1103"/>
      <c r="AA83" s="1103"/>
      <c r="AB83" s="1103"/>
      <c r="AC83" s="1103"/>
      <c r="AD83" s="1103"/>
      <c r="AE83" s="1210"/>
      <c r="AF83" s="1210"/>
      <c r="AG83" s="1103"/>
      <c r="AH83" s="1103"/>
      <c r="AI83" s="1352"/>
      <c r="AJ83" s="74">
        <f>SUM(E83:AI83)</f>
        <v>0</v>
      </c>
      <c r="AK83" s="74"/>
      <c r="AL83" s="75">
        <f>+AJ83*AN77</f>
        <v>0</v>
      </c>
      <c r="AM83" s="1070">
        <f t="shared" si="93"/>
        <v>0</v>
      </c>
      <c r="AN83" s="76"/>
      <c r="AO83" s="636"/>
      <c r="AP83" s="47" t="s">
        <v>106</v>
      </c>
      <c r="AQ83" s="48">
        <f>AQ79*AN77</f>
        <v>0</v>
      </c>
      <c r="AR83" s="48">
        <f>AR79*AN77</f>
        <v>0</v>
      </c>
      <c r="AS83" s="48">
        <f>AS79*AN77</f>
        <v>0</v>
      </c>
      <c r="AT83" s="48">
        <f>AT79*AN77</f>
        <v>0</v>
      </c>
      <c r="AU83" s="48">
        <f>AU79*AN77</f>
        <v>0</v>
      </c>
      <c r="AV83" s="50">
        <f t="shared" si="131"/>
        <v>0</v>
      </c>
    </row>
    <row r="84" spans="1:48" ht="25.15" hidden="1" customHeight="1">
      <c r="A84" s="103"/>
      <c r="B84" s="65"/>
      <c r="C84" s="77">
        <v>300000</v>
      </c>
      <c r="D84" s="78" t="s">
        <v>107</v>
      </c>
      <c r="E84" s="1327">
        <v>1</v>
      </c>
      <c r="F84" s="1097">
        <v>1</v>
      </c>
      <c r="G84" s="1205">
        <v>1</v>
      </c>
      <c r="H84" s="1097">
        <v>1</v>
      </c>
      <c r="I84" s="1097">
        <v>1</v>
      </c>
      <c r="J84" s="1205">
        <v>1</v>
      </c>
      <c r="K84" s="1205">
        <v>1</v>
      </c>
      <c r="L84" s="1097">
        <v>1</v>
      </c>
      <c r="M84" s="1097">
        <v>1</v>
      </c>
      <c r="N84" s="1097">
        <v>1</v>
      </c>
      <c r="O84" s="1097">
        <v>1</v>
      </c>
      <c r="P84" s="1097">
        <v>1</v>
      </c>
      <c r="Q84" s="1205">
        <v>1</v>
      </c>
      <c r="R84" s="1205">
        <v>1</v>
      </c>
      <c r="S84" s="1097">
        <v>1</v>
      </c>
      <c r="T84" s="1097">
        <v>1</v>
      </c>
      <c r="U84" s="1097">
        <v>1</v>
      </c>
      <c r="V84" s="1097">
        <v>1</v>
      </c>
      <c r="W84" s="1097">
        <v>1</v>
      </c>
      <c r="X84" s="1205">
        <v>1</v>
      </c>
      <c r="Y84" s="1205">
        <v>1</v>
      </c>
      <c r="Z84" s="1097">
        <v>1</v>
      </c>
      <c r="AA84" s="1097">
        <v>1</v>
      </c>
      <c r="AB84" s="1097">
        <v>1</v>
      </c>
      <c r="AC84" s="1097">
        <v>1</v>
      </c>
      <c r="AD84" s="1097">
        <v>1</v>
      </c>
      <c r="AE84" s="1205">
        <v>1</v>
      </c>
      <c r="AF84" s="1205">
        <v>1</v>
      </c>
      <c r="AG84" s="1097">
        <v>1</v>
      </c>
      <c r="AH84" s="1097">
        <v>1</v>
      </c>
      <c r="AI84" s="1328">
        <v>1</v>
      </c>
      <c r="AJ84" s="79"/>
      <c r="AK84" s="79"/>
      <c r="AL84" s="55"/>
      <c r="AM84" s="1067">
        <f t="shared" si="93"/>
        <v>0</v>
      </c>
      <c r="AN84" s="31"/>
      <c r="AO84" s="622"/>
      <c r="AP84" s="23"/>
      <c r="AQ84" s="23"/>
      <c r="AR84" s="23"/>
      <c r="AS84" s="23"/>
      <c r="AT84" s="23"/>
      <c r="AU84" s="23"/>
      <c r="AV84" s="23"/>
    </row>
    <row r="85" spans="1:48" ht="25.15" hidden="1" customHeight="1">
      <c r="A85" s="103"/>
      <c r="B85" s="65"/>
      <c r="C85" s="80" t="s">
        <v>108</v>
      </c>
      <c r="D85" s="81" t="s">
        <v>109</v>
      </c>
      <c r="E85" s="1374">
        <f>SUM(E79+E81+E82+E83)/E84</f>
        <v>0</v>
      </c>
      <c r="F85" s="1104">
        <f>SUM(F79+F81+F82+F83)/F84</f>
        <v>0</v>
      </c>
      <c r="G85" s="1211">
        <f>SUM(G79+G81+G82+G83)/G84</f>
        <v>0</v>
      </c>
      <c r="H85" s="1104">
        <f t="shared" ref="H85:AH85" si="133">SUM(H79+H81+H82+H83)/H84</f>
        <v>0</v>
      </c>
      <c r="I85" s="1104">
        <f t="shared" si="133"/>
        <v>0</v>
      </c>
      <c r="J85" s="1211">
        <f t="shared" si="133"/>
        <v>0</v>
      </c>
      <c r="K85" s="1211">
        <f t="shared" si="133"/>
        <v>0</v>
      </c>
      <c r="L85" s="1104">
        <f t="shared" si="133"/>
        <v>0</v>
      </c>
      <c r="M85" s="1104">
        <f t="shared" si="133"/>
        <v>0</v>
      </c>
      <c r="N85" s="1104">
        <f t="shared" si="133"/>
        <v>0</v>
      </c>
      <c r="O85" s="1104">
        <f t="shared" si="133"/>
        <v>0</v>
      </c>
      <c r="P85" s="1104">
        <f t="shared" si="133"/>
        <v>0</v>
      </c>
      <c r="Q85" s="1211">
        <f t="shared" si="133"/>
        <v>0</v>
      </c>
      <c r="R85" s="1211">
        <f t="shared" si="133"/>
        <v>0</v>
      </c>
      <c r="S85" s="1104">
        <f t="shared" si="133"/>
        <v>0</v>
      </c>
      <c r="T85" s="1104">
        <f t="shared" si="133"/>
        <v>0</v>
      </c>
      <c r="U85" s="1104">
        <f t="shared" si="133"/>
        <v>0</v>
      </c>
      <c r="V85" s="1104">
        <f t="shared" si="133"/>
        <v>0</v>
      </c>
      <c r="W85" s="1104">
        <f t="shared" si="133"/>
        <v>0</v>
      </c>
      <c r="X85" s="1211">
        <f t="shared" si="133"/>
        <v>0</v>
      </c>
      <c r="Y85" s="1211">
        <f t="shared" si="133"/>
        <v>0</v>
      </c>
      <c r="Z85" s="1104">
        <f t="shared" si="133"/>
        <v>0</v>
      </c>
      <c r="AA85" s="1104">
        <f t="shared" si="133"/>
        <v>0</v>
      </c>
      <c r="AB85" s="1104">
        <f t="shared" si="133"/>
        <v>0</v>
      </c>
      <c r="AC85" s="1104">
        <f t="shared" si="133"/>
        <v>0</v>
      </c>
      <c r="AD85" s="1104">
        <f t="shared" si="133"/>
        <v>0</v>
      </c>
      <c r="AE85" s="1211">
        <f t="shared" si="133"/>
        <v>0</v>
      </c>
      <c r="AF85" s="1211">
        <f t="shared" si="133"/>
        <v>0</v>
      </c>
      <c r="AG85" s="1104">
        <f t="shared" si="133"/>
        <v>0</v>
      </c>
      <c r="AH85" s="1104">
        <f t="shared" si="133"/>
        <v>0</v>
      </c>
      <c r="AI85" s="1335">
        <f>SUM(AI79+AI81+AI82)/AI84</f>
        <v>0</v>
      </c>
      <c r="AJ85" s="104">
        <f>SUM(E85:AI85)</f>
        <v>0</v>
      </c>
      <c r="AK85" s="104"/>
      <c r="AL85" s="83"/>
      <c r="AM85" s="1068">
        <f t="shared" si="93"/>
        <v>0</v>
      </c>
      <c r="AN85" s="31"/>
      <c r="AO85" s="622"/>
      <c r="AP85" s="23"/>
      <c r="AQ85" s="23"/>
      <c r="AR85" s="23"/>
      <c r="AS85" s="23"/>
      <c r="AT85" s="23"/>
      <c r="AU85" s="23"/>
      <c r="AV85" s="23"/>
    </row>
    <row r="86" spans="1:48" ht="25.15" hidden="1" customHeight="1">
      <c r="A86" s="103"/>
      <c r="B86" s="59"/>
      <c r="C86" s="84">
        <f>+C84*0.8</f>
        <v>240000</v>
      </c>
      <c r="D86" s="85" t="s">
        <v>110</v>
      </c>
      <c r="E86" s="1105"/>
      <c r="F86" s="1106"/>
      <c r="G86" s="1211"/>
      <c r="H86" s="1104"/>
      <c r="I86" s="1104"/>
      <c r="J86" s="1211"/>
      <c r="K86" s="1211"/>
      <c r="L86" s="1104"/>
      <c r="M86" s="1104"/>
      <c r="N86" s="1104"/>
      <c r="O86" s="1107"/>
      <c r="P86" s="1104"/>
      <c r="Q86" s="1211"/>
      <c r="R86" s="1211"/>
      <c r="S86" s="1104"/>
      <c r="T86" s="1104"/>
      <c r="U86" s="1104"/>
      <c r="V86" s="1104"/>
      <c r="W86" s="1104"/>
      <c r="X86" s="1211"/>
      <c r="Y86" s="1211"/>
      <c r="Z86" s="1104"/>
      <c r="AA86" s="1104"/>
      <c r="AB86" s="1104"/>
      <c r="AC86" s="1104"/>
      <c r="AD86" s="1104"/>
      <c r="AE86" s="1211"/>
      <c r="AF86" s="1211"/>
      <c r="AG86" s="1104"/>
      <c r="AH86" s="1104"/>
      <c r="AI86" s="1353"/>
      <c r="AJ86" s="86"/>
      <c r="AK86" s="86"/>
      <c r="AL86" s="690"/>
      <c r="AM86" s="694">
        <f t="shared" si="93"/>
        <v>0</v>
      </c>
      <c r="AN86" s="31"/>
      <c r="AO86" s="622"/>
      <c r="AP86" s="23"/>
      <c r="AQ86" s="23"/>
      <c r="AR86" s="23"/>
      <c r="AS86" s="23"/>
      <c r="AT86" s="23"/>
      <c r="AU86" s="23"/>
      <c r="AV86" s="23"/>
    </row>
    <row r="87" spans="1:48" ht="25.15" hidden="1" customHeight="1">
      <c r="A87" s="103"/>
      <c r="B87" s="105"/>
      <c r="C87" s="77"/>
      <c r="D87" s="88" t="s">
        <v>111</v>
      </c>
      <c r="E87" s="1108">
        <f>IF(E86="O/H",E85,0+E85)</f>
        <v>0</v>
      </c>
      <c r="F87" s="1089">
        <f t="shared" ref="F87:AI87" si="134">IF(F86="O/H",F85,+E87+F85)</f>
        <v>0</v>
      </c>
      <c r="G87" s="44">
        <f t="shared" si="134"/>
        <v>0</v>
      </c>
      <c r="H87" s="1089">
        <f t="shared" si="134"/>
        <v>0</v>
      </c>
      <c r="I87" s="1089">
        <f t="shared" si="134"/>
        <v>0</v>
      </c>
      <c r="J87" s="44">
        <f t="shared" si="134"/>
        <v>0</v>
      </c>
      <c r="K87" s="44">
        <f t="shared" si="134"/>
        <v>0</v>
      </c>
      <c r="L87" s="1089">
        <f t="shared" si="134"/>
        <v>0</v>
      </c>
      <c r="M87" s="1089">
        <f t="shared" si="134"/>
        <v>0</v>
      </c>
      <c r="N87" s="1089">
        <f t="shared" si="134"/>
        <v>0</v>
      </c>
      <c r="O87" s="1089">
        <f t="shared" si="134"/>
        <v>0</v>
      </c>
      <c r="P87" s="1089">
        <f t="shared" si="134"/>
        <v>0</v>
      </c>
      <c r="Q87" s="44">
        <f t="shared" si="134"/>
        <v>0</v>
      </c>
      <c r="R87" s="44">
        <f t="shared" si="134"/>
        <v>0</v>
      </c>
      <c r="S87" s="1089">
        <f t="shared" si="134"/>
        <v>0</v>
      </c>
      <c r="T87" s="1089">
        <f t="shared" si="134"/>
        <v>0</v>
      </c>
      <c r="U87" s="1089">
        <f t="shared" si="134"/>
        <v>0</v>
      </c>
      <c r="V87" s="1089">
        <f t="shared" si="134"/>
        <v>0</v>
      </c>
      <c r="W87" s="1089">
        <f t="shared" si="134"/>
        <v>0</v>
      </c>
      <c r="X87" s="44">
        <f t="shared" si="134"/>
        <v>0</v>
      </c>
      <c r="Y87" s="44">
        <f t="shared" si="134"/>
        <v>0</v>
      </c>
      <c r="Z87" s="1089">
        <f t="shared" si="134"/>
        <v>0</v>
      </c>
      <c r="AA87" s="1089">
        <f t="shared" si="134"/>
        <v>0</v>
      </c>
      <c r="AB87" s="1089">
        <f t="shared" si="134"/>
        <v>0</v>
      </c>
      <c r="AC87" s="1089">
        <f t="shared" si="134"/>
        <v>0</v>
      </c>
      <c r="AD87" s="1089">
        <f t="shared" si="134"/>
        <v>0</v>
      </c>
      <c r="AE87" s="44">
        <f t="shared" si="134"/>
        <v>0</v>
      </c>
      <c r="AF87" s="44">
        <f t="shared" si="134"/>
        <v>0</v>
      </c>
      <c r="AG87" s="1089">
        <f t="shared" si="134"/>
        <v>0</v>
      </c>
      <c r="AH87" s="1089">
        <f t="shared" si="134"/>
        <v>0</v>
      </c>
      <c r="AI87" s="1326">
        <f t="shared" si="134"/>
        <v>0</v>
      </c>
      <c r="AJ87" s="79"/>
      <c r="AK87" s="86"/>
      <c r="AL87" s="689"/>
      <c r="AM87" s="694">
        <f t="shared" si="93"/>
        <v>0</v>
      </c>
      <c r="AN87" s="31"/>
      <c r="AO87" s="622"/>
      <c r="AP87" s="23"/>
      <c r="AQ87" s="23"/>
      <c r="AR87" s="23"/>
      <c r="AS87" s="23"/>
      <c r="AT87" s="23"/>
      <c r="AU87" s="23"/>
      <c r="AV87" s="23"/>
    </row>
    <row r="88" spans="1:48" ht="25.15" hidden="1" customHeight="1">
      <c r="A88" s="103"/>
      <c r="B88" s="89"/>
      <c r="C88" s="80"/>
      <c r="D88" s="90" t="s">
        <v>104</v>
      </c>
      <c r="E88" s="1108"/>
      <c r="F88" s="1089"/>
      <c r="G88" s="44"/>
      <c r="H88" s="1089"/>
      <c r="I88" s="1089"/>
      <c r="J88" s="44"/>
      <c r="K88" s="44"/>
      <c r="L88" s="1089"/>
      <c r="M88" s="1089"/>
      <c r="N88" s="1089"/>
      <c r="O88" s="1089"/>
      <c r="P88" s="1089"/>
      <c r="Q88" s="44"/>
      <c r="R88" s="44"/>
      <c r="S88" s="1089"/>
      <c r="T88" s="1089"/>
      <c r="U88" s="1089"/>
      <c r="V88" s="1089"/>
      <c r="W88" s="1089"/>
      <c r="X88" s="44"/>
      <c r="Y88" s="44"/>
      <c r="Z88" s="1089"/>
      <c r="AA88" s="1089"/>
      <c r="AB88" s="1089"/>
      <c r="AC88" s="1089"/>
      <c r="AD88" s="1089"/>
      <c r="AE88" s="44"/>
      <c r="AF88" s="44"/>
      <c r="AG88" s="1089"/>
      <c r="AH88" s="1089"/>
      <c r="AI88" s="1326"/>
      <c r="AJ88" s="79"/>
      <c r="AK88" s="79"/>
      <c r="AL88" s="63"/>
      <c r="AM88" s="1068">
        <f t="shared" si="93"/>
        <v>0</v>
      </c>
      <c r="AN88" s="64"/>
      <c r="AO88" s="624"/>
      <c r="AP88" s="23"/>
      <c r="AQ88" s="23"/>
      <c r="AR88" s="23"/>
      <c r="AS88" s="23"/>
      <c r="AT88" s="23"/>
      <c r="AU88" s="23"/>
      <c r="AV88" s="23"/>
    </row>
    <row r="89" spans="1:48" ht="25.15" hidden="1" customHeight="1" thickBot="1">
      <c r="A89" s="106"/>
      <c r="B89" s="93"/>
      <c r="C89" s="94"/>
      <c r="D89" s="95" t="s">
        <v>111</v>
      </c>
      <c r="E89" s="1109">
        <f>IF(E88="O/H",E85,0+E85)</f>
        <v>0</v>
      </c>
      <c r="F89" s="1110">
        <f t="shared" ref="F89:AI89" si="135">IF(F88="O/H",F85,+E89+F85)</f>
        <v>0</v>
      </c>
      <c r="G89" s="1212">
        <f t="shared" si="135"/>
        <v>0</v>
      </c>
      <c r="H89" s="1110">
        <f t="shared" si="135"/>
        <v>0</v>
      </c>
      <c r="I89" s="1110">
        <f t="shared" si="135"/>
        <v>0</v>
      </c>
      <c r="J89" s="1212">
        <f t="shared" si="135"/>
        <v>0</v>
      </c>
      <c r="K89" s="1212">
        <f t="shared" si="135"/>
        <v>0</v>
      </c>
      <c r="L89" s="1110">
        <f t="shared" si="135"/>
        <v>0</v>
      </c>
      <c r="M89" s="1110">
        <f t="shared" si="135"/>
        <v>0</v>
      </c>
      <c r="N89" s="1110">
        <f t="shared" si="135"/>
        <v>0</v>
      </c>
      <c r="O89" s="1110">
        <f t="shared" si="135"/>
        <v>0</v>
      </c>
      <c r="P89" s="1110">
        <f t="shared" si="135"/>
        <v>0</v>
      </c>
      <c r="Q89" s="1212">
        <f t="shared" si="135"/>
        <v>0</v>
      </c>
      <c r="R89" s="1212">
        <f t="shared" si="135"/>
        <v>0</v>
      </c>
      <c r="S89" s="1110">
        <f t="shared" si="135"/>
        <v>0</v>
      </c>
      <c r="T89" s="1110">
        <f t="shared" si="135"/>
        <v>0</v>
      </c>
      <c r="U89" s="1110">
        <f t="shared" si="135"/>
        <v>0</v>
      </c>
      <c r="V89" s="1110">
        <f t="shared" si="135"/>
        <v>0</v>
      </c>
      <c r="W89" s="1110">
        <f t="shared" si="135"/>
        <v>0</v>
      </c>
      <c r="X89" s="1212">
        <f t="shared" si="135"/>
        <v>0</v>
      </c>
      <c r="Y89" s="1212">
        <f t="shared" si="135"/>
        <v>0</v>
      </c>
      <c r="Z89" s="1110">
        <f t="shared" si="135"/>
        <v>0</v>
      </c>
      <c r="AA89" s="1110">
        <f t="shared" si="135"/>
        <v>0</v>
      </c>
      <c r="AB89" s="1110">
        <f t="shared" si="135"/>
        <v>0</v>
      </c>
      <c r="AC89" s="1110">
        <f t="shared" si="135"/>
        <v>0</v>
      </c>
      <c r="AD89" s="1110">
        <f t="shared" si="135"/>
        <v>0</v>
      </c>
      <c r="AE89" s="1212">
        <f t="shared" si="135"/>
        <v>0</v>
      </c>
      <c r="AF89" s="1212">
        <f t="shared" si="135"/>
        <v>0</v>
      </c>
      <c r="AG89" s="1110">
        <f t="shared" si="135"/>
        <v>0</v>
      </c>
      <c r="AH89" s="1110">
        <f t="shared" si="135"/>
        <v>0</v>
      </c>
      <c r="AI89" s="1340">
        <f t="shared" si="135"/>
        <v>0</v>
      </c>
      <c r="AJ89" s="96"/>
      <c r="AK89" s="96"/>
      <c r="AL89" s="97"/>
      <c r="AM89" s="1071">
        <f t="shared" si="93"/>
        <v>0</v>
      </c>
      <c r="AN89" s="98"/>
      <c r="AO89" s="625"/>
      <c r="AP89" s="23"/>
      <c r="AQ89" s="23"/>
      <c r="AR89" s="23"/>
      <c r="AS89" s="23"/>
      <c r="AT89" s="23"/>
      <c r="AU89" s="23"/>
      <c r="AV89" s="23"/>
    </row>
    <row r="90" spans="1:48" ht="30.75" hidden="1" customHeight="1" thickTop="1">
      <c r="A90" s="907"/>
      <c r="B90" s="26" t="s">
        <v>118</v>
      </c>
      <c r="C90" s="27"/>
      <c r="D90" s="28" t="s">
        <v>82</v>
      </c>
      <c r="E90" s="1111"/>
      <c r="F90" s="1111"/>
      <c r="G90" s="1201"/>
      <c r="H90" s="1111"/>
      <c r="I90" s="1111"/>
      <c r="J90" s="1201"/>
      <c r="K90" s="1201"/>
      <c r="L90" s="1111"/>
      <c r="M90" s="1111"/>
      <c r="N90" s="1111"/>
      <c r="O90" s="1111"/>
      <c r="P90" s="1111"/>
      <c r="Q90" s="1201"/>
      <c r="R90" s="1201"/>
      <c r="S90" s="1111"/>
      <c r="T90" s="1111"/>
      <c r="U90" s="1111"/>
      <c r="V90" s="1111"/>
      <c r="W90" s="1111"/>
      <c r="X90" s="1201"/>
      <c r="Y90" s="1201"/>
      <c r="Z90" s="1111"/>
      <c r="AA90" s="1111"/>
      <c r="AB90" s="1111"/>
      <c r="AC90" s="1111"/>
      <c r="AD90" s="1111"/>
      <c r="AE90" s="1201"/>
      <c r="AF90" s="1201"/>
      <c r="AG90" s="1111"/>
      <c r="AH90" s="1111"/>
      <c r="AI90" s="1412"/>
      <c r="AJ90" s="100">
        <f>SUM(Table75[[#This Row],[June''2026]:[Column27]])</f>
        <v>0</v>
      </c>
      <c r="AK90" s="100">
        <f t="shared" si="129"/>
        <v>0</v>
      </c>
      <c r="AL90" s="101">
        <f>+AJ90*AN90</f>
        <v>0</v>
      </c>
      <c r="AM90" s="1072">
        <f t="shared" si="93"/>
        <v>0</v>
      </c>
      <c r="AN90" s="102"/>
      <c r="AO90" s="622">
        <f>Table5[[#This Row],[Total]]*B94/1000</f>
        <v>0</v>
      </c>
      <c r="AP90" s="32" t="s">
        <v>83</v>
      </c>
      <c r="AQ90" s="33" t="s">
        <v>84</v>
      </c>
      <c r="AR90" s="33" t="s">
        <v>85</v>
      </c>
      <c r="AS90" s="33" t="s">
        <v>86</v>
      </c>
      <c r="AT90" s="33" t="s">
        <v>87</v>
      </c>
      <c r="AU90" s="33" t="s">
        <v>88</v>
      </c>
      <c r="AV90" s="34" t="s">
        <v>68</v>
      </c>
    </row>
    <row r="91" spans="1:48" ht="25.15" hidden="1" customHeight="1">
      <c r="A91" s="103"/>
      <c r="B91" s="35" t="s">
        <v>119</v>
      </c>
      <c r="C91" s="36"/>
      <c r="D91" s="37" t="s">
        <v>90</v>
      </c>
      <c r="E91" s="1373">
        <f>IF(E90="",0,+ E90/E97)</f>
        <v>0</v>
      </c>
      <c r="F91" s="1096">
        <f t="shared" ref="F91" si="136">IF(F90="",0, E91+F90/F97)</f>
        <v>0</v>
      </c>
      <c r="G91" s="1207">
        <f t="shared" ref="G91" si="137">IF(G90="",0, F91+G90/G97)</f>
        <v>0</v>
      </c>
      <c r="H91" s="1096">
        <f t="shared" ref="H91" si="138">IF(H90="",0, G91+H90/H97)</f>
        <v>0</v>
      </c>
      <c r="I91" s="1096">
        <f t="shared" ref="I91" si="139">IF(I90="",0, H91+I90/I97)</f>
        <v>0</v>
      </c>
      <c r="J91" s="1207">
        <f t="shared" ref="J91" si="140">IF(J90="",0, I91+J90/J97)</f>
        <v>0</v>
      </c>
      <c r="K91" s="1207">
        <f t="shared" ref="K91" si="141">IF(K90="",0, J91+K90/K97)</f>
        <v>0</v>
      </c>
      <c r="L91" s="1096">
        <f t="shared" ref="L91" si="142">IF(L90="",0, K91+L90/L97)</f>
        <v>0</v>
      </c>
      <c r="M91" s="1096">
        <f t="shared" ref="M91" si="143">IF(M90="",0, L91+M90/M97)</f>
        <v>0</v>
      </c>
      <c r="N91" s="1096">
        <f t="shared" ref="N91" si="144">IF(N90="",0, M91+N90/N97)</f>
        <v>0</v>
      </c>
      <c r="O91" s="1096">
        <f t="shared" ref="O91" si="145">IF(O90="",0, N91+O90/O97)</f>
        <v>0</v>
      </c>
      <c r="P91" s="1096">
        <f t="shared" ref="P91" si="146">IF(P90="",0, O91+P90/P97)</f>
        <v>0</v>
      </c>
      <c r="Q91" s="1207">
        <f t="shared" ref="Q91" si="147">IF(Q90="",0, P91+Q90/Q97)</f>
        <v>0</v>
      </c>
      <c r="R91" s="1207">
        <f t="shared" ref="R91" si="148">IF(R90="",0, Q91+R90/R97)</f>
        <v>0</v>
      </c>
      <c r="S91" s="1096">
        <f t="shared" ref="S91" si="149">IF(S90="",0, R91+S90/S97)</f>
        <v>0</v>
      </c>
      <c r="T91" s="1096">
        <f t="shared" ref="T91" si="150">IF(T90="",0, S91+T90/T97)</f>
        <v>0</v>
      </c>
      <c r="U91" s="1096">
        <f t="shared" ref="U91" si="151">IF(U90="",0, T91+U90/U97)</f>
        <v>0</v>
      </c>
      <c r="V91" s="1096">
        <f t="shared" ref="V91" si="152">IF(V90="",0, U91+V90/V97)</f>
        <v>0</v>
      </c>
      <c r="W91" s="1096">
        <f t="shared" ref="W91" si="153">IF(W90="",0, V91+W90/W97)</f>
        <v>0</v>
      </c>
      <c r="X91" s="1207">
        <f t="shared" ref="X91" si="154">IF(X90="",0, W91+X90/X97)</f>
        <v>0</v>
      </c>
      <c r="Y91" s="1207">
        <f t="shared" ref="Y91" si="155">IF(Y90="",0, X91+Y90/Y97)</f>
        <v>0</v>
      </c>
      <c r="Z91" s="1096">
        <f t="shared" ref="Z91" si="156">IF(Z90="",0, Y91+Z90/Z97)</f>
        <v>0</v>
      </c>
      <c r="AA91" s="1096">
        <f t="shared" ref="AA91" si="157">IF(AA90="",0, Z91+AA90/AA97)</f>
        <v>0</v>
      </c>
      <c r="AB91" s="1096">
        <f t="shared" ref="AB91" si="158">IF(AB90="",0, AA91+AB90/AB97)</f>
        <v>0</v>
      </c>
      <c r="AC91" s="1096">
        <f t="shared" ref="AC91" si="159">IF(AC90="",0, AB91+AC90/AC97)</f>
        <v>0</v>
      </c>
      <c r="AD91" s="1096">
        <f t="shared" ref="AD91" si="160">IF(AD90="",0, AC91+AD90/AD97)</f>
        <v>0</v>
      </c>
      <c r="AE91" s="1207">
        <f t="shared" ref="AE91" si="161">IF(AE90="",0, AD91+AE90/AE97)</f>
        <v>0</v>
      </c>
      <c r="AF91" s="1207">
        <f t="shared" ref="AF91" si="162">IF(AF90="",0, AE91+AF90/AF97)</f>
        <v>0</v>
      </c>
      <c r="AG91" s="1096">
        <f t="shared" ref="AG91" si="163">IF(AG90="",0, AF91+AG90/AG97)</f>
        <v>0</v>
      </c>
      <c r="AH91" s="1096">
        <f t="shared" ref="AH91" si="164">IF(AH90="",0, AG91+AH90/AH97)</f>
        <v>0</v>
      </c>
      <c r="AI91" s="1324">
        <f t="shared" ref="AI91" si="165">IF(AI90="",0, AH91+AI90/AI97)</f>
        <v>0</v>
      </c>
      <c r="AJ91" s="38"/>
      <c r="AK91" s="29"/>
      <c r="AL91" s="30"/>
      <c r="AM91" s="694">
        <f t="shared" si="93"/>
        <v>0</v>
      </c>
      <c r="AN91" s="31"/>
      <c r="AO91" s="630"/>
      <c r="AP91" s="39" t="s">
        <v>91</v>
      </c>
      <c r="AQ91" s="40">
        <f>SUM(E90:I90)</f>
        <v>0</v>
      </c>
      <c r="AR91" s="41">
        <f>SUM(J90:P90)</f>
        <v>0</v>
      </c>
      <c r="AS91" s="41">
        <f>SUM(Q90:W90)</f>
        <v>0</v>
      </c>
      <c r="AT91" s="41">
        <f>SUM(X90:AD90)</f>
        <v>0</v>
      </c>
      <c r="AU91" s="41">
        <f>SUM(AE90:AI90)</f>
        <v>0</v>
      </c>
      <c r="AV91" s="34">
        <f t="shared" ref="AV91:AV96" si="166">SUM(AQ91:AU91)</f>
        <v>0</v>
      </c>
    </row>
    <row r="92" spans="1:48" ht="25.15" hidden="1" customHeight="1">
      <c r="A92" s="103"/>
      <c r="B92" s="26" t="s">
        <v>92</v>
      </c>
      <c r="C92" s="42"/>
      <c r="D92" s="43" t="s">
        <v>93</v>
      </c>
      <c r="E92" s="1325"/>
      <c r="F92" s="1089"/>
      <c r="G92" s="44"/>
      <c r="H92" s="1089"/>
      <c r="I92" s="1089"/>
      <c r="J92" s="44"/>
      <c r="K92" s="44"/>
      <c r="L92" s="1089"/>
      <c r="M92" s="1089"/>
      <c r="N92" s="1089"/>
      <c r="O92" s="1089"/>
      <c r="P92" s="1089"/>
      <c r="Q92" s="44"/>
      <c r="R92" s="44"/>
      <c r="S92" s="1089"/>
      <c r="T92" s="1089"/>
      <c r="U92" s="1089"/>
      <c r="V92" s="1089"/>
      <c r="W92" s="1089"/>
      <c r="X92" s="44"/>
      <c r="Y92" s="44"/>
      <c r="Z92" s="1089"/>
      <c r="AA92" s="1089"/>
      <c r="AB92" s="1089"/>
      <c r="AC92" s="1089"/>
      <c r="AD92" s="1089"/>
      <c r="AE92" s="44"/>
      <c r="AF92" s="44"/>
      <c r="AG92" s="1089"/>
      <c r="AH92" s="1089"/>
      <c r="AI92" s="1326"/>
      <c r="AJ92" s="45">
        <f>SUM(E92:AI92)</f>
        <v>0</v>
      </c>
      <c r="AK92" s="45"/>
      <c r="AL92" s="46">
        <f>+AJ92*AN90</f>
        <v>0</v>
      </c>
      <c r="AM92" s="1066">
        <f t="shared" si="93"/>
        <v>0</v>
      </c>
      <c r="AN92" s="31"/>
      <c r="AO92" s="632">
        <f>(AJ92+AJ94+AJ95+AJ96)*B94/1000</f>
        <v>0</v>
      </c>
      <c r="AP92" s="47" t="s">
        <v>94</v>
      </c>
      <c r="AQ92" s="48">
        <f>SUM(E92:I92)</f>
        <v>0</v>
      </c>
      <c r="AR92" s="49">
        <f>SUM(J92:P92)</f>
        <v>0</v>
      </c>
      <c r="AS92" s="49">
        <f>SUM(Q92:W92)</f>
        <v>0</v>
      </c>
      <c r="AT92" s="49">
        <f>SUM(X92:AD92)</f>
        <v>0</v>
      </c>
      <c r="AU92" s="49">
        <f>SUM(AE92:AI92)</f>
        <v>0</v>
      </c>
      <c r="AV92" s="50">
        <f t="shared" si="166"/>
        <v>0</v>
      </c>
    </row>
    <row r="93" spans="1:48" ht="25.15" hidden="1" customHeight="1">
      <c r="A93" s="103"/>
      <c r="B93" s="51"/>
      <c r="C93" s="52" t="s">
        <v>95</v>
      </c>
      <c r="D93" s="53" t="s">
        <v>96</v>
      </c>
      <c r="E93" s="1327">
        <f t="shared" ref="E93:AJ93" si="167">+E92-E90</f>
        <v>0</v>
      </c>
      <c r="F93" s="1097">
        <f t="shared" si="167"/>
        <v>0</v>
      </c>
      <c r="G93" s="1205">
        <f t="shared" si="167"/>
        <v>0</v>
      </c>
      <c r="H93" s="1097">
        <f t="shared" si="167"/>
        <v>0</v>
      </c>
      <c r="I93" s="1097">
        <f t="shared" si="167"/>
        <v>0</v>
      </c>
      <c r="J93" s="1205">
        <f t="shared" si="167"/>
        <v>0</v>
      </c>
      <c r="K93" s="1205">
        <f t="shared" si="167"/>
        <v>0</v>
      </c>
      <c r="L93" s="1097">
        <f t="shared" si="167"/>
        <v>0</v>
      </c>
      <c r="M93" s="1097">
        <f t="shared" si="167"/>
        <v>0</v>
      </c>
      <c r="N93" s="1097">
        <f t="shared" si="167"/>
        <v>0</v>
      </c>
      <c r="O93" s="1097">
        <f t="shared" si="167"/>
        <v>0</v>
      </c>
      <c r="P93" s="1097">
        <f t="shared" si="167"/>
        <v>0</v>
      </c>
      <c r="Q93" s="1205">
        <f t="shared" si="167"/>
        <v>0</v>
      </c>
      <c r="R93" s="1205">
        <f t="shared" si="167"/>
        <v>0</v>
      </c>
      <c r="S93" s="1097">
        <f t="shared" si="167"/>
        <v>0</v>
      </c>
      <c r="T93" s="1097">
        <f t="shared" si="167"/>
        <v>0</v>
      </c>
      <c r="U93" s="1097">
        <f t="shared" si="167"/>
        <v>0</v>
      </c>
      <c r="V93" s="1097">
        <f t="shared" si="167"/>
        <v>0</v>
      </c>
      <c r="W93" s="1097">
        <f t="shared" si="167"/>
        <v>0</v>
      </c>
      <c r="X93" s="1205">
        <f t="shared" si="167"/>
        <v>0</v>
      </c>
      <c r="Y93" s="1205">
        <f t="shared" si="167"/>
        <v>0</v>
      </c>
      <c r="Z93" s="1097">
        <f t="shared" si="167"/>
        <v>0</v>
      </c>
      <c r="AA93" s="1097">
        <f t="shared" si="167"/>
        <v>0</v>
      </c>
      <c r="AB93" s="1097">
        <f t="shared" si="167"/>
        <v>0</v>
      </c>
      <c r="AC93" s="1097">
        <f t="shared" si="167"/>
        <v>0</v>
      </c>
      <c r="AD93" s="1097">
        <f t="shared" si="167"/>
        <v>0</v>
      </c>
      <c r="AE93" s="1205">
        <f t="shared" si="167"/>
        <v>0</v>
      </c>
      <c r="AF93" s="1205">
        <f t="shared" ref="AF93" si="168">+AF92-AF90</f>
        <v>0</v>
      </c>
      <c r="AG93" s="1097">
        <f t="shared" si="167"/>
        <v>0</v>
      </c>
      <c r="AH93" s="1097">
        <f t="shared" si="167"/>
        <v>0</v>
      </c>
      <c r="AI93" s="1328">
        <f t="shared" si="167"/>
        <v>0</v>
      </c>
      <c r="AJ93" s="54">
        <f t="shared" si="167"/>
        <v>0</v>
      </c>
      <c r="AK93" s="54"/>
      <c r="AL93" s="55">
        <f>+AJ93*AN90</f>
        <v>0</v>
      </c>
      <c r="AM93" s="1067">
        <f t="shared" si="93"/>
        <v>0</v>
      </c>
      <c r="AN93" s="31" t="s">
        <v>97</v>
      </c>
      <c r="AO93" s="622"/>
      <c r="AP93" s="39" t="s">
        <v>98</v>
      </c>
      <c r="AQ93" s="56">
        <f>AQ92-AQ91</f>
        <v>0</v>
      </c>
      <c r="AR93" s="70">
        <f>AR92-AR91</f>
        <v>0</v>
      </c>
      <c r="AS93" s="70">
        <f>AS92-AS91</f>
        <v>0</v>
      </c>
      <c r="AT93" s="70">
        <f>AT92-AT91</f>
        <v>0</v>
      </c>
      <c r="AU93" s="70">
        <f>AU92-AU91</f>
        <v>0</v>
      </c>
      <c r="AV93" s="57">
        <f t="shared" si="166"/>
        <v>0</v>
      </c>
    </row>
    <row r="94" spans="1:48" ht="25.15" hidden="1" customHeight="1">
      <c r="A94" s="58"/>
      <c r="B94" s="59"/>
      <c r="C94" s="60" t="s">
        <v>100</v>
      </c>
      <c r="D94" s="61" t="s">
        <v>101</v>
      </c>
      <c r="E94" s="1098"/>
      <c r="F94" s="1099"/>
      <c r="G94" s="1208"/>
      <c r="H94" s="1099"/>
      <c r="I94" s="1099"/>
      <c r="J94" s="1208"/>
      <c r="K94" s="1208"/>
      <c r="L94" s="1099"/>
      <c r="M94" s="1099"/>
      <c r="N94" s="1099"/>
      <c r="O94" s="1099"/>
      <c r="P94" s="1099"/>
      <c r="Q94" s="1208"/>
      <c r="R94" s="1208"/>
      <c r="S94" s="1099"/>
      <c r="T94" s="1099"/>
      <c r="U94" s="1099"/>
      <c r="V94" s="1099"/>
      <c r="W94" s="1099"/>
      <c r="X94" s="1208"/>
      <c r="Y94" s="1208"/>
      <c r="Z94" s="1099"/>
      <c r="AA94" s="1099"/>
      <c r="AB94" s="1099"/>
      <c r="AC94" s="1099"/>
      <c r="AD94" s="1099"/>
      <c r="AE94" s="1208"/>
      <c r="AF94" s="1208"/>
      <c r="AG94" s="1099"/>
      <c r="AH94" s="1099"/>
      <c r="AI94" s="1330"/>
      <c r="AJ94" s="62">
        <f>SUM(E94:AI94)</f>
        <v>0</v>
      </c>
      <c r="AK94" s="62"/>
      <c r="AL94" s="63">
        <f>+AJ94*AN90</f>
        <v>0</v>
      </c>
      <c r="AM94" s="1068">
        <f t="shared" si="93"/>
        <v>0</v>
      </c>
      <c r="AN94" s="64" t="e">
        <f>+AJ94/AJ92*100</f>
        <v>#DIV/0!</v>
      </c>
      <c r="AO94" s="635" t="e">
        <f>AO92/AO90</f>
        <v>#DIV/0!</v>
      </c>
      <c r="AP94" s="39" t="s">
        <v>102</v>
      </c>
      <c r="AQ94" s="56">
        <f>SUM(E94:I94)</f>
        <v>0</v>
      </c>
      <c r="AR94" s="70">
        <f>SUM(J94:P94)</f>
        <v>0</v>
      </c>
      <c r="AS94" s="70">
        <f>SUM(Q94:W94)</f>
        <v>0</v>
      </c>
      <c r="AT94" s="70">
        <f>SUM(X94:AD94)</f>
        <v>0</v>
      </c>
      <c r="AU94" s="70">
        <f>SUM(AE94:AI94)</f>
        <v>0</v>
      </c>
      <c r="AV94" s="57">
        <f t="shared" si="166"/>
        <v>0</v>
      </c>
    </row>
    <row r="95" spans="1:48" ht="25.15" hidden="1" customHeight="1">
      <c r="A95" s="58" t="s">
        <v>99</v>
      </c>
      <c r="B95" s="65"/>
      <c r="C95" s="66"/>
      <c r="D95" s="67" t="s">
        <v>103</v>
      </c>
      <c r="E95" s="1100"/>
      <c r="F95" s="1101"/>
      <c r="G95" s="1209"/>
      <c r="H95" s="1101"/>
      <c r="I95" s="1101"/>
      <c r="J95" s="1209"/>
      <c r="K95" s="1209"/>
      <c r="L95" s="1101"/>
      <c r="M95" s="1101"/>
      <c r="N95" s="1101"/>
      <c r="O95" s="1101"/>
      <c r="P95" s="1101"/>
      <c r="Q95" s="1209"/>
      <c r="R95" s="1209"/>
      <c r="S95" s="1101"/>
      <c r="T95" s="1101"/>
      <c r="U95" s="1101"/>
      <c r="V95" s="1101"/>
      <c r="W95" s="1101"/>
      <c r="X95" s="1209"/>
      <c r="Y95" s="1209"/>
      <c r="Z95" s="1101"/>
      <c r="AA95" s="1101"/>
      <c r="AB95" s="1101"/>
      <c r="AC95" s="1101"/>
      <c r="AD95" s="1101"/>
      <c r="AE95" s="1209"/>
      <c r="AF95" s="1209"/>
      <c r="AG95" s="1101"/>
      <c r="AH95" s="1101"/>
      <c r="AI95" s="1332"/>
      <c r="AJ95" s="68">
        <f>SUM(E95:AI95)</f>
        <v>0</v>
      </c>
      <c r="AK95" s="68"/>
      <c r="AL95" s="69">
        <f>+AJ95*AN90</f>
        <v>0</v>
      </c>
      <c r="AM95" s="1069">
        <f t="shared" si="93"/>
        <v>0</v>
      </c>
      <c r="AN95" s="31"/>
      <c r="AO95" s="622"/>
      <c r="AP95" s="39" t="s">
        <v>19</v>
      </c>
      <c r="AQ95" s="56">
        <f>AQ94*AN90</f>
        <v>0</v>
      </c>
      <c r="AR95" s="56">
        <f>AR94*AN90</f>
        <v>0</v>
      </c>
      <c r="AS95" s="56">
        <f>AS94*AN90</f>
        <v>0</v>
      </c>
      <c r="AT95" s="56">
        <f>AT94*AN90</f>
        <v>0</v>
      </c>
      <c r="AU95" s="56">
        <f>AU94*AN90</f>
        <v>0</v>
      </c>
      <c r="AV95" s="57">
        <f t="shared" si="166"/>
        <v>0</v>
      </c>
    </row>
    <row r="96" spans="1:48" ht="25.15" hidden="1" customHeight="1">
      <c r="A96" s="103"/>
      <c r="B96" s="65"/>
      <c r="C96" s="72" t="s">
        <v>104</v>
      </c>
      <c r="D96" s="73" t="s">
        <v>105</v>
      </c>
      <c r="E96" s="1115"/>
      <c r="F96" s="1116"/>
      <c r="G96" s="1215"/>
      <c r="H96" s="1116"/>
      <c r="I96" s="1116"/>
      <c r="J96" s="1215"/>
      <c r="K96" s="1215"/>
      <c r="L96" s="1103"/>
      <c r="M96" s="1116"/>
      <c r="N96" s="1116"/>
      <c r="O96" s="1116"/>
      <c r="P96" s="1116"/>
      <c r="Q96" s="1210"/>
      <c r="R96" s="1210"/>
      <c r="S96" s="1103"/>
      <c r="T96" s="1103"/>
      <c r="U96" s="1103"/>
      <c r="V96" s="1103"/>
      <c r="W96" s="1103"/>
      <c r="X96" s="1210"/>
      <c r="Y96" s="1210"/>
      <c r="Z96" s="1103"/>
      <c r="AA96" s="1103"/>
      <c r="AB96" s="1103"/>
      <c r="AC96" s="1103"/>
      <c r="AD96" s="1103"/>
      <c r="AE96" s="1210"/>
      <c r="AF96" s="1210"/>
      <c r="AG96" s="1103"/>
      <c r="AH96" s="1103"/>
      <c r="AI96" s="1352"/>
      <c r="AJ96" s="74">
        <f>SUM(E96:AI96)</f>
        <v>0</v>
      </c>
      <c r="AK96" s="74"/>
      <c r="AL96" s="75">
        <f>+AJ96*AN90</f>
        <v>0</v>
      </c>
      <c r="AM96" s="1070">
        <f t="shared" si="93"/>
        <v>0</v>
      </c>
      <c r="AN96" s="76"/>
      <c r="AO96" s="636"/>
      <c r="AP96" s="47" t="s">
        <v>106</v>
      </c>
      <c r="AQ96" s="48">
        <f>AQ92*AN90</f>
        <v>0</v>
      </c>
      <c r="AR96" s="48">
        <f>AR92*AN90</f>
        <v>0</v>
      </c>
      <c r="AS96" s="48">
        <f>AS92*AN90</f>
        <v>0</v>
      </c>
      <c r="AT96" s="48">
        <f>AT92*AN90</f>
        <v>0</v>
      </c>
      <c r="AU96" s="48">
        <f>AU92*AN90</f>
        <v>0</v>
      </c>
      <c r="AV96" s="50">
        <f t="shared" si="166"/>
        <v>0</v>
      </c>
    </row>
    <row r="97" spans="1:48" ht="25.15" hidden="1" customHeight="1">
      <c r="A97" s="103"/>
      <c r="B97" s="65"/>
      <c r="C97" s="77">
        <v>300000</v>
      </c>
      <c r="D97" s="78" t="s">
        <v>107</v>
      </c>
      <c r="E97" s="1327">
        <v>1</v>
      </c>
      <c r="F97" s="1097">
        <v>1</v>
      </c>
      <c r="G97" s="1205">
        <v>1</v>
      </c>
      <c r="H97" s="1097">
        <v>1</v>
      </c>
      <c r="I97" s="1097">
        <v>1</v>
      </c>
      <c r="J97" s="1205">
        <v>1</v>
      </c>
      <c r="K97" s="1205">
        <v>1</v>
      </c>
      <c r="L97" s="1097">
        <v>1</v>
      </c>
      <c r="M97" s="1097">
        <v>1</v>
      </c>
      <c r="N97" s="1097">
        <v>1</v>
      </c>
      <c r="O97" s="1097">
        <v>1</v>
      </c>
      <c r="P97" s="1097">
        <v>1</v>
      </c>
      <c r="Q97" s="1205">
        <v>1</v>
      </c>
      <c r="R97" s="1205">
        <v>1</v>
      </c>
      <c r="S97" s="1097">
        <v>1</v>
      </c>
      <c r="T97" s="1097">
        <v>1</v>
      </c>
      <c r="U97" s="1097">
        <v>1</v>
      </c>
      <c r="V97" s="1097">
        <v>1</v>
      </c>
      <c r="W97" s="1097">
        <v>1</v>
      </c>
      <c r="X97" s="1205">
        <v>1</v>
      </c>
      <c r="Y97" s="1205">
        <v>1</v>
      </c>
      <c r="Z97" s="1097">
        <v>1</v>
      </c>
      <c r="AA97" s="1097">
        <v>1</v>
      </c>
      <c r="AB97" s="1097">
        <v>1</v>
      </c>
      <c r="AC97" s="1097">
        <v>1</v>
      </c>
      <c r="AD97" s="1097">
        <v>1</v>
      </c>
      <c r="AE97" s="1205">
        <v>1</v>
      </c>
      <c r="AF97" s="1205">
        <v>1</v>
      </c>
      <c r="AG97" s="1097">
        <v>1</v>
      </c>
      <c r="AH97" s="1097">
        <v>1</v>
      </c>
      <c r="AI97" s="1328">
        <v>1</v>
      </c>
      <c r="AJ97" s="79"/>
      <c r="AK97" s="79"/>
      <c r="AL97" s="55"/>
      <c r="AM97" s="1067">
        <f t="shared" si="93"/>
        <v>0</v>
      </c>
      <c r="AN97" s="31"/>
      <c r="AO97" s="622"/>
      <c r="AP97" s="23"/>
      <c r="AQ97" s="23"/>
      <c r="AR97" s="23"/>
      <c r="AS97" s="23"/>
      <c r="AT97" s="23"/>
      <c r="AU97" s="23"/>
      <c r="AV97" s="23"/>
    </row>
    <row r="98" spans="1:48" ht="25.15" hidden="1" customHeight="1">
      <c r="A98" s="103"/>
      <c r="B98" s="65"/>
      <c r="C98" s="80" t="s">
        <v>108</v>
      </c>
      <c r="D98" s="81" t="s">
        <v>109</v>
      </c>
      <c r="E98" s="1374">
        <f>SUM(E92+E94+E95+E96)/E97</f>
        <v>0</v>
      </c>
      <c r="F98" s="1104">
        <f>SUM(F92+F94+F95+F96)/F97</f>
        <v>0</v>
      </c>
      <c r="G98" s="1211">
        <f>SUM(G92+G94+G95+G96)/G97</f>
        <v>0</v>
      </c>
      <c r="H98" s="1104">
        <f t="shared" ref="H98:AH98" si="169">SUM(H92+H94+H95+H96)/H97</f>
        <v>0</v>
      </c>
      <c r="I98" s="1104">
        <f t="shared" si="169"/>
        <v>0</v>
      </c>
      <c r="J98" s="1211">
        <f t="shared" si="169"/>
        <v>0</v>
      </c>
      <c r="K98" s="1211">
        <f t="shared" si="169"/>
        <v>0</v>
      </c>
      <c r="L98" s="1104">
        <f t="shared" si="169"/>
        <v>0</v>
      </c>
      <c r="M98" s="1104">
        <f t="shared" si="169"/>
        <v>0</v>
      </c>
      <c r="N98" s="1104">
        <f t="shared" si="169"/>
        <v>0</v>
      </c>
      <c r="O98" s="1104">
        <f t="shared" si="169"/>
        <v>0</v>
      </c>
      <c r="P98" s="1104">
        <f t="shared" si="169"/>
        <v>0</v>
      </c>
      <c r="Q98" s="1211">
        <f t="shared" si="169"/>
        <v>0</v>
      </c>
      <c r="R98" s="1211">
        <f t="shared" si="169"/>
        <v>0</v>
      </c>
      <c r="S98" s="1104">
        <f t="shared" si="169"/>
        <v>0</v>
      </c>
      <c r="T98" s="1104">
        <f t="shared" si="169"/>
        <v>0</v>
      </c>
      <c r="U98" s="1104">
        <f t="shared" si="169"/>
        <v>0</v>
      </c>
      <c r="V98" s="1104">
        <f t="shared" si="169"/>
        <v>0</v>
      </c>
      <c r="W98" s="1104">
        <f t="shared" si="169"/>
        <v>0</v>
      </c>
      <c r="X98" s="1211">
        <f t="shared" si="169"/>
        <v>0</v>
      </c>
      <c r="Y98" s="1211">
        <f t="shared" si="169"/>
        <v>0</v>
      </c>
      <c r="Z98" s="1104">
        <f t="shared" si="169"/>
        <v>0</v>
      </c>
      <c r="AA98" s="1104">
        <f t="shared" si="169"/>
        <v>0</v>
      </c>
      <c r="AB98" s="1104">
        <f t="shared" si="169"/>
        <v>0</v>
      </c>
      <c r="AC98" s="1104">
        <f t="shared" si="169"/>
        <v>0</v>
      </c>
      <c r="AD98" s="1104">
        <f t="shared" si="169"/>
        <v>0</v>
      </c>
      <c r="AE98" s="1211">
        <f t="shared" si="169"/>
        <v>0</v>
      </c>
      <c r="AF98" s="1211">
        <f t="shared" si="169"/>
        <v>0</v>
      </c>
      <c r="AG98" s="1104">
        <f t="shared" si="169"/>
        <v>0</v>
      </c>
      <c r="AH98" s="1104">
        <f t="shared" si="169"/>
        <v>0</v>
      </c>
      <c r="AI98" s="1335">
        <f>SUM(AI92+AI94+AI95)/AI97</f>
        <v>0</v>
      </c>
      <c r="AJ98" s="104">
        <f>SUM(E98:AI98)</f>
        <v>0</v>
      </c>
      <c r="AK98" s="104"/>
      <c r="AL98" s="83"/>
      <c r="AM98" s="1068">
        <f t="shared" si="93"/>
        <v>0</v>
      </c>
      <c r="AN98" s="31"/>
      <c r="AO98" s="622"/>
      <c r="AP98" s="23"/>
      <c r="AQ98" s="23"/>
      <c r="AR98" s="23"/>
      <c r="AS98" s="23"/>
      <c r="AT98" s="23"/>
      <c r="AU98" s="23"/>
      <c r="AV98" s="23"/>
    </row>
    <row r="99" spans="1:48" ht="25.15" hidden="1" customHeight="1">
      <c r="A99" s="103"/>
      <c r="B99" s="59"/>
      <c r="C99" s="84">
        <f>+C97*0.8</f>
        <v>240000</v>
      </c>
      <c r="D99" s="85" t="s">
        <v>110</v>
      </c>
      <c r="E99" s="1105"/>
      <c r="F99" s="1106"/>
      <c r="G99" s="1211"/>
      <c r="H99" s="1104"/>
      <c r="I99" s="1104"/>
      <c r="J99" s="1211"/>
      <c r="K99" s="1211"/>
      <c r="L99" s="1104"/>
      <c r="M99" s="1104"/>
      <c r="N99" s="1104"/>
      <c r="O99" s="1107"/>
      <c r="P99" s="1104"/>
      <c r="Q99" s="1211"/>
      <c r="R99" s="1211"/>
      <c r="S99" s="1104"/>
      <c r="T99" s="1104"/>
      <c r="U99" s="1104"/>
      <c r="V99" s="1104"/>
      <c r="W99" s="1104"/>
      <c r="X99" s="1211"/>
      <c r="Y99" s="1211"/>
      <c r="Z99" s="1104"/>
      <c r="AA99" s="1104"/>
      <c r="AB99" s="1104"/>
      <c r="AC99" s="1104"/>
      <c r="AD99" s="1104"/>
      <c r="AE99" s="1211"/>
      <c r="AF99" s="1211"/>
      <c r="AG99" s="1104"/>
      <c r="AH99" s="1104"/>
      <c r="AI99" s="1353"/>
      <c r="AJ99" s="86"/>
      <c r="AK99" s="86"/>
      <c r="AL99" s="690"/>
      <c r="AM99" s="694">
        <f t="shared" si="93"/>
        <v>0</v>
      </c>
      <c r="AN99" s="31"/>
      <c r="AO99" s="622"/>
      <c r="AP99" s="23"/>
      <c r="AQ99" s="23"/>
      <c r="AR99" s="23"/>
      <c r="AS99" s="23"/>
      <c r="AT99" s="23"/>
      <c r="AU99" s="23"/>
      <c r="AV99" s="23"/>
    </row>
    <row r="100" spans="1:48" ht="25.15" hidden="1" customHeight="1">
      <c r="A100" s="103"/>
      <c r="B100" s="105"/>
      <c r="C100" s="77"/>
      <c r="D100" s="88" t="s">
        <v>111</v>
      </c>
      <c r="E100" s="1108">
        <f>IF(E99="O/H",E98,0+E98)</f>
        <v>0</v>
      </c>
      <c r="F100" s="1089">
        <f t="shared" ref="F100" si="170">IF(F99="O/H",F98,+E100+F98)</f>
        <v>0</v>
      </c>
      <c r="G100" s="44">
        <f t="shared" ref="G100" si="171">IF(G99="O/H",G98,+F100+G98)</f>
        <v>0</v>
      </c>
      <c r="H100" s="1089">
        <f t="shared" ref="H100" si="172">IF(H99="O/H",H98,+G100+H98)</f>
        <v>0</v>
      </c>
      <c r="I100" s="1089">
        <f t="shared" ref="I100" si="173">IF(I99="O/H",I98,+H100+I98)</f>
        <v>0</v>
      </c>
      <c r="J100" s="44">
        <f t="shared" ref="J100" si="174">IF(J99="O/H",J98,+I100+J98)</f>
        <v>0</v>
      </c>
      <c r="K100" s="44">
        <f t="shared" ref="K100" si="175">IF(K99="O/H",K98,+J100+K98)</f>
        <v>0</v>
      </c>
      <c r="L100" s="1089">
        <f t="shared" ref="L100" si="176">IF(L99="O/H",L98,+K100+L98)</f>
        <v>0</v>
      </c>
      <c r="M100" s="1089">
        <f t="shared" ref="M100" si="177">IF(M99="O/H",M98,+L100+M98)</f>
        <v>0</v>
      </c>
      <c r="N100" s="1089">
        <f t="shared" ref="N100" si="178">IF(N99="O/H",N98,+M100+N98)</f>
        <v>0</v>
      </c>
      <c r="O100" s="1089">
        <f t="shared" ref="O100" si="179">IF(O99="O/H",O98,+N100+O98)</f>
        <v>0</v>
      </c>
      <c r="P100" s="1089">
        <f t="shared" ref="P100" si="180">IF(P99="O/H",P98,+O100+P98)</f>
        <v>0</v>
      </c>
      <c r="Q100" s="44">
        <f t="shared" ref="Q100" si="181">IF(Q99="O/H",Q98,+P100+Q98)</f>
        <v>0</v>
      </c>
      <c r="R100" s="44">
        <f t="shared" ref="R100" si="182">IF(R99="O/H",R98,+Q100+R98)</f>
        <v>0</v>
      </c>
      <c r="S100" s="1089">
        <f t="shared" ref="S100" si="183">IF(S99="O/H",S98,+R100+S98)</f>
        <v>0</v>
      </c>
      <c r="T100" s="1089">
        <f t="shared" ref="T100" si="184">IF(T99="O/H",T98,+S100+T98)</f>
        <v>0</v>
      </c>
      <c r="U100" s="1089">
        <f t="shared" ref="U100" si="185">IF(U99="O/H",U98,+T100+U98)</f>
        <v>0</v>
      </c>
      <c r="V100" s="1089">
        <f t="shared" ref="V100" si="186">IF(V99="O/H",V98,+U100+V98)</f>
        <v>0</v>
      </c>
      <c r="W100" s="1089">
        <f t="shared" ref="W100" si="187">IF(W99="O/H",W98,+V100+W98)</f>
        <v>0</v>
      </c>
      <c r="X100" s="44">
        <f t="shared" ref="X100" si="188">IF(X99="O/H",X98,+W100+X98)</f>
        <v>0</v>
      </c>
      <c r="Y100" s="44">
        <f t="shared" ref="Y100" si="189">IF(Y99="O/H",Y98,+X100+Y98)</f>
        <v>0</v>
      </c>
      <c r="Z100" s="1089">
        <f t="shared" ref="Z100" si="190">IF(Z99="O/H",Z98,+Y100+Z98)</f>
        <v>0</v>
      </c>
      <c r="AA100" s="1089">
        <f t="shared" ref="AA100" si="191">IF(AA99="O/H",AA98,+Z100+AA98)</f>
        <v>0</v>
      </c>
      <c r="AB100" s="1089">
        <f t="shared" ref="AB100" si="192">IF(AB99="O/H",AB98,+AA100+AB98)</f>
        <v>0</v>
      </c>
      <c r="AC100" s="1089">
        <f t="shared" ref="AC100" si="193">IF(AC99="O/H",AC98,+AB100+AC98)</f>
        <v>0</v>
      </c>
      <c r="AD100" s="1089">
        <f t="shared" ref="AD100" si="194">IF(AD99="O/H",AD98,+AC100+AD98)</f>
        <v>0</v>
      </c>
      <c r="AE100" s="44">
        <f t="shared" ref="AE100" si="195">IF(AE99="O/H",AE98,+AD100+AE98)</f>
        <v>0</v>
      </c>
      <c r="AF100" s="44">
        <f t="shared" ref="AF100" si="196">IF(AF99="O/H",AF98,+AE100+AF98)</f>
        <v>0</v>
      </c>
      <c r="AG100" s="1089">
        <f t="shared" ref="AG100" si="197">IF(AG99="O/H",AG98,+AF100+AG98)</f>
        <v>0</v>
      </c>
      <c r="AH100" s="1089">
        <f t="shared" ref="AH100" si="198">IF(AH99="O/H",AH98,+AG100+AH98)</f>
        <v>0</v>
      </c>
      <c r="AI100" s="1326">
        <f t="shared" ref="AI100" si="199">IF(AI99="O/H",AI98,+AH100+AI98)</f>
        <v>0</v>
      </c>
      <c r="AJ100" s="79"/>
      <c r="AK100" s="86"/>
      <c r="AL100" s="689"/>
      <c r="AM100" s="694">
        <f t="shared" si="93"/>
        <v>0</v>
      </c>
      <c r="AN100" s="31"/>
      <c r="AO100" s="622"/>
      <c r="AP100" s="23"/>
      <c r="AQ100" s="23"/>
      <c r="AR100" s="23"/>
      <c r="AS100" s="23"/>
      <c r="AT100" s="23"/>
      <c r="AU100" s="23"/>
      <c r="AV100" s="23"/>
    </row>
    <row r="101" spans="1:48" s="23" customFormat="1" ht="20.65" hidden="1" customHeight="1">
      <c r="A101" s="274"/>
      <c r="B101" s="312"/>
      <c r="C101" s="308"/>
      <c r="D101" s="795" t="s">
        <v>112</v>
      </c>
      <c r="E101" s="1108" t="b">
        <f>IF(AND(ISNUMBER(E92)),196359+E98)</f>
        <v>0</v>
      </c>
      <c r="F101" s="1089" t="str">
        <f>IF(AND(ISNUMBER(F92)),E101+F98,"")</f>
        <v/>
      </c>
      <c r="G101" s="44" t="str">
        <f t="shared" ref="G101" si="200">IF(AND(ISNUMBER(G92)),F101+G98,"")</f>
        <v/>
      </c>
      <c r="H101" s="1089" t="str">
        <f t="shared" ref="H101" si="201">IF(AND(ISNUMBER(H92)),G101+H98,"")</f>
        <v/>
      </c>
      <c r="I101" s="1089" t="str">
        <f>IF(AND(ISNUMBER(I92)),H101+I98,"")</f>
        <v/>
      </c>
      <c r="J101" s="44" t="str">
        <f>IF(AND(ISNUMBER(J92)),I101+J98,"")</f>
        <v/>
      </c>
      <c r="K101" s="44" t="str">
        <f>IF(AND(ISNUMBER(K92)),J101+K98,"")</f>
        <v/>
      </c>
      <c r="L101" s="1089" t="str">
        <f t="shared" ref="L101" si="202">IF(AND(ISNUMBER(L92)),K101+L98,"")</f>
        <v/>
      </c>
      <c r="M101" s="1089" t="str">
        <f t="shared" ref="M101" si="203">IF(AND(ISNUMBER(M92)),L101+M98,"")</f>
        <v/>
      </c>
      <c r="N101" s="1089" t="str">
        <f t="shared" ref="N101" si="204">IF(AND(ISNUMBER(N92)),M101+N98,"")</f>
        <v/>
      </c>
      <c r="O101" s="1089" t="str">
        <f t="shared" ref="O101" si="205">IF(AND(ISNUMBER(O92)),N101+O98,"")</f>
        <v/>
      </c>
      <c r="P101" s="1089" t="str">
        <f t="shared" ref="P101" si="206">IF(AND(ISNUMBER(P92)),O101+P98,"")</f>
        <v/>
      </c>
      <c r="Q101" s="44" t="str">
        <f t="shared" ref="Q101" si="207">IF(AND(ISNUMBER(Q92)),P101+Q98,"")</f>
        <v/>
      </c>
      <c r="R101" s="44" t="str">
        <f t="shared" ref="R101" si="208">IF(AND(ISNUMBER(R92)),Q101+R98,"")</f>
        <v/>
      </c>
      <c r="S101" s="1089" t="str">
        <f t="shared" ref="S101" si="209">IF(AND(ISNUMBER(S92)),R101+S98,"")</f>
        <v/>
      </c>
      <c r="T101" s="1089" t="str">
        <f t="shared" ref="T101" si="210">IF(AND(ISNUMBER(T92)),S101+T98,"")</f>
        <v/>
      </c>
      <c r="U101" s="1089" t="str">
        <f t="shared" ref="U101" si="211">IF(AND(ISNUMBER(U92)),T101+U98,"")</f>
        <v/>
      </c>
      <c r="V101" s="1089" t="str">
        <f t="shared" ref="V101" si="212">IF(AND(ISNUMBER(V92)),U101+V98,"")</f>
        <v/>
      </c>
      <c r="W101" s="1089" t="str">
        <f t="shared" ref="W101" si="213">IF(AND(ISNUMBER(W92)),V101+W98,"")</f>
        <v/>
      </c>
      <c r="X101" s="44" t="str">
        <f t="shared" ref="X101" si="214">IF(AND(ISNUMBER(X92)),W101+X98,"")</f>
        <v/>
      </c>
      <c r="Y101" s="44" t="str">
        <f t="shared" ref="Y101" si="215">IF(AND(ISNUMBER(Y92)),X101+Y98,"")</f>
        <v/>
      </c>
      <c r="Z101" s="1089" t="str">
        <f t="shared" ref="Z101" si="216">IF(AND(ISNUMBER(Z92)),Y101+Z98,"")</f>
        <v/>
      </c>
      <c r="AA101" s="1089" t="str">
        <f t="shared" ref="AA101" si="217">IF(AND(ISNUMBER(AA92)),Z101+AA98,"")</f>
        <v/>
      </c>
      <c r="AB101" s="1089" t="str">
        <f t="shared" ref="AB101" si="218">IF(AND(ISNUMBER(AB92)),AA101+AB98,"")</f>
        <v/>
      </c>
      <c r="AC101" s="1089" t="str">
        <f t="shared" ref="AC101" si="219">IF(AND(ISNUMBER(AC92)),AB101+AC98,"")</f>
        <v/>
      </c>
      <c r="AD101" s="1089" t="str">
        <f t="shared" ref="AD101" si="220">IF(AND(ISNUMBER(AD92)),AC101+AD98,"")</f>
        <v/>
      </c>
      <c r="AE101" s="44" t="str">
        <f t="shared" ref="AE101" si="221">IF(AND(ISNUMBER(AE92)),AD101+AE98,"")</f>
        <v/>
      </c>
      <c r="AF101" s="44" t="str">
        <f t="shared" ref="AF101" si="222">IF(AND(ISNUMBER(AF92)),AE101+AF98,"")</f>
        <v/>
      </c>
      <c r="AG101" s="1089" t="str">
        <f t="shared" ref="AG101" si="223">IF(AND(ISNUMBER(AG92)),AF101+AG98,"")</f>
        <v/>
      </c>
      <c r="AH101" s="1089" t="str">
        <f t="shared" ref="AH101" si="224">IF(AND(ISNUMBER(AH92)),AG101+AH98,"")</f>
        <v/>
      </c>
      <c r="AI101" s="1089" t="str">
        <f t="shared" ref="AI101" si="225">IF(AND(ISNUMBER(AI92)),AH101+AI98,"")</f>
        <v/>
      </c>
      <c r="AJ101" s="793"/>
      <c r="AK101" s="793"/>
      <c r="AL101" s="909"/>
      <c r="AM101" s="890">
        <f t="shared" si="93"/>
        <v>0</v>
      </c>
      <c r="AN101" s="76"/>
      <c r="AO101" s="624"/>
      <c r="AP101" s="285"/>
      <c r="AQ101" s="285"/>
      <c r="AR101" s="285"/>
      <c r="AS101" s="285"/>
      <c r="AT101" s="286"/>
      <c r="AU101" s="285"/>
      <c r="AV101" s="287"/>
    </row>
    <row r="102" spans="1:48" ht="25.15" hidden="1" customHeight="1">
      <c r="A102" s="103"/>
      <c r="B102" s="89"/>
      <c r="C102" s="80"/>
      <c r="D102" s="90" t="s">
        <v>104</v>
      </c>
      <c r="E102" s="1108"/>
      <c r="F102" s="1089"/>
      <c r="G102" s="44"/>
      <c r="H102" s="1089"/>
      <c r="I102" s="1089"/>
      <c r="J102" s="44"/>
      <c r="K102" s="44"/>
      <c r="L102" s="1089"/>
      <c r="M102" s="1089"/>
      <c r="N102" s="1089"/>
      <c r="O102" s="1089"/>
      <c r="P102" s="1089"/>
      <c r="Q102" s="44"/>
      <c r="R102" s="44"/>
      <c r="S102" s="1089"/>
      <c r="T102" s="1089"/>
      <c r="U102" s="1089"/>
      <c r="V102" s="1089"/>
      <c r="W102" s="1089"/>
      <c r="X102" s="44"/>
      <c r="Y102" s="44"/>
      <c r="Z102" s="1089"/>
      <c r="AA102" s="1089"/>
      <c r="AB102" s="1089"/>
      <c r="AC102" s="1089"/>
      <c r="AD102" s="1089"/>
      <c r="AE102" s="44"/>
      <c r="AF102" s="44"/>
      <c r="AG102" s="1089"/>
      <c r="AH102" s="1089"/>
      <c r="AI102" s="1326"/>
      <c r="AJ102" s="79"/>
      <c r="AK102" s="79"/>
      <c r="AL102" s="63"/>
      <c r="AM102" s="1068">
        <f t="shared" si="93"/>
        <v>0</v>
      </c>
      <c r="AN102" s="64"/>
      <c r="AO102" s="624"/>
      <c r="AP102" s="23"/>
      <c r="AQ102" s="23"/>
      <c r="AR102" s="23"/>
      <c r="AS102" s="23"/>
      <c r="AT102" s="23"/>
      <c r="AU102" s="23"/>
      <c r="AV102" s="23"/>
    </row>
    <row r="103" spans="1:48" ht="25.15" hidden="1" customHeight="1" thickBot="1">
      <c r="A103" s="106"/>
      <c r="B103" s="93"/>
      <c r="C103" s="94"/>
      <c r="D103" s="95" t="s">
        <v>111</v>
      </c>
      <c r="E103" s="1109">
        <v>0</v>
      </c>
      <c r="F103" s="1110">
        <f t="shared" ref="F103" si="226">IF(F102="O/H",F98,+E103+F98)</f>
        <v>0</v>
      </c>
      <c r="G103" s="1212">
        <f t="shared" ref="G103" si="227">IF(G102="O/H",G98,+F103+G98)</f>
        <v>0</v>
      </c>
      <c r="H103" s="1110">
        <f t="shared" ref="H103" si="228">IF(H102="O/H",H98,+G103+H98)</f>
        <v>0</v>
      </c>
      <c r="I103" s="1110">
        <f t="shared" ref="I103" si="229">IF(I102="O/H",I98,+H103+I98)</f>
        <v>0</v>
      </c>
      <c r="J103" s="1212">
        <f t="shared" ref="J103" si="230">IF(J102="O/H",J98,+I103+J98)</f>
        <v>0</v>
      </c>
      <c r="K103" s="1212">
        <f t="shared" ref="K103" si="231">IF(K102="O/H",K98,+J103+K98)</f>
        <v>0</v>
      </c>
      <c r="L103" s="1110">
        <f t="shared" ref="L103" si="232">IF(L102="O/H",L98,+K103+L98)</f>
        <v>0</v>
      </c>
      <c r="M103" s="1110">
        <f t="shared" ref="M103" si="233">IF(M102="O/H",M98,+L103+M98)</f>
        <v>0</v>
      </c>
      <c r="N103" s="1110">
        <f t="shared" ref="N103" si="234">IF(N102="O/H",N98,+M103+N98)</f>
        <v>0</v>
      </c>
      <c r="O103" s="1110">
        <f t="shared" ref="O103" si="235">IF(O102="O/H",O98,+N103+O98)</f>
        <v>0</v>
      </c>
      <c r="P103" s="1110">
        <f t="shared" ref="P103" si="236">IF(P102="O/H",P98,+O103+P98)</f>
        <v>0</v>
      </c>
      <c r="Q103" s="1212">
        <f t="shared" ref="Q103" si="237">IF(Q102="O/H",Q98,+P103+Q98)</f>
        <v>0</v>
      </c>
      <c r="R103" s="1212">
        <f t="shared" ref="R103" si="238">IF(R102="O/H",R98,+Q103+R98)</f>
        <v>0</v>
      </c>
      <c r="S103" s="1110">
        <f t="shared" ref="S103" si="239">IF(S102="O/H",S98,+R103+S98)</f>
        <v>0</v>
      </c>
      <c r="T103" s="1110">
        <f t="shared" ref="T103" si="240">IF(T102="O/H",T98,+S103+T98)</f>
        <v>0</v>
      </c>
      <c r="U103" s="1110">
        <f t="shared" ref="U103" si="241">IF(U102="O/H",U98,+T103+U98)</f>
        <v>0</v>
      </c>
      <c r="V103" s="1110">
        <f t="shared" ref="V103" si="242">IF(V102="O/H",V98,+U103+V98)</f>
        <v>0</v>
      </c>
      <c r="W103" s="1110">
        <f t="shared" ref="W103" si="243">IF(W102="O/H",W98,+V103+W98)</f>
        <v>0</v>
      </c>
      <c r="X103" s="1212">
        <f t="shared" ref="X103" si="244">IF(X102="O/H",X98,+W103+X98)</f>
        <v>0</v>
      </c>
      <c r="Y103" s="1212">
        <f t="shared" ref="Y103" si="245">IF(Y102="O/H",Y98,+X103+Y98)</f>
        <v>0</v>
      </c>
      <c r="Z103" s="1110">
        <f t="shared" ref="Z103" si="246">IF(Z102="O/H",Z98,+Y103+Z98)</f>
        <v>0</v>
      </c>
      <c r="AA103" s="1110">
        <f t="shared" ref="AA103" si="247">IF(AA102="O/H",AA98,+Z103+AA98)</f>
        <v>0</v>
      </c>
      <c r="AB103" s="1110">
        <f t="shared" ref="AB103" si="248">IF(AB102="O/H",AB98,+AA103+AB98)</f>
        <v>0</v>
      </c>
      <c r="AC103" s="1110">
        <f t="shared" ref="AC103" si="249">IF(AC102="O/H",AC98,+AB103+AC98)</f>
        <v>0</v>
      </c>
      <c r="AD103" s="1110">
        <f t="shared" ref="AD103" si="250">IF(AD102="O/H",AD98,+AC103+AD98)</f>
        <v>0</v>
      </c>
      <c r="AE103" s="1212">
        <f t="shared" ref="AE103" si="251">IF(AE102="O/H",AE98,+AD103+AE98)</f>
        <v>0</v>
      </c>
      <c r="AF103" s="1212">
        <f t="shared" ref="AF103" si="252">IF(AF102="O/H",AF98,+AE103+AF98)</f>
        <v>0</v>
      </c>
      <c r="AG103" s="1110">
        <f t="shared" ref="AG103" si="253">IF(AG102="O/H",AG98,+AF103+AG98)</f>
        <v>0</v>
      </c>
      <c r="AH103" s="1110">
        <f t="shared" ref="AH103" si="254">IF(AH102="O/H",AH98,+AG103+AH98)</f>
        <v>0</v>
      </c>
      <c r="AI103" s="1340">
        <f t="shared" ref="AI103" si="255">IF(AI102="O/H",AI98,+AH103+AI98)</f>
        <v>0</v>
      </c>
      <c r="AJ103" s="96"/>
      <c r="AK103" s="96"/>
      <c r="AL103" s="97"/>
      <c r="AM103" s="1071">
        <f t="shared" si="93"/>
        <v>0</v>
      </c>
      <c r="AN103" s="98"/>
      <c r="AO103" s="625"/>
      <c r="AP103" s="23"/>
      <c r="AQ103" s="23"/>
      <c r="AR103" s="23"/>
      <c r="AS103" s="23"/>
      <c r="AT103" s="23"/>
      <c r="AU103" s="23"/>
      <c r="AV103" s="23"/>
    </row>
    <row r="104" spans="1:48" ht="25.15" hidden="1" customHeight="1" thickTop="1">
      <c r="A104" s="907"/>
      <c r="B104" s="26" t="s">
        <v>120</v>
      </c>
      <c r="C104" s="27"/>
      <c r="D104" s="28" t="s">
        <v>82</v>
      </c>
      <c r="E104" s="1111"/>
      <c r="F104" s="1111"/>
      <c r="G104" s="1201"/>
      <c r="H104" s="1111"/>
      <c r="I104" s="1111"/>
      <c r="J104" s="1201"/>
      <c r="K104" s="1201"/>
      <c r="L104" s="1111"/>
      <c r="M104" s="1111"/>
      <c r="N104" s="1111"/>
      <c r="O104" s="1111"/>
      <c r="P104" s="1111"/>
      <c r="Q104" s="1201"/>
      <c r="R104" s="1201"/>
      <c r="S104" s="1111"/>
      <c r="T104" s="1111"/>
      <c r="U104" s="1111"/>
      <c r="V104" s="1111"/>
      <c r="W104" s="1111"/>
      <c r="X104" s="1201"/>
      <c r="Y104" s="1201"/>
      <c r="Z104" s="1111"/>
      <c r="AA104" s="1111"/>
      <c r="AB104" s="1111"/>
      <c r="AC104" s="1111"/>
      <c r="AD104" s="1111"/>
      <c r="AE104" s="1201"/>
      <c r="AF104" s="1201"/>
      <c r="AG104" s="1111"/>
      <c r="AH104" s="1111"/>
      <c r="AI104" s="1412"/>
      <c r="AJ104" s="100">
        <f>SUM(Table75[[#This Row],[June''2026]:[Column27]])</f>
        <v>0</v>
      </c>
      <c r="AK104" s="100">
        <f t="shared" si="129"/>
        <v>0</v>
      </c>
      <c r="AL104" s="101">
        <f>+AJ104*AN104</f>
        <v>0</v>
      </c>
      <c r="AM104" s="1072">
        <f t="shared" si="93"/>
        <v>0</v>
      </c>
      <c r="AN104" s="102"/>
      <c r="AO104" s="622">
        <f>Table5[[#This Row],[Total]]*B108/1000</f>
        <v>0</v>
      </c>
      <c r="AP104" s="32" t="s">
        <v>83</v>
      </c>
      <c r="AQ104" s="33" t="s">
        <v>84</v>
      </c>
      <c r="AR104" s="33" t="s">
        <v>85</v>
      </c>
      <c r="AS104" s="33" t="s">
        <v>86</v>
      </c>
      <c r="AT104" s="33" t="s">
        <v>87</v>
      </c>
      <c r="AU104" s="33" t="s">
        <v>88</v>
      </c>
      <c r="AV104" s="34" t="s">
        <v>68</v>
      </c>
    </row>
    <row r="105" spans="1:48" ht="25.15" hidden="1" customHeight="1">
      <c r="A105" s="103"/>
      <c r="B105" s="35" t="s">
        <v>119</v>
      </c>
      <c r="C105" s="36"/>
      <c r="D105" s="37" t="s">
        <v>90</v>
      </c>
      <c r="E105" s="1373">
        <f>IF(E104="",0,+ E104/E111)</f>
        <v>0</v>
      </c>
      <c r="F105" s="1096">
        <f t="shared" ref="F105:P105" si="256">IF(F104="",0, E105+F104/F111)</f>
        <v>0</v>
      </c>
      <c r="G105" s="1207">
        <f t="shared" si="256"/>
        <v>0</v>
      </c>
      <c r="H105" s="1096">
        <f t="shared" si="256"/>
        <v>0</v>
      </c>
      <c r="I105" s="1096">
        <f t="shared" si="256"/>
        <v>0</v>
      </c>
      <c r="J105" s="1207">
        <f t="shared" si="256"/>
        <v>0</v>
      </c>
      <c r="K105" s="1207">
        <f t="shared" si="256"/>
        <v>0</v>
      </c>
      <c r="L105" s="1096">
        <f t="shared" si="256"/>
        <v>0</v>
      </c>
      <c r="M105" s="1096">
        <f t="shared" si="256"/>
        <v>0</v>
      </c>
      <c r="N105" s="1096">
        <f t="shared" si="256"/>
        <v>0</v>
      </c>
      <c r="O105" s="1096">
        <f t="shared" si="256"/>
        <v>0</v>
      </c>
      <c r="P105" s="1096">
        <f t="shared" si="256"/>
        <v>0</v>
      </c>
      <c r="Q105" s="1207">
        <f t="shared" ref="Q105" si="257">IF(Q104="",0, P105+Q104/Q111)</f>
        <v>0</v>
      </c>
      <c r="R105" s="1207">
        <f t="shared" ref="R105" si="258">IF(R104="",0, Q105+R104/R111)</f>
        <v>0</v>
      </c>
      <c r="S105" s="1096">
        <f t="shared" ref="S105" si="259">IF(S104="",0, R105+S104/S111)</f>
        <v>0</v>
      </c>
      <c r="T105" s="1096">
        <f t="shared" ref="T105" si="260">IF(T104="",0, S105+T104/T111)</f>
        <v>0</v>
      </c>
      <c r="U105" s="1096">
        <f t="shared" ref="U105" si="261">IF(U104="",0, T105+U104/U111)</f>
        <v>0</v>
      </c>
      <c r="V105" s="1096">
        <f t="shared" ref="V105" si="262">IF(V104="",0, U105+V104/V111)</f>
        <v>0</v>
      </c>
      <c r="W105" s="1096">
        <f t="shared" ref="W105" si="263">IF(W104="",0, V105+W104/W111)</f>
        <v>0</v>
      </c>
      <c r="X105" s="1207">
        <f t="shared" ref="X105" si="264">IF(X104="",0, W105+X104/X111)</f>
        <v>0</v>
      </c>
      <c r="Y105" s="1207">
        <f t="shared" ref="Y105" si="265">IF(Y104="",0, X105+Y104/Y111)</f>
        <v>0</v>
      </c>
      <c r="Z105" s="1096">
        <f t="shared" ref="Z105" si="266">IF(Z104="",0, Y105+Z104/Z111)</f>
        <v>0</v>
      </c>
      <c r="AA105" s="1096">
        <f t="shared" ref="AA105" si="267">IF(AA104="",0, Z105+AA104/AA111)</f>
        <v>0</v>
      </c>
      <c r="AB105" s="1096">
        <f t="shared" ref="AB105" si="268">IF(AB104="",0, AA105+AB104/AB111)</f>
        <v>0</v>
      </c>
      <c r="AC105" s="1096">
        <f t="shared" ref="AC105" si="269">IF(AC104="",0, AB105+AC104/AC111)</f>
        <v>0</v>
      </c>
      <c r="AD105" s="1096">
        <f t="shared" ref="AD105" si="270">IF(AD104="",0, AC105+AD104/AD111)</f>
        <v>0</v>
      </c>
      <c r="AE105" s="1207">
        <f t="shared" ref="AE105" si="271">IF(AE104="",0, AD105+AE104/AE111)</f>
        <v>0</v>
      </c>
      <c r="AF105" s="1207">
        <f t="shared" ref="AF105" si="272">IF(AF104="",0, AE105+AF104/AF111)</f>
        <v>0</v>
      </c>
      <c r="AG105" s="1096">
        <f t="shared" ref="AG105" si="273">IF(AG104="",0, AF105+AG104/AG111)</f>
        <v>0</v>
      </c>
      <c r="AH105" s="1096">
        <f t="shared" ref="AH105" si="274">IF(AH104="",0, AG105+AH104/AH111)</f>
        <v>0</v>
      </c>
      <c r="AI105" s="1324">
        <f t="shared" ref="AI105" si="275">IF(AI104="",0, AH105+AI104/AI111)</f>
        <v>0</v>
      </c>
      <c r="AJ105" s="38"/>
      <c r="AK105" s="29"/>
      <c r="AL105" s="30"/>
      <c r="AM105" s="694">
        <f t="shared" si="93"/>
        <v>0</v>
      </c>
      <c r="AN105" s="31"/>
      <c r="AO105" s="630"/>
      <c r="AP105" s="39" t="s">
        <v>91</v>
      </c>
      <c r="AQ105" s="40">
        <f>SUM(E104:I104)</f>
        <v>0</v>
      </c>
      <c r="AR105" s="41">
        <f>SUM(J104:P104)</f>
        <v>0</v>
      </c>
      <c r="AS105" s="41">
        <f>SUM(Q104:W104)</f>
        <v>0</v>
      </c>
      <c r="AT105" s="41">
        <f>SUM(X104:AD104)</f>
        <v>0</v>
      </c>
      <c r="AU105" s="41">
        <f>SUM(AE104:AI104)</f>
        <v>0</v>
      </c>
      <c r="AV105" s="34">
        <f t="shared" ref="AV105:AV110" si="276">SUM(AQ105:AU105)</f>
        <v>0</v>
      </c>
    </row>
    <row r="106" spans="1:48" ht="25.15" hidden="1" customHeight="1">
      <c r="A106" s="103"/>
      <c r="B106" s="26" t="s">
        <v>92</v>
      </c>
      <c r="C106" s="42"/>
      <c r="D106" s="43" t="s">
        <v>93</v>
      </c>
      <c r="E106" s="1325"/>
      <c r="F106" s="1089"/>
      <c r="G106" s="44"/>
      <c r="H106" s="1089"/>
      <c r="I106" s="1089"/>
      <c r="J106" s="44"/>
      <c r="K106" s="44"/>
      <c r="L106" s="1089"/>
      <c r="M106" s="1089"/>
      <c r="N106" s="1089"/>
      <c r="O106" s="1089"/>
      <c r="P106" s="1089"/>
      <c r="Q106" s="44"/>
      <c r="R106" s="44"/>
      <c r="S106" s="1089"/>
      <c r="T106" s="1089"/>
      <c r="U106" s="1089"/>
      <c r="V106" s="1089"/>
      <c r="W106" s="1089"/>
      <c r="X106" s="44"/>
      <c r="Y106" s="44"/>
      <c r="Z106" s="1089"/>
      <c r="AA106" s="1089"/>
      <c r="AB106" s="1089"/>
      <c r="AC106" s="1089"/>
      <c r="AD106" s="1089"/>
      <c r="AE106" s="44"/>
      <c r="AF106" s="44"/>
      <c r="AG106" s="1089"/>
      <c r="AH106" s="1089"/>
      <c r="AI106" s="1326"/>
      <c r="AJ106" s="45">
        <f>SUM(E106:AI106)</f>
        <v>0</v>
      </c>
      <c r="AK106" s="45"/>
      <c r="AL106" s="46">
        <f>+AJ106*AN104</f>
        <v>0</v>
      </c>
      <c r="AM106" s="1066">
        <f t="shared" si="93"/>
        <v>0</v>
      </c>
      <c r="AN106" s="31"/>
      <c r="AO106" s="632">
        <f>(AJ106+AJ108+AJ109+AJ110)*B108/1000</f>
        <v>0</v>
      </c>
      <c r="AP106" s="47" t="s">
        <v>94</v>
      </c>
      <c r="AQ106" s="48">
        <f>SUM(E106:I106)</f>
        <v>0</v>
      </c>
      <c r="AR106" s="49">
        <f>SUM(J106:P106)</f>
        <v>0</v>
      </c>
      <c r="AS106" s="49">
        <f>SUM(Q106:W106)</f>
        <v>0</v>
      </c>
      <c r="AT106" s="49">
        <f>SUM(X106:AD106)</f>
        <v>0</v>
      </c>
      <c r="AU106" s="49">
        <f>SUM(AE106:AI106)</f>
        <v>0</v>
      </c>
      <c r="AV106" s="50">
        <f t="shared" si="276"/>
        <v>0</v>
      </c>
    </row>
    <row r="107" spans="1:48" ht="25.15" hidden="1" customHeight="1">
      <c r="A107" s="103"/>
      <c r="B107" s="51"/>
      <c r="C107" s="52" t="s">
        <v>95</v>
      </c>
      <c r="D107" s="53" t="s">
        <v>96</v>
      </c>
      <c r="E107" s="1327">
        <f t="shared" ref="E107:R107" si="277">+E106-E104</f>
        <v>0</v>
      </c>
      <c r="F107" s="1097">
        <f t="shared" si="277"/>
        <v>0</v>
      </c>
      <c r="G107" s="1205">
        <f t="shared" si="277"/>
        <v>0</v>
      </c>
      <c r="H107" s="1097">
        <f t="shared" si="277"/>
        <v>0</v>
      </c>
      <c r="I107" s="1097">
        <f t="shared" si="277"/>
        <v>0</v>
      </c>
      <c r="J107" s="1205">
        <f t="shared" si="277"/>
        <v>0</v>
      </c>
      <c r="K107" s="1205">
        <f t="shared" si="277"/>
        <v>0</v>
      </c>
      <c r="L107" s="1097">
        <f t="shared" si="277"/>
        <v>0</v>
      </c>
      <c r="M107" s="1097">
        <f t="shared" si="277"/>
        <v>0</v>
      </c>
      <c r="N107" s="1097">
        <f t="shared" si="277"/>
        <v>0</v>
      </c>
      <c r="O107" s="1097">
        <f t="shared" si="277"/>
        <v>0</v>
      </c>
      <c r="P107" s="1097">
        <f t="shared" si="277"/>
        <v>0</v>
      </c>
      <c r="Q107" s="1205">
        <f t="shared" si="277"/>
        <v>0</v>
      </c>
      <c r="R107" s="1205">
        <f t="shared" si="277"/>
        <v>0</v>
      </c>
      <c r="S107" s="1097">
        <f t="shared" ref="S107:AJ107" si="278">+S106-S104</f>
        <v>0</v>
      </c>
      <c r="T107" s="1097">
        <f t="shared" si="278"/>
        <v>0</v>
      </c>
      <c r="U107" s="1097">
        <f t="shared" si="278"/>
        <v>0</v>
      </c>
      <c r="V107" s="1097">
        <f t="shared" si="278"/>
        <v>0</v>
      </c>
      <c r="W107" s="1097">
        <f t="shared" si="278"/>
        <v>0</v>
      </c>
      <c r="X107" s="1205">
        <f t="shared" si="278"/>
        <v>0</v>
      </c>
      <c r="Y107" s="1205">
        <f t="shared" si="278"/>
        <v>0</v>
      </c>
      <c r="Z107" s="1097">
        <f t="shared" si="278"/>
        <v>0</v>
      </c>
      <c r="AA107" s="1097">
        <f t="shared" si="278"/>
        <v>0</v>
      </c>
      <c r="AB107" s="1097">
        <f t="shared" si="278"/>
        <v>0</v>
      </c>
      <c r="AC107" s="1097">
        <f t="shared" si="278"/>
        <v>0</v>
      </c>
      <c r="AD107" s="1097">
        <f t="shared" si="278"/>
        <v>0</v>
      </c>
      <c r="AE107" s="1205">
        <f t="shared" si="278"/>
        <v>0</v>
      </c>
      <c r="AF107" s="1205">
        <f t="shared" ref="AF107" si="279">+AF106-AF104</f>
        <v>0</v>
      </c>
      <c r="AG107" s="1097">
        <f t="shared" si="278"/>
        <v>0</v>
      </c>
      <c r="AH107" s="1097">
        <f t="shared" si="278"/>
        <v>0</v>
      </c>
      <c r="AI107" s="1328">
        <f t="shared" si="278"/>
        <v>0</v>
      </c>
      <c r="AJ107" s="54">
        <f t="shared" si="278"/>
        <v>0</v>
      </c>
      <c r="AK107" s="54"/>
      <c r="AL107" s="55">
        <f>+AJ107*AN104</f>
        <v>0</v>
      </c>
      <c r="AM107" s="1067">
        <f t="shared" si="93"/>
        <v>0</v>
      </c>
      <c r="AN107" s="31" t="s">
        <v>97</v>
      </c>
      <c r="AO107" s="622"/>
      <c r="AP107" s="39" t="s">
        <v>98</v>
      </c>
      <c r="AQ107" s="56">
        <f>AQ106-AQ105</f>
        <v>0</v>
      </c>
      <c r="AR107" s="70">
        <f>AR106-AR105</f>
        <v>0</v>
      </c>
      <c r="AS107" s="70">
        <f>AS106-AS105</f>
        <v>0</v>
      </c>
      <c r="AT107" s="70">
        <f>AT106-AT105</f>
        <v>0</v>
      </c>
      <c r="AU107" s="70">
        <f>AU106-AU105</f>
        <v>0</v>
      </c>
      <c r="AV107" s="57">
        <f t="shared" si="276"/>
        <v>0</v>
      </c>
    </row>
    <row r="108" spans="1:48" ht="25.15" hidden="1" customHeight="1">
      <c r="A108" s="58"/>
      <c r="B108" s="59"/>
      <c r="C108" s="60" t="s">
        <v>100</v>
      </c>
      <c r="D108" s="61" t="s">
        <v>101</v>
      </c>
      <c r="E108" s="1098"/>
      <c r="F108" s="1099"/>
      <c r="G108" s="1208"/>
      <c r="H108" s="1099"/>
      <c r="I108" s="1099"/>
      <c r="J108" s="1208"/>
      <c r="K108" s="1208"/>
      <c r="L108" s="1099"/>
      <c r="M108" s="1099"/>
      <c r="N108" s="1099"/>
      <c r="O108" s="1099"/>
      <c r="P108" s="1099"/>
      <c r="Q108" s="1208"/>
      <c r="R108" s="1208"/>
      <c r="S108" s="1099"/>
      <c r="T108" s="1099"/>
      <c r="U108" s="1099"/>
      <c r="V108" s="1099"/>
      <c r="W108" s="1099"/>
      <c r="X108" s="1208"/>
      <c r="Y108" s="1208"/>
      <c r="Z108" s="1099"/>
      <c r="AA108" s="1099"/>
      <c r="AB108" s="1099"/>
      <c r="AC108" s="1099"/>
      <c r="AD108" s="1099"/>
      <c r="AE108" s="1208"/>
      <c r="AF108" s="1208"/>
      <c r="AG108" s="1099"/>
      <c r="AH108" s="1099"/>
      <c r="AI108" s="1330"/>
      <c r="AJ108" s="62">
        <f>SUM(E108:AI108)</f>
        <v>0</v>
      </c>
      <c r="AK108" s="62"/>
      <c r="AL108" s="63">
        <f>+AJ108*AN104</f>
        <v>0</v>
      </c>
      <c r="AM108" s="1068">
        <f t="shared" si="93"/>
        <v>0</v>
      </c>
      <c r="AN108" s="64" t="e">
        <f>+AJ108/AJ106*100</f>
        <v>#DIV/0!</v>
      </c>
      <c r="AO108" s="635" t="e">
        <f>AO106/AO104</f>
        <v>#DIV/0!</v>
      </c>
      <c r="AP108" s="39" t="s">
        <v>102</v>
      </c>
      <c r="AQ108" s="56">
        <f>SUM(E108:I108)</f>
        <v>0</v>
      </c>
      <c r="AR108" s="70">
        <f>SUM(J108:P108)</f>
        <v>0</v>
      </c>
      <c r="AS108" s="70">
        <f>SUM(Q108:W108)</f>
        <v>0</v>
      </c>
      <c r="AT108" s="70">
        <f>SUM(X108:AD108)</f>
        <v>0</v>
      </c>
      <c r="AU108" s="70">
        <f>SUM(AE108:AI108)</f>
        <v>0</v>
      </c>
      <c r="AV108" s="57">
        <f t="shared" si="276"/>
        <v>0</v>
      </c>
    </row>
    <row r="109" spans="1:48" ht="25.15" hidden="1" customHeight="1">
      <c r="A109" s="58" t="s">
        <v>99</v>
      </c>
      <c r="B109" s="65"/>
      <c r="C109" s="66"/>
      <c r="D109" s="67" t="s">
        <v>103</v>
      </c>
      <c r="E109" s="1100"/>
      <c r="F109" s="1101"/>
      <c r="G109" s="1209"/>
      <c r="H109" s="1101"/>
      <c r="I109" s="1101"/>
      <c r="J109" s="1209"/>
      <c r="K109" s="1209"/>
      <c r="L109" s="1101"/>
      <c r="M109" s="1101"/>
      <c r="N109" s="1101"/>
      <c r="O109" s="1101"/>
      <c r="P109" s="1101"/>
      <c r="Q109" s="1209"/>
      <c r="R109" s="1209"/>
      <c r="S109" s="1101"/>
      <c r="T109" s="1101"/>
      <c r="U109" s="1101"/>
      <c r="V109" s="1101"/>
      <c r="W109" s="1101"/>
      <c r="X109" s="1209"/>
      <c r="Y109" s="1209"/>
      <c r="Z109" s="1101"/>
      <c r="AA109" s="1101"/>
      <c r="AB109" s="1101"/>
      <c r="AC109" s="1101"/>
      <c r="AD109" s="1101"/>
      <c r="AE109" s="1209"/>
      <c r="AF109" s="1209"/>
      <c r="AG109" s="1101"/>
      <c r="AH109" s="1101"/>
      <c r="AI109" s="1332"/>
      <c r="AJ109" s="68">
        <f>SUM(E109:AI109)</f>
        <v>0</v>
      </c>
      <c r="AK109" s="68"/>
      <c r="AL109" s="69">
        <f>+AJ109*AN104</f>
        <v>0</v>
      </c>
      <c r="AM109" s="1069">
        <f t="shared" si="93"/>
        <v>0</v>
      </c>
      <c r="AN109" s="31"/>
      <c r="AO109" s="623"/>
      <c r="AP109" s="39" t="s">
        <v>19</v>
      </c>
      <c r="AQ109" s="56">
        <f>AQ108*AN104</f>
        <v>0</v>
      </c>
      <c r="AR109" s="56">
        <f>AR108*AN104</f>
        <v>0</v>
      </c>
      <c r="AS109" s="56">
        <f>AS108*AN104</f>
        <v>0</v>
      </c>
      <c r="AT109" s="56">
        <f>AT108*AN104</f>
        <v>0</v>
      </c>
      <c r="AU109" s="56">
        <f>AU108*AN104</f>
        <v>0</v>
      </c>
      <c r="AV109" s="57">
        <f t="shared" si="276"/>
        <v>0</v>
      </c>
    </row>
    <row r="110" spans="1:48" ht="25.15" hidden="1" customHeight="1">
      <c r="A110" s="103"/>
      <c r="B110" s="65"/>
      <c r="C110" s="72" t="s">
        <v>104</v>
      </c>
      <c r="D110" s="73" t="s">
        <v>105</v>
      </c>
      <c r="E110" s="1115"/>
      <c r="F110" s="1116"/>
      <c r="G110" s="1215"/>
      <c r="H110" s="1116"/>
      <c r="I110" s="1116"/>
      <c r="J110" s="1215"/>
      <c r="K110" s="1215"/>
      <c r="L110" s="1103"/>
      <c r="M110" s="1116"/>
      <c r="N110" s="1116"/>
      <c r="O110" s="1116"/>
      <c r="P110" s="1116"/>
      <c r="Q110" s="1210"/>
      <c r="R110" s="1210"/>
      <c r="S110" s="1103"/>
      <c r="T110" s="1103"/>
      <c r="U110" s="1103"/>
      <c r="V110" s="1103"/>
      <c r="W110" s="1103"/>
      <c r="X110" s="1210"/>
      <c r="Y110" s="1210"/>
      <c r="Z110" s="1103"/>
      <c r="AA110" s="1103"/>
      <c r="AB110" s="1103"/>
      <c r="AC110" s="1103"/>
      <c r="AD110" s="1103"/>
      <c r="AE110" s="1210"/>
      <c r="AF110" s="1210"/>
      <c r="AG110" s="1103"/>
      <c r="AH110" s="1103"/>
      <c r="AI110" s="1352"/>
      <c r="AJ110" s="74">
        <f>SUM(E110:AI110)</f>
        <v>0</v>
      </c>
      <c r="AK110" s="74"/>
      <c r="AL110" s="75">
        <f>+AJ110*AN104</f>
        <v>0</v>
      </c>
      <c r="AM110" s="1070">
        <f t="shared" si="93"/>
        <v>0</v>
      </c>
      <c r="AN110" s="76"/>
      <c r="AO110" s="636"/>
      <c r="AP110" s="47" t="s">
        <v>106</v>
      </c>
      <c r="AQ110" s="48">
        <f>AQ106*AN104</f>
        <v>0</v>
      </c>
      <c r="AR110" s="48">
        <f>AR106*AN104</f>
        <v>0</v>
      </c>
      <c r="AS110" s="48">
        <f>AS106*AN104</f>
        <v>0</v>
      </c>
      <c r="AT110" s="48">
        <f>AT106*AN104</f>
        <v>0</v>
      </c>
      <c r="AU110" s="48">
        <f>AU106*AN104</f>
        <v>0</v>
      </c>
      <c r="AV110" s="50">
        <f t="shared" si="276"/>
        <v>0</v>
      </c>
    </row>
    <row r="111" spans="1:48" ht="25.15" hidden="1" customHeight="1">
      <c r="A111" s="103"/>
      <c r="B111" s="65"/>
      <c r="C111" s="77">
        <v>300000</v>
      </c>
      <c r="D111" s="78" t="s">
        <v>107</v>
      </c>
      <c r="E111" s="1327">
        <v>1</v>
      </c>
      <c r="F111" s="1097">
        <v>1</v>
      </c>
      <c r="G111" s="1205">
        <v>1</v>
      </c>
      <c r="H111" s="1097">
        <v>1</v>
      </c>
      <c r="I111" s="1097">
        <v>1</v>
      </c>
      <c r="J111" s="1205">
        <v>1</v>
      </c>
      <c r="K111" s="1205">
        <v>1</v>
      </c>
      <c r="L111" s="1097">
        <v>1</v>
      </c>
      <c r="M111" s="1097">
        <v>1</v>
      </c>
      <c r="N111" s="1097">
        <v>1</v>
      </c>
      <c r="O111" s="1097">
        <v>1</v>
      </c>
      <c r="P111" s="1097">
        <v>1</v>
      </c>
      <c r="Q111" s="1205">
        <v>1</v>
      </c>
      <c r="R111" s="1205">
        <v>1</v>
      </c>
      <c r="S111" s="1097">
        <v>1</v>
      </c>
      <c r="T111" s="1097">
        <v>1</v>
      </c>
      <c r="U111" s="1097">
        <v>1</v>
      </c>
      <c r="V111" s="1097">
        <v>1</v>
      </c>
      <c r="W111" s="1097">
        <v>1</v>
      </c>
      <c r="X111" s="1205">
        <v>1</v>
      </c>
      <c r="Y111" s="1205">
        <v>1</v>
      </c>
      <c r="Z111" s="1097">
        <v>1</v>
      </c>
      <c r="AA111" s="1097">
        <v>1</v>
      </c>
      <c r="AB111" s="1097">
        <v>1</v>
      </c>
      <c r="AC111" s="1097">
        <v>1</v>
      </c>
      <c r="AD111" s="1097">
        <v>1</v>
      </c>
      <c r="AE111" s="1205">
        <v>1</v>
      </c>
      <c r="AF111" s="1205">
        <v>1</v>
      </c>
      <c r="AG111" s="1097">
        <v>1</v>
      </c>
      <c r="AH111" s="1097">
        <v>1</v>
      </c>
      <c r="AI111" s="1328">
        <v>1</v>
      </c>
      <c r="AJ111" s="79"/>
      <c r="AK111" s="79"/>
      <c r="AL111" s="55"/>
      <c r="AM111" s="1067">
        <f t="shared" si="93"/>
        <v>0</v>
      </c>
      <c r="AN111" s="31"/>
      <c r="AO111" s="622"/>
      <c r="AP111" s="23"/>
      <c r="AQ111" s="23"/>
      <c r="AR111" s="23"/>
      <c r="AS111" s="23"/>
      <c r="AT111" s="23"/>
      <c r="AU111" s="23"/>
      <c r="AV111" s="23"/>
    </row>
    <row r="112" spans="1:48" ht="25.15" hidden="1" customHeight="1">
      <c r="A112" s="103"/>
      <c r="B112" s="65"/>
      <c r="C112" s="80" t="s">
        <v>108</v>
      </c>
      <c r="D112" s="81" t="s">
        <v>109</v>
      </c>
      <c r="E112" s="1374">
        <f t="shared" ref="E112:P112" si="280">SUM(E106+E108+E109+E110)/E111</f>
        <v>0</v>
      </c>
      <c r="F112" s="1104">
        <f t="shared" si="280"/>
        <v>0</v>
      </c>
      <c r="G112" s="1211">
        <f t="shared" si="280"/>
        <v>0</v>
      </c>
      <c r="H112" s="1104">
        <f t="shared" si="280"/>
        <v>0</v>
      </c>
      <c r="I112" s="1104">
        <f t="shared" si="280"/>
        <v>0</v>
      </c>
      <c r="J112" s="1211">
        <f t="shared" si="280"/>
        <v>0</v>
      </c>
      <c r="K112" s="1211">
        <f t="shared" si="280"/>
        <v>0</v>
      </c>
      <c r="L112" s="1104">
        <f t="shared" si="280"/>
        <v>0</v>
      </c>
      <c r="M112" s="1104">
        <f t="shared" si="280"/>
        <v>0</v>
      </c>
      <c r="N112" s="1104">
        <f t="shared" si="280"/>
        <v>0</v>
      </c>
      <c r="O112" s="1104">
        <f t="shared" si="280"/>
        <v>0</v>
      </c>
      <c r="P112" s="1104">
        <f t="shared" si="280"/>
        <v>0</v>
      </c>
      <c r="Q112" s="1211">
        <f t="shared" ref="Q112:R112" si="281">SUM(Q106+Q108+Q109+Q110)/Q111</f>
        <v>0</v>
      </c>
      <c r="R112" s="1211">
        <f t="shared" si="281"/>
        <v>0</v>
      </c>
      <c r="S112" s="1104">
        <f t="shared" ref="S112:AH112" si="282">SUM(S106+S108+S109+S110)/S111</f>
        <v>0</v>
      </c>
      <c r="T112" s="1104">
        <f t="shared" si="282"/>
        <v>0</v>
      </c>
      <c r="U112" s="1104">
        <f t="shared" si="282"/>
        <v>0</v>
      </c>
      <c r="V112" s="1104">
        <f t="shared" si="282"/>
        <v>0</v>
      </c>
      <c r="W112" s="1104">
        <f t="shared" si="282"/>
        <v>0</v>
      </c>
      <c r="X112" s="1211">
        <f t="shared" si="282"/>
        <v>0</v>
      </c>
      <c r="Y112" s="1211">
        <f t="shared" si="282"/>
        <v>0</v>
      </c>
      <c r="Z112" s="1104">
        <f t="shared" si="282"/>
        <v>0</v>
      </c>
      <c r="AA112" s="1104">
        <f t="shared" si="282"/>
        <v>0</v>
      </c>
      <c r="AB112" s="1104">
        <f t="shared" si="282"/>
        <v>0</v>
      </c>
      <c r="AC112" s="1104">
        <f t="shared" si="282"/>
        <v>0</v>
      </c>
      <c r="AD112" s="1104">
        <f t="shared" si="282"/>
        <v>0</v>
      </c>
      <c r="AE112" s="1211">
        <f t="shared" si="282"/>
        <v>0</v>
      </c>
      <c r="AF112" s="1211">
        <f t="shared" si="282"/>
        <v>0</v>
      </c>
      <c r="AG112" s="1104">
        <f t="shared" si="282"/>
        <v>0</v>
      </c>
      <c r="AH112" s="1104">
        <f t="shared" si="282"/>
        <v>0</v>
      </c>
      <c r="AI112" s="1335">
        <f>SUM(AI106+AI108+AI109)/AI111</f>
        <v>0</v>
      </c>
      <c r="AJ112" s="104">
        <f>SUM(E112:AI112)</f>
        <v>0</v>
      </c>
      <c r="AK112" s="104"/>
      <c r="AL112" s="83"/>
      <c r="AM112" s="1068">
        <f t="shared" si="93"/>
        <v>0</v>
      </c>
      <c r="AN112" s="31"/>
      <c r="AO112" s="622"/>
      <c r="AP112" s="23"/>
      <c r="AQ112" s="23"/>
      <c r="AR112" s="23"/>
      <c r="AS112" s="23"/>
      <c r="AT112" s="23"/>
      <c r="AU112" s="23"/>
      <c r="AV112" s="23"/>
    </row>
    <row r="113" spans="1:48" ht="25.15" hidden="1" customHeight="1">
      <c r="A113" s="103"/>
      <c r="B113" s="59"/>
      <c r="C113" s="84">
        <f>+C111*0.8</f>
        <v>240000</v>
      </c>
      <c r="D113" s="85" t="s">
        <v>110</v>
      </c>
      <c r="E113" s="1105"/>
      <c r="F113" s="1106"/>
      <c r="G113" s="1211"/>
      <c r="H113" s="1104"/>
      <c r="I113" s="1104"/>
      <c r="J113" s="1211"/>
      <c r="K113" s="1211"/>
      <c r="L113" s="1104"/>
      <c r="M113" s="1104"/>
      <c r="N113" s="1104"/>
      <c r="O113" s="1107"/>
      <c r="P113" s="1104"/>
      <c r="Q113" s="1211"/>
      <c r="R113" s="1211"/>
      <c r="S113" s="1104"/>
      <c r="T113" s="1104"/>
      <c r="U113" s="1104"/>
      <c r="V113" s="1104"/>
      <c r="W113" s="1104"/>
      <c r="X113" s="1211"/>
      <c r="Y113" s="1211"/>
      <c r="Z113" s="1104"/>
      <c r="AA113" s="1104"/>
      <c r="AB113" s="1104"/>
      <c r="AC113" s="1104"/>
      <c r="AD113" s="1104"/>
      <c r="AE113" s="1211"/>
      <c r="AF113" s="1211"/>
      <c r="AG113" s="1104"/>
      <c r="AH113" s="1104"/>
      <c r="AI113" s="1353"/>
      <c r="AJ113" s="86"/>
      <c r="AK113" s="86"/>
      <c r="AL113" s="690"/>
      <c r="AM113" s="694">
        <f t="shared" si="93"/>
        <v>0</v>
      </c>
      <c r="AN113" s="31"/>
      <c r="AO113" s="622"/>
      <c r="AP113" s="23"/>
      <c r="AQ113" s="23"/>
      <c r="AR113" s="23"/>
      <c r="AS113" s="23"/>
      <c r="AT113" s="23"/>
      <c r="AU113" s="23"/>
      <c r="AV113" s="23"/>
    </row>
    <row r="114" spans="1:48" ht="24.75" hidden="1" customHeight="1">
      <c r="A114" s="103"/>
      <c r="B114" s="105"/>
      <c r="C114" s="77"/>
      <c r="D114" s="88" t="s">
        <v>111</v>
      </c>
      <c r="E114" s="1108">
        <f>IF(E113="O/H",E112,0+E112)</f>
        <v>0</v>
      </c>
      <c r="F114" s="1089">
        <f t="shared" ref="F114" si="283">IF(F113="O/H",F112,+E114+F112)</f>
        <v>0</v>
      </c>
      <c r="G114" s="44">
        <f t="shared" ref="G114" si="284">IF(G113="O/H",G112,+F114+G112)</f>
        <v>0</v>
      </c>
      <c r="H114" s="1089">
        <f t="shared" ref="H114" si="285">IF(H113="O/H",H112,+G114+H112)</f>
        <v>0</v>
      </c>
      <c r="I114" s="1089">
        <f t="shared" ref="I114" si="286">IF(I113="O/H",I112,+H114+I112)</f>
        <v>0</v>
      </c>
      <c r="J114" s="44">
        <f t="shared" ref="J114" si="287">IF(J113="O/H",J112,+I114+J112)</f>
        <v>0</v>
      </c>
      <c r="K114" s="44">
        <f t="shared" ref="K114" si="288">IF(K113="O/H",K112,+J114+K112)</f>
        <v>0</v>
      </c>
      <c r="L114" s="1089">
        <f t="shared" ref="L114" si="289">IF(L113="O/H",L112,+K114+L112)</f>
        <v>0</v>
      </c>
      <c r="M114" s="1089">
        <f t="shared" ref="M114" si="290">IF(M113="O/H",M112,+L114+M112)</f>
        <v>0</v>
      </c>
      <c r="N114" s="1089">
        <f t="shared" ref="N114" si="291">IF(N113="O/H",N112,+M114+N112)</f>
        <v>0</v>
      </c>
      <c r="O114" s="1089">
        <f t="shared" ref="O114" si="292">IF(O113="O/H",O112,+N114+O112)</f>
        <v>0</v>
      </c>
      <c r="P114" s="1089">
        <f t="shared" ref="P114" si="293">IF(P113="O/H",P112,+O114+P112)</f>
        <v>0</v>
      </c>
      <c r="Q114" s="44">
        <f t="shared" ref="Q114" si="294">IF(Q113="O/H",Q112,+P114+Q112)</f>
        <v>0</v>
      </c>
      <c r="R114" s="44">
        <f t="shared" ref="R114" si="295">IF(R113="O/H",R112,+Q114+R112)</f>
        <v>0</v>
      </c>
      <c r="S114" s="1089">
        <f t="shared" ref="S114" si="296">IF(S113="O/H",S112,+R114+S112)</f>
        <v>0</v>
      </c>
      <c r="T114" s="1089">
        <f t="shared" ref="T114" si="297">IF(T113="O/H",T112,+S114+T112)</f>
        <v>0</v>
      </c>
      <c r="U114" s="1089">
        <f t="shared" ref="U114" si="298">IF(U113="O/H",U112,+T114+U112)</f>
        <v>0</v>
      </c>
      <c r="V114" s="1089">
        <f t="shared" ref="V114" si="299">IF(V113="O/H",V112,+U114+V112)</f>
        <v>0</v>
      </c>
      <c r="W114" s="1089">
        <f t="shared" ref="W114" si="300">IF(W113="O/H",W112,+V114+W112)</f>
        <v>0</v>
      </c>
      <c r="X114" s="44">
        <f t="shared" ref="X114" si="301">IF(X113="O/H",X112,+W114+X112)</f>
        <v>0</v>
      </c>
      <c r="Y114" s="44">
        <f t="shared" ref="Y114" si="302">IF(Y113="O/H",Y112,+X114+Y112)</f>
        <v>0</v>
      </c>
      <c r="Z114" s="1089">
        <f t="shared" ref="Z114" si="303">IF(Z113="O/H",Z112,+Y114+Z112)</f>
        <v>0</v>
      </c>
      <c r="AA114" s="1089">
        <f t="shared" ref="AA114" si="304">IF(AA113="O/H",AA112,+Z114+AA112)</f>
        <v>0</v>
      </c>
      <c r="AB114" s="1089">
        <f t="shared" ref="AB114" si="305">IF(AB113="O/H",AB112,+AA114+AB112)</f>
        <v>0</v>
      </c>
      <c r="AC114" s="1089">
        <f t="shared" ref="AC114" si="306">IF(AC113="O/H",AC112,+AB114+AC112)</f>
        <v>0</v>
      </c>
      <c r="AD114" s="1089">
        <f t="shared" ref="AD114" si="307">IF(AD113="O/H",AD112,+AC114+AD112)</f>
        <v>0</v>
      </c>
      <c r="AE114" s="44">
        <f t="shared" ref="AE114" si="308">IF(AE113="O/H",AE112,+AD114+AE112)</f>
        <v>0</v>
      </c>
      <c r="AF114" s="44">
        <f t="shared" ref="AF114" si="309">IF(AF113="O/H",AF112,+AE114+AF112)</f>
        <v>0</v>
      </c>
      <c r="AG114" s="1089">
        <f t="shared" ref="AG114" si="310">IF(AG113="O/H",AG112,+AF114+AG112)</f>
        <v>0</v>
      </c>
      <c r="AH114" s="1089">
        <f t="shared" ref="AH114" si="311">IF(AH113="O/H",AH112,+AG114+AH112)</f>
        <v>0</v>
      </c>
      <c r="AI114" s="1326">
        <f t="shared" ref="AI114" si="312">IF(AI113="O/H",AI112,+AH114+AI112)</f>
        <v>0</v>
      </c>
      <c r="AJ114" s="79"/>
      <c r="AK114" s="86"/>
      <c r="AL114" s="689"/>
      <c r="AM114" s="694">
        <f t="shared" si="93"/>
        <v>0</v>
      </c>
      <c r="AN114" s="31"/>
      <c r="AO114" s="622"/>
      <c r="AP114" s="23"/>
      <c r="AQ114" s="23"/>
      <c r="AR114" s="23"/>
      <c r="AS114" s="23"/>
      <c r="AT114" s="23"/>
      <c r="AU114" s="23"/>
      <c r="AV114" s="23"/>
    </row>
    <row r="115" spans="1:48" ht="25.15" hidden="1" customHeight="1">
      <c r="A115" s="103"/>
      <c r="B115" s="89"/>
      <c r="C115" s="80"/>
      <c r="D115" s="90" t="s">
        <v>104</v>
      </c>
      <c r="E115" s="1108"/>
      <c r="F115" s="1089"/>
      <c r="G115" s="44"/>
      <c r="H115" s="1089"/>
      <c r="I115" s="1089"/>
      <c r="J115" s="44"/>
      <c r="K115" s="44"/>
      <c r="L115" s="1089"/>
      <c r="M115" s="1089"/>
      <c r="N115" s="1089"/>
      <c r="O115" s="1089"/>
      <c r="P115" s="1089"/>
      <c r="Q115" s="44"/>
      <c r="R115" s="44"/>
      <c r="S115" s="1089"/>
      <c r="T115" s="1089"/>
      <c r="U115" s="1089"/>
      <c r="V115" s="1089"/>
      <c r="W115" s="1089"/>
      <c r="X115" s="44"/>
      <c r="Y115" s="44"/>
      <c r="Z115" s="1089"/>
      <c r="AA115" s="1089"/>
      <c r="AB115" s="1089"/>
      <c r="AC115" s="1089"/>
      <c r="AD115" s="1089"/>
      <c r="AE115" s="44"/>
      <c r="AF115" s="44"/>
      <c r="AG115" s="1089"/>
      <c r="AH115" s="1089"/>
      <c r="AI115" s="1326"/>
      <c r="AJ115" s="79"/>
      <c r="AK115" s="79"/>
      <c r="AL115" s="63"/>
      <c r="AM115" s="1068">
        <f t="shared" si="93"/>
        <v>0</v>
      </c>
      <c r="AN115" s="64"/>
      <c r="AO115" s="624"/>
      <c r="AP115" s="23"/>
      <c r="AQ115" s="23"/>
      <c r="AR115" s="23"/>
      <c r="AS115" s="23"/>
      <c r="AT115" s="23"/>
      <c r="AU115" s="23"/>
      <c r="AV115" s="23"/>
    </row>
    <row r="116" spans="1:48" ht="24.75" hidden="1" customHeight="1" thickBot="1">
      <c r="A116" s="106"/>
      <c r="B116" s="93"/>
      <c r="C116" s="94"/>
      <c r="D116" s="95" t="s">
        <v>111</v>
      </c>
      <c r="E116" s="1109">
        <v>0</v>
      </c>
      <c r="F116" s="1110">
        <f t="shared" ref="F116" si="313">IF(F115="O/H",F112,+E116+F112)</f>
        <v>0</v>
      </c>
      <c r="G116" s="1212">
        <f t="shared" ref="G116" si="314">IF(G115="O/H",G112,+F116+G112)</f>
        <v>0</v>
      </c>
      <c r="H116" s="1110">
        <f t="shared" ref="H116" si="315">IF(H115="O/H",H112,+G116+H112)</f>
        <v>0</v>
      </c>
      <c r="I116" s="1110">
        <f t="shared" ref="I116" si="316">IF(I115="O/H",I112,+H116+I112)</f>
        <v>0</v>
      </c>
      <c r="J116" s="1212">
        <f t="shared" ref="J116" si="317">IF(J115="O/H",J112,+I116+J112)</f>
        <v>0</v>
      </c>
      <c r="K116" s="1212">
        <f t="shared" ref="K116" si="318">IF(K115="O/H",K112,+J116+K112)</f>
        <v>0</v>
      </c>
      <c r="L116" s="1110">
        <f t="shared" ref="L116" si="319">IF(L115="O/H",L112,+K116+L112)</f>
        <v>0</v>
      </c>
      <c r="M116" s="1110">
        <f t="shared" ref="M116" si="320">IF(M115="O/H",M112,+L116+M112)</f>
        <v>0</v>
      </c>
      <c r="N116" s="1110">
        <f t="shared" ref="N116" si="321">IF(N115="O/H",N112,+M116+N112)</f>
        <v>0</v>
      </c>
      <c r="O116" s="1110">
        <f t="shared" ref="O116" si="322">IF(O115="O/H",O112,+N116+O112)</f>
        <v>0</v>
      </c>
      <c r="P116" s="1110">
        <f t="shared" ref="P116" si="323">IF(P115="O/H",P112,+O116+P112)</f>
        <v>0</v>
      </c>
      <c r="Q116" s="1212">
        <f t="shared" ref="Q116" si="324">IF(Q115="O/H",Q112,+P116+Q112)</f>
        <v>0</v>
      </c>
      <c r="R116" s="1212">
        <f t="shared" ref="R116" si="325">IF(R115="O/H",R112,+Q116+R112)</f>
        <v>0</v>
      </c>
      <c r="S116" s="1110">
        <f t="shared" ref="S116" si="326">IF(S115="O/H",S112,+R116+S112)</f>
        <v>0</v>
      </c>
      <c r="T116" s="1110">
        <f t="shared" ref="T116" si="327">IF(T115="O/H",T112,+S116+T112)</f>
        <v>0</v>
      </c>
      <c r="U116" s="1110">
        <f t="shared" ref="U116" si="328">IF(U115="O/H",U112,+T116+U112)</f>
        <v>0</v>
      </c>
      <c r="V116" s="1110">
        <f t="shared" ref="V116" si="329">IF(V115="O/H",V112,+U116+V112)</f>
        <v>0</v>
      </c>
      <c r="W116" s="1110">
        <f t="shared" ref="W116" si="330">IF(W115="O/H",W112,+V116+W112)</f>
        <v>0</v>
      </c>
      <c r="X116" s="1212">
        <f t="shared" ref="X116" si="331">IF(X115="O/H",X112,+W116+X112)</f>
        <v>0</v>
      </c>
      <c r="Y116" s="1212">
        <f t="shared" ref="Y116" si="332">IF(Y115="O/H",Y112,+X116+Y112)</f>
        <v>0</v>
      </c>
      <c r="Z116" s="1110">
        <f t="shared" ref="Z116" si="333">IF(Z115="O/H",Z112,+Y116+Z112)</f>
        <v>0</v>
      </c>
      <c r="AA116" s="1110">
        <f t="shared" ref="AA116" si="334">IF(AA115="O/H",AA112,+Z116+AA112)</f>
        <v>0</v>
      </c>
      <c r="AB116" s="1110">
        <f t="shared" ref="AB116" si="335">IF(AB115="O/H",AB112,+AA116+AB112)</f>
        <v>0</v>
      </c>
      <c r="AC116" s="1110">
        <f t="shared" ref="AC116" si="336">IF(AC115="O/H",AC112,+AB116+AC112)</f>
        <v>0</v>
      </c>
      <c r="AD116" s="1110">
        <f t="shared" ref="AD116" si="337">IF(AD115="O/H",AD112,+AC116+AD112)</f>
        <v>0</v>
      </c>
      <c r="AE116" s="1212">
        <f t="shared" ref="AE116" si="338">IF(AE115="O/H",AE112,+AD116+AE112)</f>
        <v>0</v>
      </c>
      <c r="AF116" s="1212">
        <f t="shared" ref="AF116" si="339">IF(AF115="O/H",AF112,+AE116+AF112)</f>
        <v>0</v>
      </c>
      <c r="AG116" s="1110">
        <f t="shared" ref="AG116" si="340">IF(AG115="O/H",AG112,+AF116+AG112)</f>
        <v>0</v>
      </c>
      <c r="AH116" s="1110">
        <f t="shared" ref="AH116" si="341">IF(AH115="O/H",AH112,+AG116+AH112)</f>
        <v>0</v>
      </c>
      <c r="AI116" s="1340">
        <f t="shared" ref="AI116" si="342">IF(AI115="O/H",AI112,+AH116+AI112)</f>
        <v>0</v>
      </c>
      <c r="AJ116" s="96"/>
      <c r="AK116" s="96"/>
      <c r="AL116" s="97"/>
      <c r="AM116" s="1071">
        <f t="shared" si="93"/>
        <v>0</v>
      </c>
      <c r="AN116" s="98"/>
      <c r="AO116" s="625"/>
      <c r="AP116" s="23"/>
      <c r="AQ116" s="23"/>
      <c r="AR116" s="23"/>
      <c r="AS116" s="23"/>
      <c r="AT116" s="23"/>
      <c r="AU116" s="23"/>
      <c r="AV116" s="23"/>
    </row>
    <row r="117" spans="1:48" ht="23.25" hidden="1" customHeight="1" thickTop="1">
      <c r="A117" s="99"/>
      <c r="B117" s="26" t="s">
        <v>121</v>
      </c>
      <c r="C117" s="27"/>
      <c r="D117" s="28" t="s">
        <v>82</v>
      </c>
      <c r="E117" s="1111"/>
      <c r="F117" s="1111"/>
      <c r="G117" s="1201"/>
      <c r="H117" s="1111"/>
      <c r="I117" s="1111"/>
      <c r="J117" s="1201"/>
      <c r="K117" s="1201"/>
      <c r="L117" s="1111"/>
      <c r="M117" s="1111"/>
      <c r="N117" s="1111"/>
      <c r="O117" s="1111"/>
      <c r="P117" s="1111"/>
      <c r="Q117" s="1201"/>
      <c r="R117" s="1201"/>
      <c r="S117" s="1111"/>
      <c r="T117" s="1111"/>
      <c r="U117" s="1111"/>
      <c r="V117" s="1111"/>
      <c r="W117" s="1111"/>
      <c r="X117" s="1201"/>
      <c r="Y117" s="1201"/>
      <c r="Z117" s="1111"/>
      <c r="AA117" s="1111"/>
      <c r="AB117" s="1111"/>
      <c r="AC117" s="1111"/>
      <c r="AD117" s="1111"/>
      <c r="AE117" s="1201"/>
      <c r="AF117" s="1201"/>
      <c r="AG117" s="1111"/>
      <c r="AH117" s="1111"/>
      <c r="AI117" s="1412"/>
      <c r="AJ117" s="100">
        <f>SUM(Table75[[#This Row],[June''2026]:[Column27]])</f>
        <v>0</v>
      </c>
      <c r="AK117" s="100">
        <f t="shared" si="129"/>
        <v>0</v>
      </c>
      <c r="AL117" s="101">
        <f>+AJ117*AN117</f>
        <v>0</v>
      </c>
      <c r="AM117" s="1072">
        <f t="shared" si="93"/>
        <v>0</v>
      </c>
      <c r="AN117" s="102"/>
      <c r="AO117" s="622" t="e">
        <f>Table5[[#This Row],[Total]]*B121/1000</f>
        <v>#VALUE!</v>
      </c>
      <c r="AP117" s="32" t="s">
        <v>83</v>
      </c>
      <c r="AQ117" s="33" t="s">
        <v>84</v>
      </c>
      <c r="AR117" s="33" t="s">
        <v>85</v>
      </c>
      <c r="AS117" s="33" t="s">
        <v>86</v>
      </c>
      <c r="AT117" s="33" t="s">
        <v>87</v>
      </c>
      <c r="AU117" s="33" t="s">
        <v>88</v>
      </c>
      <c r="AV117" s="34" t="s">
        <v>68</v>
      </c>
    </row>
    <row r="118" spans="1:48" ht="25.15" hidden="1" customHeight="1">
      <c r="A118" s="103"/>
      <c r="B118" s="35" t="s">
        <v>122</v>
      </c>
      <c r="C118" s="36"/>
      <c r="D118" s="37" t="s">
        <v>90</v>
      </c>
      <c r="E118" s="1373">
        <f>IF(E117="",0,+ E117/E124)</f>
        <v>0</v>
      </c>
      <c r="F118" s="1096">
        <f t="shared" ref="F118:AI118" si="343">IF(F117="",0, E118+F117/F124)</f>
        <v>0</v>
      </c>
      <c r="G118" s="1207">
        <f t="shared" si="343"/>
        <v>0</v>
      </c>
      <c r="H118" s="1096">
        <f t="shared" si="343"/>
        <v>0</v>
      </c>
      <c r="I118" s="1096">
        <f t="shared" si="343"/>
        <v>0</v>
      </c>
      <c r="J118" s="1207">
        <f t="shared" si="343"/>
        <v>0</v>
      </c>
      <c r="K118" s="1207">
        <f t="shared" si="343"/>
        <v>0</v>
      </c>
      <c r="L118" s="1096">
        <f t="shared" si="343"/>
        <v>0</v>
      </c>
      <c r="M118" s="1096">
        <f t="shared" si="343"/>
        <v>0</v>
      </c>
      <c r="N118" s="1096">
        <f t="shared" si="343"/>
        <v>0</v>
      </c>
      <c r="O118" s="1096">
        <f t="shared" si="343"/>
        <v>0</v>
      </c>
      <c r="P118" s="1096">
        <f t="shared" si="343"/>
        <v>0</v>
      </c>
      <c r="Q118" s="1207">
        <f t="shared" si="343"/>
        <v>0</v>
      </c>
      <c r="R118" s="1207">
        <f t="shared" si="343"/>
        <v>0</v>
      </c>
      <c r="S118" s="1096">
        <f t="shared" si="343"/>
        <v>0</v>
      </c>
      <c r="T118" s="1096">
        <f t="shared" si="343"/>
        <v>0</v>
      </c>
      <c r="U118" s="1096">
        <f t="shared" si="343"/>
        <v>0</v>
      </c>
      <c r="V118" s="1096">
        <f t="shared" si="343"/>
        <v>0</v>
      </c>
      <c r="W118" s="1096">
        <f t="shared" si="343"/>
        <v>0</v>
      </c>
      <c r="X118" s="1207">
        <f t="shared" si="343"/>
        <v>0</v>
      </c>
      <c r="Y118" s="1207">
        <f t="shared" si="343"/>
        <v>0</v>
      </c>
      <c r="Z118" s="1096">
        <f t="shared" si="343"/>
        <v>0</v>
      </c>
      <c r="AA118" s="1096">
        <f t="shared" si="343"/>
        <v>0</v>
      </c>
      <c r="AB118" s="1096">
        <f t="shared" si="343"/>
        <v>0</v>
      </c>
      <c r="AC118" s="1096">
        <f t="shared" si="343"/>
        <v>0</v>
      </c>
      <c r="AD118" s="1096">
        <f t="shared" si="343"/>
        <v>0</v>
      </c>
      <c r="AE118" s="1207">
        <f t="shared" si="343"/>
        <v>0</v>
      </c>
      <c r="AF118" s="1207">
        <f t="shared" si="343"/>
        <v>0</v>
      </c>
      <c r="AG118" s="1096">
        <f t="shared" si="343"/>
        <v>0</v>
      </c>
      <c r="AH118" s="1096">
        <f t="shared" si="343"/>
        <v>0</v>
      </c>
      <c r="AI118" s="1324">
        <f t="shared" si="343"/>
        <v>0</v>
      </c>
      <c r="AJ118" s="38"/>
      <c r="AK118" s="29"/>
      <c r="AL118" s="30"/>
      <c r="AM118" s="694">
        <f t="shared" si="93"/>
        <v>0</v>
      </c>
      <c r="AN118" s="31"/>
      <c r="AO118" s="630"/>
      <c r="AP118" s="39" t="s">
        <v>91</v>
      </c>
      <c r="AQ118" s="40">
        <f>SUM(E117:I117)</f>
        <v>0</v>
      </c>
      <c r="AR118" s="41">
        <f>SUM(J117:P117)</f>
        <v>0</v>
      </c>
      <c r="AS118" s="41">
        <f>SUM(Q117:W117)</f>
        <v>0</v>
      </c>
      <c r="AT118" s="41">
        <f>SUM(X117:AD117)</f>
        <v>0</v>
      </c>
      <c r="AU118" s="41">
        <f>SUM(AE117:AI117)</f>
        <v>0</v>
      </c>
      <c r="AV118" s="34">
        <f t="shared" ref="AV118:AV123" si="344">SUM(AQ118:AU118)</f>
        <v>0</v>
      </c>
    </row>
    <row r="119" spans="1:48" ht="25.15" hidden="1" customHeight="1">
      <c r="A119" s="103"/>
      <c r="B119" s="26" t="s">
        <v>92</v>
      </c>
      <c r="C119" s="42"/>
      <c r="D119" s="43" t="s">
        <v>93</v>
      </c>
      <c r="E119" s="1325"/>
      <c r="F119" s="1089"/>
      <c r="G119" s="44"/>
      <c r="H119" s="1089"/>
      <c r="I119" s="1089"/>
      <c r="J119" s="44"/>
      <c r="K119" s="44"/>
      <c r="L119" s="1089"/>
      <c r="M119" s="1089"/>
      <c r="N119" s="1089"/>
      <c r="O119" s="1089"/>
      <c r="P119" s="1089"/>
      <c r="Q119" s="44"/>
      <c r="R119" s="44"/>
      <c r="S119" s="1089"/>
      <c r="T119" s="1089"/>
      <c r="U119" s="1089"/>
      <c r="V119" s="1089"/>
      <c r="W119" s="1089"/>
      <c r="X119" s="44"/>
      <c r="Y119" s="44"/>
      <c r="Z119" s="1089"/>
      <c r="AA119" s="1089"/>
      <c r="AB119" s="1089"/>
      <c r="AC119" s="1089"/>
      <c r="AD119" s="1089"/>
      <c r="AE119" s="44"/>
      <c r="AF119" s="44"/>
      <c r="AG119" s="1089"/>
      <c r="AH119" s="1089"/>
      <c r="AI119" s="1326"/>
      <c r="AJ119" s="45">
        <f>SUM(E119:AI119)</f>
        <v>0</v>
      </c>
      <c r="AK119" s="45"/>
      <c r="AL119" s="46">
        <f>+AJ119*AN117</f>
        <v>0</v>
      </c>
      <c r="AM119" s="1066">
        <f t="shared" si="93"/>
        <v>0</v>
      </c>
      <c r="AN119" s="31"/>
      <c r="AO119" s="632">
        <f>(AJ119+AJ121+AJ122+AJ123)*B121/1000</f>
        <v>0</v>
      </c>
      <c r="AP119" s="47" t="s">
        <v>94</v>
      </c>
      <c r="AQ119" s="48">
        <f>SUM(E119:I119)</f>
        <v>0</v>
      </c>
      <c r="AR119" s="49">
        <f>SUM(J119:P119)</f>
        <v>0</v>
      </c>
      <c r="AS119" s="49">
        <f>SUM(Q119:W119)</f>
        <v>0</v>
      </c>
      <c r="AT119" s="49">
        <f>SUM(X119:AD119)</f>
        <v>0</v>
      </c>
      <c r="AU119" s="49">
        <f>SUM(AE119:AI119)</f>
        <v>0</v>
      </c>
      <c r="AV119" s="50">
        <f t="shared" si="344"/>
        <v>0</v>
      </c>
    </row>
    <row r="120" spans="1:48" ht="25.15" hidden="1" customHeight="1">
      <c r="A120" s="103"/>
      <c r="B120" s="51"/>
      <c r="C120" s="52" t="s">
        <v>95</v>
      </c>
      <c r="D120" s="53" t="s">
        <v>96</v>
      </c>
      <c r="E120" s="1327">
        <f t="shared" ref="E120:AJ120" si="345">+E119-E117</f>
        <v>0</v>
      </c>
      <c r="F120" s="1097">
        <f t="shared" si="345"/>
        <v>0</v>
      </c>
      <c r="G120" s="1205">
        <f t="shared" si="345"/>
        <v>0</v>
      </c>
      <c r="H120" s="1097">
        <f t="shared" si="345"/>
        <v>0</v>
      </c>
      <c r="I120" s="1097">
        <f t="shared" si="345"/>
        <v>0</v>
      </c>
      <c r="J120" s="1205">
        <f t="shared" si="345"/>
        <v>0</v>
      </c>
      <c r="K120" s="1205">
        <f t="shared" si="345"/>
        <v>0</v>
      </c>
      <c r="L120" s="1097">
        <f t="shared" si="345"/>
        <v>0</v>
      </c>
      <c r="M120" s="1097">
        <f t="shared" si="345"/>
        <v>0</v>
      </c>
      <c r="N120" s="1097">
        <f t="shared" si="345"/>
        <v>0</v>
      </c>
      <c r="O120" s="1097">
        <f t="shared" si="345"/>
        <v>0</v>
      </c>
      <c r="P120" s="1097">
        <f t="shared" si="345"/>
        <v>0</v>
      </c>
      <c r="Q120" s="1205">
        <f t="shared" si="345"/>
        <v>0</v>
      </c>
      <c r="R120" s="1205">
        <f t="shared" si="345"/>
        <v>0</v>
      </c>
      <c r="S120" s="1097">
        <f t="shared" si="345"/>
        <v>0</v>
      </c>
      <c r="T120" s="1097">
        <f t="shared" si="345"/>
        <v>0</v>
      </c>
      <c r="U120" s="1097">
        <f t="shared" si="345"/>
        <v>0</v>
      </c>
      <c r="V120" s="1097">
        <f t="shared" si="345"/>
        <v>0</v>
      </c>
      <c r="W120" s="1097">
        <f t="shared" si="345"/>
        <v>0</v>
      </c>
      <c r="X120" s="1205">
        <f t="shared" si="345"/>
        <v>0</v>
      </c>
      <c r="Y120" s="1205">
        <f t="shared" si="345"/>
        <v>0</v>
      </c>
      <c r="Z120" s="1097">
        <f t="shared" si="345"/>
        <v>0</v>
      </c>
      <c r="AA120" s="1097">
        <f t="shared" si="345"/>
        <v>0</v>
      </c>
      <c r="AB120" s="1097">
        <f t="shared" si="345"/>
        <v>0</v>
      </c>
      <c r="AC120" s="1097">
        <f t="shared" si="345"/>
        <v>0</v>
      </c>
      <c r="AD120" s="1097">
        <f t="shared" si="345"/>
        <v>0</v>
      </c>
      <c r="AE120" s="1205">
        <f t="shared" si="345"/>
        <v>0</v>
      </c>
      <c r="AF120" s="1205">
        <f t="shared" ref="AF120" si="346">+AF119-AF117</f>
        <v>0</v>
      </c>
      <c r="AG120" s="1097">
        <f t="shared" si="345"/>
        <v>0</v>
      </c>
      <c r="AH120" s="1097">
        <f t="shared" si="345"/>
        <v>0</v>
      </c>
      <c r="AI120" s="1328">
        <f t="shared" si="345"/>
        <v>0</v>
      </c>
      <c r="AJ120" s="54">
        <f t="shared" si="345"/>
        <v>0</v>
      </c>
      <c r="AK120" s="54"/>
      <c r="AL120" s="55">
        <f>+AJ120*AN117</f>
        <v>0</v>
      </c>
      <c r="AM120" s="1067">
        <f t="shared" si="93"/>
        <v>0</v>
      </c>
      <c r="AN120" s="31" t="s">
        <v>97</v>
      </c>
      <c r="AO120" s="622"/>
      <c r="AP120" s="39" t="s">
        <v>98</v>
      </c>
      <c r="AQ120" s="56">
        <f>AQ119-AQ118</f>
        <v>0</v>
      </c>
      <c r="AR120" s="70">
        <f>AR119-AR118</f>
        <v>0</v>
      </c>
      <c r="AS120" s="70">
        <f>AS119-AS118</f>
        <v>0</v>
      </c>
      <c r="AT120" s="70">
        <f>AT119-AT118</f>
        <v>0</v>
      </c>
      <c r="AU120" s="70">
        <f>AU119-AU118</f>
        <v>0</v>
      </c>
      <c r="AV120" s="57">
        <f t="shared" si="344"/>
        <v>0</v>
      </c>
    </row>
    <row r="121" spans="1:48" ht="25.15" hidden="1" customHeight="1">
      <c r="A121" s="58"/>
      <c r="B121" s="59"/>
      <c r="C121" s="60" t="s">
        <v>100</v>
      </c>
      <c r="D121" s="61" t="s">
        <v>101</v>
      </c>
      <c r="E121" s="1329"/>
      <c r="F121" s="1099"/>
      <c r="G121" s="1208"/>
      <c r="H121" s="1099"/>
      <c r="I121" s="1099"/>
      <c r="J121" s="1208"/>
      <c r="K121" s="1208"/>
      <c r="L121" s="1099"/>
      <c r="M121" s="1099"/>
      <c r="N121" s="1099"/>
      <c r="O121" s="1099"/>
      <c r="P121" s="1099"/>
      <c r="Q121" s="1208"/>
      <c r="R121" s="1208"/>
      <c r="S121" s="1099"/>
      <c r="T121" s="1099"/>
      <c r="U121" s="1099"/>
      <c r="V121" s="1099"/>
      <c r="W121" s="1099"/>
      <c r="X121" s="1208"/>
      <c r="Y121" s="1208"/>
      <c r="Z121" s="1099"/>
      <c r="AA121" s="1099"/>
      <c r="AB121" s="1099"/>
      <c r="AC121" s="1099"/>
      <c r="AD121" s="1099"/>
      <c r="AE121" s="1208"/>
      <c r="AF121" s="1208"/>
      <c r="AG121" s="1099"/>
      <c r="AH121" s="1099"/>
      <c r="AI121" s="1330"/>
      <c r="AJ121" s="62">
        <f>SUM(E121:AI121)</f>
        <v>0</v>
      </c>
      <c r="AK121" s="62"/>
      <c r="AL121" s="63">
        <f>+AJ121*AN117</f>
        <v>0</v>
      </c>
      <c r="AM121" s="1068">
        <f t="shared" si="93"/>
        <v>0</v>
      </c>
      <c r="AN121" s="64" t="e">
        <f>+AJ121/AJ119*100</f>
        <v>#DIV/0!</v>
      </c>
      <c r="AO121" s="635" t="e">
        <f>AO119/AO117</f>
        <v>#VALUE!</v>
      </c>
      <c r="AP121" s="39" t="s">
        <v>102</v>
      </c>
      <c r="AQ121" s="56">
        <f>SUM(E121:I121)</f>
        <v>0</v>
      </c>
      <c r="AR121" s="70">
        <f>SUM(J121:P121)</f>
        <v>0</v>
      </c>
      <c r="AS121" s="70">
        <f>SUM(Q121:W121)</f>
        <v>0</v>
      </c>
      <c r="AT121" s="70">
        <f>SUM(X121:AD121)</f>
        <v>0</v>
      </c>
      <c r="AU121" s="70">
        <f>SUM(AE121:AI121)</f>
        <v>0</v>
      </c>
      <c r="AV121" s="57">
        <f t="shared" si="344"/>
        <v>0</v>
      </c>
    </row>
    <row r="122" spans="1:48" ht="25.15" hidden="1" customHeight="1">
      <c r="A122" s="58" t="s">
        <v>99</v>
      </c>
      <c r="B122" s="65"/>
      <c r="C122" s="66"/>
      <c r="D122" s="67" t="s">
        <v>103</v>
      </c>
      <c r="E122" s="1331"/>
      <c r="F122" s="1101"/>
      <c r="G122" s="1209"/>
      <c r="H122" s="1101"/>
      <c r="I122" s="1101"/>
      <c r="J122" s="1209"/>
      <c r="K122" s="1209"/>
      <c r="L122" s="1101"/>
      <c r="M122" s="1101"/>
      <c r="N122" s="1101"/>
      <c r="O122" s="1101"/>
      <c r="P122" s="1101"/>
      <c r="Q122" s="1209"/>
      <c r="R122" s="1209"/>
      <c r="S122" s="1101"/>
      <c r="T122" s="1101"/>
      <c r="U122" s="1101"/>
      <c r="V122" s="1101"/>
      <c r="W122" s="1101"/>
      <c r="X122" s="1209"/>
      <c r="Y122" s="1209"/>
      <c r="Z122" s="1101"/>
      <c r="AA122" s="1101"/>
      <c r="AB122" s="1101"/>
      <c r="AC122" s="1101"/>
      <c r="AD122" s="1101"/>
      <c r="AE122" s="1209"/>
      <c r="AF122" s="1209"/>
      <c r="AG122" s="1101"/>
      <c r="AH122" s="1101"/>
      <c r="AI122" s="1332"/>
      <c r="AJ122" s="68">
        <f>SUM(E122:AI122)</f>
        <v>0</v>
      </c>
      <c r="AK122" s="68"/>
      <c r="AL122" s="69">
        <f>+AJ122*AN117</f>
        <v>0</v>
      </c>
      <c r="AM122" s="1069">
        <f t="shared" si="93"/>
        <v>0</v>
      </c>
      <c r="AN122" s="31"/>
      <c r="AO122" s="622"/>
      <c r="AP122" s="39" t="s">
        <v>19</v>
      </c>
      <c r="AQ122" s="56">
        <f>AQ121*AN117</f>
        <v>0</v>
      </c>
      <c r="AR122" s="56">
        <f>AR121*AN117</f>
        <v>0</v>
      </c>
      <c r="AS122" s="56">
        <f>AS121*AN117</f>
        <v>0</v>
      </c>
      <c r="AT122" s="56">
        <f>AT121*AN117</f>
        <v>0</v>
      </c>
      <c r="AU122" s="56">
        <f>AU121*AN117</f>
        <v>0</v>
      </c>
      <c r="AV122" s="57">
        <f t="shared" si="344"/>
        <v>0</v>
      </c>
    </row>
    <row r="123" spans="1:48" ht="25.15" hidden="1" customHeight="1">
      <c r="A123" s="103"/>
      <c r="B123" s="65"/>
      <c r="C123" s="72" t="s">
        <v>104</v>
      </c>
      <c r="D123" s="73" t="s">
        <v>105</v>
      </c>
      <c r="E123" s="1378"/>
      <c r="F123" s="1103"/>
      <c r="G123" s="1210"/>
      <c r="H123" s="1103"/>
      <c r="I123" s="1103"/>
      <c r="J123" s="1210"/>
      <c r="K123" s="1210"/>
      <c r="L123" s="1103"/>
      <c r="M123" s="1103"/>
      <c r="N123" s="1103"/>
      <c r="O123" s="1103"/>
      <c r="P123" s="1103"/>
      <c r="Q123" s="1210"/>
      <c r="R123" s="1210"/>
      <c r="S123" s="1103"/>
      <c r="T123" s="1103"/>
      <c r="U123" s="1103"/>
      <c r="V123" s="1103"/>
      <c r="W123" s="1103"/>
      <c r="X123" s="1210"/>
      <c r="Y123" s="1210"/>
      <c r="Z123" s="1103"/>
      <c r="AA123" s="1103"/>
      <c r="AB123" s="1103"/>
      <c r="AC123" s="1103"/>
      <c r="AD123" s="1103"/>
      <c r="AE123" s="1210"/>
      <c r="AF123" s="1210"/>
      <c r="AG123" s="1103"/>
      <c r="AH123" s="1103"/>
      <c r="AI123" s="1352"/>
      <c r="AJ123" s="74">
        <f>SUM(E123:AI123)</f>
        <v>0</v>
      </c>
      <c r="AK123" s="74"/>
      <c r="AL123" s="75">
        <f>+AJ123*AN117</f>
        <v>0</v>
      </c>
      <c r="AM123" s="1070">
        <f t="shared" si="93"/>
        <v>0</v>
      </c>
      <c r="AN123" s="76"/>
      <c r="AO123" s="636"/>
      <c r="AP123" s="47" t="s">
        <v>106</v>
      </c>
      <c r="AQ123" s="48">
        <f>AQ119*AN117</f>
        <v>0</v>
      </c>
      <c r="AR123" s="48">
        <f>AR119*AN117</f>
        <v>0</v>
      </c>
      <c r="AS123" s="48">
        <f>AS119*AN117</f>
        <v>0</v>
      </c>
      <c r="AT123" s="48">
        <f>AT119*AN117</f>
        <v>0</v>
      </c>
      <c r="AU123" s="48">
        <f>AU119*AN117</f>
        <v>0</v>
      </c>
      <c r="AV123" s="50">
        <f t="shared" si="344"/>
        <v>0</v>
      </c>
    </row>
    <row r="124" spans="1:48" ht="25.15" hidden="1" customHeight="1">
      <c r="A124" s="103"/>
      <c r="B124" s="65"/>
      <c r="C124" s="77">
        <v>300000</v>
      </c>
      <c r="D124" s="78" t="s">
        <v>107</v>
      </c>
      <c r="E124" s="1327">
        <v>1</v>
      </c>
      <c r="F124" s="1097">
        <v>1</v>
      </c>
      <c r="G124" s="1205">
        <v>1</v>
      </c>
      <c r="H124" s="1097">
        <v>1</v>
      </c>
      <c r="I124" s="1097">
        <v>1</v>
      </c>
      <c r="J124" s="1205">
        <v>1</v>
      </c>
      <c r="K124" s="1205">
        <v>1</v>
      </c>
      <c r="L124" s="1097">
        <v>1</v>
      </c>
      <c r="M124" s="1097">
        <v>1</v>
      </c>
      <c r="N124" s="1097">
        <v>1</v>
      </c>
      <c r="O124" s="1097">
        <v>1</v>
      </c>
      <c r="P124" s="1097">
        <v>1</v>
      </c>
      <c r="Q124" s="1205">
        <v>1</v>
      </c>
      <c r="R124" s="1205">
        <v>1</v>
      </c>
      <c r="S124" s="1097">
        <v>1</v>
      </c>
      <c r="T124" s="1097">
        <v>1</v>
      </c>
      <c r="U124" s="1097">
        <v>1</v>
      </c>
      <c r="V124" s="1097">
        <v>1</v>
      </c>
      <c r="W124" s="1097">
        <v>1</v>
      </c>
      <c r="X124" s="1205">
        <v>1</v>
      </c>
      <c r="Y124" s="1205">
        <v>1</v>
      </c>
      <c r="Z124" s="1097">
        <v>1</v>
      </c>
      <c r="AA124" s="1097">
        <v>1</v>
      </c>
      <c r="AB124" s="1097">
        <v>1</v>
      </c>
      <c r="AC124" s="1097">
        <v>1</v>
      </c>
      <c r="AD124" s="1097">
        <v>1</v>
      </c>
      <c r="AE124" s="1205">
        <v>1</v>
      </c>
      <c r="AF124" s="1205">
        <v>1</v>
      </c>
      <c r="AG124" s="1097">
        <v>1</v>
      </c>
      <c r="AH124" s="1097">
        <v>1</v>
      </c>
      <c r="AI124" s="1328">
        <v>1</v>
      </c>
      <c r="AJ124" s="79"/>
      <c r="AK124" s="79"/>
      <c r="AL124" s="55"/>
      <c r="AM124" s="1067">
        <f t="shared" si="93"/>
        <v>0</v>
      </c>
      <c r="AN124" s="31"/>
      <c r="AO124" s="622"/>
      <c r="AP124" s="23"/>
      <c r="AQ124" s="23"/>
      <c r="AR124" s="23"/>
      <c r="AS124" s="23"/>
      <c r="AT124" s="23"/>
      <c r="AU124" s="23"/>
      <c r="AV124" s="23"/>
    </row>
    <row r="125" spans="1:48" ht="25.15" hidden="1" customHeight="1">
      <c r="A125" s="103"/>
      <c r="B125" s="65"/>
      <c r="C125" s="80" t="s">
        <v>108</v>
      </c>
      <c r="D125" s="81" t="s">
        <v>109</v>
      </c>
      <c r="E125" s="1374">
        <f>SUM(E119+E121+E122+E123)/E124</f>
        <v>0</v>
      </c>
      <c r="F125" s="1104">
        <f>SUM(F119+F121+F122+F123)/F124</f>
        <v>0</v>
      </c>
      <c r="G125" s="1211">
        <f>SUM(G119+G121+G122+G123)/G124</f>
        <v>0</v>
      </c>
      <c r="H125" s="1104">
        <f t="shared" ref="H125:AH125" si="347">SUM(H119+H121+H122+H123)/H124</f>
        <v>0</v>
      </c>
      <c r="I125" s="1104">
        <f t="shared" si="347"/>
        <v>0</v>
      </c>
      <c r="J125" s="1211">
        <f t="shared" si="347"/>
        <v>0</v>
      </c>
      <c r="K125" s="1211">
        <f t="shared" si="347"/>
        <v>0</v>
      </c>
      <c r="L125" s="1104">
        <f t="shared" si="347"/>
        <v>0</v>
      </c>
      <c r="M125" s="1104">
        <f t="shared" si="347"/>
        <v>0</v>
      </c>
      <c r="N125" s="1104">
        <f t="shared" si="347"/>
        <v>0</v>
      </c>
      <c r="O125" s="1104">
        <f t="shared" si="347"/>
        <v>0</v>
      </c>
      <c r="P125" s="1104">
        <f t="shared" si="347"/>
        <v>0</v>
      </c>
      <c r="Q125" s="1211">
        <f t="shared" si="347"/>
        <v>0</v>
      </c>
      <c r="R125" s="1211">
        <f t="shared" si="347"/>
        <v>0</v>
      </c>
      <c r="S125" s="1104">
        <f t="shared" si="347"/>
        <v>0</v>
      </c>
      <c r="T125" s="1104">
        <f>SUM(T119+T121+T122+T123)/T124</f>
        <v>0</v>
      </c>
      <c r="U125" s="1104">
        <f t="shared" si="347"/>
        <v>0</v>
      </c>
      <c r="V125" s="1104">
        <f t="shared" si="347"/>
        <v>0</v>
      </c>
      <c r="W125" s="1104">
        <f t="shared" si="347"/>
        <v>0</v>
      </c>
      <c r="X125" s="1211">
        <f t="shared" si="347"/>
        <v>0</v>
      </c>
      <c r="Y125" s="1211">
        <f t="shared" si="347"/>
        <v>0</v>
      </c>
      <c r="Z125" s="1104">
        <f t="shared" si="347"/>
        <v>0</v>
      </c>
      <c r="AA125" s="1104">
        <f t="shared" si="347"/>
        <v>0</v>
      </c>
      <c r="AB125" s="1104">
        <f t="shared" si="347"/>
        <v>0</v>
      </c>
      <c r="AC125" s="1104">
        <f t="shared" si="347"/>
        <v>0</v>
      </c>
      <c r="AD125" s="1104">
        <f t="shared" si="347"/>
        <v>0</v>
      </c>
      <c r="AE125" s="1211">
        <f t="shared" si="347"/>
        <v>0</v>
      </c>
      <c r="AF125" s="1211">
        <f t="shared" si="347"/>
        <v>0</v>
      </c>
      <c r="AG125" s="1104">
        <f t="shared" si="347"/>
        <v>0</v>
      </c>
      <c r="AH125" s="1104">
        <f t="shared" si="347"/>
        <v>0</v>
      </c>
      <c r="AI125" s="1335">
        <f>SUM(AI119+AI121+AI122)/AI124</f>
        <v>0</v>
      </c>
      <c r="AJ125" s="104">
        <f>SUM(E125:AI125)</f>
        <v>0</v>
      </c>
      <c r="AK125" s="104"/>
      <c r="AL125" s="83"/>
      <c r="AM125" s="1068">
        <f t="shared" si="93"/>
        <v>0</v>
      </c>
      <c r="AN125" s="31"/>
      <c r="AO125" s="622"/>
      <c r="AP125" s="23"/>
      <c r="AQ125" s="23"/>
      <c r="AR125" s="23"/>
      <c r="AS125" s="23"/>
      <c r="AT125" s="23"/>
      <c r="AU125" s="23"/>
      <c r="AV125" s="23"/>
    </row>
    <row r="126" spans="1:48" ht="25.15" hidden="1" customHeight="1">
      <c r="A126" s="103"/>
      <c r="B126" s="59"/>
      <c r="C126" s="84">
        <f>+C124*0.8</f>
        <v>240000</v>
      </c>
      <c r="D126" s="85" t="s">
        <v>110</v>
      </c>
      <c r="E126" s="1105"/>
      <c r="F126" s="1106"/>
      <c r="G126" s="1211"/>
      <c r="H126" s="1104"/>
      <c r="I126" s="1104"/>
      <c r="J126" s="1211"/>
      <c r="K126" s="1211"/>
      <c r="L126" s="1104"/>
      <c r="M126" s="1104"/>
      <c r="N126" s="1104"/>
      <c r="O126" s="1107"/>
      <c r="P126" s="1104"/>
      <c r="Q126" s="1211"/>
      <c r="R126" s="1211"/>
      <c r="S126" s="1104"/>
      <c r="T126" s="1104"/>
      <c r="U126" s="1104"/>
      <c r="V126" s="1104"/>
      <c r="W126" s="1104"/>
      <c r="X126" s="1211"/>
      <c r="Y126" s="1211"/>
      <c r="Z126" s="1104"/>
      <c r="AA126" s="1104"/>
      <c r="AB126" s="1104"/>
      <c r="AC126" s="1104"/>
      <c r="AD126" s="1104"/>
      <c r="AE126" s="1211"/>
      <c r="AF126" s="1211"/>
      <c r="AG126" s="1104"/>
      <c r="AH126" s="1104"/>
      <c r="AI126" s="1353"/>
      <c r="AJ126" s="86"/>
      <c r="AK126" s="86"/>
      <c r="AL126" s="690"/>
      <c r="AM126" s="694">
        <f t="shared" si="93"/>
        <v>0</v>
      </c>
      <c r="AN126" s="31"/>
      <c r="AO126" s="622"/>
      <c r="AP126" s="23"/>
      <c r="AQ126" s="23"/>
      <c r="AR126" s="23"/>
      <c r="AS126" s="23"/>
      <c r="AT126" s="23"/>
      <c r="AU126" s="23"/>
      <c r="AV126" s="23"/>
    </row>
    <row r="127" spans="1:48" ht="25.15" hidden="1" customHeight="1">
      <c r="A127" s="103"/>
      <c r="B127" s="105"/>
      <c r="C127" s="77"/>
      <c r="D127" s="88" t="s">
        <v>111</v>
      </c>
      <c r="E127" s="1108">
        <f>IF(E126="O/H",E125,0+E125)</f>
        <v>0</v>
      </c>
      <c r="F127" s="1089">
        <f t="shared" ref="F127:AI127" si="348">IF(F126="O/H",F125,+E127+F125)</f>
        <v>0</v>
      </c>
      <c r="G127" s="44">
        <f t="shared" si="348"/>
        <v>0</v>
      </c>
      <c r="H127" s="1089">
        <f t="shared" si="348"/>
        <v>0</v>
      </c>
      <c r="I127" s="1089">
        <f t="shared" si="348"/>
        <v>0</v>
      </c>
      <c r="J127" s="44">
        <f t="shared" si="348"/>
        <v>0</v>
      </c>
      <c r="K127" s="44">
        <f t="shared" si="348"/>
        <v>0</v>
      </c>
      <c r="L127" s="1089">
        <f t="shared" si="348"/>
        <v>0</v>
      </c>
      <c r="M127" s="1089">
        <f t="shared" si="348"/>
        <v>0</v>
      </c>
      <c r="N127" s="1089">
        <f t="shared" si="348"/>
        <v>0</v>
      </c>
      <c r="O127" s="1089">
        <f t="shared" si="348"/>
        <v>0</v>
      </c>
      <c r="P127" s="1089">
        <f t="shared" si="348"/>
        <v>0</v>
      </c>
      <c r="Q127" s="44">
        <f t="shared" si="348"/>
        <v>0</v>
      </c>
      <c r="R127" s="44">
        <f t="shared" si="348"/>
        <v>0</v>
      </c>
      <c r="S127" s="1089">
        <f t="shared" si="348"/>
        <v>0</v>
      </c>
      <c r="T127" s="1089">
        <f t="shared" si="348"/>
        <v>0</v>
      </c>
      <c r="U127" s="1089">
        <f t="shared" si="348"/>
        <v>0</v>
      </c>
      <c r="V127" s="1089">
        <f t="shared" si="348"/>
        <v>0</v>
      </c>
      <c r="W127" s="1089">
        <f t="shared" si="348"/>
        <v>0</v>
      </c>
      <c r="X127" s="44">
        <f t="shared" si="348"/>
        <v>0</v>
      </c>
      <c r="Y127" s="44">
        <f t="shared" si="348"/>
        <v>0</v>
      </c>
      <c r="Z127" s="1089">
        <f t="shared" si="348"/>
        <v>0</v>
      </c>
      <c r="AA127" s="1089">
        <f t="shared" si="348"/>
        <v>0</v>
      </c>
      <c r="AB127" s="1089">
        <f t="shared" si="348"/>
        <v>0</v>
      </c>
      <c r="AC127" s="1089">
        <f t="shared" si="348"/>
        <v>0</v>
      </c>
      <c r="AD127" s="1089">
        <f t="shared" si="348"/>
        <v>0</v>
      </c>
      <c r="AE127" s="44">
        <f t="shared" si="348"/>
        <v>0</v>
      </c>
      <c r="AF127" s="44">
        <f t="shared" si="348"/>
        <v>0</v>
      </c>
      <c r="AG127" s="1089">
        <f t="shared" si="348"/>
        <v>0</v>
      </c>
      <c r="AH127" s="1089">
        <f t="shared" si="348"/>
        <v>0</v>
      </c>
      <c r="AI127" s="1326">
        <f t="shared" si="348"/>
        <v>0</v>
      </c>
      <c r="AJ127" s="79"/>
      <c r="AK127" s="86"/>
      <c r="AL127" s="689"/>
      <c r="AM127" s="694">
        <f t="shared" si="93"/>
        <v>0</v>
      </c>
      <c r="AN127" s="31"/>
      <c r="AO127" s="622"/>
      <c r="AP127" s="23"/>
      <c r="AQ127" s="23"/>
      <c r="AR127" s="23"/>
      <c r="AS127" s="23"/>
      <c r="AT127" s="23"/>
      <c r="AU127" s="23"/>
      <c r="AV127" s="23"/>
    </row>
    <row r="128" spans="1:48" s="23" customFormat="1" ht="20.65" hidden="1" customHeight="1">
      <c r="A128" s="274"/>
      <c r="B128" s="312"/>
      <c r="C128" s="308"/>
      <c r="D128" s="795" t="s">
        <v>112</v>
      </c>
      <c r="E128" s="1108" t="b">
        <f>IF(AND(ISNUMBER(E119)),386302+E125)</f>
        <v>0</v>
      </c>
      <c r="F128" s="1089" t="str">
        <f>IF(AND(ISNUMBER(F119)),E128+F125,"")</f>
        <v/>
      </c>
      <c r="G128" s="44" t="str">
        <f t="shared" ref="G128" si="349">IF(AND(ISNUMBER(G119)),F128+G125,"")</f>
        <v/>
      </c>
      <c r="H128" s="1089" t="str">
        <f t="shared" ref="H128" si="350">IF(AND(ISNUMBER(H119)),G128+H125,"")</f>
        <v/>
      </c>
      <c r="I128" s="1089" t="str">
        <f>IF(AND(ISNUMBER(I119)),H128+I125,"")</f>
        <v/>
      </c>
      <c r="J128" s="44" t="str">
        <f>IF(AND(ISNUMBER(J119)),I128+J125,"")</f>
        <v/>
      </c>
      <c r="K128" s="44" t="str">
        <f>IF(AND(ISNUMBER(K119)),J128+K125,"")</f>
        <v/>
      </c>
      <c r="L128" s="1089" t="str">
        <f t="shared" ref="L128" si="351">IF(AND(ISNUMBER(L119)),K128+L125,"")</f>
        <v/>
      </c>
      <c r="M128" s="1089" t="str">
        <f t="shared" ref="M128" si="352">IF(AND(ISNUMBER(M119)),L128+M125,"")</f>
        <v/>
      </c>
      <c r="N128" s="1089" t="str">
        <f t="shared" ref="N128" si="353">IF(AND(ISNUMBER(N119)),M128+N125,"")</f>
        <v/>
      </c>
      <c r="O128" s="1089" t="str">
        <f t="shared" ref="O128" si="354">IF(AND(ISNUMBER(O119)),N128+O125,"")</f>
        <v/>
      </c>
      <c r="P128" s="1089" t="str">
        <f t="shared" ref="P128" si="355">IF(AND(ISNUMBER(P119)),O128+P125,"")</f>
        <v/>
      </c>
      <c r="Q128" s="44" t="str">
        <f t="shared" ref="Q128" si="356">IF(AND(ISNUMBER(Q119)),P128+Q125,"")</f>
        <v/>
      </c>
      <c r="R128" s="44" t="str">
        <f t="shared" ref="R128" si="357">IF(AND(ISNUMBER(R119)),Q128+R125,"")</f>
        <v/>
      </c>
      <c r="S128" s="1089" t="str">
        <f t="shared" ref="S128" si="358">IF(AND(ISNUMBER(S119)),R128+S125,"")</f>
        <v/>
      </c>
      <c r="T128" s="1089" t="str">
        <f t="shared" ref="T128" si="359">IF(AND(ISNUMBER(T119)),S128+T125,"")</f>
        <v/>
      </c>
      <c r="U128" s="1089" t="str">
        <f t="shared" ref="U128" si="360">IF(AND(ISNUMBER(U119)),T128+U125,"")</f>
        <v/>
      </c>
      <c r="V128" s="1089" t="str">
        <f t="shared" ref="V128" si="361">IF(AND(ISNUMBER(V119)),U128+V125,"")</f>
        <v/>
      </c>
      <c r="W128" s="1089" t="str">
        <f t="shared" ref="W128" si="362">IF(AND(ISNUMBER(W119)),V128+W125,"")</f>
        <v/>
      </c>
      <c r="X128" s="44" t="str">
        <f t="shared" ref="X128" si="363">IF(AND(ISNUMBER(X119)),W128+X125,"")</f>
        <v/>
      </c>
      <c r="Y128" s="44" t="str">
        <f t="shared" ref="Y128" si="364">IF(AND(ISNUMBER(Y119)),X128+Y125,"")</f>
        <v/>
      </c>
      <c r="Z128" s="1089" t="str">
        <f t="shared" ref="Z128" si="365">IF(AND(ISNUMBER(Z119)),Y128+Z125,"")</f>
        <v/>
      </c>
      <c r="AA128" s="1089" t="str">
        <f t="shared" ref="AA128" si="366">IF(AND(ISNUMBER(AA119)),Z128+AA125,"")</f>
        <v/>
      </c>
      <c r="AB128" s="1089" t="str">
        <f t="shared" ref="AB128" si="367">IF(AND(ISNUMBER(AB119)),AA128+AB125,"")</f>
        <v/>
      </c>
      <c r="AC128" s="1089" t="str">
        <f t="shared" ref="AC128" si="368">IF(AND(ISNUMBER(AC119)),AB128+AC125,"")</f>
        <v/>
      </c>
      <c r="AD128" s="1089" t="str">
        <f t="shared" ref="AD128" si="369">IF(AND(ISNUMBER(AD119)),AC128+AD125,"")</f>
        <v/>
      </c>
      <c r="AE128" s="44" t="str">
        <f t="shared" ref="AE128" si="370">IF(AND(ISNUMBER(AE119)),AD128+AE125,"")</f>
        <v/>
      </c>
      <c r="AF128" s="44" t="str">
        <f t="shared" ref="AF128" si="371">IF(AND(ISNUMBER(AF119)),AE128+AF125,"")</f>
        <v/>
      </c>
      <c r="AG128" s="1089" t="str">
        <f t="shared" ref="AG128" si="372">IF(AND(ISNUMBER(AG119)),AF128+AG125,"")</f>
        <v/>
      </c>
      <c r="AH128" s="1089" t="str">
        <f t="shared" ref="AH128" si="373">IF(AND(ISNUMBER(AH119)),AG128+AH125,"")</f>
        <v/>
      </c>
      <c r="AI128" s="1089" t="str">
        <f t="shared" ref="AI128" si="374">IF(AND(ISNUMBER(AI119)),AH128+AI125,"")</f>
        <v/>
      </c>
      <c r="AJ128" s="793"/>
      <c r="AK128" s="793"/>
      <c r="AL128" s="909"/>
      <c r="AM128" s="890">
        <f t="shared" si="93"/>
        <v>0</v>
      </c>
      <c r="AN128" s="76"/>
      <c r="AO128" s="624"/>
      <c r="AP128" s="285"/>
      <c r="AQ128" s="285"/>
      <c r="AR128" s="285"/>
      <c r="AS128" s="285"/>
      <c r="AT128" s="286"/>
      <c r="AU128" s="285"/>
      <c r="AV128" s="287"/>
    </row>
    <row r="129" spans="1:48" ht="25.15" hidden="1" customHeight="1">
      <c r="A129" s="103"/>
      <c r="B129" s="89"/>
      <c r="C129" s="80"/>
      <c r="D129" s="90" t="s">
        <v>104</v>
      </c>
      <c r="E129" s="1108"/>
      <c r="F129" s="1089"/>
      <c r="G129" s="44"/>
      <c r="H129" s="1089"/>
      <c r="I129" s="1089"/>
      <c r="J129" s="44"/>
      <c r="K129" s="44"/>
      <c r="L129" s="1089"/>
      <c r="M129" s="1089"/>
      <c r="N129" s="1089"/>
      <c r="O129" s="1089"/>
      <c r="P129" s="1089"/>
      <c r="Q129" s="44"/>
      <c r="R129" s="44"/>
      <c r="S129" s="1089"/>
      <c r="T129" s="1089"/>
      <c r="U129" s="1089"/>
      <c r="V129" s="1089"/>
      <c r="W129" s="1089"/>
      <c r="X129" s="44"/>
      <c r="Y129" s="44"/>
      <c r="Z129" s="1089"/>
      <c r="AA129" s="1089"/>
      <c r="AB129" s="1089"/>
      <c r="AC129" s="1089"/>
      <c r="AD129" s="1089"/>
      <c r="AE129" s="44"/>
      <c r="AF129" s="44"/>
      <c r="AG129" s="1089"/>
      <c r="AH129" s="1089"/>
      <c r="AI129" s="1326"/>
      <c r="AJ129" s="79"/>
      <c r="AK129" s="79"/>
      <c r="AL129" s="63"/>
      <c r="AM129" s="1068">
        <f t="shared" si="93"/>
        <v>0</v>
      </c>
      <c r="AN129" s="64"/>
      <c r="AO129" s="624"/>
      <c r="AP129" s="23"/>
      <c r="AQ129" s="23"/>
      <c r="AR129" s="23"/>
      <c r="AS129" s="23"/>
      <c r="AT129" s="23"/>
      <c r="AU129" s="23"/>
      <c r="AV129" s="23"/>
    </row>
    <row r="130" spans="1:48" ht="25.15" hidden="1" customHeight="1" thickBot="1">
      <c r="A130" s="106"/>
      <c r="B130" s="93"/>
      <c r="C130" s="94"/>
      <c r="D130" s="95" t="s">
        <v>111</v>
      </c>
      <c r="E130" s="1109">
        <f>IF(E129="O/H",E125,0+E125)</f>
        <v>0</v>
      </c>
      <c r="F130" s="1110">
        <f t="shared" ref="F130:AI130" si="375">IF(F129="O/H",F125,+E130+F125)</f>
        <v>0</v>
      </c>
      <c r="G130" s="1212">
        <f t="shared" si="375"/>
        <v>0</v>
      </c>
      <c r="H130" s="1110">
        <f t="shared" si="375"/>
        <v>0</v>
      </c>
      <c r="I130" s="1110">
        <f t="shared" si="375"/>
        <v>0</v>
      </c>
      <c r="J130" s="1212">
        <f t="shared" si="375"/>
        <v>0</v>
      </c>
      <c r="K130" s="1212">
        <f t="shared" si="375"/>
        <v>0</v>
      </c>
      <c r="L130" s="1110">
        <f t="shared" si="375"/>
        <v>0</v>
      </c>
      <c r="M130" s="1110">
        <f t="shared" si="375"/>
        <v>0</v>
      </c>
      <c r="N130" s="1110">
        <f t="shared" si="375"/>
        <v>0</v>
      </c>
      <c r="O130" s="1110">
        <f t="shared" si="375"/>
        <v>0</v>
      </c>
      <c r="P130" s="1110">
        <f t="shared" si="375"/>
        <v>0</v>
      </c>
      <c r="Q130" s="1212">
        <f t="shared" si="375"/>
        <v>0</v>
      </c>
      <c r="R130" s="1212">
        <f t="shared" si="375"/>
        <v>0</v>
      </c>
      <c r="S130" s="1110">
        <f t="shared" si="375"/>
        <v>0</v>
      </c>
      <c r="T130" s="1110">
        <f t="shared" si="375"/>
        <v>0</v>
      </c>
      <c r="U130" s="1110">
        <f t="shared" si="375"/>
        <v>0</v>
      </c>
      <c r="V130" s="1110">
        <f t="shared" si="375"/>
        <v>0</v>
      </c>
      <c r="W130" s="1110">
        <f t="shared" si="375"/>
        <v>0</v>
      </c>
      <c r="X130" s="1212">
        <f t="shared" si="375"/>
        <v>0</v>
      </c>
      <c r="Y130" s="1212">
        <f t="shared" si="375"/>
        <v>0</v>
      </c>
      <c r="Z130" s="1110">
        <f t="shared" si="375"/>
        <v>0</v>
      </c>
      <c r="AA130" s="1110">
        <f t="shared" si="375"/>
        <v>0</v>
      </c>
      <c r="AB130" s="1110">
        <f t="shared" si="375"/>
        <v>0</v>
      </c>
      <c r="AC130" s="1110">
        <f t="shared" si="375"/>
        <v>0</v>
      </c>
      <c r="AD130" s="1110">
        <f t="shared" si="375"/>
        <v>0</v>
      </c>
      <c r="AE130" s="1212">
        <f t="shared" si="375"/>
        <v>0</v>
      </c>
      <c r="AF130" s="1212">
        <f t="shared" si="375"/>
        <v>0</v>
      </c>
      <c r="AG130" s="1110">
        <f t="shared" si="375"/>
        <v>0</v>
      </c>
      <c r="AH130" s="1110">
        <f t="shared" si="375"/>
        <v>0</v>
      </c>
      <c r="AI130" s="1340">
        <f t="shared" si="375"/>
        <v>0</v>
      </c>
      <c r="AJ130" s="96"/>
      <c r="AK130" s="96"/>
      <c r="AL130" s="97"/>
      <c r="AM130" s="1071">
        <f t="shared" si="93"/>
        <v>0</v>
      </c>
      <c r="AN130" s="98"/>
      <c r="AO130" s="625"/>
      <c r="AP130" s="23"/>
      <c r="AQ130" s="23"/>
      <c r="AR130" s="23"/>
      <c r="AS130" s="23"/>
      <c r="AT130" s="23"/>
      <c r="AU130" s="23"/>
      <c r="AV130" s="23"/>
    </row>
    <row r="131" spans="1:48" ht="25.15" hidden="1" customHeight="1" thickTop="1">
      <c r="A131" s="99"/>
      <c r="B131" s="26" t="s">
        <v>123</v>
      </c>
      <c r="C131" s="27"/>
      <c r="D131" s="28" t="s">
        <v>82</v>
      </c>
      <c r="E131" s="1111"/>
      <c r="F131" s="1111"/>
      <c r="G131" s="1201"/>
      <c r="H131" s="1111"/>
      <c r="I131" s="1111"/>
      <c r="J131" s="1201"/>
      <c r="K131" s="1201"/>
      <c r="L131" s="1111"/>
      <c r="M131" s="1111"/>
      <c r="N131" s="1111"/>
      <c r="O131" s="1111"/>
      <c r="P131" s="1111"/>
      <c r="Q131" s="1201"/>
      <c r="R131" s="1201"/>
      <c r="S131" s="1111"/>
      <c r="T131" s="1111"/>
      <c r="U131" s="1111"/>
      <c r="V131" s="1111"/>
      <c r="W131" s="1111"/>
      <c r="X131" s="1201"/>
      <c r="Y131" s="1201"/>
      <c r="Z131" s="1111"/>
      <c r="AA131" s="1111"/>
      <c r="AB131" s="1111"/>
      <c r="AC131" s="1111"/>
      <c r="AD131" s="1111"/>
      <c r="AE131" s="1201"/>
      <c r="AF131" s="1201"/>
      <c r="AG131" s="1111"/>
      <c r="AH131" s="1111"/>
      <c r="AI131" s="1412"/>
      <c r="AJ131" s="100">
        <f>SUM(Table75[[#This Row],[June''2026]:[Column27]])</f>
        <v>0</v>
      </c>
      <c r="AK131" s="100">
        <f t="shared" si="129"/>
        <v>0</v>
      </c>
      <c r="AL131" s="101">
        <f>+AJ131*AN131</f>
        <v>0</v>
      </c>
      <c r="AM131" s="1072">
        <f t="shared" si="93"/>
        <v>0</v>
      </c>
      <c r="AN131" s="102"/>
      <c r="AO131" s="622" t="e">
        <f>Table5[[#This Row],[Total]]*B135/1000</f>
        <v>#VALUE!</v>
      </c>
      <c r="AP131" s="32" t="s">
        <v>83</v>
      </c>
      <c r="AQ131" s="33" t="s">
        <v>84</v>
      </c>
      <c r="AR131" s="33" t="s">
        <v>85</v>
      </c>
      <c r="AS131" s="33" t="s">
        <v>86</v>
      </c>
      <c r="AT131" s="33" t="s">
        <v>87</v>
      </c>
      <c r="AU131" s="33" t="s">
        <v>88</v>
      </c>
      <c r="AV131" s="34" t="s">
        <v>68</v>
      </c>
    </row>
    <row r="132" spans="1:48" ht="25.15" hidden="1" customHeight="1">
      <c r="A132" s="103"/>
      <c r="B132" s="35" t="s">
        <v>124</v>
      </c>
      <c r="C132" s="36"/>
      <c r="D132" s="37" t="s">
        <v>90</v>
      </c>
      <c r="E132" s="1373">
        <f>IF(E131="",0,+ E131/E138)</f>
        <v>0</v>
      </c>
      <c r="F132" s="1096">
        <f t="shared" ref="F132:AI132" si="376">IF(F131="",0, E132+F131/F138)</f>
        <v>0</v>
      </c>
      <c r="G132" s="1207">
        <f t="shared" si="376"/>
        <v>0</v>
      </c>
      <c r="H132" s="1096">
        <f t="shared" si="376"/>
        <v>0</v>
      </c>
      <c r="I132" s="1096">
        <f t="shared" si="376"/>
        <v>0</v>
      </c>
      <c r="J132" s="1207">
        <f t="shared" si="376"/>
        <v>0</v>
      </c>
      <c r="K132" s="1207">
        <f t="shared" si="376"/>
        <v>0</v>
      </c>
      <c r="L132" s="1096">
        <f t="shared" si="376"/>
        <v>0</v>
      </c>
      <c r="M132" s="1096">
        <f t="shared" si="376"/>
        <v>0</v>
      </c>
      <c r="N132" s="1096">
        <f t="shared" si="376"/>
        <v>0</v>
      </c>
      <c r="O132" s="1096">
        <f t="shared" si="376"/>
        <v>0</v>
      </c>
      <c r="P132" s="1096">
        <f t="shared" si="376"/>
        <v>0</v>
      </c>
      <c r="Q132" s="1207">
        <f t="shared" si="376"/>
        <v>0</v>
      </c>
      <c r="R132" s="1207">
        <f t="shared" si="376"/>
        <v>0</v>
      </c>
      <c r="S132" s="1096">
        <f t="shared" si="376"/>
        <v>0</v>
      </c>
      <c r="T132" s="1096">
        <f t="shared" si="376"/>
        <v>0</v>
      </c>
      <c r="U132" s="1096">
        <f t="shared" si="376"/>
        <v>0</v>
      </c>
      <c r="V132" s="1096">
        <f t="shared" si="376"/>
        <v>0</v>
      </c>
      <c r="W132" s="1096">
        <f t="shared" si="376"/>
        <v>0</v>
      </c>
      <c r="X132" s="1207">
        <f t="shared" si="376"/>
        <v>0</v>
      </c>
      <c r="Y132" s="1207">
        <f t="shared" si="376"/>
        <v>0</v>
      </c>
      <c r="Z132" s="1096">
        <f t="shared" si="376"/>
        <v>0</v>
      </c>
      <c r="AA132" s="1096">
        <f t="shared" si="376"/>
        <v>0</v>
      </c>
      <c r="AB132" s="1096">
        <f t="shared" si="376"/>
        <v>0</v>
      </c>
      <c r="AC132" s="1096">
        <f t="shared" si="376"/>
        <v>0</v>
      </c>
      <c r="AD132" s="1096">
        <f t="shared" si="376"/>
        <v>0</v>
      </c>
      <c r="AE132" s="1207">
        <f t="shared" si="376"/>
        <v>0</v>
      </c>
      <c r="AF132" s="1207">
        <f t="shared" si="376"/>
        <v>0</v>
      </c>
      <c r="AG132" s="1096">
        <f t="shared" si="376"/>
        <v>0</v>
      </c>
      <c r="AH132" s="1096">
        <f t="shared" si="376"/>
        <v>0</v>
      </c>
      <c r="AI132" s="1324">
        <f t="shared" si="376"/>
        <v>0</v>
      </c>
      <c r="AJ132" s="38"/>
      <c r="AK132" s="29"/>
      <c r="AL132" s="30"/>
      <c r="AM132" s="694">
        <f t="shared" si="93"/>
        <v>0</v>
      </c>
      <c r="AN132" s="31"/>
      <c r="AO132" s="630"/>
      <c r="AP132" s="39" t="s">
        <v>91</v>
      </c>
      <c r="AQ132" s="40">
        <f>SUM(E131:I131)</f>
        <v>0</v>
      </c>
      <c r="AR132" s="41">
        <f>SUM(J131:P131)</f>
        <v>0</v>
      </c>
      <c r="AS132" s="41">
        <f>SUM(Q131:W131)</f>
        <v>0</v>
      </c>
      <c r="AT132" s="41">
        <f>SUM(X131:AD131)</f>
        <v>0</v>
      </c>
      <c r="AU132" s="41">
        <f>SUM(AE131:AI131)</f>
        <v>0</v>
      </c>
      <c r="AV132" s="34">
        <f t="shared" ref="AV132:AV137" si="377">SUM(AQ132:AU132)</f>
        <v>0</v>
      </c>
    </row>
    <row r="133" spans="1:48" ht="25.15" hidden="1" customHeight="1">
      <c r="A133" s="103"/>
      <c r="B133" s="26" t="s">
        <v>92</v>
      </c>
      <c r="C133" s="42"/>
      <c r="D133" s="43" t="s">
        <v>93</v>
      </c>
      <c r="E133" s="1325"/>
      <c r="F133" s="1089"/>
      <c r="G133" s="44"/>
      <c r="H133" s="1089"/>
      <c r="I133" s="1089"/>
      <c r="J133" s="44"/>
      <c r="K133" s="44"/>
      <c r="L133" s="1089"/>
      <c r="M133" s="1089"/>
      <c r="N133" s="1089"/>
      <c r="O133" s="1089"/>
      <c r="P133" s="1089"/>
      <c r="Q133" s="44"/>
      <c r="R133" s="44"/>
      <c r="S133" s="1089"/>
      <c r="T133" s="1089"/>
      <c r="U133" s="1089"/>
      <c r="V133" s="1089"/>
      <c r="W133" s="1089"/>
      <c r="X133" s="44"/>
      <c r="Y133" s="44"/>
      <c r="Z133" s="1089"/>
      <c r="AA133" s="1089"/>
      <c r="AB133" s="1089"/>
      <c r="AC133" s="1089"/>
      <c r="AD133" s="1089"/>
      <c r="AE133" s="44"/>
      <c r="AF133" s="44"/>
      <c r="AG133" s="1089"/>
      <c r="AH133" s="1089"/>
      <c r="AI133" s="1326"/>
      <c r="AJ133" s="45">
        <f>SUM(E133:AI133)</f>
        <v>0</v>
      </c>
      <c r="AK133" s="45"/>
      <c r="AL133" s="46">
        <f>+AJ133*AN131</f>
        <v>0</v>
      </c>
      <c r="AM133" s="1066">
        <f t="shared" si="93"/>
        <v>0</v>
      </c>
      <c r="AN133" s="31"/>
      <c r="AO133" s="632">
        <f>(AJ133+AJ135+AJ136+AJ137)*B135/1000</f>
        <v>0</v>
      </c>
      <c r="AP133" s="47" t="s">
        <v>94</v>
      </c>
      <c r="AQ133" s="48">
        <f>SUM(E133:I133)</f>
        <v>0</v>
      </c>
      <c r="AR133" s="49">
        <f>SUM(J133:P133)</f>
        <v>0</v>
      </c>
      <c r="AS133" s="49">
        <f>SUM(Q133:W133)</f>
        <v>0</v>
      </c>
      <c r="AT133" s="49">
        <f>SUM(X133:AD133)</f>
        <v>0</v>
      </c>
      <c r="AU133" s="49">
        <f>SUM(AE133:AI133)</f>
        <v>0</v>
      </c>
      <c r="AV133" s="50">
        <f t="shared" si="377"/>
        <v>0</v>
      </c>
    </row>
    <row r="134" spans="1:48" ht="25.15" hidden="1" customHeight="1">
      <c r="A134" s="103"/>
      <c r="B134" s="51"/>
      <c r="C134" s="52" t="s">
        <v>95</v>
      </c>
      <c r="D134" s="53" t="s">
        <v>96</v>
      </c>
      <c r="E134" s="1327">
        <f t="shared" ref="E134:AJ134" si="378">+E133-E131</f>
        <v>0</v>
      </c>
      <c r="F134" s="1097">
        <f t="shared" si="378"/>
        <v>0</v>
      </c>
      <c r="G134" s="1205">
        <f t="shared" si="378"/>
        <v>0</v>
      </c>
      <c r="H134" s="1097">
        <f t="shared" si="378"/>
        <v>0</v>
      </c>
      <c r="I134" s="1097">
        <f t="shared" si="378"/>
        <v>0</v>
      </c>
      <c r="J134" s="1205">
        <f t="shared" si="378"/>
        <v>0</v>
      </c>
      <c r="K134" s="1205">
        <v>0</v>
      </c>
      <c r="L134" s="1097">
        <f t="shared" si="378"/>
        <v>0</v>
      </c>
      <c r="M134" s="1097">
        <f t="shared" si="378"/>
        <v>0</v>
      </c>
      <c r="N134" s="1097">
        <f t="shared" si="378"/>
        <v>0</v>
      </c>
      <c r="O134" s="1097">
        <f t="shared" si="378"/>
        <v>0</v>
      </c>
      <c r="P134" s="1097">
        <f t="shared" si="378"/>
        <v>0</v>
      </c>
      <c r="Q134" s="1205">
        <f t="shared" si="378"/>
        <v>0</v>
      </c>
      <c r="R134" s="1205">
        <f t="shared" si="378"/>
        <v>0</v>
      </c>
      <c r="S134" s="1097">
        <f t="shared" si="378"/>
        <v>0</v>
      </c>
      <c r="T134" s="1097">
        <f t="shared" si="378"/>
        <v>0</v>
      </c>
      <c r="U134" s="1097">
        <f t="shared" si="378"/>
        <v>0</v>
      </c>
      <c r="V134" s="1097">
        <f t="shared" si="378"/>
        <v>0</v>
      </c>
      <c r="W134" s="1097">
        <f t="shared" si="378"/>
        <v>0</v>
      </c>
      <c r="X134" s="1205">
        <f t="shared" si="378"/>
        <v>0</v>
      </c>
      <c r="Y134" s="1205">
        <f t="shared" si="378"/>
        <v>0</v>
      </c>
      <c r="Z134" s="1097">
        <f t="shared" si="378"/>
        <v>0</v>
      </c>
      <c r="AA134" s="1097">
        <f t="shared" si="378"/>
        <v>0</v>
      </c>
      <c r="AB134" s="1097">
        <f t="shared" si="378"/>
        <v>0</v>
      </c>
      <c r="AC134" s="1097">
        <f t="shared" si="378"/>
        <v>0</v>
      </c>
      <c r="AD134" s="1097">
        <f t="shared" si="378"/>
        <v>0</v>
      </c>
      <c r="AE134" s="1205">
        <f t="shared" si="378"/>
        <v>0</v>
      </c>
      <c r="AF134" s="1205">
        <f t="shared" ref="AF134" si="379">+AF133-AF131</f>
        <v>0</v>
      </c>
      <c r="AG134" s="1097">
        <f t="shared" si="378"/>
        <v>0</v>
      </c>
      <c r="AH134" s="1097">
        <f t="shared" si="378"/>
        <v>0</v>
      </c>
      <c r="AI134" s="1328">
        <f t="shared" si="378"/>
        <v>0</v>
      </c>
      <c r="AJ134" s="54">
        <f t="shared" si="378"/>
        <v>0</v>
      </c>
      <c r="AK134" s="54"/>
      <c r="AL134" s="55">
        <f>+AJ134*AN131</f>
        <v>0</v>
      </c>
      <c r="AM134" s="1067">
        <f t="shared" si="93"/>
        <v>0</v>
      </c>
      <c r="AN134" s="31" t="s">
        <v>97</v>
      </c>
      <c r="AO134" s="622"/>
      <c r="AP134" s="39" t="s">
        <v>98</v>
      </c>
      <c r="AQ134" s="56">
        <f>AQ133-AQ132</f>
        <v>0</v>
      </c>
      <c r="AR134" s="70">
        <f>AR133-AR132</f>
        <v>0</v>
      </c>
      <c r="AS134" s="70">
        <f>AS133-AS132</f>
        <v>0</v>
      </c>
      <c r="AT134" s="70">
        <f>AT133-AT132</f>
        <v>0</v>
      </c>
      <c r="AU134" s="70">
        <f>AU133-AU132</f>
        <v>0</v>
      </c>
      <c r="AV134" s="57">
        <f t="shared" si="377"/>
        <v>0</v>
      </c>
    </row>
    <row r="135" spans="1:48" ht="25.15" hidden="1" customHeight="1">
      <c r="A135" s="58"/>
      <c r="B135" s="59"/>
      <c r="C135" s="60" t="s">
        <v>100</v>
      </c>
      <c r="D135" s="61" t="s">
        <v>101</v>
      </c>
      <c r="E135" s="1329"/>
      <c r="F135" s="1099"/>
      <c r="G135" s="1208"/>
      <c r="H135" s="1099"/>
      <c r="I135" s="1099"/>
      <c r="J135" s="1208"/>
      <c r="K135" s="1208"/>
      <c r="L135" s="1099"/>
      <c r="M135" s="1099"/>
      <c r="N135" s="1099"/>
      <c r="O135" s="1099"/>
      <c r="P135" s="1099"/>
      <c r="Q135" s="1208"/>
      <c r="R135" s="1208"/>
      <c r="S135" s="1099"/>
      <c r="T135" s="1099"/>
      <c r="U135" s="1099"/>
      <c r="V135" s="1099"/>
      <c r="W135" s="1099"/>
      <c r="X135" s="1208"/>
      <c r="Y135" s="1208"/>
      <c r="Z135" s="1099"/>
      <c r="AA135" s="1099"/>
      <c r="AB135" s="1099"/>
      <c r="AC135" s="1099"/>
      <c r="AD135" s="1099"/>
      <c r="AE135" s="1208"/>
      <c r="AF135" s="1208"/>
      <c r="AG135" s="1099"/>
      <c r="AH135" s="1099"/>
      <c r="AI135" s="1330"/>
      <c r="AJ135" s="62">
        <f>SUM(E135:AI135)</f>
        <v>0</v>
      </c>
      <c r="AK135" s="62"/>
      <c r="AL135" s="63">
        <f>+AJ135*AN131</f>
        <v>0</v>
      </c>
      <c r="AM135" s="1068">
        <f t="shared" ref="AM135:AM198" si="380">AL137</f>
        <v>0</v>
      </c>
      <c r="AN135" s="64" t="e">
        <f>+AJ135/AJ133*100</f>
        <v>#DIV/0!</v>
      </c>
      <c r="AO135" s="635" t="e">
        <f>AO133/AO131</f>
        <v>#VALUE!</v>
      </c>
      <c r="AP135" s="39" t="s">
        <v>102</v>
      </c>
      <c r="AQ135" s="56">
        <f>SUM(E135:I135)</f>
        <v>0</v>
      </c>
      <c r="AR135" s="70">
        <f>SUM(J135:P135)</f>
        <v>0</v>
      </c>
      <c r="AS135" s="70">
        <f>SUM(Q135:W135)</f>
        <v>0</v>
      </c>
      <c r="AT135" s="70">
        <f>SUM(X135:AD135)</f>
        <v>0</v>
      </c>
      <c r="AU135" s="70">
        <f>SUM(AE135:AI135)</f>
        <v>0</v>
      </c>
      <c r="AV135" s="57">
        <f t="shared" si="377"/>
        <v>0</v>
      </c>
    </row>
    <row r="136" spans="1:48" ht="25.15" hidden="1" customHeight="1">
      <c r="A136" s="58" t="s">
        <v>99</v>
      </c>
      <c r="B136" s="65"/>
      <c r="C136" s="66"/>
      <c r="D136" s="67" t="s">
        <v>103</v>
      </c>
      <c r="E136" s="1331"/>
      <c r="F136" s="1101"/>
      <c r="G136" s="1209"/>
      <c r="H136" s="1101"/>
      <c r="I136" s="1101"/>
      <c r="J136" s="1209"/>
      <c r="K136" s="1209"/>
      <c r="L136" s="1101"/>
      <c r="M136" s="1101"/>
      <c r="N136" s="1101"/>
      <c r="O136" s="1101"/>
      <c r="P136" s="1101"/>
      <c r="Q136" s="1209"/>
      <c r="R136" s="1209"/>
      <c r="S136" s="1101"/>
      <c r="T136" s="1101"/>
      <c r="U136" s="1101"/>
      <c r="V136" s="1101"/>
      <c r="W136" s="1101"/>
      <c r="X136" s="1209"/>
      <c r="Y136" s="1209"/>
      <c r="Z136" s="1101"/>
      <c r="AA136" s="1101"/>
      <c r="AB136" s="1101"/>
      <c r="AC136" s="1101"/>
      <c r="AD136" s="1101"/>
      <c r="AE136" s="1209"/>
      <c r="AF136" s="1209"/>
      <c r="AG136" s="1101"/>
      <c r="AH136" s="1101"/>
      <c r="AI136" s="1332"/>
      <c r="AJ136" s="68">
        <f>SUM(E136:AI136)</f>
        <v>0</v>
      </c>
      <c r="AK136" s="68"/>
      <c r="AL136" s="69">
        <f>+AJ136*AN131</f>
        <v>0</v>
      </c>
      <c r="AM136" s="1069">
        <f t="shared" si="380"/>
        <v>0</v>
      </c>
      <c r="AN136" s="31"/>
      <c r="AO136" s="622"/>
      <c r="AP136" s="39" t="s">
        <v>19</v>
      </c>
      <c r="AQ136" s="56">
        <f>AQ135*AN131</f>
        <v>0</v>
      </c>
      <c r="AR136" s="56">
        <f>AR135*AN131</f>
        <v>0</v>
      </c>
      <c r="AS136" s="56">
        <f>AS135*AN131</f>
        <v>0</v>
      </c>
      <c r="AT136" s="56">
        <f>AT135*AN131</f>
        <v>0</v>
      </c>
      <c r="AU136" s="56">
        <f>AU135*AN131</f>
        <v>0</v>
      </c>
      <c r="AV136" s="57">
        <f t="shared" si="377"/>
        <v>0</v>
      </c>
    </row>
    <row r="137" spans="1:48" ht="25.15" hidden="1" customHeight="1">
      <c r="A137" s="103"/>
      <c r="B137" s="65"/>
      <c r="C137" s="72" t="s">
        <v>104</v>
      </c>
      <c r="D137" s="73" t="s">
        <v>105</v>
      </c>
      <c r="E137" s="1378"/>
      <c r="F137" s="1103"/>
      <c r="G137" s="1210"/>
      <c r="H137" s="1103"/>
      <c r="I137" s="1103"/>
      <c r="J137" s="1210"/>
      <c r="K137" s="1210"/>
      <c r="L137" s="1103"/>
      <c r="M137" s="1103"/>
      <c r="N137" s="1103"/>
      <c r="O137" s="1103"/>
      <c r="P137" s="1103"/>
      <c r="Q137" s="1210"/>
      <c r="R137" s="1210"/>
      <c r="S137" s="1103"/>
      <c r="T137" s="1103"/>
      <c r="U137" s="1103"/>
      <c r="V137" s="1103"/>
      <c r="W137" s="1103"/>
      <c r="X137" s="1210"/>
      <c r="Y137" s="1210"/>
      <c r="Z137" s="1103"/>
      <c r="AA137" s="1103"/>
      <c r="AB137" s="1103"/>
      <c r="AC137" s="1103"/>
      <c r="AD137" s="1103"/>
      <c r="AE137" s="1210"/>
      <c r="AF137" s="1210"/>
      <c r="AG137" s="1103"/>
      <c r="AH137" s="1103"/>
      <c r="AI137" s="1352"/>
      <c r="AJ137" s="74">
        <f>SUM(E137:AI137)</f>
        <v>0</v>
      </c>
      <c r="AK137" s="74"/>
      <c r="AL137" s="75">
        <f>+AJ137*AN131</f>
        <v>0</v>
      </c>
      <c r="AM137" s="1070">
        <f t="shared" si="380"/>
        <v>0</v>
      </c>
      <c r="AN137" s="76"/>
      <c r="AO137" s="636"/>
      <c r="AP137" s="47" t="s">
        <v>106</v>
      </c>
      <c r="AQ137" s="48">
        <f>AQ133*AN131</f>
        <v>0</v>
      </c>
      <c r="AR137" s="48">
        <f>AR133*AN131</f>
        <v>0</v>
      </c>
      <c r="AS137" s="48">
        <f>AS133*AN131</f>
        <v>0</v>
      </c>
      <c r="AT137" s="48">
        <f>AT133*AN131</f>
        <v>0</v>
      </c>
      <c r="AU137" s="48">
        <f>AU133*AN131</f>
        <v>0</v>
      </c>
      <c r="AV137" s="50">
        <f t="shared" si="377"/>
        <v>0</v>
      </c>
    </row>
    <row r="138" spans="1:48" ht="25.15" hidden="1" customHeight="1">
      <c r="A138" s="103"/>
      <c r="B138" s="65"/>
      <c r="C138" s="77">
        <v>300000</v>
      </c>
      <c r="D138" s="78" t="s">
        <v>107</v>
      </c>
      <c r="E138" s="1327">
        <v>1</v>
      </c>
      <c r="F138" s="1097">
        <v>1</v>
      </c>
      <c r="G138" s="1205">
        <v>1</v>
      </c>
      <c r="H138" s="1097">
        <v>1</v>
      </c>
      <c r="I138" s="1097">
        <v>1</v>
      </c>
      <c r="J138" s="1205">
        <v>1</v>
      </c>
      <c r="K138" s="1205">
        <v>1</v>
      </c>
      <c r="L138" s="1097">
        <v>1</v>
      </c>
      <c r="M138" s="1097">
        <v>1</v>
      </c>
      <c r="N138" s="1097">
        <v>1</v>
      </c>
      <c r="O138" s="1097">
        <v>1</v>
      </c>
      <c r="P138" s="1097">
        <v>1</v>
      </c>
      <c r="Q138" s="1205">
        <v>1</v>
      </c>
      <c r="R138" s="1205">
        <v>1</v>
      </c>
      <c r="S138" s="1097">
        <v>1</v>
      </c>
      <c r="T138" s="1097">
        <v>1</v>
      </c>
      <c r="U138" s="1097">
        <v>1</v>
      </c>
      <c r="V138" s="1097">
        <v>1</v>
      </c>
      <c r="W138" s="1097">
        <v>1</v>
      </c>
      <c r="X138" s="1205">
        <v>1</v>
      </c>
      <c r="Y138" s="1205">
        <v>1</v>
      </c>
      <c r="Z138" s="1097">
        <v>1</v>
      </c>
      <c r="AA138" s="1097">
        <v>1</v>
      </c>
      <c r="AB138" s="1097">
        <v>1</v>
      </c>
      <c r="AC138" s="1097">
        <v>1</v>
      </c>
      <c r="AD138" s="1097">
        <v>1</v>
      </c>
      <c r="AE138" s="1205">
        <v>1</v>
      </c>
      <c r="AF138" s="1205">
        <v>1</v>
      </c>
      <c r="AG138" s="1097">
        <v>1</v>
      </c>
      <c r="AH138" s="1097">
        <v>1</v>
      </c>
      <c r="AI138" s="1328">
        <v>1</v>
      </c>
      <c r="AJ138" s="79"/>
      <c r="AK138" s="79"/>
      <c r="AL138" s="55"/>
      <c r="AM138" s="1067">
        <f t="shared" si="380"/>
        <v>0</v>
      </c>
      <c r="AN138" s="31"/>
      <c r="AO138" s="622"/>
      <c r="AP138" s="23"/>
      <c r="AQ138" s="23"/>
      <c r="AR138" s="23"/>
      <c r="AS138" s="23"/>
      <c r="AT138" s="23"/>
      <c r="AU138" s="23"/>
      <c r="AV138" s="23"/>
    </row>
    <row r="139" spans="1:48" ht="25.15" hidden="1" customHeight="1">
      <c r="A139" s="103"/>
      <c r="B139" s="65"/>
      <c r="C139" s="80" t="s">
        <v>108</v>
      </c>
      <c r="D139" s="81" t="s">
        <v>109</v>
      </c>
      <c r="E139" s="1374">
        <f>SUM(E133+E135+E136+E137)/E138</f>
        <v>0</v>
      </c>
      <c r="F139" s="1104">
        <f>SUM(F133+F135+F136+F137)/F138</f>
        <v>0</v>
      </c>
      <c r="G139" s="1211">
        <f>SUM(G133+G135+G136+G137)/G138</f>
        <v>0</v>
      </c>
      <c r="H139" s="1104">
        <f t="shared" ref="H139:AH139" si="381">SUM(H133+H135+H136+H137)/H138</f>
        <v>0</v>
      </c>
      <c r="I139" s="1104">
        <f t="shared" si="381"/>
        <v>0</v>
      </c>
      <c r="J139" s="1211">
        <f t="shared" si="381"/>
        <v>0</v>
      </c>
      <c r="K139" s="1211">
        <f t="shared" si="381"/>
        <v>0</v>
      </c>
      <c r="L139" s="1104">
        <f t="shared" si="381"/>
        <v>0</v>
      </c>
      <c r="M139" s="1104">
        <f t="shared" si="381"/>
        <v>0</v>
      </c>
      <c r="N139" s="1104">
        <f t="shared" si="381"/>
        <v>0</v>
      </c>
      <c r="O139" s="1104">
        <f t="shared" si="381"/>
        <v>0</v>
      </c>
      <c r="P139" s="1104">
        <f t="shared" si="381"/>
        <v>0</v>
      </c>
      <c r="Q139" s="1211">
        <f t="shared" si="381"/>
        <v>0</v>
      </c>
      <c r="R139" s="1211">
        <f t="shared" si="381"/>
        <v>0</v>
      </c>
      <c r="S139" s="1104">
        <f t="shared" si="381"/>
        <v>0</v>
      </c>
      <c r="T139" s="1104">
        <f t="shared" si="381"/>
        <v>0</v>
      </c>
      <c r="U139" s="1104">
        <f t="shared" si="381"/>
        <v>0</v>
      </c>
      <c r="V139" s="1104">
        <f t="shared" si="381"/>
        <v>0</v>
      </c>
      <c r="W139" s="1104">
        <f t="shared" si="381"/>
        <v>0</v>
      </c>
      <c r="X139" s="1211">
        <f t="shared" si="381"/>
        <v>0</v>
      </c>
      <c r="Y139" s="1211">
        <f t="shared" si="381"/>
        <v>0</v>
      </c>
      <c r="Z139" s="1104">
        <f t="shared" si="381"/>
        <v>0</v>
      </c>
      <c r="AA139" s="1104">
        <f t="shared" si="381"/>
        <v>0</v>
      </c>
      <c r="AB139" s="1104">
        <f t="shared" si="381"/>
        <v>0</v>
      </c>
      <c r="AC139" s="1104">
        <f t="shared" si="381"/>
        <v>0</v>
      </c>
      <c r="AD139" s="1104">
        <f t="shared" si="381"/>
        <v>0</v>
      </c>
      <c r="AE139" s="1211">
        <f t="shared" si="381"/>
        <v>0</v>
      </c>
      <c r="AF139" s="1211">
        <f t="shared" si="381"/>
        <v>0</v>
      </c>
      <c r="AG139" s="1104">
        <f t="shared" si="381"/>
        <v>0</v>
      </c>
      <c r="AH139" s="1104">
        <f t="shared" si="381"/>
        <v>0</v>
      </c>
      <c r="AI139" s="1335">
        <f>SUM(AI133+AI135+AI136)/AI138</f>
        <v>0</v>
      </c>
      <c r="AJ139" s="104">
        <f>SUM(E139:AI139)</f>
        <v>0</v>
      </c>
      <c r="AK139" s="104"/>
      <c r="AL139" s="83"/>
      <c r="AM139" s="1068">
        <f t="shared" si="380"/>
        <v>0</v>
      </c>
      <c r="AN139" s="31"/>
      <c r="AO139" s="622"/>
      <c r="AP139" s="23"/>
      <c r="AQ139" s="23"/>
      <c r="AR139" s="23"/>
      <c r="AS139" s="23"/>
      <c r="AT139" s="23"/>
      <c r="AU139" s="23"/>
      <c r="AV139" s="23"/>
    </row>
    <row r="140" spans="1:48" ht="25.15" hidden="1" customHeight="1">
      <c r="A140" s="103"/>
      <c r="B140" s="59"/>
      <c r="C140" s="84">
        <f>+C138*0.8</f>
        <v>240000</v>
      </c>
      <c r="D140" s="85" t="s">
        <v>110</v>
      </c>
      <c r="E140" s="1105"/>
      <c r="F140" s="1106"/>
      <c r="G140" s="1211"/>
      <c r="H140" s="1104"/>
      <c r="I140" s="1104"/>
      <c r="J140" s="1211"/>
      <c r="K140" s="1211"/>
      <c r="L140" s="1104"/>
      <c r="M140" s="1104"/>
      <c r="N140" s="1104"/>
      <c r="O140" s="1107"/>
      <c r="P140" s="1104"/>
      <c r="Q140" s="1211"/>
      <c r="R140" s="1211"/>
      <c r="S140" s="1104"/>
      <c r="T140" s="1104"/>
      <c r="U140" s="1104"/>
      <c r="V140" s="1104"/>
      <c r="W140" s="1104"/>
      <c r="X140" s="1211"/>
      <c r="Y140" s="1211"/>
      <c r="Z140" s="1104"/>
      <c r="AA140" s="1104"/>
      <c r="AB140" s="1104"/>
      <c r="AC140" s="1104"/>
      <c r="AD140" s="1104"/>
      <c r="AE140" s="1211"/>
      <c r="AF140" s="1211"/>
      <c r="AG140" s="1104"/>
      <c r="AH140" s="1104"/>
      <c r="AI140" s="1353"/>
      <c r="AJ140" s="86"/>
      <c r="AK140" s="86"/>
      <c r="AL140" s="690"/>
      <c r="AM140" s="694">
        <f t="shared" si="380"/>
        <v>0</v>
      </c>
      <c r="AN140" s="31"/>
      <c r="AO140" s="622"/>
      <c r="AP140" s="23"/>
      <c r="AQ140" s="23"/>
      <c r="AR140" s="23"/>
      <c r="AS140" s="23"/>
      <c r="AT140" s="23"/>
      <c r="AU140" s="23"/>
      <c r="AV140" s="23"/>
    </row>
    <row r="141" spans="1:48" ht="25.15" hidden="1" customHeight="1">
      <c r="A141" s="103"/>
      <c r="B141" s="105"/>
      <c r="C141" s="77"/>
      <c r="D141" s="88" t="s">
        <v>111</v>
      </c>
      <c r="E141" s="1108">
        <f>IF(E140="O/H",E139,0+E139)</f>
        <v>0</v>
      </c>
      <c r="F141" s="1089">
        <f t="shared" ref="F141:AI141" si="382">IF(F140="O/H",F139,+E141+F139)</f>
        <v>0</v>
      </c>
      <c r="G141" s="44">
        <f t="shared" si="382"/>
        <v>0</v>
      </c>
      <c r="H141" s="1089">
        <f t="shared" si="382"/>
        <v>0</v>
      </c>
      <c r="I141" s="1089">
        <f t="shared" si="382"/>
        <v>0</v>
      </c>
      <c r="J141" s="44">
        <f t="shared" si="382"/>
        <v>0</v>
      </c>
      <c r="K141" s="44">
        <f t="shared" si="382"/>
        <v>0</v>
      </c>
      <c r="L141" s="1089">
        <f t="shared" si="382"/>
        <v>0</v>
      </c>
      <c r="M141" s="1089">
        <f t="shared" si="382"/>
        <v>0</v>
      </c>
      <c r="N141" s="1089">
        <f t="shared" si="382"/>
        <v>0</v>
      </c>
      <c r="O141" s="1089">
        <f t="shared" si="382"/>
        <v>0</v>
      </c>
      <c r="P141" s="1089">
        <f t="shared" si="382"/>
        <v>0</v>
      </c>
      <c r="Q141" s="44">
        <f t="shared" si="382"/>
        <v>0</v>
      </c>
      <c r="R141" s="44">
        <f t="shared" si="382"/>
        <v>0</v>
      </c>
      <c r="S141" s="1089">
        <f t="shared" si="382"/>
        <v>0</v>
      </c>
      <c r="T141" s="1089">
        <f t="shared" si="382"/>
        <v>0</v>
      </c>
      <c r="U141" s="1089">
        <f t="shared" si="382"/>
        <v>0</v>
      </c>
      <c r="V141" s="1089">
        <f t="shared" si="382"/>
        <v>0</v>
      </c>
      <c r="W141" s="1089">
        <f t="shared" si="382"/>
        <v>0</v>
      </c>
      <c r="X141" s="44">
        <f t="shared" si="382"/>
        <v>0</v>
      </c>
      <c r="Y141" s="44">
        <f t="shared" si="382"/>
        <v>0</v>
      </c>
      <c r="Z141" s="1089">
        <f t="shared" si="382"/>
        <v>0</v>
      </c>
      <c r="AA141" s="1089">
        <f t="shared" si="382"/>
        <v>0</v>
      </c>
      <c r="AB141" s="1089">
        <f t="shared" si="382"/>
        <v>0</v>
      </c>
      <c r="AC141" s="1089">
        <f t="shared" si="382"/>
        <v>0</v>
      </c>
      <c r="AD141" s="1089">
        <f t="shared" si="382"/>
        <v>0</v>
      </c>
      <c r="AE141" s="44">
        <f t="shared" si="382"/>
        <v>0</v>
      </c>
      <c r="AF141" s="44">
        <f t="shared" si="382"/>
        <v>0</v>
      </c>
      <c r="AG141" s="1089">
        <f t="shared" si="382"/>
        <v>0</v>
      </c>
      <c r="AH141" s="1089">
        <f t="shared" si="382"/>
        <v>0</v>
      </c>
      <c r="AI141" s="1326">
        <f t="shared" si="382"/>
        <v>0</v>
      </c>
      <c r="AJ141" s="79"/>
      <c r="AK141" s="86"/>
      <c r="AL141" s="689"/>
      <c r="AM141" s="694">
        <f t="shared" si="380"/>
        <v>0</v>
      </c>
      <c r="AN141" s="31"/>
      <c r="AO141" s="622"/>
      <c r="AP141" s="23"/>
      <c r="AQ141" s="23"/>
      <c r="AR141" s="23"/>
      <c r="AS141" s="23"/>
      <c r="AT141" s="23"/>
      <c r="AU141" s="23"/>
      <c r="AV141" s="23"/>
    </row>
    <row r="142" spans="1:48" ht="25.15" hidden="1" customHeight="1">
      <c r="A142" s="103"/>
      <c r="B142" s="89"/>
      <c r="C142" s="80"/>
      <c r="D142" s="90" t="s">
        <v>104</v>
      </c>
      <c r="E142" s="1108"/>
      <c r="F142" s="1089"/>
      <c r="G142" s="44"/>
      <c r="H142" s="1089"/>
      <c r="I142" s="1089"/>
      <c r="J142" s="44"/>
      <c r="K142" s="44"/>
      <c r="L142" s="1089"/>
      <c r="M142" s="1089"/>
      <c r="N142" s="1089"/>
      <c r="O142" s="1089"/>
      <c r="P142" s="1089"/>
      <c r="Q142" s="44"/>
      <c r="R142" s="44"/>
      <c r="S142" s="1089"/>
      <c r="T142" s="1089"/>
      <c r="U142" s="1089"/>
      <c r="V142" s="1089"/>
      <c r="W142" s="1089"/>
      <c r="X142" s="44"/>
      <c r="Y142" s="44"/>
      <c r="Z142" s="1089"/>
      <c r="AA142" s="1089"/>
      <c r="AB142" s="1089"/>
      <c r="AC142" s="1089"/>
      <c r="AD142" s="1089"/>
      <c r="AE142" s="44"/>
      <c r="AF142" s="44"/>
      <c r="AG142" s="1089"/>
      <c r="AH142" s="1089"/>
      <c r="AI142" s="1326"/>
      <c r="AJ142" s="79"/>
      <c r="AK142" s="79"/>
      <c r="AL142" s="63"/>
      <c r="AM142" s="1068">
        <f t="shared" si="380"/>
        <v>0</v>
      </c>
      <c r="AN142" s="64"/>
      <c r="AO142" s="624"/>
      <c r="AP142" s="23"/>
      <c r="AQ142" s="23"/>
      <c r="AR142" s="23"/>
      <c r="AS142" s="23"/>
      <c r="AT142" s="23"/>
      <c r="AU142" s="23"/>
      <c r="AV142" s="23"/>
    </row>
    <row r="143" spans="1:48" ht="25.15" hidden="1" customHeight="1" thickBot="1">
      <c r="A143" s="106"/>
      <c r="B143" s="93"/>
      <c r="C143" s="94"/>
      <c r="D143" s="95" t="s">
        <v>111</v>
      </c>
      <c r="E143" s="1109">
        <f>IF(E142="O/H",E139,0+E139)</f>
        <v>0</v>
      </c>
      <c r="F143" s="1110">
        <f t="shared" ref="F143:AI143" si="383">IF(F142="O/H",F139,+E143+F139)</f>
        <v>0</v>
      </c>
      <c r="G143" s="1212">
        <f t="shared" si="383"/>
        <v>0</v>
      </c>
      <c r="H143" s="1110">
        <f t="shared" si="383"/>
        <v>0</v>
      </c>
      <c r="I143" s="1110">
        <f t="shared" si="383"/>
        <v>0</v>
      </c>
      <c r="J143" s="1212">
        <f t="shared" si="383"/>
        <v>0</v>
      </c>
      <c r="K143" s="1212">
        <f t="shared" si="383"/>
        <v>0</v>
      </c>
      <c r="L143" s="1110">
        <f t="shared" si="383"/>
        <v>0</v>
      </c>
      <c r="M143" s="1110">
        <f t="shared" si="383"/>
        <v>0</v>
      </c>
      <c r="N143" s="1110">
        <f t="shared" si="383"/>
        <v>0</v>
      </c>
      <c r="O143" s="1110">
        <f t="shared" si="383"/>
        <v>0</v>
      </c>
      <c r="P143" s="1110">
        <f t="shared" si="383"/>
        <v>0</v>
      </c>
      <c r="Q143" s="1212">
        <f t="shared" si="383"/>
        <v>0</v>
      </c>
      <c r="R143" s="1212">
        <f t="shared" si="383"/>
        <v>0</v>
      </c>
      <c r="S143" s="1110">
        <f t="shared" si="383"/>
        <v>0</v>
      </c>
      <c r="T143" s="1110">
        <f t="shared" si="383"/>
        <v>0</v>
      </c>
      <c r="U143" s="1110">
        <f t="shared" si="383"/>
        <v>0</v>
      </c>
      <c r="V143" s="1110">
        <f t="shared" si="383"/>
        <v>0</v>
      </c>
      <c r="W143" s="1110">
        <f t="shared" si="383"/>
        <v>0</v>
      </c>
      <c r="X143" s="1212">
        <f t="shared" si="383"/>
        <v>0</v>
      </c>
      <c r="Y143" s="1212">
        <f t="shared" si="383"/>
        <v>0</v>
      </c>
      <c r="Z143" s="1110">
        <f t="shared" si="383"/>
        <v>0</v>
      </c>
      <c r="AA143" s="1110">
        <f t="shared" si="383"/>
        <v>0</v>
      </c>
      <c r="AB143" s="1110">
        <f t="shared" si="383"/>
        <v>0</v>
      </c>
      <c r="AC143" s="1110">
        <f t="shared" si="383"/>
        <v>0</v>
      </c>
      <c r="AD143" s="1110">
        <f t="shared" si="383"/>
        <v>0</v>
      </c>
      <c r="AE143" s="1212">
        <f t="shared" si="383"/>
        <v>0</v>
      </c>
      <c r="AF143" s="1212">
        <f t="shared" si="383"/>
        <v>0</v>
      </c>
      <c r="AG143" s="1110">
        <f t="shared" si="383"/>
        <v>0</v>
      </c>
      <c r="AH143" s="1110">
        <f t="shared" si="383"/>
        <v>0</v>
      </c>
      <c r="AI143" s="1340">
        <f t="shared" si="383"/>
        <v>0</v>
      </c>
      <c r="AJ143" s="96"/>
      <c r="AK143" s="96"/>
      <c r="AL143" s="97"/>
      <c r="AM143" s="1071">
        <f t="shared" si="380"/>
        <v>0</v>
      </c>
      <c r="AN143" s="98"/>
      <c r="AO143" s="625"/>
      <c r="AP143" s="23"/>
      <c r="AQ143" s="23"/>
      <c r="AR143" s="23"/>
      <c r="AS143" s="23"/>
      <c r="AT143" s="23"/>
      <c r="AU143" s="23"/>
      <c r="AV143" s="23"/>
    </row>
    <row r="144" spans="1:48" ht="25.15" hidden="1" customHeight="1" thickTop="1">
      <c r="A144" s="99"/>
      <c r="B144" s="26" t="s">
        <v>125</v>
      </c>
      <c r="C144" s="27"/>
      <c r="D144" s="28" t="s">
        <v>82</v>
      </c>
      <c r="E144" s="1111"/>
      <c r="F144" s="1111"/>
      <c r="G144" s="1201"/>
      <c r="H144" s="1111"/>
      <c r="I144" s="1111"/>
      <c r="J144" s="1201"/>
      <c r="K144" s="1201"/>
      <c r="L144" s="1111"/>
      <c r="M144" s="1111"/>
      <c r="N144" s="1111"/>
      <c r="O144" s="1111"/>
      <c r="P144" s="1111"/>
      <c r="Q144" s="1201"/>
      <c r="R144" s="1201"/>
      <c r="S144" s="1111"/>
      <c r="T144" s="1111"/>
      <c r="U144" s="1111"/>
      <c r="V144" s="1111"/>
      <c r="W144" s="1111"/>
      <c r="X144" s="1201"/>
      <c r="Y144" s="1201"/>
      <c r="Z144" s="1111"/>
      <c r="AA144" s="1111"/>
      <c r="AB144" s="1111"/>
      <c r="AC144" s="1111"/>
      <c r="AD144" s="1111"/>
      <c r="AE144" s="1201"/>
      <c r="AF144" s="1201"/>
      <c r="AG144" s="1111"/>
      <c r="AH144" s="1111"/>
      <c r="AI144" s="1412"/>
      <c r="AJ144" s="100">
        <f>SUM(Table75[[#This Row],[June''2026]:[Column27]])</f>
        <v>0</v>
      </c>
      <c r="AK144" s="100">
        <f t="shared" ref="AK144:AK198" si="384">AJ146</f>
        <v>0</v>
      </c>
      <c r="AL144" s="101">
        <f>+AJ144*AN144</f>
        <v>0</v>
      </c>
      <c r="AM144" s="1072">
        <f t="shared" si="380"/>
        <v>0</v>
      </c>
      <c r="AN144" s="102"/>
      <c r="AO144" s="622" t="e">
        <f>Table5[[#This Row],[Total]]*B148/1000</f>
        <v>#VALUE!</v>
      </c>
      <c r="AP144" s="32" t="s">
        <v>83</v>
      </c>
      <c r="AQ144" s="33" t="s">
        <v>84</v>
      </c>
      <c r="AR144" s="33" t="s">
        <v>85</v>
      </c>
      <c r="AS144" s="33" t="s">
        <v>86</v>
      </c>
      <c r="AT144" s="33" t="s">
        <v>87</v>
      </c>
      <c r="AU144" s="33" t="s">
        <v>88</v>
      </c>
      <c r="AV144" s="34" t="s">
        <v>68</v>
      </c>
    </row>
    <row r="145" spans="1:48" ht="25.15" hidden="1" customHeight="1">
      <c r="A145" s="103"/>
      <c r="B145" s="35" t="s">
        <v>126</v>
      </c>
      <c r="C145" s="36"/>
      <c r="D145" s="37" t="s">
        <v>90</v>
      </c>
      <c r="E145" s="1373">
        <f>IF(E144="",0,+ E144/E151)</f>
        <v>0</v>
      </c>
      <c r="F145" s="1096">
        <f t="shared" ref="F145:AI145" si="385">IF(F144="",0, E145+F144/F151)</f>
        <v>0</v>
      </c>
      <c r="G145" s="1207">
        <f t="shared" si="385"/>
        <v>0</v>
      </c>
      <c r="H145" s="1096">
        <f t="shared" si="385"/>
        <v>0</v>
      </c>
      <c r="I145" s="1096">
        <f t="shared" si="385"/>
        <v>0</v>
      </c>
      <c r="J145" s="1207">
        <f t="shared" si="385"/>
        <v>0</v>
      </c>
      <c r="K145" s="1207">
        <f t="shared" si="385"/>
        <v>0</v>
      </c>
      <c r="L145" s="1096">
        <f t="shared" si="385"/>
        <v>0</v>
      </c>
      <c r="M145" s="1096">
        <f t="shared" si="385"/>
        <v>0</v>
      </c>
      <c r="N145" s="1096">
        <f t="shared" si="385"/>
        <v>0</v>
      </c>
      <c r="O145" s="1096">
        <f t="shared" si="385"/>
        <v>0</v>
      </c>
      <c r="P145" s="1096">
        <f t="shared" si="385"/>
        <v>0</v>
      </c>
      <c r="Q145" s="1207">
        <f t="shared" si="385"/>
        <v>0</v>
      </c>
      <c r="R145" s="1207">
        <f t="shared" si="385"/>
        <v>0</v>
      </c>
      <c r="S145" s="1096">
        <f t="shared" si="385"/>
        <v>0</v>
      </c>
      <c r="T145" s="1096">
        <f t="shared" si="385"/>
        <v>0</v>
      </c>
      <c r="U145" s="1096">
        <f t="shared" si="385"/>
        <v>0</v>
      </c>
      <c r="V145" s="1096">
        <f t="shared" si="385"/>
        <v>0</v>
      </c>
      <c r="W145" s="1096">
        <f t="shared" si="385"/>
        <v>0</v>
      </c>
      <c r="X145" s="1207">
        <f t="shared" si="385"/>
        <v>0</v>
      </c>
      <c r="Y145" s="1207">
        <f t="shared" si="385"/>
        <v>0</v>
      </c>
      <c r="Z145" s="1096">
        <f t="shared" si="385"/>
        <v>0</v>
      </c>
      <c r="AA145" s="1096">
        <f t="shared" si="385"/>
        <v>0</v>
      </c>
      <c r="AB145" s="1096">
        <f t="shared" si="385"/>
        <v>0</v>
      </c>
      <c r="AC145" s="1096">
        <f t="shared" si="385"/>
        <v>0</v>
      </c>
      <c r="AD145" s="1096">
        <f t="shared" si="385"/>
        <v>0</v>
      </c>
      <c r="AE145" s="1207">
        <f t="shared" si="385"/>
        <v>0</v>
      </c>
      <c r="AF145" s="1207">
        <f t="shared" si="385"/>
        <v>0</v>
      </c>
      <c r="AG145" s="1096">
        <f t="shared" si="385"/>
        <v>0</v>
      </c>
      <c r="AH145" s="1096">
        <f t="shared" si="385"/>
        <v>0</v>
      </c>
      <c r="AI145" s="1324">
        <f t="shared" si="385"/>
        <v>0</v>
      </c>
      <c r="AJ145" s="38"/>
      <c r="AK145" s="29"/>
      <c r="AL145" s="30"/>
      <c r="AM145" s="694">
        <f t="shared" si="380"/>
        <v>0</v>
      </c>
      <c r="AN145" s="31"/>
      <c r="AO145" s="630"/>
      <c r="AP145" s="39" t="s">
        <v>91</v>
      </c>
      <c r="AQ145" s="40">
        <f>SUM(E144:I144)</f>
        <v>0</v>
      </c>
      <c r="AR145" s="41">
        <f>SUM(J144:P144)</f>
        <v>0</v>
      </c>
      <c r="AS145" s="41">
        <f>SUM(Q144:W144)</f>
        <v>0</v>
      </c>
      <c r="AT145" s="41">
        <f>SUM(X144:AD144)</f>
        <v>0</v>
      </c>
      <c r="AU145" s="41">
        <f>SUM(AE144:AI144)</f>
        <v>0</v>
      </c>
      <c r="AV145" s="34">
        <f t="shared" ref="AV145:AV150" si="386">SUM(AQ145:AU145)</f>
        <v>0</v>
      </c>
    </row>
    <row r="146" spans="1:48" ht="25.15" hidden="1" customHeight="1">
      <c r="A146" s="103"/>
      <c r="B146" s="26" t="s">
        <v>92</v>
      </c>
      <c r="C146" s="42"/>
      <c r="D146" s="43" t="s">
        <v>93</v>
      </c>
      <c r="E146" s="1325"/>
      <c r="F146" s="1089"/>
      <c r="G146" s="44"/>
      <c r="H146" s="1089"/>
      <c r="I146" s="1089"/>
      <c r="J146" s="44"/>
      <c r="K146" s="44"/>
      <c r="L146" s="1089"/>
      <c r="M146" s="1089"/>
      <c r="N146" s="1089"/>
      <c r="O146" s="1089"/>
      <c r="P146" s="1089"/>
      <c r="Q146" s="44"/>
      <c r="R146" s="44"/>
      <c r="S146" s="1089"/>
      <c r="T146" s="1089"/>
      <c r="U146" s="1089"/>
      <c r="V146" s="1089"/>
      <c r="W146" s="1089"/>
      <c r="X146" s="44"/>
      <c r="Y146" s="44"/>
      <c r="Z146" s="1089"/>
      <c r="AA146" s="1089"/>
      <c r="AB146" s="1089"/>
      <c r="AC146" s="1089"/>
      <c r="AD146" s="1089"/>
      <c r="AE146" s="44"/>
      <c r="AF146" s="44"/>
      <c r="AG146" s="1089"/>
      <c r="AH146" s="1089"/>
      <c r="AI146" s="1326"/>
      <c r="AJ146" s="45">
        <f>SUM(E146:AI146)</f>
        <v>0</v>
      </c>
      <c r="AK146" s="45"/>
      <c r="AL146" s="46">
        <f>+AJ146*AN144</f>
        <v>0</v>
      </c>
      <c r="AM146" s="1066">
        <f t="shared" si="380"/>
        <v>0</v>
      </c>
      <c r="AN146" s="31"/>
      <c r="AO146" s="632">
        <f>(AJ146+AJ148+AJ149+AJ150)*B148/1000</f>
        <v>0</v>
      </c>
      <c r="AP146" s="47" t="s">
        <v>94</v>
      </c>
      <c r="AQ146" s="48">
        <f>SUM(E146:I146)</f>
        <v>0</v>
      </c>
      <c r="AR146" s="49">
        <f>SUM(J146:P146)</f>
        <v>0</v>
      </c>
      <c r="AS146" s="49">
        <f>SUM(Q146:W146)</f>
        <v>0</v>
      </c>
      <c r="AT146" s="49">
        <f>SUM(X146:AD146)</f>
        <v>0</v>
      </c>
      <c r="AU146" s="49">
        <f>SUM(AE146:AI146)</f>
        <v>0</v>
      </c>
      <c r="AV146" s="50">
        <f t="shared" si="386"/>
        <v>0</v>
      </c>
    </row>
    <row r="147" spans="1:48" ht="25.15" hidden="1" customHeight="1">
      <c r="A147" s="103"/>
      <c r="B147" s="51"/>
      <c r="C147" s="52" t="s">
        <v>95</v>
      </c>
      <c r="D147" s="53" t="s">
        <v>96</v>
      </c>
      <c r="E147" s="1327">
        <f t="shared" ref="E147:AJ147" si="387">+E146-E144</f>
        <v>0</v>
      </c>
      <c r="F147" s="1097">
        <f t="shared" si="387"/>
        <v>0</v>
      </c>
      <c r="G147" s="1205">
        <f t="shared" si="387"/>
        <v>0</v>
      </c>
      <c r="H147" s="1097">
        <f t="shared" si="387"/>
        <v>0</v>
      </c>
      <c r="I147" s="1097">
        <f t="shared" si="387"/>
        <v>0</v>
      </c>
      <c r="J147" s="1205">
        <f t="shared" si="387"/>
        <v>0</v>
      </c>
      <c r="K147" s="1205">
        <f t="shared" si="387"/>
        <v>0</v>
      </c>
      <c r="L147" s="1097">
        <f t="shared" si="387"/>
        <v>0</v>
      </c>
      <c r="M147" s="1097">
        <f t="shared" si="387"/>
        <v>0</v>
      </c>
      <c r="N147" s="1097">
        <f t="shared" si="387"/>
        <v>0</v>
      </c>
      <c r="O147" s="1097">
        <f t="shared" si="387"/>
        <v>0</v>
      </c>
      <c r="P147" s="1097">
        <f t="shared" si="387"/>
        <v>0</v>
      </c>
      <c r="Q147" s="1205">
        <f t="shared" si="387"/>
        <v>0</v>
      </c>
      <c r="R147" s="1205">
        <f t="shared" si="387"/>
        <v>0</v>
      </c>
      <c r="S147" s="1097">
        <f t="shared" si="387"/>
        <v>0</v>
      </c>
      <c r="T147" s="1097">
        <f t="shared" si="387"/>
        <v>0</v>
      </c>
      <c r="U147" s="1097">
        <f t="shared" si="387"/>
        <v>0</v>
      </c>
      <c r="V147" s="1097">
        <f t="shared" si="387"/>
        <v>0</v>
      </c>
      <c r="W147" s="1097">
        <f t="shared" si="387"/>
        <v>0</v>
      </c>
      <c r="X147" s="1205">
        <f t="shared" si="387"/>
        <v>0</v>
      </c>
      <c r="Y147" s="1205">
        <f t="shared" si="387"/>
        <v>0</v>
      </c>
      <c r="Z147" s="1097">
        <f t="shared" si="387"/>
        <v>0</v>
      </c>
      <c r="AA147" s="1097">
        <f t="shared" si="387"/>
        <v>0</v>
      </c>
      <c r="AB147" s="1097">
        <f t="shared" si="387"/>
        <v>0</v>
      </c>
      <c r="AC147" s="1097">
        <f t="shared" si="387"/>
        <v>0</v>
      </c>
      <c r="AD147" s="1097">
        <f t="shared" si="387"/>
        <v>0</v>
      </c>
      <c r="AE147" s="1205">
        <f t="shared" si="387"/>
        <v>0</v>
      </c>
      <c r="AF147" s="1205">
        <f t="shared" si="387"/>
        <v>0</v>
      </c>
      <c r="AG147" s="1097">
        <f t="shared" si="387"/>
        <v>0</v>
      </c>
      <c r="AH147" s="1097">
        <f t="shared" si="387"/>
        <v>0</v>
      </c>
      <c r="AI147" s="1328">
        <f t="shared" si="387"/>
        <v>0</v>
      </c>
      <c r="AJ147" s="54">
        <f t="shared" si="387"/>
        <v>0</v>
      </c>
      <c r="AK147" s="54"/>
      <c r="AL147" s="55">
        <f>+AJ147*AN144</f>
        <v>0</v>
      </c>
      <c r="AM147" s="1067">
        <f t="shared" si="380"/>
        <v>0</v>
      </c>
      <c r="AN147" s="31" t="s">
        <v>97</v>
      </c>
      <c r="AO147" s="622"/>
      <c r="AP147" s="39" t="s">
        <v>98</v>
      </c>
      <c r="AQ147" s="56">
        <f>AQ146-AQ145</f>
        <v>0</v>
      </c>
      <c r="AR147" s="70">
        <f>AR146-AR145</f>
        <v>0</v>
      </c>
      <c r="AS147" s="70">
        <f>AS146-AS145</f>
        <v>0</v>
      </c>
      <c r="AT147" s="70">
        <f>AT146-AT145</f>
        <v>0</v>
      </c>
      <c r="AU147" s="70">
        <f>AU146-AU145</f>
        <v>0</v>
      </c>
      <c r="AV147" s="57">
        <f t="shared" si="386"/>
        <v>0</v>
      </c>
    </row>
    <row r="148" spans="1:48" ht="25.15" hidden="1" customHeight="1">
      <c r="A148" s="58"/>
      <c r="B148" s="59"/>
      <c r="C148" s="60" t="s">
        <v>100</v>
      </c>
      <c r="D148" s="61" t="s">
        <v>101</v>
      </c>
      <c r="E148" s="1329"/>
      <c r="F148" s="1099"/>
      <c r="G148" s="1208"/>
      <c r="H148" s="1099"/>
      <c r="I148" s="1099"/>
      <c r="J148" s="1208"/>
      <c r="K148" s="1208"/>
      <c r="L148" s="1099"/>
      <c r="M148" s="1099"/>
      <c r="N148" s="1099"/>
      <c r="O148" s="1099"/>
      <c r="P148" s="1099"/>
      <c r="Q148" s="1208"/>
      <c r="R148" s="1208"/>
      <c r="S148" s="1099"/>
      <c r="T148" s="1099"/>
      <c r="U148" s="1099"/>
      <c r="V148" s="1099"/>
      <c r="W148" s="1099"/>
      <c r="X148" s="1208"/>
      <c r="Y148" s="1208"/>
      <c r="Z148" s="1099"/>
      <c r="AA148" s="1099"/>
      <c r="AB148" s="1099"/>
      <c r="AC148" s="1099"/>
      <c r="AD148" s="1099"/>
      <c r="AE148" s="1208"/>
      <c r="AF148" s="1208"/>
      <c r="AG148" s="1099"/>
      <c r="AH148" s="1099"/>
      <c r="AI148" s="1330"/>
      <c r="AJ148" s="62">
        <f>SUM(E148:AI148)</f>
        <v>0</v>
      </c>
      <c r="AK148" s="62"/>
      <c r="AL148" s="63">
        <f>+AJ148*AN144</f>
        <v>0</v>
      </c>
      <c r="AM148" s="1068">
        <f t="shared" si="380"/>
        <v>0</v>
      </c>
      <c r="AN148" s="64" t="e">
        <f>+AJ148/AJ146*100</f>
        <v>#DIV/0!</v>
      </c>
      <c r="AO148" s="635" t="e">
        <f>AO146/AO144</f>
        <v>#VALUE!</v>
      </c>
      <c r="AP148" s="39" t="s">
        <v>102</v>
      </c>
      <c r="AQ148" s="56">
        <f>SUM(E148:I148)</f>
        <v>0</v>
      </c>
      <c r="AR148" s="70">
        <f>SUM(J148:P148)</f>
        <v>0</v>
      </c>
      <c r="AS148" s="70">
        <f>SUM(Q148:W148)</f>
        <v>0</v>
      </c>
      <c r="AT148" s="70">
        <f>SUM(X148:AD148)</f>
        <v>0</v>
      </c>
      <c r="AU148" s="70">
        <f>SUM(AE148:AI148)</f>
        <v>0</v>
      </c>
      <c r="AV148" s="57">
        <f t="shared" si="386"/>
        <v>0</v>
      </c>
    </row>
    <row r="149" spans="1:48" ht="25.15" hidden="1" customHeight="1">
      <c r="A149" s="58" t="s">
        <v>99</v>
      </c>
      <c r="B149" s="65"/>
      <c r="C149" s="66"/>
      <c r="D149" s="67" t="s">
        <v>103</v>
      </c>
      <c r="E149" s="1331"/>
      <c r="F149" s="1101"/>
      <c r="G149" s="1209"/>
      <c r="H149" s="1101"/>
      <c r="I149" s="1101"/>
      <c r="J149" s="1209"/>
      <c r="K149" s="1209"/>
      <c r="L149" s="1101"/>
      <c r="M149" s="1101"/>
      <c r="N149" s="1101"/>
      <c r="O149" s="1101"/>
      <c r="P149" s="1101"/>
      <c r="Q149" s="1209"/>
      <c r="R149" s="1209"/>
      <c r="S149" s="1101"/>
      <c r="T149" s="1101"/>
      <c r="U149" s="1101"/>
      <c r="V149" s="1101"/>
      <c r="W149" s="1101"/>
      <c r="X149" s="1209"/>
      <c r="Y149" s="1209"/>
      <c r="Z149" s="1101"/>
      <c r="AA149" s="1101"/>
      <c r="AB149" s="1101"/>
      <c r="AC149" s="1101"/>
      <c r="AD149" s="1101"/>
      <c r="AE149" s="1209"/>
      <c r="AF149" s="1209"/>
      <c r="AG149" s="1101"/>
      <c r="AH149" s="1101"/>
      <c r="AI149" s="1332"/>
      <c r="AJ149" s="68">
        <f>SUM(E149:AI149)</f>
        <v>0</v>
      </c>
      <c r="AK149" s="68"/>
      <c r="AL149" s="69">
        <f>+AJ149*AN144</f>
        <v>0</v>
      </c>
      <c r="AM149" s="1069">
        <f t="shared" si="380"/>
        <v>0</v>
      </c>
      <c r="AN149" s="31"/>
      <c r="AO149" s="622"/>
      <c r="AP149" s="39" t="s">
        <v>19</v>
      </c>
      <c r="AQ149" s="56">
        <f>AQ148*AN144</f>
        <v>0</v>
      </c>
      <c r="AR149" s="56">
        <f>AR148*AN144</f>
        <v>0</v>
      </c>
      <c r="AS149" s="56">
        <f>AS148*AN144</f>
        <v>0</v>
      </c>
      <c r="AT149" s="56">
        <f>AT148*AN144</f>
        <v>0</v>
      </c>
      <c r="AU149" s="56">
        <f>AU148*AN144</f>
        <v>0</v>
      </c>
      <c r="AV149" s="57">
        <f t="shared" si="386"/>
        <v>0</v>
      </c>
    </row>
    <row r="150" spans="1:48" ht="25.15" hidden="1" customHeight="1">
      <c r="A150" s="103"/>
      <c r="B150" s="65"/>
      <c r="C150" s="72" t="s">
        <v>104</v>
      </c>
      <c r="D150" s="73" t="s">
        <v>105</v>
      </c>
      <c r="E150" s="1378"/>
      <c r="F150" s="1103"/>
      <c r="G150" s="1210"/>
      <c r="H150" s="1103"/>
      <c r="I150" s="1103"/>
      <c r="J150" s="1210"/>
      <c r="K150" s="1210"/>
      <c r="L150" s="1103"/>
      <c r="M150" s="1103"/>
      <c r="N150" s="1103"/>
      <c r="O150" s="1103"/>
      <c r="P150" s="1103"/>
      <c r="Q150" s="1210"/>
      <c r="R150" s="1210"/>
      <c r="S150" s="1103"/>
      <c r="T150" s="1103"/>
      <c r="U150" s="1103"/>
      <c r="V150" s="1103"/>
      <c r="W150" s="1103"/>
      <c r="X150" s="1210"/>
      <c r="Y150" s="1210"/>
      <c r="Z150" s="1103"/>
      <c r="AA150" s="1103"/>
      <c r="AB150" s="1103"/>
      <c r="AC150" s="1103"/>
      <c r="AD150" s="1103"/>
      <c r="AE150" s="1210"/>
      <c r="AF150" s="1210"/>
      <c r="AG150" s="1103"/>
      <c r="AH150" s="1103"/>
      <c r="AI150" s="1352"/>
      <c r="AJ150" s="74">
        <f>SUM(E150:AI150)</f>
        <v>0</v>
      </c>
      <c r="AK150" s="74"/>
      <c r="AL150" s="75">
        <f>+AJ150*AN144</f>
        <v>0</v>
      </c>
      <c r="AM150" s="1070">
        <f t="shared" si="380"/>
        <v>0</v>
      </c>
      <c r="AN150" s="76"/>
      <c r="AO150" s="636"/>
      <c r="AP150" s="47" t="s">
        <v>106</v>
      </c>
      <c r="AQ150" s="48">
        <f>AQ146*AN144</f>
        <v>0</v>
      </c>
      <c r="AR150" s="48">
        <f>AR146*AN144</f>
        <v>0</v>
      </c>
      <c r="AS150" s="48">
        <f>AS146*AN144</f>
        <v>0</v>
      </c>
      <c r="AT150" s="48">
        <f>AT146*AN144</f>
        <v>0</v>
      </c>
      <c r="AU150" s="48">
        <f>AU146*AN144</f>
        <v>0</v>
      </c>
      <c r="AV150" s="50">
        <f t="shared" si="386"/>
        <v>0</v>
      </c>
    </row>
    <row r="151" spans="1:48" ht="25.15" hidden="1" customHeight="1">
      <c r="A151" s="103"/>
      <c r="B151" s="65"/>
      <c r="C151" s="77">
        <v>300000</v>
      </c>
      <c r="D151" s="78" t="s">
        <v>107</v>
      </c>
      <c r="E151" s="1327">
        <v>1</v>
      </c>
      <c r="F151" s="1097">
        <v>1</v>
      </c>
      <c r="G151" s="1205">
        <v>1</v>
      </c>
      <c r="H151" s="1097">
        <v>1</v>
      </c>
      <c r="I151" s="1097">
        <v>1</v>
      </c>
      <c r="J151" s="1205">
        <v>1</v>
      </c>
      <c r="K151" s="1205">
        <v>1</v>
      </c>
      <c r="L151" s="1097">
        <v>1</v>
      </c>
      <c r="M151" s="1097">
        <v>1</v>
      </c>
      <c r="N151" s="1097">
        <v>1</v>
      </c>
      <c r="O151" s="1097">
        <v>1</v>
      </c>
      <c r="P151" s="1097">
        <v>1</v>
      </c>
      <c r="Q151" s="1205">
        <v>1</v>
      </c>
      <c r="R151" s="1205">
        <v>1</v>
      </c>
      <c r="S151" s="1097">
        <v>1</v>
      </c>
      <c r="T151" s="1097">
        <v>1</v>
      </c>
      <c r="U151" s="1097">
        <v>1</v>
      </c>
      <c r="V151" s="1097">
        <v>1</v>
      </c>
      <c r="W151" s="1097">
        <v>1</v>
      </c>
      <c r="X151" s="1205">
        <v>1</v>
      </c>
      <c r="Y151" s="1205">
        <v>1</v>
      </c>
      <c r="Z151" s="1097">
        <v>1</v>
      </c>
      <c r="AA151" s="1097">
        <v>1</v>
      </c>
      <c r="AB151" s="1097">
        <v>1</v>
      </c>
      <c r="AC151" s="1097">
        <v>1</v>
      </c>
      <c r="AD151" s="1097">
        <v>1</v>
      </c>
      <c r="AE151" s="1205">
        <v>1</v>
      </c>
      <c r="AF151" s="1205">
        <v>1</v>
      </c>
      <c r="AG151" s="1097">
        <v>1</v>
      </c>
      <c r="AH151" s="1097">
        <v>1</v>
      </c>
      <c r="AI151" s="1328">
        <v>1</v>
      </c>
      <c r="AJ151" s="79"/>
      <c r="AK151" s="79"/>
      <c r="AL151" s="55"/>
      <c r="AM151" s="1067">
        <f t="shared" si="380"/>
        <v>0</v>
      </c>
      <c r="AN151" s="31"/>
      <c r="AO151" s="622"/>
      <c r="AP151" s="23"/>
      <c r="AQ151" s="23"/>
      <c r="AR151" s="23"/>
      <c r="AS151" s="23"/>
      <c r="AT151" s="23"/>
      <c r="AU151" s="23"/>
      <c r="AV151" s="23"/>
    </row>
    <row r="152" spans="1:48" ht="25.15" hidden="1" customHeight="1">
      <c r="A152" s="103"/>
      <c r="B152" s="65"/>
      <c r="C152" s="80" t="s">
        <v>108</v>
      </c>
      <c r="D152" s="81" t="s">
        <v>109</v>
      </c>
      <c r="E152" s="1374">
        <f>SUM(E146+E148+E149+E150)/E151</f>
        <v>0</v>
      </c>
      <c r="F152" s="1104">
        <f>SUM(F146+F148+F149+F150)/F151</f>
        <v>0</v>
      </c>
      <c r="G152" s="1211">
        <f>SUM(G146+G148+G149+G150)/G151</f>
        <v>0</v>
      </c>
      <c r="H152" s="1104">
        <f t="shared" ref="H152:AH152" si="388">SUM(H146+H148+H149+H150)/H151</f>
        <v>0</v>
      </c>
      <c r="I152" s="1104">
        <f t="shared" si="388"/>
        <v>0</v>
      </c>
      <c r="J152" s="1211">
        <f t="shared" si="388"/>
        <v>0</v>
      </c>
      <c r="K152" s="1211">
        <f t="shared" si="388"/>
        <v>0</v>
      </c>
      <c r="L152" s="1104">
        <f t="shared" si="388"/>
        <v>0</v>
      </c>
      <c r="M152" s="1104">
        <f t="shared" si="388"/>
        <v>0</v>
      </c>
      <c r="N152" s="1104">
        <f t="shared" si="388"/>
        <v>0</v>
      </c>
      <c r="O152" s="1104">
        <f t="shared" si="388"/>
        <v>0</v>
      </c>
      <c r="P152" s="1104">
        <f t="shared" si="388"/>
        <v>0</v>
      </c>
      <c r="Q152" s="1211">
        <f t="shared" si="388"/>
        <v>0</v>
      </c>
      <c r="R152" s="1211">
        <f t="shared" si="388"/>
        <v>0</v>
      </c>
      <c r="S152" s="1104">
        <f t="shared" si="388"/>
        <v>0</v>
      </c>
      <c r="T152" s="1104">
        <f t="shared" si="388"/>
        <v>0</v>
      </c>
      <c r="U152" s="1104">
        <f t="shared" si="388"/>
        <v>0</v>
      </c>
      <c r="V152" s="1104">
        <f t="shared" si="388"/>
        <v>0</v>
      </c>
      <c r="W152" s="1104">
        <f t="shared" si="388"/>
        <v>0</v>
      </c>
      <c r="X152" s="1211">
        <f t="shared" si="388"/>
        <v>0</v>
      </c>
      <c r="Y152" s="1211">
        <f t="shared" si="388"/>
        <v>0</v>
      </c>
      <c r="Z152" s="1104">
        <f t="shared" si="388"/>
        <v>0</v>
      </c>
      <c r="AA152" s="1104">
        <f t="shared" si="388"/>
        <v>0</v>
      </c>
      <c r="AB152" s="1104">
        <f t="shared" si="388"/>
        <v>0</v>
      </c>
      <c r="AC152" s="1104">
        <f t="shared" si="388"/>
        <v>0</v>
      </c>
      <c r="AD152" s="1104">
        <f t="shared" si="388"/>
        <v>0</v>
      </c>
      <c r="AE152" s="1211">
        <f t="shared" si="388"/>
        <v>0</v>
      </c>
      <c r="AF152" s="1211">
        <f t="shared" si="388"/>
        <v>0</v>
      </c>
      <c r="AG152" s="1104">
        <f t="shared" si="388"/>
        <v>0</v>
      </c>
      <c r="AH152" s="1104">
        <f t="shared" si="388"/>
        <v>0</v>
      </c>
      <c r="AI152" s="1335">
        <f>SUM(AI146+AI148+AI149)/AI151</f>
        <v>0</v>
      </c>
      <c r="AJ152" s="104">
        <f>SUM(E152:AI152)</f>
        <v>0</v>
      </c>
      <c r="AK152" s="104"/>
      <c r="AL152" s="83"/>
      <c r="AM152" s="1068">
        <f t="shared" si="380"/>
        <v>0</v>
      </c>
      <c r="AN152" s="31"/>
      <c r="AO152" s="622"/>
      <c r="AP152" s="23"/>
      <c r="AQ152" s="23"/>
      <c r="AR152" s="23"/>
      <c r="AS152" s="23"/>
      <c r="AT152" s="23"/>
      <c r="AU152" s="23"/>
      <c r="AV152" s="23"/>
    </row>
    <row r="153" spans="1:48" ht="25.15" hidden="1" customHeight="1">
      <c r="A153" s="103"/>
      <c r="B153" s="59"/>
      <c r="C153" s="84">
        <f>+C151*0.8</f>
        <v>240000</v>
      </c>
      <c r="D153" s="85" t="s">
        <v>110</v>
      </c>
      <c r="E153" s="1105"/>
      <c r="F153" s="1106"/>
      <c r="G153" s="1211"/>
      <c r="H153" s="1104"/>
      <c r="I153" s="1104"/>
      <c r="J153" s="1211"/>
      <c r="K153" s="1211"/>
      <c r="L153" s="1104"/>
      <c r="M153" s="1104"/>
      <c r="N153" s="1104"/>
      <c r="O153" s="1107"/>
      <c r="P153" s="1104"/>
      <c r="Q153" s="1211"/>
      <c r="R153" s="1211"/>
      <c r="S153" s="1104"/>
      <c r="T153" s="1104"/>
      <c r="U153" s="1104"/>
      <c r="V153" s="1104"/>
      <c r="W153" s="1104"/>
      <c r="X153" s="1211"/>
      <c r="Y153" s="1211"/>
      <c r="Z153" s="1104"/>
      <c r="AA153" s="1104"/>
      <c r="AB153" s="1104"/>
      <c r="AC153" s="1104"/>
      <c r="AD153" s="1104"/>
      <c r="AE153" s="1211"/>
      <c r="AF153" s="1211"/>
      <c r="AG153" s="1104"/>
      <c r="AH153" s="1104"/>
      <c r="AI153" s="1353"/>
      <c r="AJ153" s="86"/>
      <c r="AK153" s="86"/>
      <c r="AL153" s="690"/>
      <c r="AM153" s="694">
        <f t="shared" si="380"/>
        <v>0</v>
      </c>
      <c r="AN153" s="31"/>
      <c r="AO153" s="622"/>
      <c r="AP153" s="23"/>
      <c r="AQ153" s="23"/>
      <c r="AR153" s="23"/>
      <c r="AS153" s="23"/>
      <c r="AT153" s="23"/>
      <c r="AU153" s="23"/>
      <c r="AV153" s="23"/>
    </row>
    <row r="154" spans="1:48" ht="25.15" hidden="1" customHeight="1">
      <c r="A154" s="103"/>
      <c r="B154" s="105"/>
      <c r="C154" s="77"/>
      <c r="D154" s="88" t="s">
        <v>111</v>
      </c>
      <c r="E154" s="1108">
        <f>IF(E153="O/H",E152,0+E152)</f>
        <v>0</v>
      </c>
      <c r="F154" s="1089">
        <f t="shared" ref="F154:AI154" si="389">IF(F153="O/H",F152,+E154+F152)</f>
        <v>0</v>
      </c>
      <c r="G154" s="44">
        <f t="shared" si="389"/>
        <v>0</v>
      </c>
      <c r="H154" s="1089">
        <f t="shared" si="389"/>
        <v>0</v>
      </c>
      <c r="I154" s="1089">
        <f t="shared" si="389"/>
        <v>0</v>
      </c>
      <c r="J154" s="44">
        <f t="shared" si="389"/>
        <v>0</v>
      </c>
      <c r="K154" s="44">
        <f t="shared" si="389"/>
        <v>0</v>
      </c>
      <c r="L154" s="1089">
        <f t="shared" si="389"/>
        <v>0</v>
      </c>
      <c r="M154" s="1089">
        <f t="shared" si="389"/>
        <v>0</v>
      </c>
      <c r="N154" s="1089">
        <f t="shared" si="389"/>
        <v>0</v>
      </c>
      <c r="O154" s="1089">
        <f t="shared" si="389"/>
        <v>0</v>
      </c>
      <c r="P154" s="1089">
        <f t="shared" si="389"/>
        <v>0</v>
      </c>
      <c r="Q154" s="44">
        <f t="shared" si="389"/>
        <v>0</v>
      </c>
      <c r="R154" s="44">
        <f t="shared" si="389"/>
        <v>0</v>
      </c>
      <c r="S154" s="1089">
        <f t="shared" si="389"/>
        <v>0</v>
      </c>
      <c r="T154" s="1089">
        <f t="shared" si="389"/>
        <v>0</v>
      </c>
      <c r="U154" s="1089">
        <f t="shared" si="389"/>
        <v>0</v>
      </c>
      <c r="V154" s="1089">
        <f t="shared" si="389"/>
        <v>0</v>
      </c>
      <c r="W154" s="1089">
        <f t="shared" si="389"/>
        <v>0</v>
      </c>
      <c r="X154" s="44">
        <f t="shared" si="389"/>
        <v>0</v>
      </c>
      <c r="Y154" s="44">
        <f t="shared" si="389"/>
        <v>0</v>
      </c>
      <c r="Z154" s="1089">
        <f t="shared" si="389"/>
        <v>0</v>
      </c>
      <c r="AA154" s="1089">
        <f t="shared" si="389"/>
        <v>0</v>
      </c>
      <c r="AB154" s="1089">
        <f t="shared" si="389"/>
        <v>0</v>
      </c>
      <c r="AC154" s="1089">
        <f t="shared" si="389"/>
        <v>0</v>
      </c>
      <c r="AD154" s="1089">
        <f t="shared" si="389"/>
        <v>0</v>
      </c>
      <c r="AE154" s="44">
        <f t="shared" si="389"/>
        <v>0</v>
      </c>
      <c r="AF154" s="44">
        <f t="shared" si="389"/>
        <v>0</v>
      </c>
      <c r="AG154" s="1089">
        <f t="shared" si="389"/>
        <v>0</v>
      </c>
      <c r="AH154" s="1089">
        <f t="shared" si="389"/>
        <v>0</v>
      </c>
      <c r="AI154" s="1326">
        <f t="shared" si="389"/>
        <v>0</v>
      </c>
      <c r="AJ154" s="79"/>
      <c r="AK154" s="86"/>
      <c r="AL154" s="689"/>
      <c r="AM154" s="694">
        <f t="shared" si="380"/>
        <v>0</v>
      </c>
      <c r="AN154" s="31"/>
      <c r="AO154" s="622"/>
      <c r="AP154" s="23"/>
      <c r="AQ154" s="23"/>
      <c r="AR154" s="23"/>
      <c r="AS154" s="23"/>
      <c r="AT154" s="23"/>
      <c r="AU154" s="23"/>
      <c r="AV154" s="23"/>
    </row>
    <row r="155" spans="1:48" s="23" customFormat="1" ht="20.65" hidden="1" customHeight="1">
      <c r="A155" s="274"/>
      <c r="B155" s="312"/>
      <c r="C155" s="308"/>
      <c r="D155" s="795" t="s">
        <v>112</v>
      </c>
      <c r="E155" s="1108" t="b">
        <f>IF(AND(ISNUMBER(E146)),386302+E152)</f>
        <v>0</v>
      </c>
      <c r="F155" s="1089" t="str">
        <f>IF(AND(ISNUMBER(F146)),E155+F152,"")</f>
        <v/>
      </c>
      <c r="G155" s="44" t="str">
        <f t="shared" ref="G155" si="390">IF(AND(ISNUMBER(G146)),F155+G152,"")</f>
        <v/>
      </c>
      <c r="H155" s="1089" t="str">
        <f t="shared" ref="H155" si="391">IF(AND(ISNUMBER(H146)),G155+H152,"")</f>
        <v/>
      </c>
      <c r="I155" s="1089" t="str">
        <f>IF(AND(ISNUMBER(I146)),H155+I152,"")</f>
        <v/>
      </c>
      <c r="J155" s="44" t="str">
        <f>IF(AND(ISNUMBER(J146)),I155+J152,"")</f>
        <v/>
      </c>
      <c r="K155" s="44" t="str">
        <f>IF(AND(ISNUMBER(K146)),J155+K152,"")</f>
        <v/>
      </c>
      <c r="L155" s="1089" t="str">
        <f t="shared" ref="L155" si="392">IF(AND(ISNUMBER(L146)),K155+L152,"")</f>
        <v/>
      </c>
      <c r="M155" s="1089" t="str">
        <f t="shared" ref="M155" si="393">IF(AND(ISNUMBER(M146)),L155+M152,"")</f>
        <v/>
      </c>
      <c r="N155" s="1089" t="str">
        <f t="shared" ref="N155" si="394">IF(AND(ISNUMBER(N146)),M155+N152,"")</f>
        <v/>
      </c>
      <c r="O155" s="1089" t="str">
        <f t="shared" ref="O155" si="395">IF(AND(ISNUMBER(O146)),N155+O152,"")</f>
        <v/>
      </c>
      <c r="P155" s="1089" t="str">
        <f t="shared" ref="P155" si="396">IF(AND(ISNUMBER(P146)),O155+P152,"")</f>
        <v/>
      </c>
      <c r="Q155" s="44" t="str">
        <f t="shared" ref="Q155" si="397">IF(AND(ISNUMBER(Q146)),P155+Q152,"")</f>
        <v/>
      </c>
      <c r="R155" s="44" t="str">
        <f t="shared" ref="R155" si="398">IF(AND(ISNUMBER(R146)),Q155+R152,"")</f>
        <v/>
      </c>
      <c r="S155" s="1089" t="str">
        <f t="shared" ref="S155" si="399">IF(AND(ISNUMBER(S146)),R155+S152,"")</f>
        <v/>
      </c>
      <c r="T155" s="1089" t="str">
        <f t="shared" ref="T155" si="400">IF(AND(ISNUMBER(T146)),S155+T152,"")</f>
        <v/>
      </c>
      <c r="U155" s="1089" t="str">
        <f t="shared" ref="U155" si="401">IF(AND(ISNUMBER(U146)),T155+U152,"")</f>
        <v/>
      </c>
      <c r="V155" s="1089" t="str">
        <f t="shared" ref="V155" si="402">IF(AND(ISNUMBER(V146)),U155+V152,"")</f>
        <v/>
      </c>
      <c r="W155" s="1089" t="str">
        <f t="shared" ref="W155" si="403">IF(AND(ISNUMBER(W146)),V155+W152,"")</f>
        <v/>
      </c>
      <c r="X155" s="44" t="str">
        <f t="shared" ref="X155" si="404">IF(AND(ISNUMBER(X146)),W155+X152,"")</f>
        <v/>
      </c>
      <c r="Y155" s="44" t="str">
        <f t="shared" ref="Y155" si="405">IF(AND(ISNUMBER(Y146)),X155+Y152,"")</f>
        <v/>
      </c>
      <c r="Z155" s="1089" t="str">
        <f t="shared" ref="Z155" si="406">IF(AND(ISNUMBER(Z146)),Y155+Z152,"")</f>
        <v/>
      </c>
      <c r="AA155" s="1089" t="str">
        <f t="shared" ref="AA155" si="407">IF(AND(ISNUMBER(AA146)),Z155+AA152,"")</f>
        <v/>
      </c>
      <c r="AB155" s="1089" t="str">
        <f t="shared" ref="AB155" si="408">IF(AND(ISNUMBER(AB146)),AA155+AB152,"")</f>
        <v/>
      </c>
      <c r="AC155" s="1089" t="str">
        <f t="shared" ref="AC155" si="409">IF(AND(ISNUMBER(AC146)),AB155+AC152,"")</f>
        <v/>
      </c>
      <c r="AD155" s="1089" t="str">
        <f t="shared" ref="AD155" si="410">IF(AND(ISNUMBER(AD146)),AC155+AD152,"")</f>
        <v/>
      </c>
      <c r="AE155" s="44" t="str">
        <f t="shared" ref="AE155" si="411">IF(AND(ISNUMBER(AE146)),AD155+AE152,"")</f>
        <v/>
      </c>
      <c r="AF155" s="44" t="str">
        <f t="shared" ref="AF155" si="412">IF(AND(ISNUMBER(AF146)),AE155+AF152,"")</f>
        <v/>
      </c>
      <c r="AG155" s="1089" t="str">
        <f t="shared" ref="AG155" si="413">IF(AND(ISNUMBER(AG146)),AF155+AG152,"")</f>
        <v/>
      </c>
      <c r="AH155" s="1089" t="str">
        <f t="shared" ref="AH155" si="414">IF(AND(ISNUMBER(AH146)),AG155+AH152,"")</f>
        <v/>
      </c>
      <c r="AI155" s="1089" t="str">
        <f t="shared" ref="AI155" si="415">IF(AND(ISNUMBER(AI146)),AH155+AI152,"")</f>
        <v/>
      </c>
      <c r="AJ155" s="793"/>
      <c r="AK155" s="793"/>
      <c r="AL155" s="909"/>
      <c r="AM155" s="890">
        <f t="shared" si="380"/>
        <v>0</v>
      </c>
      <c r="AN155" s="76"/>
      <c r="AO155" s="624"/>
      <c r="AP155" s="285"/>
      <c r="AQ155" s="285"/>
      <c r="AR155" s="285"/>
      <c r="AS155" s="285"/>
      <c r="AT155" s="286"/>
      <c r="AU155" s="285"/>
      <c r="AV155" s="287"/>
    </row>
    <row r="156" spans="1:48" ht="25.15" hidden="1" customHeight="1">
      <c r="A156" s="103"/>
      <c r="B156" s="89"/>
      <c r="C156" s="80"/>
      <c r="D156" s="90" t="s">
        <v>104</v>
      </c>
      <c r="E156" s="1108"/>
      <c r="F156" s="1089"/>
      <c r="G156" s="44"/>
      <c r="H156" s="1089"/>
      <c r="I156" s="1089"/>
      <c r="J156" s="44"/>
      <c r="K156" s="44"/>
      <c r="L156" s="1089"/>
      <c r="M156" s="1089"/>
      <c r="N156" s="1089"/>
      <c r="O156" s="1089"/>
      <c r="P156" s="1089"/>
      <c r="Q156" s="44"/>
      <c r="R156" s="44"/>
      <c r="S156" s="1089"/>
      <c r="T156" s="1089"/>
      <c r="U156" s="1089"/>
      <c r="V156" s="1089"/>
      <c r="W156" s="1089"/>
      <c r="X156" s="44"/>
      <c r="Y156" s="44"/>
      <c r="Z156" s="1089"/>
      <c r="AA156" s="1089"/>
      <c r="AB156" s="1089"/>
      <c r="AC156" s="1089"/>
      <c r="AD156" s="1089"/>
      <c r="AE156" s="44"/>
      <c r="AF156" s="44"/>
      <c r="AG156" s="1089"/>
      <c r="AH156" s="1089"/>
      <c r="AI156" s="1326"/>
      <c r="AJ156" s="79"/>
      <c r="AK156" s="79"/>
      <c r="AL156" s="63"/>
      <c r="AM156" s="1068">
        <f t="shared" si="380"/>
        <v>0</v>
      </c>
      <c r="AN156" s="64"/>
      <c r="AO156" s="624"/>
      <c r="AP156" s="23"/>
      <c r="AQ156" s="23"/>
      <c r="AR156" s="23"/>
      <c r="AS156" s="23"/>
      <c r="AT156" s="23"/>
      <c r="AU156" s="23"/>
      <c r="AV156" s="23"/>
    </row>
    <row r="157" spans="1:48" ht="25.15" hidden="1" customHeight="1" thickBot="1">
      <c r="A157" s="106"/>
      <c r="B157" s="93"/>
      <c r="C157" s="94"/>
      <c r="D157" s="95" t="s">
        <v>111</v>
      </c>
      <c r="E157" s="1109">
        <f>IF(E156="O/H",E152,0+E152)</f>
        <v>0</v>
      </c>
      <c r="F157" s="1110">
        <f t="shared" ref="F157:AI157" si="416">IF(F156="O/H",F152,+E157+F152)</f>
        <v>0</v>
      </c>
      <c r="G157" s="1212">
        <f t="shared" si="416"/>
        <v>0</v>
      </c>
      <c r="H157" s="1110">
        <f t="shared" si="416"/>
        <v>0</v>
      </c>
      <c r="I157" s="1110">
        <f t="shared" si="416"/>
        <v>0</v>
      </c>
      <c r="J157" s="1212">
        <f t="shared" si="416"/>
        <v>0</v>
      </c>
      <c r="K157" s="1212">
        <f t="shared" si="416"/>
        <v>0</v>
      </c>
      <c r="L157" s="1110">
        <f t="shared" si="416"/>
        <v>0</v>
      </c>
      <c r="M157" s="1110">
        <f t="shared" si="416"/>
        <v>0</v>
      </c>
      <c r="N157" s="1110">
        <f t="shared" si="416"/>
        <v>0</v>
      </c>
      <c r="O157" s="1110">
        <f t="shared" si="416"/>
        <v>0</v>
      </c>
      <c r="P157" s="1110">
        <f t="shared" si="416"/>
        <v>0</v>
      </c>
      <c r="Q157" s="1212">
        <f t="shared" si="416"/>
        <v>0</v>
      </c>
      <c r="R157" s="1212">
        <f t="shared" si="416"/>
        <v>0</v>
      </c>
      <c r="S157" s="1110">
        <f t="shared" si="416"/>
        <v>0</v>
      </c>
      <c r="T157" s="1110">
        <f t="shared" si="416"/>
        <v>0</v>
      </c>
      <c r="U157" s="1110">
        <f t="shared" si="416"/>
        <v>0</v>
      </c>
      <c r="V157" s="1110">
        <f t="shared" si="416"/>
        <v>0</v>
      </c>
      <c r="W157" s="1110">
        <f t="shared" si="416"/>
        <v>0</v>
      </c>
      <c r="X157" s="1212">
        <f t="shared" si="416"/>
        <v>0</v>
      </c>
      <c r="Y157" s="1212">
        <f t="shared" si="416"/>
        <v>0</v>
      </c>
      <c r="Z157" s="1110">
        <f>IF(Z156="O/H",Z152,+Y157+Z152)</f>
        <v>0</v>
      </c>
      <c r="AA157" s="1110">
        <f t="shared" si="416"/>
        <v>0</v>
      </c>
      <c r="AB157" s="1110">
        <f t="shared" si="416"/>
        <v>0</v>
      </c>
      <c r="AC157" s="1110">
        <f t="shared" si="416"/>
        <v>0</v>
      </c>
      <c r="AD157" s="1110">
        <f t="shared" si="416"/>
        <v>0</v>
      </c>
      <c r="AE157" s="1212">
        <f t="shared" si="416"/>
        <v>0</v>
      </c>
      <c r="AF157" s="1212">
        <f t="shared" si="416"/>
        <v>0</v>
      </c>
      <c r="AG157" s="1110">
        <f t="shared" si="416"/>
        <v>0</v>
      </c>
      <c r="AH157" s="1110">
        <f t="shared" si="416"/>
        <v>0</v>
      </c>
      <c r="AI157" s="1340">
        <f t="shared" si="416"/>
        <v>0</v>
      </c>
      <c r="AJ157" s="96"/>
      <c r="AK157" s="96"/>
      <c r="AL157" s="97"/>
      <c r="AM157" s="1071">
        <f t="shared" si="380"/>
        <v>0</v>
      </c>
      <c r="AN157" s="98"/>
      <c r="AO157" s="625"/>
      <c r="AP157" s="23"/>
      <c r="AQ157" s="23"/>
      <c r="AR157" s="23"/>
      <c r="AS157" s="23"/>
      <c r="AT157" s="23"/>
      <c r="AU157" s="23"/>
      <c r="AV157" s="23"/>
    </row>
    <row r="158" spans="1:48" ht="25.15" hidden="1" customHeight="1" thickTop="1">
      <c r="A158" s="99"/>
      <c r="B158" s="26" t="s">
        <v>127</v>
      </c>
      <c r="C158" s="27"/>
      <c r="D158" s="28" t="s">
        <v>82</v>
      </c>
      <c r="E158" s="1111"/>
      <c r="F158" s="1111"/>
      <c r="G158" s="1201"/>
      <c r="H158" s="1111"/>
      <c r="I158" s="1111"/>
      <c r="J158" s="1201"/>
      <c r="K158" s="1201"/>
      <c r="L158" s="1111"/>
      <c r="M158" s="1111"/>
      <c r="N158" s="1111"/>
      <c r="O158" s="1111"/>
      <c r="P158" s="1111"/>
      <c r="Q158" s="1201"/>
      <c r="R158" s="1201"/>
      <c r="S158" s="1111"/>
      <c r="T158" s="1111"/>
      <c r="U158" s="1111"/>
      <c r="V158" s="1111"/>
      <c r="W158" s="1111"/>
      <c r="X158" s="1201"/>
      <c r="Y158" s="1201"/>
      <c r="Z158" s="1111"/>
      <c r="AA158" s="1111"/>
      <c r="AB158" s="1111"/>
      <c r="AC158" s="1111"/>
      <c r="AD158" s="1111"/>
      <c r="AE158" s="1201"/>
      <c r="AF158" s="1201"/>
      <c r="AG158" s="1111"/>
      <c r="AH158" s="1111"/>
      <c r="AI158" s="1412"/>
      <c r="AJ158" s="100">
        <f>SUM(Table75[[#This Row],[June''2026]:[Column27]])</f>
        <v>0</v>
      </c>
      <c r="AK158" s="100">
        <f t="shared" si="384"/>
        <v>0</v>
      </c>
      <c r="AL158" s="101">
        <f>+AJ158*AN158</f>
        <v>0</v>
      </c>
      <c r="AM158" s="1072">
        <f t="shared" si="380"/>
        <v>0</v>
      </c>
      <c r="AN158" s="102"/>
      <c r="AO158" s="622" t="e">
        <f>Table5[[#This Row],[Total]]*B162/1000</f>
        <v>#VALUE!</v>
      </c>
      <c r="AP158" s="32" t="s">
        <v>83</v>
      </c>
      <c r="AQ158" s="33" t="s">
        <v>84</v>
      </c>
      <c r="AR158" s="33" t="s">
        <v>85</v>
      </c>
      <c r="AS158" s="33" t="s">
        <v>86</v>
      </c>
      <c r="AT158" s="33" t="s">
        <v>87</v>
      </c>
      <c r="AU158" s="33" t="s">
        <v>88</v>
      </c>
      <c r="AV158" s="34" t="s">
        <v>68</v>
      </c>
    </row>
    <row r="159" spans="1:48" ht="25.15" hidden="1" customHeight="1">
      <c r="A159" s="103"/>
      <c r="B159" s="35" t="s">
        <v>128</v>
      </c>
      <c r="C159" s="36"/>
      <c r="D159" s="37" t="s">
        <v>90</v>
      </c>
      <c r="E159" s="1373">
        <f>IF(E158="",0,+ E158/E165)</f>
        <v>0</v>
      </c>
      <c r="F159" s="1096">
        <f t="shared" ref="F159:AI159" si="417">IF(F158="",0, E159+F158/F165)</f>
        <v>0</v>
      </c>
      <c r="G159" s="1207">
        <f t="shared" si="417"/>
        <v>0</v>
      </c>
      <c r="H159" s="1096">
        <f t="shared" si="417"/>
        <v>0</v>
      </c>
      <c r="I159" s="1096">
        <f t="shared" si="417"/>
        <v>0</v>
      </c>
      <c r="J159" s="1207">
        <f t="shared" si="417"/>
        <v>0</v>
      </c>
      <c r="K159" s="1207">
        <f t="shared" si="417"/>
        <v>0</v>
      </c>
      <c r="L159" s="1096">
        <f t="shared" si="417"/>
        <v>0</v>
      </c>
      <c r="M159" s="1096">
        <f t="shared" si="417"/>
        <v>0</v>
      </c>
      <c r="N159" s="1096">
        <f t="shared" si="417"/>
        <v>0</v>
      </c>
      <c r="O159" s="1096">
        <f t="shared" si="417"/>
        <v>0</v>
      </c>
      <c r="P159" s="1096">
        <f t="shared" si="417"/>
        <v>0</v>
      </c>
      <c r="Q159" s="1207">
        <f t="shared" si="417"/>
        <v>0</v>
      </c>
      <c r="R159" s="1207">
        <f t="shared" si="417"/>
        <v>0</v>
      </c>
      <c r="S159" s="1096">
        <f t="shared" si="417"/>
        <v>0</v>
      </c>
      <c r="T159" s="1096">
        <f t="shared" si="417"/>
        <v>0</v>
      </c>
      <c r="U159" s="1096">
        <f t="shared" si="417"/>
        <v>0</v>
      </c>
      <c r="V159" s="1096">
        <f t="shared" si="417"/>
        <v>0</v>
      </c>
      <c r="W159" s="1096">
        <f t="shared" si="417"/>
        <v>0</v>
      </c>
      <c r="X159" s="1207">
        <f t="shared" si="417"/>
        <v>0</v>
      </c>
      <c r="Y159" s="1207">
        <f t="shared" si="417"/>
        <v>0</v>
      </c>
      <c r="Z159" s="1096">
        <f t="shared" si="417"/>
        <v>0</v>
      </c>
      <c r="AA159" s="1096">
        <f t="shared" si="417"/>
        <v>0</v>
      </c>
      <c r="AB159" s="1096">
        <f t="shared" si="417"/>
        <v>0</v>
      </c>
      <c r="AC159" s="1096">
        <f t="shared" si="417"/>
        <v>0</v>
      </c>
      <c r="AD159" s="1096">
        <f t="shared" si="417"/>
        <v>0</v>
      </c>
      <c r="AE159" s="1207">
        <f t="shared" si="417"/>
        <v>0</v>
      </c>
      <c r="AF159" s="1207">
        <f t="shared" si="417"/>
        <v>0</v>
      </c>
      <c r="AG159" s="1096">
        <f t="shared" si="417"/>
        <v>0</v>
      </c>
      <c r="AH159" s="1096">
        <f t="shared" si="417"/>
        <v>0</v>
      </c>
      <c r="AI159" s="1324">
        <f t="shared" si="417"/>
        <v>0</v>
      </c>
      <c r="AJ159" s="38"/>
      <c r="AK159" s="29"/>
      <c r="AL159" s="30"/>
      <c r="AM159" s="694">
        <f t="shared" si="380"/>
        <v>0</v>
      </c>
      <c r="AN159" s="31"/>
      <c r="AO159" s="630"/>
      <c r="AP159" s="39" t="s">
        <v>91</v>
      </c>
      <c r="AQ159" s="40">
        <f>SUM(E158:I158)</f>
        <v>0</v>
      </c>
      <c r="AR159" s="41">
        <f>SUM(J158:P158)</f>
        <v>0</v>
      </c>
      <c r="AS159" s="41">
        <f>SUM(Q158:W158)</f>
        <v>0</v>
      </c>
      <c r="AT159" s="41">
        <f>SUM(X158:AD158)</f>
        <v>0</v>
      </c>
      <c r="AU159" s="41">
        <f>SUM(AE158:AI158)</f>
        <v>0</v>
      </c>
      <c r="AV159" s="34">
        <f t="shared" ref="AV159:AV164" si="418">SUM(AQ159:AU159)</f>
        <v>0</v>
      </c>
    </row>
    <row r="160" spans="1:48" ht="25.15" hidden="1" customHeight="1">
      <c r="A160" s="103"/>
      <c r="B160" s="26" t="s">
        <v>92</v>
      </c>
      <c r="C160" s="42"/>
      <c r="D160" s="43" t="s">
        <v>93</v>
      </c>
      <c r="E160" s="1325"/>
      <c r="F160" s="1089"/>
      <c r="G160" s="44"/>
      <c r="H160" s="1089"/>
      <c r="I160" s="1089"/>
      <c r="J160" s="44"/>
      <c r="K160" s="44"/>
      <c r="L160" s="1089"/>
      <c r="M160" s="1089"/>
      <c r="N160" s="1089"/>
      <c r="O160" s="1089"/>
      <c r="P160" s="1089"/>
      <c r="Q160" s="44"/>
      <c r="R160" s="44"/>
      <c r="S160" s="1089"/>
      <c r="T160" s="1089"/>
      <c r="U160" s="1089"/>
      <c r="V160" s="1089"/>
      <c r="W160" s="1089"/>
      <c r="X160" s="44"/>
      <c r="Y160" s="44"/>
      <c r="Z160" s="1089"/>
      <c r="AA160" s="1089"/>
      <c r="AB160" s="1089"/>
      <c r="AC160" s="1089"/>
      <c r="AD160" s="1089"/>
      <c r="AE160" s="44"/>
      <c r="AF160" s="44"/>
      <c r="AG160" s="1089"/>
      <c r="AH160" s="1089"/>
      <c r="AI160" s="1326"/>
      <c r="AJ160" s="45">
        <f>SUM(E160:AI160)</f>
        <v>0</v>
      </c>
      <c r="AK160" s="45"/>
      <c r="AL160" s="46">
        <f>+AJ160*AN158</f>
        <v>0</v>
      </c>
      <c r="AM160" s="1066">
        <f t="shared" si="380"/>
        <v>0</v>
      </c>
      <c r="AN160" s="31"/>
      <c r="AO160" s="632">
        <f>(AJ160+AJ162+AJ163+AJ164)*B162/1000</f>
        <v>0</v>
      </c>
      <c r="AP160" s="47" t="s">
        <v>94</v>
      </c>
      <c r="AQ160" s="48">
        <f>SUM(E160:I160)</f>
        <v>0</v>
      </c>
      <c r="AR160" s="49">
        <f>SUM(J160:P160)</f>
        <v>0</v>
      </c>
      <c r="AS160" s="49">
        <f>SUM(Q160:W160)</f>
        <v>0</v>
      </c>
      <c r="AT160" s="49">
        <f>SUM(X160:AD160)</f>
        <v>0</v>
      </c>
      <c r="AU160" s="49">
        <f>SUM(AE160:AI160)</f>
        <v>0</v>
      </c>
      <c r="AV160" s="50">
        <f t="shared" si="418"/>
        <v>0</v>
      </c>
    </row>
    <row r="161" spans="1:48" ht="25.15" hidden="1" customHeight="1">
      <c r="A161" s="103"/>
      <c r="B161" s="51"/>
      <c r="C161" s="52" t="s">
        <v>95</v>
      </c>
      <c r="D161" s="53" t="s">
        <v>96</v>
      </c>
      <c r="E161" s="1327">
        <f t="shared" ref="E161:AJ161" si="419">+E160-E158</f>
        <v>0</v>
      </c>
      <c r="F161" s="1097">
        <f t="shared" si="419"/>
        <v>0</v>
      </c>
      <c r="G161" s="1205">
        <f t="shared" si="419"/>
        <v>0</v>
      </c>
      <c r="H161" s="1097">
        <f t="shared" si="419"/>
        <v>0</v>
      </c>
      <c r="I161" s="1097">
        <f t="shared" si="419"/>
        <v>0</v>
      </c>
      <c r="J161" s="1205">
        <f t="shared" si="419"/>
        <v>0</v>
      </c>
      <c r="K161" s="1205">
        <f t="shared" si="419"/>
        <v>0</v>
      </c>
      <c r="L161" s="1097">
        <f t="shared" si="419"/>
        <v>0</v>
      </c>
      <c r="M161" s="1097">
        <f t="shared" si="419"/>
        <v>0</v>
      </c>
      <c r="N161" s="1097">
        <f t="shared" si="419"/>
        <v>0</v>
      </c>
      <c r="O161" s="1097">
        <f t="shared" si="419"/>
        <v>0</v>
      </c>
      <c r="P161" s="1097">
        <f t="shared" si="419"/>
        <v>0</v>
      </c>
      <c r="Q161" s="1205">
        <f t="shared" si="419"/>
        <v>0</v>
      </c>
      <c r="R161" s="1205">
        <f t="shared" si="419"/>
        <v>0</v>
      </c>
      <c r="S161" s="1097">
        <f t="shared" si="419"/>
        <v>0</v>
      </c>
      <c r="T161" s="1097">
        <f t="shared" si="419"/>
        <v>0</v>
      </c>
      <c r="U161" s="1097">
        <f t="shared" si="419"/>
        <v>0</v>
      </c>
      <c r="V161" s="1097">
        <f t="shared" si="419"/>
        <v>0</v>
      </c>
      <c r="W161" s="1097">
        <f t="shared" si="419"/>
        <v>0</v>
      </c>
      <c r="X161" s="1205">
        <f t="shared" si="419"/>
        <v>0</v>
      </c>
      <c r="Y161" s="1205">
        <f t="shared" si="419"/>
        <v>0</v>
      </c>
      <c r="Z161" s="1097">
        <f t="shared" si="419"/>
        <v>0</v>
      </c>
      <c r="AA161" s="1097">
        <f t="shared" si="419"/>
        <v>0</v>
      </c>
      <c r="AB161" s="1097">
        <f t="shared" si="419"/>
        <v>0</v>
      </c>
      <c r="AC161" s="1097">
        <f t="shared" si="419"/>
        <v>0</v>
      </c>
      <c r="AD161" s="1097">
        <f t="shared" si="419"/>
        <v>0</v>
      </c>
      <c r="AE161" s="1205">
        <f t="shared" si="419"/>
        <v>0</v>
      </c>
      <c r="AF161" s="1205">
        <f t="shared" si="419"/>
        <v>0</v>
      </c>
      <c r="AG161" s="1097">
        <f t="shared" si="419"/>
        <v>0</v>
      </c>
      <c r="AH161" s="1097">
        <f t="shared" si="419"/>
        <v>0</v>
      </c>
      <c r="AI161" s="1328">
        <f t="shared" si="419"/>
        <v>0</v>
      </c>
      <c r="AJ161" s="54">
        <f t="shared" si="419"/>
        <v>0</v>
      </c>
      <c r="AK161" s="54"/>
      <c r="AL161" s="55">
        <f>+AJ161*AN158</f>
        <v>0</v>
      </c>
      <c r="AM161" s="1067">
        <f t="shared" si="380"/>
        <v>0</v>
      </c>
      <c r="AN161" s="31" t="s">
        <v>97</v>
      </c>
      <c r="AO161" s="622"/>
      <c r="AP161" s="39" t="s">
        <v>98</v>
      </c>
      <c r="AQ161" s="56">
        <f>AQ160-AQ159</f>
        <v>0</v>
      </c>
      <c r="AR161" s="70">
        <f>AR160-AR159</f>
        <v>0</v>
      </c>
      <c r="AS161" s="70">
        <f>AS160-AS159</f>
        <v>0</v>
      </c>
      <c r="AT161" s="70">
        <f>AT160-AT159</f>
        <v>0</v>
      </c>
      <c r="AU161" s="70">
        <f>AU160-AU159</f>
        <v>0</v>
      </c>
      <c r="AV161" s="57">
        <f t="shared" si="418"/>
        <v>0</v>
      </c>
    </row>
    <row r="162" spans="1:48" ht="25.15" hidden="1" customHeight="1">
      <c r="A162" s="58"/>
      <c r="B162" s="59"/>
      <c r="C162" s="60" t="s">
        <v>100</v>
      </c>
      <c r="D162" s="61" t="s">
        <v>101</v>
      </c>
      <c r="E162" s="1329"/>
      <c r="F162" s="1099"/>
      <c r="G162" s="1208"/>
      <c r="H162" s="1099"/>
      <c r="I162" s="1099"/>
      <c r="J162" s="1208"/>
      <c r="K162" s="1208"/>
      <c r="L162" s="1099"/>
      <c r="M162" s="1099"/>
      <c r="N162" s="1099"/>
      <c r="O162" s="1099"/>
      <c r="P162" s="1099"/>
      <c r="Q162" s="1208"/>
      <c r="R162" s="1208"/>
      <c r="S162" s="1099"/>
      <c r="T162" s="1099"/>
      <c r="U162" s="1099"/>
      <c r="V162" s="1099"/>
      <c r="W162" s="1099"/>
      <c r="X162" s="1208"/>
      <c r="Y162" s="1208"/>
      <c r="Z162" s="1099"/>
      <c r="AA162" s="1099"/>
      <c r="AB162" s="1099"/>
      <c r="AC162" s="1099"/>
      <c r="AD162" s="1099"/>
      <c r="AE162" s="1208"/>
      <c r="AF162" s="1208"/>
      <c r="AG162" s="1099"/>
      <c r="AH162" s="1099"/>
      <c r="AI162" s="1330"/>
      <c r="AJ162" s="62">
        <f>SUM(E162:AI162)</f>
        <v>0</v>
      </c>
      <c r="AK162" s="62"/>
      <c r="AL162" s="63">
        <f>+AJ162*AN158</f>
        <v>0</v>
      </c>
      <c r="AM162" s="1068">
        <f t="shared" si="380"/>
        <v>0</v>
      </c>
      <c r="AN162" s="64" t="e">
        <f>+AJ162/AJ160*100</f>
        <v>#DIV/0!</v>
      </c>
      <c r="AO162" s="635" t="e">
        <f>AO160/AO158</f>
        <v>#VALUE!</v>
      </c>
      <c r="AP162" s="39" t="s">
        <v>102</v>
      </c>
      <c r="AQ162" s="56">
        <f>SUM(E162:I162)</f>
        <v>0</v>
      </c>
      <c r="AR162" s="70">
        <f>SUM(J162:P162)</f>
        <v>0</v>
      </c>
      <c r="AS162" s="70">
        <f>SUM(Q162:W162)</f>
        <v>0</v>
      </c>
      <c r="AT162" s="70">
        <f>SUM(X162:AD162)</f>
        <v>0</v>
      </c>
      <c r="AU162" s="70">
        <f>SUM(AE162:AI162)</f>
        <v>0</v>
      </c>
      <c r="AV162" s="57">
        <f t="shared" si="418"/>
        <v>0</v>
      </c>
    </row>
    <row r="163" spans="1:48" ht="25.15" hidden="1" customHeight="1">
      <c r="A163" s="58" t="s">
        <v>99</v>
      </c>
      <c r="B163" s="65"/>
      <c r="C163" s="66"/>
      <c r="D163" s="67" t="s">
        <v>103</v>
      </c>
      <c r="E163" s="1331"/>
      <c r="F163" s="1101"/>
      <c r="G163" s="1209"/>
      <c r="H163" s="1101"/>
      <c r="I163" s="1101"/>
      <c r="J163" s="1209"/>
      <c r="K163" s="1209"/>
      <c r="L163" s="1101"/>
      <c r="M163" s="1101"/>
      <c r="N163" s="1101"/>
      <c r="O163" s="1101"/>
      <c r="P163" s="1101"/>
      <c r="Q163" s="1209"/>
      <c r="R163" s="1209"/>
      <c r="S163" s="1101"/>
      <c r="T163" s="1101"/>
      <c r="U163" s="1101"/>
      <c r="V163" s="1101"/>
      <c r="W163" s="1101"/>
      <c r="X163" s="1209"/>
      <c r="Y163" s="1209"/>
      <c r="Z163" s="1101"/>
      <c r="AA163" s="1101"/>
      <c r="AB163" s="1101"/>
      <c r="AC163" s="1101"/>
      <c r="AD163" s="1101"/>
      <c r="AE163" s="1209"/>
      <c r="AF163" s="1209"/>
      <c r="AG163" s="1101"/>
      <c r="AH163" s="1101"/>
      <c r="AI163" s="1332"/>
      <c r="AJ163" s="68">
        <f>SUM(E163:AI163)</f>
        <v>0</v>
      </c>
      <c r="AK163" s="68"/>
      <c r="AL163" s="69">
        <f>+AJ163*AN158</f>
        <v>0</v>
      </c>
      <c r="AM163" s="1069">
        <f t="shared" si="380"/>
        <v>0</v>
      </c>
      <c r="AN163" s="31"/>
      <c r="AO163" s="622"/>
      <c r="AP163" s="39" t="s">
        <v>19</v>
      </c>
      <c r="AQ163" s="56">
        <f>AQ162*AN158</f>
        <v>0</v>
      </c>
      <c r="AR163" s="56">
        <f>AR162*AN158</f>
        <v>0</v>
      </c>
      <c r="AS163" s="56">
        <f>AS162*AN158</f>
        <v>0</v>
      </c>
      <c r="AT163" s="56">
        <f>AT162*AN158</f>
        <v>0</v>
      </c>
      <c r="AU163" s="56">
        <f>AU162*AN158</f>
        <v>0</v>
      </c>
      <c r="AV163" s="57">
        <f t="shared" si="418"/>
        <v>0</v>
      </c>
    </row>
    <row r="164" spans="1:48" ht="25.15" hidden="1" customHeight="1">
      <c r="A164" s="103"/>
      <c r="B164" s="65"/>
      <c r="C164" s="72" t="s">
        <v>104</v>
      </c>
      <c r="D164" s="73" t="s">
        <v>105</v>
      </c>
      <c r="E164" s="1378"/>
      <c r="F164" s="1103"/>
      <c r="G164" s="1210"/>
      <c r="H164" s="1103"/>
      <c r="I164" s="1103"/>
      <c r="J164" s="1210"/>
      <c r="K164" s="1210"/>
      <c r="L164" s="1103"/>
      <c r="M164" s="1103"/>
      <c r="N164" s="1103"/>
      <c r="O164" s="1103"/>
      <c r="P164" s="1103"/>
      <c r="Q164" s="1210"/>
      <c r="R164" s="1210"/>
      <c r="S164" s="1103"/>
      <c r="T164" s="1103"/>
      <c r="U164" s="1103"/>
      <c r="V164" s="1103"/>
      <c r="W164" s="1103"/>
      <c r="X164" s="1210"/>
      <c r="Y164" s="1210"/>
      <c r="Z164" s="1103"/>
      <c r="AA164" s="1103"/>
      <c r="AB164" s="1103"/>
      <c r="AC164" s="1103"/>
      <c r="AD164" s="1103"/>
      <c r="AE164" s="1210"/>
      <c r="AF164" s="1210"/>
      <c r="AG164" s="1103"/>
      <c r="AH164" s="1103"/>
      <c r="AI164" s="1352"/>
      <c r="AJ164" s="74">
        <f>SUM(E164:AI164)</f>
        <v>0</v>
      </c>
      <c r="AK164" s="74"/>
      <c r="AL164" s="75">
        <f>+AJ164*AN158</f>
        <v>0</v>
      </c>
      <c r="AM164" s="1070">
        <f t="shared" si="380"/>
        <v>0</v>
      </c>
      <c r="AN164" s="76"/>
      <c r="AO164" s="636"/>
      <c r="AP164" s="47" t="s">
        <v>106</v>
      </c>
      <c r="AQ164" s="48">
        <f>AQ160*AN158</f>
        <v>0</v>
      </c>
      <c r="AR164" s="48">
        <f>AR160*AN158</f>
        <v>0</v>
      </c>
      <c r="AS164" s="48">
        <f>AS160*AN158</f>
        <v>0</v>
      </c>
      <c r="AT164" s="48">
        <f>AT160*AN158</f>
        <v>0</v>
      </c>
      <c r="AU164" s="48">
        <f>AU160*AN158</f>
        <v>0</v>
      </c>
      <c r="AV164" s="50">
        <f t="shared" si="418"/>
        <v>0</v>
      </c>
    </row>
    <row r="165" spans="1:48" ht="25.15" hidden="1" customHeight="1">
      <c r="A165" s="103"/>
      <c r="B165" s="65"/>
      <c r="C165" s="77">
        <v>300000</v>
      </c>
      <c r="D165" s="78" t="s">
        <v>107</v>
      </c>
      <c r="E165" s="1327">
        <v>1</v>
      </c>
      <c r="F165" s="1097">
        <v>1</v>
      </c>
      <c r="G165" s="1205">
        <v>1</v>
      </c>
      <c r="H165" s="1097">
        <v>1</v>
      </c>
      <c r="I165" s="1097">
        <v>1</v>
      </c>
      <c r="J165" s="1205">
        <v>1</v>
      </c>
      <c r="K165" s="1205">
        <v>1</v>
      </c>
      <c r="L165" s="1097">
        <v>1</v>
      </c>
      <c r="M165" s="1097">
        <v>1</v>
      </c>
      <c r="N165" s="1097">
        <v>1</v>
      </c>
      <c r="O165" s="1097">
        <v>1</v>
      </c>
      <c r="P165" s="1097">
        <v>1</v>
      </c>
      <c r="Q165" s="1205">
        <v>1</v>
      </c>
      <c r="R165" s="1205">
        <v>1</v>
      </c>
      <c r="S165" s="1097">
        <v>1</v>
      </c>
      <c r="T165" s="1097">
        <v>1</v>
      </c>
      <c r="U165" s="1097">
        <v>1</v>
      </c>
      <c r="V165" s="1097">
        <v>1</v>
      </c>
      <c r="W165" s="1097">
        <v>1</v>
      </c>
      <c r="X165" s="1205">
        <v>1</v>
      </c>
      <c r="Y165" s="1205">
        <v>1</v>
      </c>
      <c r="Z165" s="1097">
        <v>1</v>
      </c>
      <c r="AA165" s="1097">
        <v>1</v>
      </c>
      <c r="AB165" s="1097">
        <v>1</v>
      </c>
      <c r="AC165" s="1097">
        <v>1</v>
      </c>
      <c r="AD165" s="1097">
        <v>1</v>
      </c>
      <c r="AE165" s="1205">
        <v>1</v>
      </c>
      <c r="AF165" s="1205">
        <v>1</v>
      </c>
      <c r="AG165" s="1097">
        <v>1</v>
      </c>
      <c r="AH165" s="1097">
        <v>1</v>
      </c>
      <c r="AI165" s="1328">
        <v>1</v>
      </c>
      <c r="AJ165" s="79"/>
      <c r="AK165" s="79"/>
      <c r="AL165" s="55"/>
      <c r="AM165" s="1067">
        <f t="shared" si="380"/>
        <v>0</v>
      </c>
      <c r="AN165" s="31"/>
      <c r="AO165" s="622"/>
      <c r="AP165" s="23"/>
      <c r="AQ165" s="23"/>
      <c r="AR165" s="23"/>
      <c r="AS165" s="23"/>
      <c r="AT165" s="23"/>
      <c r="AU165" s="23"/>
      <c r="AV165" s="23"/>
    </row>
    <row r="166" spans="1:48" ht="25.15" hidden="1" customHeight="1">
      <c r="A166" s="103"/>
      <c r="B166" s="65"/>
      <c r="C166" s="80" t="s">
        <v>108</v>
      </c>
      <c r="D166" s="81" t="s">
        <v>109</v>
      </c>
      <c r="E166" s="1374">
        <f>SUM(E160+E162+E163+E164)/E165</f>
        <v>0</v>
      </c>
      <c r="F166" s="1104">
        <f>SUM(F160+F162+F163+F164)/F165</f>
        <v>0</v>
      </c>
      <c r="G166" s="1211">
        <f>SUM(G160+G162+G163+G164)/G165</f>
        <v>0</v>
      </c>
      <c r="H166" s="1104">
        <f t="shared" ref="H166:AH166" si="420">SUM(H160+H162+H163+H164)/H165</f>
        <v>0</v>
      </c>
      <c r="I166" s="1104">
        <f t="shared" si="420"/>
        <v>0</v>
      </c>
      <c r="J166" s="1211">
        <f t="shared" si="420"/>
        <v>0</v>
      </c>
      <c r="K166" s="1211">
        <f t="shared" si="420"/>
        <v>0</v>
      </c>
      <c r="L166" s="1104">
        <f t="shared" si="420"/>
        <v>0</v>
      </c>
      <c r="M166" s="1104">
        <f t="shared" si="420"/>
        <v>0</v>
      </c>
      <c r="N166" s="1104">
        <f t="shared" si="420"/>
        <v>0</v>
      </c>
      <c r="O166" s="1104">
        <f t="shared" si="420"/>
        <v>0</v>
      </c>
      <c r="P166" s="1104">
        <f t="shared" si="420"/>
        <v>0</v>
      </c>
      <c r="Q166" s="1211">
        <f t="shared" si="420"/>
        <v>0</v>
      </c>
      <c r="R166" s="1211">
        <f t="shared" si="420"/>
        <v>0</v>
      </c>
      <c r="S166" s="1104">
        <f t="shared" si="420"/>
        <v>0</v>
      </c>
      <c r="T166" s="1104">
        <f t="shared" si="420"/>
        <v>0</v>
      </c>
      <c r="U166" s="1104">
        <f t="shared" si="420"/>
        <v>0</v>
      </c>
      <c r="V166" s="1104">
        <f t="shared" si="420"/>
        <v>0</v>
      </c>
      <c r="W166" s="1104">
        <f t="shared" si="420"/>
        <v>0</v>
      </c>
      <c r="X166" s="1211">
        <f t="shared" si="420"/>
        <v>0</v>
      </c>
      <c r="Y166" s="1211">
        <f t="shared" si="420"/>
        <v>0</v>
      </c>
      <c r="Z166" s="1104">
        <f t="shared" si="420"/>
        <v>0</v>
      </c>
      <c r="AA166" s="1104">
        <f t="shared" si="420"/>
        <v>0</v>
      </c>
      <c r="AB166" s="1104">
        <f t="shared" si="420"/>
        <v>0</v>
      </c>
      <c r="AC166" s="1104">
        <f t="shared" si="420"/>
        <v>0</v>
      </c>
      <c r="AD166" s="1104">
        <f t="shared" si="420"/>
        <v>0</v>
      </c>
      <c r="AE166" s="1211">
        <f t="shared" si="420"/>
        <v>0</v>
      </c>
      <c r="AF166" s="1211">
        <f t="shared" si="420"/>
        <v>0</v>
      </c>
      <c r="AG166" s="1104">
        <f t="shared" si="420"/>
        <v>0</v>
      </c>
      <c r="AH166" s="1104">
        <f t="shared" si="420"/>
        <v>0</v>
      </c>
      <c r="AI166" s="1335">
        <f>SUM(AI160+AI162+AI163)/AI165</f>
        <v>0</v>
      </c>
      <c r="AJ166" s="104">
        <f>SUM(E166:AI166)</f>
        <v>0</v>
      </c>
      <c r="AK166" s="104"/>
      <c r="AL166" s="83"/>
      <c r="AM166" s="1068">
        <f t="shared" si="380"/>
        <v>0</v>
      </c>
      <c r="AN166" s="31"/>
      <c r="AO166" s="622"/>
      <c r="AP166" s="23"/>
      <c r="AQ166" s="23"/>
      <c r="AR166" s="23"/>
      <c r="AS166" s="23"/>
      <c r="AT166" s="23"/>
      <c r="AU166" s="23"/>
      <c r="AV166" s="23"/>
    </row>
    <row r="167" spans="1:48" ht="25.15" hidden="1" customHeight="1">
      <c r="A167" s="103"/>
      <c r="B167" s="59"/>
      <c r="C167" s="84">
        <f>+C165*0.8</f>
        <v>240000</v>
      </c>
      <c r="D167" s="85" t="s">
        <v>110</v>
      </c>
      <c r="E167" s="1105"/>
      <c r="F167" s="1106"/>
      <c r="G167" s="1211"/>
      <c r="H167" s="1104"/>
      <c r="I167" s="1104"/>
      <c r="J167" s="1211"/>
      <c r="K167" s="1211"/>
      <c r="L167" s="1104"/>
      <c r="M167" s="1104"/>
      <c r="N167" s="1104"/>
      <c r="O167" s="1107"/>
      <c r="P167" s="1104"/>
      <c r="Q167" s="1211"/>
      <c r="R167" s="1211"/>
      <c r="S167" s="1104"/>
      <c r="T167" s="1104"/>
      <c r="U167" s="1104"/>
      <c r="V167" s="1104"/>
      <c r="W167" s="1104"/>
      <c r="X167" s="1211"/>
      <c r="Y167" s="1211"/>
      <c r="Z167" s="1104"/>
      <c r="AA167" s="1104"/>
      <c r="AB167" s="1104"/>
      <c r="AC167" s="1104"/>
      <c r="AD167" s="1104"/>
      <c r="AE167" s="1211"/>
      <c r="AF167" s="1211"/>
      <c r="AG167" s="1104"/>
      <c r="AH167" s="1104"/>
      <c r="AI167" s="1353"/>
      <c r="AJ167" s="86"/>
      <c r="AK167" s="86"/>
      <c r="AL167" s="690"/>
      <c r="AM167" s="694">
        <f t="shared" si="380"/>
        <v>0</v>
      </c>
      <c r="AN167" s="31"/>
      <c r="AO167" s="622"/>
      <c r="AP167" s="23"/>
      <c r="AQ167" s="23"/>
      <c r="AR167" s="23"/>
      <c r="AS167" s="23"/>
      <c r="AT167" s="23"/>
      <c r="AU167" s="23"/>
      <c r="AV167" s="23"/>
    </row>
    <row r="168" spans="1:48" ht="25.15" hidden="1" customHeight="1">
      <c r="A168" s="103"/>
      <c r="B168" s="105"/>
      <c r="C168" s="77"/>
      <c r="D168" s="88" t="s">
        <v>111</v>
      </c>
      <c r="E168" s="1108">
        <f>IF(E167="O/H",E166,0+E166)</f>
        <v>0</v>
      </c>
      <c r="F168" s="1089">
        <f t="shared" ref="F168:AI168" si="421">IF(F167="O/H",F166,+E168+F166)</f>
        <v>0</v>
      </c>
      <c r="G168" s="44">
        <f t="shared" si="421"/>
        <v>0</v>
      </c>
      <c r="H168" s="1089">
        <f t="shared" si="421"/>
        <v>0</v>
      </c>
      <c r="I168" s="1089">
        <f t="shared" si="421"/>
        <v>0</v>
      </c>
      <c r="J168" s="44">
        <f t="shared" si="421"/>
        <v>0</v>
      </c>
      <c r="K168" s="44">
        <f t="shared" si="421"/>
        <v>0</v>
      </c>
      <c r="L168" s="1089">
        <f t="shared" si="421"/>
        <v>0</v>
      </c>
      <c r="M168" s="1089">
        <f t="shared" si="421"/>
        <v>0</v>
      </c>
      <c r="N168" s="1089">
        <f t="shared" si="421"/>
        <v>0</v>
      </c>
      <c r="O168" s="1089">
        <f t="shared" si="421"/>
        <v>0</v>
      </c>
      <c r="P168" s="1089">
        <f t="shared" si="421"/>
        <v>0</v>
      </c>
      <c r="Q168" s="44">
        <f t="shared" si="421"/>
        <v>0</v>
      </c>
      <c r="R168" s="44">
        <f t="shared" si="421"/>
        <v>0</v>
      </c>
      <c r="S168" s="1089">
        <f t="shared" si="421"/>
        <v>0</v>
      </c>
      <c r="T168" s="1089">
        <f t="shared" si="421"/>
        <v>0</v>
      </c>
      <c r="U168" s="1089">
        <f t="shared" si="421"/>
        <v>0</v>
      </c>
      <c r="V168" s="1089">
        <f t="shared" si="421"/>
        <v>0</v>
      </c>
      <c r="W168" s="1089">
        <f t="shared" si="421"/>
        <v>0</v>
      </c>
      <c r="X168" s="44">
        <f t="shared" si="421"/>
        <v>0</v>
      </c>
      <c r="Y168" s="44">
        <f t="shared" si="421"/>
        <v>0</v>
      </c>
      <c r="Z168" s="1089">
        <f t="shared" si="421"/>
        <v>0</v>
      </c>
      <c r="AA168" s="1089">
        <f t="shared" si="421"/>
        <v>0</v>
      </c>
      <c r="AB168" s="1089">
        <f t="shared" si="421"/>
        <v>0</v>
      </c>
      <c r="AC168" s="1089">
        <f t="shared" si="421"/>
        <v>0</v>
      </c>
      <c r="AD168" s="1089">
        <f t="shared" si="421"/>
        <v>0</v>
      </c>
      <c r="AE168" s="44">
        <f t="shared" si="421"/>
        <v>0</v>
      </c>
      <c r="AF168" s="44">
        <f t="shared" si="421"/>
        <v>0</v>
      </c>
      <c r="AG168" s="1089">
        <f t="shared" si="421"/>
        <v>0</v>
      </c>
      <c r="AH168" s="1089">
        <f t="shared" si="421"/>
        <v>0</v>
      </c>
      <c r="AI168" s="1326">
        <f t="shared" si="421"/>
        <v>0</v>
      </c>
      <c r="AJ168" s="79"/>
      <c r="AK168" s="86"/>
      <c r="AL168" s="689"/>
      <c r="AM168" s="694">
        <f t="shared" si="380"/>
        <v>0</v>
      </c>
      <c r="AN168" s="31"/>
      <c r="AO168" s="622"/>
      <c r="AP168" s="23"/>
      <c r="AQ168" s="23"/>
      <c r="AR168" s="23"/>
      <c r="AS168" s="23"/>
      <c r="AT168" s="23"/>
      <c r="AU168" s="23"/>
      <c r="AV168" s="23"/>
    </row>
    <row r="169" spans="1:48" ht="25.15" hidden="1" customHeight="1">
      <c r="A169" s="103"/>
      <c r="B169" s="89"/>
      <c r="C169" s="80"/>
      <c r="D169" s="90" t="s">
        <v>104</v>
      </c>
      <c r="E169" s="1108"/>
      <c r="F169" s="1089"/>
      <c r="G169" s="44"/>
      <c r="H169" s="1089"/>
      <c r="I169" s="1089"/>
      <c r="J169" s="44"/>
      <c r="K169" s="44"/>
      <c r="L169" s="1089"/>
      <c r="M169" s="1089"/>
      <c r="N169" s="1089"/>
      <c r="O169" s="1089"/>
      <c r="P169" s="1089"/>
      <c r="Q169" s="44"/>
      <c r="R169" s="44"/>
      <c r="S169" s="1089"/>
      <c r="T169" s="1089"/>
      <c r="U169" s="1089"/>
      <c r="V169" s="1089"/>
      <c r="W169" s="1089"/>
      <c r="X169" s="44"/>
      <c r="Y169" s="44"/>
      <c r="Z169" s="1089"/>
      <c r="AA169" s="1089"/>
      <c r="AB169" s="1089"/>
      <c r="AC169" s="1089"/>
      <c r="AD169" s="1089"/>
      <c r="AE169" s="44"/>
      <c r="AF169" s="44"/>
      <c r="AG169" s="1089"/>
      <c r="AH169" s="1089"/>
      <c r="AI169" s="1326"/>
      <c r="AJ169" s="79"/>
      <c r="AK169" s="79"/>
      <c r="AL169" s="63"/>
      <c r="AM169" s="1068">
        <f t="shared" si="380"/>
        <v>0</v>
      </c>
      <c r="AN169" s="64"/>
      <c r="AO169" s="624"/>
      <c r="AP169" s="23"/>
      <c r="AQ169" s="23"/>
      <c r="AR169" s="23"/>
      <c r="AS169" s="23"/>
      <c r="AT169" s="23"/>
      <c r="AU169" s="23"/>
      <c r="AV169" s="23"/>
    </row>
    <row r="170" spans="1:48" ht="25.15" hidden="1" customHeight="1" thickBot="1">
      <c r="A170" s="106"/>
      <c r="B170" s="93"/>
      <c r="C170" s="94"/>
      <c r="D170" s="95" t="s">
        <v>111</v>
      </c>
      <c r="E170" s="1109">
        <f>IF(E169="O/H",E166,0+E166)</f>
        <v>0</v>
      </c>
      <c r="F170" s="1110">
        <f t="shared" ref="F170:AI170" si="422">IF(F169="O/H",F166,+E170+F166)</f>
        <v>0</v>
      </c>
      <c r="G170" s="1212">
        <f t="shared" si="422"/>
        <v>0</v>
      </c>
      <c r="H170" s="1110">
        <f t="shared" si="422"/>
        <v>0</v>
      </c>
      <c r="I170" s="1110">
        <f t="shared" si="422"/>
        <v>0</v>
      </c>
      <c r="J170" s="1212">
        <f t="shared" si="422"/>
        <v>0</v>
      </c>
      <c r="K170" s="1212">
        <f t="shared" si="422"/>
        <v>0</v>
      </c>
      <c r="L170" s="1110">
        <f t="shared" si="422"/>
        <v>0</v>
      </c>
      <c r="M170" s="1110">
        <f t="shared" si="422"/>
        <v>0</v>
      </c>
      <c r="N170" s="1110">
        <f t="shared" si="422"/>
        <v>0</v>
      </c>
      <c r="O170" s="1110">
        <f t="shared" si="422"/>
        <v>0</v>
      </c>
      <c r="P170" s="1110">
        <f t="shared" si="422"/>
        <v>0</v>
      </c>
      <c r="Q170" s="1212">
        <f t="shared" si="422"/>
        <v>0</v>
      </c>
      <c r="R170" s="1212">
        <f t="shared" si="422"/>
        <v>0</v>
      </c>
      <c r="S170" s="1110">
        <f t="shared" si="422"/>
        <v>0</v>
      </c>
      <c r="T170" s="1110">
        <f t="shared" si="422"/>
        <v>0</v>
      </c>
      <c r="U170" s="1110">
        <f t="shared" si="422"/>
        <v>0</v>
      </c>
      <c r="V170" s="1110">
        <f t="shared" si="422"/>
        <v>0</v>
      </c>
      <c r="W170" s="1110">
        <f t="shared" si="422"/>
        <v>0</v>
      </c>
      <c r="X170" s="1212">
        <f t="shared" si="422"/>
        <v>0</v>
      </c>
      <c r="Y170" s="1212">
        <f t="shared" si="422"/>
        <v>0</v>
      </c>
      <c r="Z170" s="1110">
        <f t="shared" si="422"/>
        <v>0</v>
      </c>
      <c r="AA170" s="1110">
        <f t="shared" si="422"/>
        <v>0</v>
      </c>
      <c r="AB170" s="1110">
        <f t="shared" si="422"/>
        <v>0</v>
      </c>
      <c r="AC170" s="1110">
        <f t="shared" si="422"/>
        <v>0</v>
      </c>
      <c r="AD170" s="1110">
        <f t="shared" si="422"/>
        <v>0</v>
      </c>
      <c r="AE170" s="1212">
        <f t="shared" si="422"/>
        <v>0</v>
      </c>
      <c r="AF170" s="1212">
        <f t="shared" si="422"/>
        <v>0</v>
      </c>
      <c r="AG170" s="1110">
        <f t="shared" si="422"/>
        <v>0</v>
      </c>
      <c r="AH170" s="1110">
        <f t="shared" si="422"/>
        <v>0</v>
      </c>
      <c r="AI170" s="1340">
        <f t="shared" si="422"/>
        <v>0</v>
      </c>
      <c r="AJ170" s="96"/>
      <c r="AK170" s="96"/>
      <c r="AL170" s="97"/>
      <c r="AM170" s="1071">
        <f t="shared" si="380"/>
        <v>0</v>
      </c>
      <c r="AN170" s="98"/>
      <c r="AO170" s="625"/>
      <c r="AP170" s="23"/>
      <c r="AQ170" s="23"/>
      <c r="AR170" s="23"/>
      <c r="AS170" s="23"/>
      <c r="AT170" s="23"/>
      <c r="AU170" s="23"/>
      <c r="AV170" s="23"/>
    </row>
    <row r="171" spans="1:48" ht="25.15" customHeight="1" thickTop="1">
      <c r="A171" s="99"/>
      <c r="B171" s="26" t="s">
        <v>518</v>
      </c>
      <c r="C171" s="27"/>
      <c r="D171" s="28" t="s">
        <v>82</v>
      </c>
      <c r="E171" s="1523">
        <v>0</v>
      </c>
      <c r="F171" s="1111">
        <v>0</v>
      </c>
      <c r="G171" s="1201">
        <v>0</v>
      </c>
      <c r="H171" s="1111">
        <v>0</v>
      </c>
      <c r="I171" s="1111">
        <v>0</v>
      </c>
      <c r="J171" s="1201">
        <v>0</v>
      </c>
      <c r="K171" s="1201">
        <v>0</v>
      </c>
      <c r="L171" s="1111">
        <v>0</v>
      </c>
      <c r="M171" s="1111">
        <v>0</v>
      </c>
      <c r="N171" s="1111">
        <v>0</v>
      </c>
      <c r="O171" s="1111">
        <v>0</v>
      </c>
      <c r="P171" s="1111">
        <v>0</v>
      </c>
      <c r="Q171" s="1201">
        <v>0</v>
      </c>
      <c r="R171" s="1201">
        <v>0</v>
      </c>
      <c r="S171" s="1111">
        <v>0</v>
      </c>
      <c r="T171" s="1111">
        <v>500</v>
      </c>
      <c r="U171" s="1111">
        <v>1000</v>
      </c>
      <c r="V171" s="1111">
        <v>1000</v>
      </c>
      <c r="W171" s="1111">
        <v>1000</v>
      </c>
      <c r="X171" s="1201">
        <v>0</v>
      </c>
      <c r="Y171" s="1201">
        <v>0</v>
      </c>
      <c r="Z171" s="1111">
        <v>500</v>
      </c>
      <c r="AA171" s="1111">
        <v>1000</v>
      </c>
      <c r="AB171" s="1111">
        <v>1000</v>
      </c>
      <c r="AC171" s="1111">
        <v>1000</v>
      </c>
      <c r="AD171" s="1111">
        <v>1000</v>
      </c>
      <c r="AE171" s="1201">
        <v>0</v>
      </c>
      <c r="AF171" s="1201">
        <v>0</v>
      </c>
      <c r="AG171" s="1111">
        <v>500</v>
      </c>
      <c r="AH171" s="1111">
        <v>1000</v>
      </c>
      <c r="AI171" s="1412"/>
      <c r="AJ171" s="100">
        <f>SUM(Table75[[#This Row],[June''2026]:[Column27]])</f>
        <v>9500</v>
      </c>
      <c r="AK171" s="100">
        <f t="shared" si="384"/>
        <v>6480</v>
      </c>
      <c r="AL171" s="101">
        <f>+AJ171*AN171</f>
        <v>0</v>
      </c>
      <c r="AM171" s="1072">
        <f t="shared" si="380"/>
        <v>0</v>
      </c>
      <c r="AN171" s="102"/>
      <c r="AO171" s="622" t="e">
        <f>Table5[[#This Row],[Total]]*B175/1000</f>
        <v>#VALUE!</v>
      </c>
      <c r="AP171" s="32" t="s">
        <v>265</v>
      </c>
      <c r="AQ171" s="33" t="s">
        <v>84</v>
      </c>
      <c r="AR171" s="33" t="s">
        <v>85</v>
      </c>
      <c r="AS171" s="33" t="s">
        <v>86</v>
      </c>
      <c r="AT171" s="33" t="s">
        <v>87</v>
      </c>
      <c r="AU171" s="33" t="s">
        <v>88</v>
      </c>
      <c r="AV171" s="34" t="s">
        <v>68</v>
      </c>
    </row>
    <row r="172" spans="1:48" ht="25.15" customHeight="1">
      <c r="A172" s="103"/>
      <c r="B172" s="35" t="s">
        <v>519</v>
      </c>
      <c r="C172" s="36"/>
      <c r="D172" s="37" t="s">
        <v>90</v>
      </c>
      <c r="E172" s="1373">
        <f>IF(E171="",0,+ E171/E178)</f>
        <v>0</v>
      </c>
      <c r="F172" s="1096">
        <f t="shared" ref="F172:AI172" si="423">IF(F171="",0, E172+F171/F178)</f>
        <v>0</v>
      </c>
      <c r="G172" s="1207">
        <f t="shared" si="423"/>
        <v>0</v>
      </c>
      <c r="H172" s="1096">
        <f t="shared" si="423"/>
        <v>0</v>
      </c>
      <c r="I172" s="1096">
        <f t="shared" si="423"/>
        <v>0</v>
      </c>
      <c r="J172" s="1207">
        <f t="shared" si="423"/>
        <v>0</v>
      </c>
      <c r="K172" s="1207">
        <f t="shared" si="423"/>
        <v>0</v>
      </c>
      <c r="L172" s="1096">
        <f t="shared" si="423"/>
        <v>0</v>
      </c>
      <c r="M172" s="1096">
        <f t="shared" si="423"/>
        <v>0</v>
      </c>
      <c r="N172" s="1096">
        <f t="shared" si="423"/>
        <v>0</v>
      </c>
      <c r="O172" s="1096">
        <f t="shared" si="423"/>
        <v>0</v>
      </c>
      <c r="P172" s="1096">
        <f t="shared" si="423"/>
        <v>0</v>
      </c>
      <c r="Q172" s="1207">
        <f t="shared" si="423"/>
        <v>0</v>
      </c>
      <c r="R172" s="1207">
        <f t="shared" si="423"/>
        <v>0</v>
      </c>
      <c r="S172" s="1096">
        <f t="shared" si="423"/>
        <v>0</v>
      </c>
      <c r="T172" s="1096">
        <f t="shared" si="423"/>
        <v>500</v>
      </c>
      <c r="U172" s="1096">
        <f t="shared" si="423"/>
        <v>1500</v>
      </c>
      <c r="V172" s="1096">
        <f t="shared" si="423"/>
        <v>2500</v>
      </c>
      <c r="W172" s="1096">
        <f t="shared" si="423"/>
        <v>3500</v>
      </c>
      <c r="X172" s="1207">
        <f t="shared" si="423"/>
        <v>3500</v>
      </c>
      <c r="Y172" s="1207">
        <f t="shared" si="423"/>
        <v>3500</v>
      </c>
      <c r="Z172" s="1096">
        <f t="shared" si="423"/>
        <v>4000</v>
      </c>
      <c r="AA172" s="1096">
        <f t="shared" si="423"/>
        <v>5000</v>
      </c>
      <c r="AB172" s="1096">
        <f t="shared" si="423"/>
        <v>6000</v>
      </c>
      <c r="AC172" s="1096">
        <f t="shared" si="423"/>
        <v>7000</v>
      </c>
      <c r="AD172" s="1096">
        <f t="shared" si="423"/>
        <v>8000</v>
      </c>
      <c r="AE172" s="1207">
        <f t="shared" si="423"/>
        <v>8000</v>
      </c>
      <c r="AF172" s="1207">
        <f t="shared" si="423"/>
        <v>8000</v>
      </c>
      <c r="AG172" s="1096">
        <f t="shared" si="423"/>
        <v>8500</v>
      </c>
      <c r="AH172" s="1096">
        <f t="shared" si="423"/>
        <v>9500</v>
      </c>
      <c r="AI172" s="1324">
        <f t="shared" si="423"/>
        <v>0</v>
      </c>
      <c r="AJ172" s="38"/>
      <c r="AK172" s="29"/>
      <c r="AL172" s="30"/>
      <c r="AM172" s="694">
        <f t="shared" si="380"/>
        <v>0</v>
      </c>
      <c r="AN172" s="31"/>
      <c r="AO172" s="630"/>
      <c r="AP172" s="39" t="s">
        <v>91</v>
      </c>
      <c r="AQ172" s="40">
        <f>SUM(E171:H171)</f>
        <v>0</v>
      </c>
      <c r="AR172" s="41">
        <f>SUM(I171:O171)</f>
        <v>0</v>
      </c>
      <c r="AS172" s="41">
        <f>SUM(P171:V171)</f>
        <v>2500</v>
      </c>
      <c r="AT172" s="41">
        <f>SUM(W171:AC171)</f>
        <v>4500</v>
      </c>
      <c r="AU172" s="41">
        <f>SUM(AD171:AI171)</f>
        <v>2500</v>
      </c>
      <c r="AV172" s="34">
        <f t="shared" ref="AV172:AV177" si="424">SUM(AQ172:AU172)</f>
        <v>9500</v>
      </c>
    </row>
    <row r="173" spans="1:48" ht="25.15" customHeight="1">
      <c r="A173" s="103"/>
      <c r="B173" s="26" t="s">
        <v>92</v>
      </c>
      <c r="C173" s="42"/>
      <c r="D173" s="43" t="s">
        <v>93</v>
      </c>
      <c r="E173" s="1325">
        <v>0</v>
      </c>
      <c r="F173" s="1089">
        <v>0</v>
      </c>
      <c r="G173" s="44">
        <v>0</v>
      </c>
      <c r="H173" s="1089">
        <v>0</v>
      </c>
      <c r="I173" s="1089">
        <v>0</v>
      </c>
      <c r="J173" s="44">
        <v>0</v>
      </c>
      <c r="K173" s="44">
        <v>0</v>
      </c>
      <c r="L173" s="1089">
        <v>0</v>
      </c>
      <c r="M173" s="1089">
        <v>0</v>
      </c>
      <c r="N173" s="1089">
        <v>0</v>
      </c>
      <c r="O173" s="1089">
        <v>0</v>
      </c>
      <c r="P173" s="1089">
        <v>0</v>
      </c>
      <c r="Q173" s="44">
        <v>0</v>
      </c>
      <c r="R173" s="44">
        <v>0</v>
      </c>
      <c r="S173" s="1089">
        <v>0</v>
      </c>
      <c r="T173" s="1089">
        <v>1080</v>
      </c>
      <c r="U173" s="1089">
        <v>1080</v>
      </c>
      <c r="V173" s="1089">
        <v>1080</v>
      </c>
      <c r="W173" s="1089">
        <v>1440</v>
      </c>
      <c r="X173" s="44">
        <v>0</v>
      </c>
      <c r="Y173" s="44">
        <v>0</v>
      </c>
      <c r="Z173" s="1089">
        <v>720</v>
      </c>
      <c r="AA173" s="1089">
        <v>1080</v>
      </c>
      <c r="AB173" s="1089"/>
      <c r="AC173" s="1089"/>
      <c r="AD173" s="1089"/>
      <c r="AE173" s="44"/>
      <c r="AF173" s="44"/>
      <c r="AG173" s="1089"/>
      <c r="AH173" s="1089"/>
      <c r="AI173" s="1326"/>
      <c r="AJ173" s="45">
        <f>SUM(E173:AI173)</f>
        <v>6480</v>
      </c>
      <c r="AK173" s="45"/>
      <c r="AL173" s="46">
        <f>+AJ173*AN171</f>
        <v>0</v>
      </c>
      <c r="AM173" s="1066">
        <f t="shared" si="380"/>
        <v>0</v>
      </c>
      <c r="AN173" s="31"/>
      <c r="AO173" s="632">
        <f>(AJ173+AJ175+AJ176+AJ177)*B175/1000</f>
        <v>0</v>
      </c>
      <c r="AP173" s="47" t="s">
        <v>94</v>
      </c>
      <c r="AQ173" s="48">
        <f>SUM(E173:H173)</f>
        <v>0</v>
      </c>
      <c r="AR173" s="49">
        <f>SUM(I173:O173)</f>
        <v>0</v>
      </c>
      <c r="AS173" s="49">
        <f>SUM(P173:V173)</f>
        <v>3240</v>
      </c>
      <c r="AT173" s="49">
        <f>SUM(W173:AC173)</f>
        <v>3240</v>
      </c>
      <c r="AU173" s="49">
        <f>SUM(AD173:AI173)</f>
        <v>0</v>
      </c>
      <c r="AV173" s="50">
        <f t="shared" si="424"/>
        <v>6480</v>
      </c>
    </row>
    <row r="174" spans="1:48" ht="25.15" customHeight="1">
      <c r="A174" s="103"/>
      <c r="B174" s="745"/>
      <c r="C174" s="52" t="s">
        <v>95</v>
      </c>
      <c r="D174" s="53" t="s">
        <v>96</v>
      </c>
      <c r="E174" s="1327">
        <f t="shared" ref="E174:AJ174" si="425">+E173-E171</f>
        <v>0</v>
      </c>
      <c r="F174" s="1097">
        <f t="shared" si="425"/>
        <v>0</v>
      </c>
      <c r="G174" s="1205">
        <f t="shared" si="425"/>
        <v>0</v>
      </c>
      <c r="H174" s="1097">
        <f t="shared" si="425"/>
        <v>0</v>
      </c>
      <c r="I174" s="1097">
        <f t="shared" si="425"/>
        <v>0</v>
      </c>
      <c r="J174" s="1205">
        <f t="shared" si="425"/>
        <v>0</v>
      </c>
      <c r="K174" s="1205">
        <f t="shared" si="425"/>
        <v>0</v>
      </c>
      <c r="L174" s="1097">
        <f t="shared" si="425"/>
        <v>0</v>
      </c>
      <c r="M174" s="1097">
        <f t="shared" si="425"/>
        <v>0</v>
      </c>
      <c r="N174" s="1097">
        <f t="shared" si="425"/>
        <v>0</v>
      </c>
      <c r="O174" s="1097">
        <f t="shared" si="425"/>
        <v>0</v>
      </c>
      <c r="P174" s="1097">
        <f t="shared" si="425"/>
        <v>0</v>
      </c>
      <c r="Q174" s="1205">
        <f t="shared" si="425"/>
        <v>0</v>
      </c>
      <c r="R174" s="1205">
        <f t="shared" si="425"/>
        <v>0</v>
      </c>
      <c r="S174" s="1097">
        <f t="shared" si="425"/>
        <v>0</v>
      </c>
      <c r="T174" s="1097">
        <f t="shared" si="425"/>
        <v>580</v>
      </c>
      <c r="U174" s="1097">
        <f t="shared" si="425"/>
        <v>80</v>
      </c>
      <c r="V174" s="1097">
        <f t="shared" si="425"/>
        <v>80</v>
      </c>
      <c r="W174" s="1097">
        <f t="shared" si="425"/>
        <v>440</v>
      </c>
      <c r="X174" s="1205">
        <f t="shared" si="425"/>
        <v>0</v>
      </c>
      <c r="Y174" s="1205">
        <f t="shared" si="425"/>
        <v>0</v>
      </c>
      <c r="Z174" s="1097">
        <f t="shared" si="425"/>
        <v>220</v>
      </c>
      <c r="AA174" s="1097">
        <f t="shared" si="425"/>
        <v>80</v>
      </c>
      <c r="AB174" s="1097">
        <f t="shared" si="425"/>
        <v>-1000</v>
      </c>
      <c r="AC174" s="1097">
        <f t="shared" si="425"/>
        <v>-1000</v>
      </c>
      <c r="AD174" s="1097">
        <f t="shared" si="425"/>
        <v>-1000</v>
      </c>
      <c r="AE174" s="1205">
        <f t="shared" si="425"/>
        <v>0</v>
      </c>
      <c r="AF174" s="1205">
        <f t="shared" si="425"/>
        <v>0</v>
      </c>
      <c r="AG174" s="1097">
        <f t="shared" si="425"/>
        <v>-500</v>
      </c>
      <c r="AH174" s="1097">
        <f t="shared" si="425"/>
        <v>-1000</v>
      </c>
      <c r="AI174" s="1328">
        <f t="shared" si="425"/>
        <v>0</v>
      </c>
      <c r="AJ174" s="54">
        <f t="shared" si="425"/>
        <v>-3020</v>
      </c>
      <c r="AK174" s="54"/>
      <c r="AL174" s="55">
        <f>+AJ174*AN171</f>
        <v>0</v>
      </c>
      <c r="AM174" s="1067">
        <f t="shared" si="380"/>
        <v>0</v>
      </c>
      <c r="AN174" s="31" t="s">
        <v>97</v>
      </c>
      <c r="AO174" s="622"/>
      <c r="AP174" s="39" t="s">
        <v>98</v>
      </c>
      <c r="AQ174" s="56">
        <f>AQ173-AQ172</f>
        <v>0</v>
      </c>
      <c r="AR174" s="70">
        <f>AR173-AR172</f>
        <v>0</v>
      </c>
      <c r="AS174" s="70">
        <f>AS173-AS172</f>
        <v>740</v>
      </c>
      <c r="AT174" s="70">
        <f>AT173-AT172</f>
        <v>-1260</v>
      </c>
      <c r="AU174" s="70">
        <f>AU173-AU172</f>
        <v>-2500</v>
      </c>
      <c r="AV174" s="57">
        <f t="shared" si="424"/>
        <v>-3020</v>
      </c>
    </row>
    <row r="175" spans="1:48" ht="25.15" customHeight="1">
      <c r="A175" s="58"/>
      <c r="B175" s="59"/>
      <c r="C175" s="60" t="s">
        <v>100</v>
      </c>
      <c r="D175" s="61" t="s">
        <v>101</v>
      </c>
      <c r="E175" s="1329">
        <v>0</v>
      </c>
      <c r="F175" s="1099">
        <v>0</v>
      </c>
      <c r="G175" s="1208">
        <v>0</v>
      </c>
      <c r="H175" s="1099">
        <v>0</v>
      </c>
      <c r="I175" s="1099">
        <v>0</v>
      </c>
      <c r="J175" s="1208">
        <v>0</v>
      </c>
      <c r="K175" s="1208">
        <v>0</v>
      </c>
      <c r="L175" s="1099">
        <v>0</v>
      </c>
      <c r="M175" s="1099">
        <v>0</v>
      </c>
      <c r="N175" s="1099">
        <v>0</v>
      </c>
      <c r="O175" s="1099">
        <v>0</v>
      </c>
      <c r="P175" s="1099">
        <v>0</v>
      </c>
      <c r="Q175" s="1208">
        <v>0</v>
      </c>
      <c r="R175" s="1208">
        <v>0</v>
      </c>
      <c r="S175" s="1099">
        <v>0</v>
      </c>
      <c r="T175" s="1099">
        <v>0</v>
      </c>
      <c r="U175" s="1099">
        <v>40</v>
      </c>
      <c r="V175" s="1099">
        <v>20</v>
      </c>
      <c r="W175" s="1099">
        <v>20</v>
      </c>
      <c r="X175" s="1208">
        <v>0</v>
      </c>
      <c r="Y175" s="1208">
        <v>0</v>
      </c>
      <c r="Z175" s="1099">
        <v>20</v>
      </c>
      <c r="AA175" s="1099">
        <v>20</v>
      </c>
      <c r="AB175" s="1099"/>
      <c r="AC175" s="1099"/>
      <c r="AD175" s="1099"/>
      <c r="AE175" s="1208"/>
      <c r="AF175" s="1208"/>
      <c r="AG175" s="1099"/>
      <c r="AH175" s="1099"/>
      <c r="AI175" s="1330"/>
      <c r="AJ175" s="62">
        <f>SUM(E175:AI175)</f>
        <v>120</v>
      </c>
      <c r="AK175" s="62"/>
      <c r="AL175" s="63">
        <f>+AJ175*AN171</f>
        <v>0</v>
      </c>
      <c r="AM175" s="1068">
        <f t="shared" si="380"/>
        <v>0</v>
      </c>
      <c r="AN175" s="64">
        <f>+AJ175/AJ173*100</f>
        <v>1.8518518518518516</v>
      </c>
      <c r="AO175" s="635" t="e">
        <f>AO173/AO171</f>
        <v>#VALUE!</v>
      </c>
      <c r="AP175" s="39" t="s">
        <v>102</v>
      </c>
      <c r="AQ175" s="56">
        <f>SUM(E175:H175)</f>
        <v>0</v>
      </c>
      <c r="AR175" s="70">
        <f>SUM(I175:O175)</f>
        <v>0</v>
      </c>
      <c r="AS175" s="70">
        <f>SUM(P175:V175)</f>
        <v>60</v>
      </c>
      <c r="AT175" s="70">
        <f>SUM(W175:AC175)</f>
        <v>60</v>
      </c>
      <c r="AU175" s="70">
        <f>SUM(AD175:AI175)</f>
        <v>0</v>
      </c>
      <c r="AV175" s="57">
        <f t="shared" si="424"/>
        <v>120</v>
      </c>
    </row>
    <row r="176" spans="1:48" ht="25.15" customHeight="1">
      <c r="A176" s="58" t="s">
        <v>521</v>
      </c>
      <c r="B176" s="65"/>
      <c r="C176" s="66"/>
      <c r="D176" s="67" t="s">
        <v>103</v>
      </c>
      <c r="E176" s="1331">
        <v>0</v>
      </c>
      <c r="F176" s="1101">
        <v>0</v>
      </c>
      <c r="G176" s="1209">
        <v>0</v>
      </c>
      <c r="H176" s="1101">
        <v>0</v>
      </c>
      <c r="I176" s="1101">
        <v>0</v>
      </c>
      <c r="J176" s="1209">
        <v>0</v>
      </c>
      <c r="K176" s="1209">
        <v>0</v>
      </c>
      <c r="L176" s="1101">
        <v>0</v>
      </c>
      <c r="M176" s="1101">
        <v>0</v>
      </c>
      <c r="N176" s="1101">
        <v>0</v>
      </c>
      <c r="O176" s="1101">
        <v>0</v>
      </c>
      <c r="P176" s="1101">
        <v>0</v>
      </c>
      <c r="Q176" s="1209">
        <v>0</v>
      </c>
      <c r="R176" s="1209">
        <v>0</v>
      </c>
      <c r="S176" s="1101">
        <v>0</v>
      </c>
      <c r="T176" s="1101">
        <v>0</v>
      </c>
      <c r="U176" s="1101">
        <v>0</v>
      </c>
      <c r="V176" s="1101">
        <v>0</v>
      </c>
      <c r="W176" s="1101">
        <v>0</v>
      </c>
      <c r="X176" s="1209">
        <v>0</v>
      </c>
      <c r="Y176" s="1209">
        <v>0</v>
      </c>
      <c r="Z176" s="1101">
        <v>0</v>
      </c>
      <c r="AA176" s="1101">
        <v>0</v>
      </c>
      <c r="AB176" s="1101"/>
      <c r="AC176" s="1101"/>
      <c r="AD176" s="1101"/>
      <c r="AE176" s="1209"/>
      <c r="AF176" s="1209"/>
      <c r="AG176" s="1101"/>
      <c r="AH176" s="1101"/>
      <c r="AI176" s="1332"/>
      <c r="AJ176" s="68">
        <f>SUM(E176:AI176)</f>
        <v>0</v>
      </c>
      <c r="AK176" s="68"/>
      <c r="AL176" s="69">
        <f>+AJ176*AN171</f>
        <v>0</v>
      </c>
      <c r="AM176" s="1069">
        <f t="shared" si="380"/>
        <v>0</v>
      </c>
      <c r="AN176" s="31"/>
      <c r="AO176" s="622"/>
      <c r="AP176" s="39" t="s">
        <v>19</v>
      </c>
      <c r="AQ176" s="56">
        <f>AQ175*AN171</f>
        <v>0</v>
      </c>
      <c r="AR176" s="56">
        <f>AR175*AN171</f>
        <v>0</v>
      </c>
      <c r="AS176" s="56">
        <f>AS175*AN171</f>
        <v>0</v>
      </c>
      <c r="AT176" s="56">
        <f>AT175*AN171</f>
        <v>0</v>
      </c>
      <c r="AU176" s="56">
        <f>AU175*AN171</f>
        <v>0</v>
      </c>
      <c r="AV176" s="57">
        <f t="shared" si="424"/>
        <v>0</v>
      </c>
    </row>
    <row r="177" spans="1:48" ht="25.15" customHeight="1">
      <c r="A177" s="103"/>
      <c r="B177" s="65"/>
      <c r="C177" s="72" t="s">
        <v>104</v>
      </c>
      <c r="D177" s="73" t="s">
        <v>105</v>
      </c>
      <c r="E177" s="1378">
        <v>0</v>
      </c>
      <c r="F177" s="1103">
        <v>0</v>
      </c>
      <c r="G177" s="1210">
        <v>0</v>
      </c>
      <c r="H177" s="1103">
        <v>0</v>
      </c>
      <c r="I177" s="1103">
        <v>0</v>
      </c>
      <c r="J177" s="1210">
        <v>0</v>
      </c>
      <c r="K177" s="1210">
        <v>0</v>
      </c>
      <c r="L177" s="1103">
        <v>0</v>
      </c>
      <c r="M177" s="1103">
        <v>0</v>
      </c>
      <c r="N177" s="1103">
        <v>0</v>
      </c>
      <c r="O177" s="1103">
        <v>0</v>
      </c>
      <c r="P177" s="1103">
        <v>0</v>
      </c>
      <c r="Q177" s="1210">
        <v>0</v>
      </c>
      <c r="R177" s="1210">
        <v>0</v>
      </c>
      <c r="S177" s="1103">
        <v>0</v>
      </c>
      <c r="T177" s="1103">
        <v>0</v>
      </c>
      <c r="U177" s="1103">
        <v>0</v>
      </c>
      <c r="V177" s="1103">
        <v>0</v>
      </c>
      <c r="W177" s="1103">
        <v>0</v>
      </c>
      <c r="X177" s="1210">
        <v>0</v>
      </c>
      <c r="Y177" s="1210">
        <v>0</v>
      </c>
      <c r="Z177" s="1103">
        <v>0</v>
      </c>
      <c r="AA177" s="1103">
        <v>0</v>
      </c>
      <c r="AB177" s="1103"/>
      <c r="AC177" s="1103"/>
      <c r="AD177" s="1103"/>
      <c r="AE177" s="1210"/>
      <c r="AF177" s="1210"/>
      <c r="AG177" s="1103"/>
      <c r="AH177" s="1103"/>
      <c r="AI177" s="1352"/>
      <c r="AJ177" s="74">
        <f>SUM(E177:AI177)</f>
        <v>0</v>
      </c>
      <c r="AK177" s="74"/>
      <c r="AL177" s="75">
        <f>+AJ177*AN171</f>
        <v>0</v>
      </c>
      <c r="AM177" s="1070">
        <f t="shared" si="380"/>
        <v>0</v>
      </c>
      <c r="AN177" s="76"/>
      <c r="AO177" s="636"/>
      <c r="AP177" s="47" t="s">
        <v>106</v>
      </c>
      <c r="AQ177" s="48">
        <f>AQ173*AN171</f>
        <v>0</v>
      </c>
      <c r="AR177" s="48">
        <f>AR173*AN171</f>
        <v>0</v>
      </c>
      <c r="AS177" s="48">
        <f>AS173*AN171</f>
        <v>0</v>
      </c>
      <c r="AT177" s="48">
        <f>AT173*AN171</f>
        <v>0</v>
      </c>
      <c r="AU177" s="48">
        <f>AU173*AN171</f>
        <v>0</v>
      </c>
      <c r="AV177" s="50">
        <f t="shared" si="424"/>
        <v>0</v>
      </c>
    </row>
    <row r="178" spans="1:48" ht="25.15" customHeight="1">
      <c r="A178" s="103"/>
      <c r="B178" s="65"/>
      <c r="C178" s="77">
        <v>300000</v>
      </c>
      <c r="D178" s="78" t="s">
        <v>107</v>
      </c>
      <c r="E178" s="1327">
        <v>1</v>
      </c>
      <c r="F178" s="1097">
        <v>1</v>
      </c>
      <c r="G178" s="1205">
        <v>1</v>
      </c>
      <c r="H178" s="1097">
        <v>1</v>
      </c>
      <c r="I178" s="1097">
        <v>1</v>
      </c>
      <c r="J178" s="1205">
        <v>1</v>
      </c>
      <c r="K178" s="1205">
        <v>1</v>
      </c>
      <c r="L178" s="1097">
        <v>1</v>
      </c>
      <c r="M178" s="1097">
        <v>1</v>
      </c>
      <c r="N178" s="1097">
        <v>1</v>
      </c>
      <c r="O178" s="1097">
        <v>1</v>
      </c>
      <c r="P178" s="1097">
        <v>1</v>
      </c>
      <c r="Q178" s="1205">
        <v>1</v>
      </c>
      <c r="R178" s="1205">
        <v>1</v>
      </c>
      <c r="S178" s="1097">
        <v>1</v>
      </c>
      <c r="T178" s="1097">
        <v>1</v>
      </c>
      <c r="U178" s="1097">
        <v>1</v>
      </c>
      <c r="V178" s="1097">
        <v>1</v>
      </c>
      <c r="W178" s="1097">
        <v>1</v>
      </c>
      <c r="X178" s="1205">
        <v>1</v>
      </c>
      <c r="Y178" s="1205">
        <v>1</v>
      </c>
      <c r="Z178" s="1097">
        <v>1</v>
      </c>
      <c r="AA178" s="1097">
        <v>1</v>
      </c>
      <c r="AB178" s="1097">
        <v>1</v>
      </c>
      <c r="AC178" s="1097">
        <v>1</v>
      </c>
      <c r="AD178" s="1097">
        <v>1</v>
      </c>
      <c r="AE178" s="1205">
        <v>1</v>
      </c>
      <c r="AF178" s="1205">
        <v>1</v>
      </c>
      <c r="AG178" s="1097">
        <v>1</v>
      </c>
      <c r="AH178" s="1097">
        <v>1</v>
      </c>
      <c r="AI178" s="1328">
        <v>1</v>
      </c>
      <c r="AJ178" s="79"/>
      <c r="AK178" s="79"/>
      <c r="AL178" s="55"/>
      <c r="AM178" s="1067">
        <f t="shared" si="380"/>
        <v>0</v>
      </c>
      <c r="AN178" s="31"/>
      <c r="AO178" s="622"/>
      <c r="AP178" s="23"/>
      <c r="AQ178" s="23"/>
      <c r="AR178" s="23"/>
      <c r="AS178" s="23"/>
      <c r="AT178" s="23"/>
      <c r="AU178" s="23"/>
      <c r="AV178" s="23"/>
    </row>
    <row r="179" spans="1:48" ht="25.15" customHeight="1">
      <c r="A179" s="103"/>
      <c r="B179" s="65"/>
      <c r="C179" s="80" t="s">
        <v>108</v>
      </c>
      <c r="D179" s="81" t="s">
        <v>109</v>
      </c>
      <c r="E179" s="1374">
        <f>SUM(E173+E175+E176+E177)/E178</f>
        <v>0</v>
      </c>
      <c r="F179" s="1104">
        <f>SUM(F173+F175+F176+F177)/F178</f>
        <v>0</v>
      </c>
      <c r="G179" s="1211">
        <f>SUM(G173+G175+G176+G177)/G178</f>
        <v>0</v>
      </c>
      <c r="H179" s="1104">
        <f t="shared" ref="H179:AH179" si="426">SUM(H173+H175+H176+H177)/H178</f>
        <v>0</v>
      </c>
      <c r="I179" s="1104">
        <f t="shared" si="426"/>
        <v>0</v>
      </c>
      <c r="J179" s="1211">
        <f t="shared" si="426"/>
        <v>0</v>
      </c>
      <c r="K179" s="1211">
        <f t="shared" si="426"/>
        <v>0</v>
      </c>
      <c r="L179" s="1104">
        <f t="shared" si="426"/>
        <v>0</v>
      </c>
      <c r="M179" s="1104">
        <f t="shared" si="426"/>
        <v>0</v>
      </c>
      <c r="N179" s="1104">
        <f t="shared" si="426"/>
        <v>0</v>
      </c>
      <c r="O179" s="1104">
        <f t="shared" si="426"/>
        <v>0</v>
      </c>
      <c r="P179" s="1104">
        <f t="shared" si="426"/>
        <v>0</v>
      </c>
      <c r="Q179" s="1211">
        <f t="shared" si="426"/>
        <v>0</v>
      </c>
      <c r="R179" s="1211">
        <f t="shared" si="426"/>
        <v>0</v>
      </c>
      <c r="S179" s="1104">
        <f t="shared" si="426"/>
        <v>0</v>
      </c>
      <c r="T179" s="1104">
        <f t="shared" si="426"/>
        <v>1080</v>
      </c>
      <c r="U179" s="1104">
        <f t="shared" si="426"/>
        <v>1120</v>
      </c>
      <c r="V179" s="1104">
        <f t="shared" si="426"/>
        <v>1100</v>
      </c>
      <c r="W179" s="1104">
        <f t="shared" si="426"/>
        <v>1460</v>
      </c>
      <c r="X179" s="1211">
        <f t="shared" si="426"/>
        <v>0</v>
      </c>
      <c r="Y179" s="1211">
        <f t="shared" si="426"/>
        <v>0</v>
      </c>
      <c r="Z179" s="1104">
        <f t="shared" si="426"/>
        <v>740</v>
      </c>
      <c r="AA179" s="1104">
        <f t="shared" si="426"/>
        <v>1100</v>
      </c>
      <c r="AB179" s="1104">
        <f t="shared" si="426"/>
        <v>0</v>
      </c>
      <c r="AC179" s="1104">
        <f t="shared" si="426"/>
        <v>0</v>
      </c>
      <c r="AD179" s="1104">
        <f t="shared" si="426"/>
        <v>0</v>
      </c>
      <c r="AE179" s="1211">
        <f t="shared" si="426"/>
        <v>0</v>
      </c>
      <c r="AF179" s="1211">
        <f t="shared" si="426"/>
        <v>0</v>
      </c>
      <c r="AG179" s="1104">
        <f t="shared" si="426"/>
        <v>0</v>
      </c>
      <c r="AH179" s="1104">
        <f t="shared" si="426"/>
        <v>0</v>
      </c>
      <c r="AI179" s="1335">
        <f>SUM(AI173+AI175+AI176)/AI178</f>
        <v>0</v>
      </c>
      <c r="AJ179" s="104">
        <f>SUM(E179:AI179)</f>
        <v>6600</v>
      </c>
      <c r="AK179" s="104"/>
      <c r="AL179" s="83"/>
      <c r="AM179" s="1068">
        <f t="shared" si="380"/>
        <v>0</v>
      </c>
      <c r="AN179" s="31"/>
      <c r="AO179" s="622"/>
      <c r="AP179" s="23"/>
      <c r="AQ179" s="23"/>
      <c r="AR179" s="23"/>
      <c r="AS179" s="23"/>
      <c r="AT179" s="23"/>
      <c r="AU179" s="23"/>
      <c r="AV179" s="23"/>
    </row>
    <row r="180" spans="1:48" ht="25.15" customHeight="1">
      <c r="A180" s="103"/>
      <c r="B180" s="59"/>
      <c r="C180" s="84">
        <f>+C178*0.8</f>
        <v>240000</v>
      </c>
      <c r="D180" s="85" t="s">
        <v>110</v>
      </c>
      <c r="E180" s="1105"/>
      <c r="F180" s="1106"/>
      <c r="G180" s="1211"/>
      <c r="H180" s="1104"/>
      <c r="I180" s="1104"/>
      <c r="J180" s="1211"/>
      <c r="K180" s="1211"/>
      <c r="L180" s="1104"/>
      <c r="M180" s="1104"/>
      <c r="N180" s="1104"/>
      <c r="O180" s="1107"/>
      <c r="P180" s="1104"/>
      <c r="Q180" s="1211"/>
      <c r="R180" s="1211"/>
      <c r="S180" s="1104"/>
      <c r="T180" s="1104"/>
      <c r="U180" s="1104"/>
      <c r="V180" s="1104"/>
      <c r="W180" s="1104"/>
      <c r="X180" s="1211"/>
      <c r="Y180" s="1211"/>
      <c r="Z180" s="1104"/>
      <c r="AA180" s="1104"/>
      <c r="AB180" s="1104"/>
      <c r="AC180" s="1104"/>
      <c r="AD180" s="1104"/>
      <c r="AE180" s="1211"/>
      <c r="AF180" s="1211"/>
      <c r="AG180" s="1104"/>
      <c r="AH180" s="1104"/>
      <c r="AI180" s="1353"/>
      <c r="AJ180" s="86"/>
      <c r="AK180" s="86"/>
      <c r="AL180" s="690"/>
      <c r="AM180" s="694">
        <f t="shared" si="380"/>
        <v>0</v>
      </c>
      <c r="AN180" s="31"/>
      <c r="AO180" s="622"/>
      <c r="AP180" s="23"/>
      <c r="AQ180" s="23"/>
      <c r="AR180" s="23"/>
      <c r="AS180" s="23"/>
      <c r="AT180" s="23"/>
      <c r="AU180" s="23"/>
      <c r="AV180" s="23"/>
    </row>
    <row r="181" spans="1:48" ht="25.15" customHeight="1">
      <c r="A181" s="103"/>
      <c r="B181" s="105"/>
      <c r="C181" s="77"/>
      <c r="D181" s="88" t="s">
        <v>111</v>
      </c>
      <c r="E181" s="1108">
        <f>IF(E180="O/H",E179,0+E179)</f>
        <v>0</v>
      </c>
      <c r="F181" s="1089">
        <f t="shared" ref="F181:AI181" si="427">IF(F180="O/H",F179,+E181+F179)</f>
        <v>0</v>
      </c>
      <c r="G181" s="44">
        <f t="shared" si="427"/>
        <v>0</v>
      </c>
      <c r="H181" s="1089">
        <f t="shared" si="427"/>
        <v>0</v>
      </c>
      <c r="I181" s="1089">
        <f t="shared" si="427"/>
        <v>0</v>
      </c>
      <c r="J181" s="44">
        <f t="shared" si="427"/>
        <v>0</v>
      </c>
      <c r="K181" s="44">
        <f t="shared" si="427"/>
        <v>0</v>
      </c>
      <c r="L181" s="1089">
        <f t="shared" si="427"/>
        <v>0</v>
      </c>
      <c r="M181" s="1089">
        <f t="shared" si="427"/>
        <v>0</v>
      </c>
      <c r="N181" s="1089">
        <f t="shared" si="427"/>
        <v>0</v>
      </c>
      <c r="O181" s="1089">
        <f t="shared" si="427"/>
        <v>0</v>
      </c>
      <c r="P181" s="1089">
        <f t="shared" si="427"/>
        <v>0</v>
      </c>
      <c r="Q181" s="44">
        <f t="shared" si="427"/>
        <v>0</v>
      </c>
      <c r="R181" s="44">
        <f t="shared" si="427"/>
        <v>0</v>
      </c>
      <c r="S181" s="1089">
        <f t="shared" si="427"/>
        <v>0</v>
      </c>
      <c r="T181" s="1089">
        <f t="shared" si="427"/>
        <v>1080</v>
      </c>
      <c r="U181" s="1089">
        <f t="shared" si="427"/>
        <v>2200</v>
      </c>
      <c r="V181" s="1089">
        <f t="shared" si="427"/>
        <v>3300</v>
      </c>
      <c r="W181" s="1089">
        <f t="shared" si="427"/>
        <v>4760</v>
      </c>
      <c r="X181" s="44">
        <f t="shared" si="427"/>
        <v>4760</v>
      </c>
      <c r="Y181" s="44">
        <f t="shared" si="427"/>
        <v>4760</v>
      </c>
      <c r="Z181" s="1089">
        <f t="shared" si="427"/>
        <v>5500</v>
      </c>
      <c r="AA181" s="1089">
        <f t="shared" si="427"/>
        <v>6600</v>
      </c>
      <c r="AB181" s="1089">
        <f t="shared" si="427"/>
        <v>6600</v>
      </c>
      <c r="AC181" s="1089">
        <f t="shared" si="427"/>
        <v>6600</v>
      </c>
      <c r="AD181" s="1089">
        <f t="shared" si="427"/>
        <v>6600</v>
      </c>
      <c r="AE181" s="44">
        <f t="shared" si="427"/>
        <v>6600</v>
      </c>
      <c r="AF181" s="44">
        <f t="shared" si="427"/>
        <v>6600</v>
      </c>
      <c r="AG181" s="1089">
        <f t="shared" si="427"/>
        <v>6600</v>
      </c>
      <c r="AH181" s="1089">
        <f t="shared" si="427"/>
        <v>6600</v>
      </c>
      <c r="AI181" s="1326">
        <f t="shared" si="427"/>
        <v>6600</v>
      </c>
      <c r="AJ181" s="79"/>
      <c r="AK181" s="86"/>
      <c r="AL181" s="689"/>
      <c r="AM181" s="694">
        <f t="shared" si="380"/>
        <v>0</v>
      </c>
      <c r="AN181" s="31"/>
      <c r="AO181" s="622"/>
      <c r="AP181" s="23"/>
      <c r="AQ181" s="23"/>
      <c r="AR181" s="23"/>
      <c r="AS181" s="23"/>
      <c r="AT181" s="23"/>
      <c r="AU181" s="23"/>
      <c r="AV181" s="23"/>
    </row>
    <row r="182" spans="1:48" s="23" customFormat="1" ht="20.65" customHeight="1">
      <c r="A182" s="274"/>
      <c r="B182" s="312"/>
      <c r="C182" s="308"/>
      <c r="D182" s="795" t="s">
        <v>112</v>
      </c>
      <c r="E182" s="1108">
        <f>IF(AND(ISNUMBER(E173)),236607+E179)</f>
        <v>236607</v>
      </c>
      <c r="F182" s="1089">
        <f>IF(AND(ISNUMBER(F173)),E182+F179,"")</f>
        <v>236607</v>
      </c>
      <c r="G182" s="44">
        <f t="shared" ref="G182" si="428">IF(AND(ISNUMBER(G173)),F182+G179,"")</f>
        <v>236607</v>
      </c>
      <c r="H182" s="1089">
        <f t="shared" ref="H182" si="429">IF(AND(ISNUMBER(H173)),G182+H179,"")</f>
        <v>236607</v>
      </c>
      <c r="I182" s="1089">
        <f>IF(AND(ISNUMBER(I173)),H182+I179,"")</f>
        <v>236607</v>
      </c>
      <c r="J182" s="44">
        <f>IF(AND(ISNUMBER(J173)),I182+J179,"")</f>
        <v>236607</v>
      </c>
      <c r="K182" s="44">
        <f>IF(AND(ISNUMBER(K173)),J182+K179,"")</f>
        <v>236607</v>
      </c>
      <c r="L182" s="1089">
        <f t="shared" ref="L182" si="430">IF(AND(ISNUMBER(L173)),K182+L179,"")</f>
        <v>236607</v>
      </c>
      <c r="M182" s="1089">
        <f t="shared" ref="M182" si="431">IF(AND(ISNUMBER(M173)),L182+M179,"")</f>
        <v>236607</v>
      </c>
      <c r="N182" s="1089">
        <f t="shared" ref="N182" si="432">IF(AND(ISNUMBER(N173)),M182+N179,"")</f>
        <v>236607</v>
      </c>
      <c r="O182" s="1089">
        <f t="shared" ref="O182" si="433">IF(AND(ISNUMBER(O173)),N182+O179,"")</f>
        <v>236607</v>
      </c>
      <c r="P182" s="1089">
        <f t="shared" ref="P182" si="434">IF(AND(ISNUMBER(P173)),O182+P179,"")</f>
        <v>236607</v>
      </c>
      <c r="Q182" s="44">
        <f t="shared" ref="Q182" si="435">IF(AND(ISNUMBER(Q173)),P182+Q179,"")</f>
        <v>236607</v>
      </c>
      <c r="R182" s="44">
        <f t="shared" ref="R182" si="436">IF(AND(ISNUMBER(R173)),Q182+R179,"")</f>
        <v>236607</v>
      </c>
      <c r="S182" s="1089">
        <f t="shared" ref="S182" si="437">IF(AND(ISNUMBER(S173)),R182+S179,"")</f>
        <v>236607</v>
      </c>
      <c r="T182" s="1089">
        <f t="shared" ref="T182" si="438">IF(AND(ISNUMBER(T173)),S182+T179,"")</f>
        <v>237687</v>
      </c>
      <c r="U182" s="1089">
        <f t="shared" ref="U182" si="439">IF(AND(ISNUMBER(U173)),T182+U179,"")</f>
        <v>238807</v>
      </c>
      <c r="V182" s="1089">
        <f t="shared" ref="V182" si="440">IF(AND(ISNUMBER(V173)),U182+V179,"")</f>
        <v>239907</v>
      </c>
      <c r="W182" s="1089">
        <f t="shared" ref="W182" si="441">IF(AND(ISNUMBER(W173)),V182+W179,"")</f>
        <v>241367</v>
      </c>
      <c r="X182" s="44">
        <f t="shared" ref="X182" si="442">IF(AND(ISNUMBER(X173)),W182+X179,"")</f>
        <v>241367</v>
      </c>
      <c r="Y182" s="44">
        <f t="shared" ref="Y182" si="443">IF(AND(ISNUMBER(Y173)),X182+Y179,"")</f>
        <v>241367</v>
      </c>
      <c r="Z182" s="1089">
        <f t="shared" ref="Z182" si="444">IF(AND(ISNUMBER(Z173)),Y182+Z179,"")</f>
        <v>242107</v>
      </c>
      <c r="AA182" s="1089">
        <f t="shared" ref="AA182" si="445">IF(AND(ISNUMBER(AA173)),Z182+AA179,"")</f>
        <v>243207</v>
      </c>
      <c r="AB182" s="1089" t="str">
        <f t="shared" ref="AB182" si="446">IF(AND(ISNUMBER(AB173)),AA182+AB179,"")</f>
        <v/>
      </c>
      <c r="AC182" s="1089" t="str">
        <f t="shared" ref="AC182" si="447">IF(AND(ISNUMBER(AC173)),AB182+AC179,"")</f>
        <v/>
      </c>
      <c r="AD182" s="1089" t="str">
        <f t="shared" ref="AD182" si="448">IF(AND(ISNUMBER(AD173)),AC182+AD179,"")</f>
        <v/>
      </c>
      <c r="AE182" s="44" t="str">
        <f t="shared" ref="AE182" si="449">IF(AND(ISNUMBER(AE173)),AD182+AE179,"")</f>
        <v/>
      </c>
      <c r="AF182" s="44" t="str">
        <f t="shared" ref="AF182" si="450">IF(AND(ISNUMBER(AF173)),AE182+AF179,"")</f>
        <v/>
      </c>
      <c r="AG182" s="1089" t="str">
        <f t="shared" ref="AG182" si="451">IF(AND(ISNUMBER(AG173)),AF182+AG179,"")</f>
        <v/>
      </c>
      <c r="AH182" s="1089" t="str">
        <f t="shared" ref="AH182" si="452">IF(AND(ISNUMBER(AH173)),AG182+AH179,"")</f>
        <v/>
      </c>
      <c r="AI182" s="1089" t="str">
        <f t="shared" ref="AI182" si="453">IF(AND(ISNUMBER(AI173)),AH182+AI179,"")</f>
        <v/>
      </c>
      <c r="AJ182" s="793"/>
      <c r="AK182" s="793"/>
      <c r="AL182" s="909"/>
      <c r="AM182" s="890">
        <f t="shared" si="380"/>
        <v>0</v>
      </c>
      <c r="AN182" s="76"/>
      <c r="AO182" s="624"/>
      <c r="AP182" s="285"/>
      <c r="AQ182" s="285"/>
      <c r="AR182" s="285"/>
      <c r="AS182" s="285"/>
      <c r="AT182" s="286"/>
      <c r="AU182" s="285"/>
      <c r="AV182" s="287"/>
    </row>
    <row r="183" spans="1:48" ht="25.15" customHeight="1">
      <c r="A183" s="103"/>
      <c r="B183" s="89"/>
      <c r="C183" s="80"/>
      <c r="D183" s="90" t="s">
        <v>104</v>
      </c>
      <c r="E183" s="1108"/>
      <c r="F183" s="1089"/>
      <c r="G183" s="44"/>
      <c r="H183" s="1089"/>
      <c r="I183" s="1089"/>
      <c r="J183" s="44"/>
      <c r="K183" s="44"/>
      <c r="L183" s="1089"/>
      <c r="M183" s="1089"/>
      <c r="N183" s="1089"/>
      <c r="O183" s="1089"/>
      <c r="P183" s="1089"/>
      <c r="Q183" s="44"/>
      <c r="R183" s="44"/>
      <c r="S183" s="1089"/>
      <c r="T183" s="1089"/>
      <c r="U183" s="1089"/>
      <c r="V183" s="1089"/>
      <c r="W183" s="1089"/>
      <c r="X183" s="44"/>
      <c r="Y183" s="44"/>
      <c r="Z183" s="1089"/>
      <c r="AA183" s="1089"/>
      <c r="AB183" s="1089"/>
      <c r="AC183" s="1089"/>
      <c r="AD183" s="1089"/>
      <c r="AE183" s="44"/>
      <c r="AF183" s="44"/>
      <c r="AG183" s="1089"/>
      <c r="AH183" s="1089"/>
      <c r="AI183" s="1326"/>
      <c r="AJ183" s="79"/>
      <c r="AK183" s="79"/>
      <c r="AL183" s="63"/>
      <c r="AM183" s="1068">
        <f t="shared" si="380"/>
        <v>0</v>
      </c>
      <c r="AN183" s="64"/>
      <c r="AO183" s="624"/>
      <c r="AP183" s="23"/>
      <c r="AQ183" s="23"/>
      <c r="AR183" s="23"/>
      <c r="AS183" s="23"/>
      <c r="AT183" s="23"/>
      <c r="AU183" s="23"/>
      <c r="AV183" s="23"/>
    </row>
    <row r="184" spans="1:48" ht="25.15" customHeight="1" thickBot="1">
      <c r="A184" s="106"/>
      <c r="B184" s="93"/>
      <c r="C184" s="94"/>
      <c r="D184" s="95" t="s">
        <v>111</v>
      </c>
      <c r="E184" s="1109">
        <f>IF(E183="O/H",E179,0+E179)</f>
        <v>0</v>
      </c>
      <c r="F184" s="1110">
        <f t="shared" ref="F184:T184" si="454">IF(F183="O/H",F179,+E184+F179)</f>
        <v>0</v>
      </c>
      <c r="G184" s="1212">
        <f t="shared" si="454"/>
        <v>0</v>
      </c>
      <c r="H184" s="1110">
        <f t="shared" si="454"/>
        <v>0</v>
      </c>
      <c r="I184" s="1110">
        <f t="shared" si="454"/>
        <v>0</v>
      </c>
      <c r="J184" s="1212">
        <f t="shared" si="454"/>
        <v>0</v>
      </c>
      <c r="K184" s="1212">
        <f t="shared" si="454"/>
        <v>0</v>
      </c>
      <c r="L184" s="1110">
        <f t="shared" si="454"/>
        <v>0</v>
      </c>
      <c r="M184" s="1110">
        <f t="shared" si="454"/>
        <v>0</v>
      </c>
      <c r="N184" s="1110">
        <f t="shared" si="454"/>
        <v>0</v>
      </c>
      <c r="O184" s="1110">
        <f t="shared" si="454"/>
        <v>0</v>
      </c>
      <c r="P184" s="1110">
        <f t="shared" si="454"/>
        <v>0</v>
      </c>
      <c r="Q184" s="1212">
        <f t="shared" si="454"/>
        <v>0</v>
      </c>
      <c r="R184" s="1212">
        <f t="shared" si="454"/>
        <v>0</v>
      </c>
      <c r="S184" s="1110">
        <f t="shared" si="454"/>
        <v>0</v>
      </c>
      <c r="T184" s="1110">
        <f t="shared" si="454"/>
        <v>1080</v>
      </c>
      <c r="U184" s="1110">
        <f>IF(U183="O/H",U179,+T184+U179)</f>
        <v>2200</v>
      </c>
      <c r="V184" s="1110">
        <f t="shared" ref="V184:AI184" si="455">IF(V183="O/H",V179,+U184+V179)</f>
        <v>3300</v>
      </c>
      <c r="W184" s="1110">
        <f t="shared" si="455"/>
        <v>4760</v>
      </c>
      <c r="X184" s="1212">
        <f t="shared" si="455"/>
        <v>4760</v>
      </c>
      <c r="Y184" s="1212">
        <f t="shared" si="455"/>
        <v>4760</v>
      </c>
      <c r="Z184" s="1110">
        <f t="shared" si="455"/>
        <v>5500</v>
      </c>
      <c r="AA184" s="1110">
        <f t="shared" si="455"/>
        <v>6600</v>
      </c>
      <c r="AB184" s="1110">
        <f t="shared" si="455"/>
        <v>6600</v>
      </c>
      <c r="AC184" s="1110">
        <f t="shared" si="455"/>
        <v>6600</v>
      </c>
      <c r="AD184" s="1110">
        <f t="shared" si="455"/>
        <v>6600</v>
      </c>
      <c r="AE184" s="1212">
        <f t="shared" si="455"/>
        <v>6600</v>
      </c>
      <c r="AF184" s="1212">
        <f t="shared" si="455"/>
        <v>6600</v>
      </c>
      <c r="AG184" s="1110">
        <f t="shared" si="455"/>
        <v>6600</v>
      </c>
      <c r="AH184" s="1110">
        <f t="shared" si="455"/>
        <v>6600</v>
      </c>
      <c r="AI184" s="1340">
        <f t="shared" si="455"/>
        <v>6600</v>
      </c>
      <c r="AJ184" s="96"/>
      <c r="AK184" s="96"/>
      <c r="AL184" s="97"/>
      <c r="AM184" s="1071">
        <f t="shared" si="380"/>
        <v>0</v>
      </c>
      <c r="AN184" s="98"/>
      <c r="AO184" s="625"/>
      <c r="AP184" s="23"/>
      <c r="AQ184" s="23"/>
      <c r="AR184" s="23"/>
      <c r="AS184" s="23"/>
      <c r="AT184" s="23"/>
      <c r="AU184" s="23"/>
      <c r="AV184" s="23"/>
    </row>
    <row r="185" spans="1:48" ht="25.15" hidden="1" customHeight="1" thickTop="1">
      <c r="A185" s="99"/>
      <c r="B185" s="26" t="s">
        <v>520</v>
      </c>
      <c r="C185" s="27"/>
      <c r="D185" s="28" t="s">
        <v>82</v>
      </c>
      <c r="E185" s="1111"/>
      <c r="F185" s="1111"/>
      <c r="G185" s="1201"/>
      <c r="H185" s="1111"/>
      <c r="I185" s="1111"/>
      <c r="J185" s="1201"/>
      <c r="K185" s="1201"/>
      <c r="L185" s="1111"/>
      <c r="M185" s="1111"/>
      <c r="N185" s="1111"/>
      <c r="O185" s="1111"/>
      <c r="P185" s="1111"/>
      <c r="Q185" s="1201"/>
      <c r="R185" s="1201"/>
      <c r="S185" s="1111"/>
      <c r="T185" s="1111"/>
      <c r="U185" s="1111"/>
      <c r="V185" s="1111"/>
      <c r="W185" s="1111"/>
      <c r="X185" s="1201"/>
      <c r="Y185" s="1201"/>
      <c r="Z185" s="1111"/>
      <c r="AA185" s="1111"/>
      <c r="AB185" s="1111"/>
      <c r="AC185" s="1111"/>
      <c r="AD185" s="1111"/>
      <c r="AE185" s="1201"/>
      <c r="AF185" s="1201"/>
      <c r="AG185" s="1111"/>
      <c r="AH185" s="1111"/>
      <c r="AI185" s="1412"/>
      <c r="AJ185" s="100">
        <f>SUM(Table75[[#This Row],[June''2026]:[Column27]])</f>
        <v>0</v>
      </c>
      <c r="AK185" s="100">
        <f t="shared" si="384"/>
        <v>0</v>
      </c>
      <c r="AL185" s="101">
        <f>+AJ185*AN185</f>
        <v>0</v>
      </c>
      <c r="AM185" s="1072">
        <f t="shared" si="380"/>
        <v>0</v>
      </c>
      <c r="AN185" s="102"/>
      <c r="AO185" s="622" t="e">
        <f>Table5[[#This Row],[Total]]*B189/1000</f>
        <v>#VALUE!</v>
      </c>
      <c r="AP185" s="32" t="s">
        <v>265</v>
      </c>
      <c r="AQ185" s="33" t="s">
        <v>84</v>
      </c>
      <c r="AR185" s="33" t="s">
        <v>85</v>
      </c>
      <c r="AS185" s="33" t="s">
        <v>86</v>
      </c>
      <c r="AT185" s="33" t="s">
        <v>87</v>
      </c>
      <c r="AU185" s="33" t="s">
        <v>88</v>
      </c>
      <c r="AV185" s="34" t="s">
        <v>68</v>
      </c>
    </row>
    <row r="186" spans="1:48" ht="25.15" hidden="1" customHeight="1">
      <c r="A186" s="103"/>
      <c r="B186" s="35" t="s">
        <v>519</v>
      </c>
      <c r="C186" s="36"/>
      <c r="D186" s="37" t="s">
        <v>90</v>
      </c>
      <c r="E186" s="1373">
        <f>IF(E185="",0,+ E185/E192)</f>
        <v>0</v>
      </c>
      <c r="F186" s="1096">
        <f t="shared" ref="F186:AI186" si="456">IF(F185="",0, E186+F185/F192)</f>
        <v>0</v>
      </c>
      <c r="G186" s="1207">
        <f t="shared" si="456"/>
        <v>0</v>
      </c>
      <c r="H186" s="1096">
        <f t="shared" si="456"/>
        <v>0</v>
      </c>
      <c r="I186" s="1096">
        <f t="shared" si="456"/>
        <v>0</v>
      </c>
      <c r="J186" s="1207">
        <f t="shared" si="456"/>
        <v>0</v>
      </c>
      <c r="K186" s="1207">
        <f t="shared" si="456"/>
        <v>0</v>
      </c>
      <c r="L186" s="1096">
        <f t="shared" si="456"/>
        <v>0</v>
      </c>
      <c r="M186" s="1096">
        <f t="shared" si="456"/>
        <v>0</v>
      </c>
      <c r="N186" s="1096">
        <f t="shared" si="456"/>
        <v>0</v>
      </c>
      <c r="O186" s="1096">
        <f t="shared" si="456"/>
        <v>0</v>
      </c>
      <c r="P186" s="1096">
        <f t="shared" si="456"/>
        <v>0</v>
      </c>
      <c r="Q186" s="1207">
        <f t="shared" si="456"/>
        <v>0</v>
      </c>
      <c r="R186" s="1207">
        <f t="shared" si="456"/>
        <v>0</v>
      </c>
      <c r="S186" s="1096">
        <f t="shared" si="456"/>
        <v>0</v>
      </c>
      <c r="T186" s="1096">
        <f t="shared" si="456"/>
        <v>0</v>
      </c>
      <c r="U186" s="1096">
        <f t="shared" si="456"/>
        <v>0</v>
      </c>
      <c r="V186" s="1096">
        <f t="shared" si="456"/>
        <v>0</v>
      </c>
      <c r="W186" s="1096">
        <f t="shared" si="456"/>
        <v>0</v>
      </c>
      <c r="X186" s="1207">
        <f t="shared" si="456"/>
        <v>0</v>
      </c>
      <c r="Y186" s="1207">
        <f t="shared" si="456"/>
        <v>0</v>
      </c>
      <c r="Z186" s="1096">
        <f t="shared" si="456"/>
        <v>0</v>
      </c>
      <c r="AA186" s="1096">
        <f t="shared" si="456"/>
        <v>0</v>
      </c>
      <c r="AB186" s="1096">
        <f t="shared" si="456"/>
        <v>0</v>
      </c>
      <c r="AC186" s="1096">
        <f t="shared" si="456"/>
        <v>0</v>
      </c>
      <c r="AD186" s="1096">
        <f t="shared" si="456"/>
        <v>0</v>
      </c>
      <c r="AE186" s="1207">
        <f t="shared" si="456"/>
        <v>0</v>
      </c>
      <c r="AF186" s="1207">
        <f t="shared" si="456"/>
        <v>0</v>
      </c>
      <c r="AG186" s="1096">
        <f t="shared" si="456"/>
        <v>0</v>
      </c>
      <c r="AH186" s="1096">
        <f t="shared" si="456"/>
        <v>0</v>
      </c>
      <c r="AI186" s="1324">
        <f t="shared" si="456"/>
        <v>0</v>
      </c>
      <c r="AJ186" s="38"/>
      <c r="AK186" s="29"/>
      <c r="AL186" s="30"/>
      <c r="AM186" s="694">
        <f t="shared" si="380"/>
        <v>0</v>
      </c>
      <c r="AN186" s="31"/>
      <c r="AO186" s="630"/>
      <c r="AP186" s="39" t="s">
        <v>91</v>
      </c>
      <c r="AQ186" s="40">
        <f>SUM(E185:I185)</f>
        <v>0</v>
      </c>
      <c r="AR186" s="41">
        <f>SUM(J185:P185)</f>
        <v>0</v>
      </c>
      <c r="AS186" s="41">
        <f>SUM(Q185:W185)</f>
        <v>0</v>
      </c>
      <c r="AT186" s="41">
        <f>SUM(X185:AD185)</f>
        <v>0</v>
      </c>
      <c r="AU186" s="41">
        <f>SUM(AE185:AI185)</f>
        <v>0</v>
      </c>
      <c r="AV186" s="34">
        <f t="shared" ref="AV186:AV191" si="457">SUM(AQ186:AU186)</f>
        <v>0</v>
      </c>
    </row>
    <row r="187" spans="1:48" ht="25.15" hidden="1" customHeight="1">
      <c r="A187" s="103"/>
      <c r="B187" s="26" t="s">
        <v>92</v>
      </c>
      <c r="C187" s="42"/>
      <c r="D187" s="43" t="s">
        <v>93</v>
      </c>
      <c r="E187" s="1325"/>
      <c r="F187" s="1089"/>
      <c r="G187" s="44"/>
      <c r="H187" s="1089"/>
      <c r="I187" s="1089"/>
      <c r="J187" s="44"/>
      <c r="K187" s="44"/>
      <c r="L187" s="1089"/>
      <c r="M187" s="1089"/>
      <c r="N187" s="1089"/>
      <c r="O187" s="1089"/>
      <c r="P187" s="1089"/>
      <c r="Q187" s="44"/>
      <c r="R187" s="44"/>
      <c r="S187" s="1089"/>
      <c r="T187" s="1089"/>
      <c r="U187" s="1089"/>
      <c r="V187" s="1089"/>
      <c r="W187" s="1089"/>
      <c r="X187" s="44"/>
      <c r="Y187" s="44"/>
      <c r="Z187" s="1089"/>
      <c r="AA187" s="1089"/>
      <c r="AB187" s="1089"/>
      <c r="AC187" s="1089"/>
      <c r="AD187" s="1089"/>
      <c r="AE187" s="44"/>
      <c r="AF187" s="44"/>
      <c r="AG187" s="1089"/>
      <c r="AH187" s="1089"/>
      <c r="AI187" s="1326"/>
      <c r="AJ187" s="45">
        <f>SUM(E187:AI187)</f>
        <v>0</v>
      </c>
      <c r="AK187" s="45"/>
      <c r="AL187" s="46">
        <f>+AJ187*AN185</f>
        <v>0</v>
      </c>
      <c r="AM187" s="1066">
        <f t="shared" si="380"/>
        <v>0</v>
      </c>
      <c r="AN187" s="31"/>
      <c r="AO187" s="632">
        <f>(AJ187+AJ189+AJ190+AJ191)*B189/1000</f>
        <v>0</v>
      </c>
      <c r="AP187" s="47" t="s">
        <v>94</v>
      </c>
      <c r="AQ187" s="48">
        <f>SUM(E187:I187)</f>
        <v>0</v>
      </c>
      <c r="AR187" s="49">
        <f>SUM(J187:P187)</f>
        <v>0</v>
      </c>
      <c r="AS187" s="49">
        <f>SUM(Q187:W187)</f>
        <v>0</v>
      </c>
      <c r="AT187" s="49">
        <f>SUM(X187:AD187)</f>
        <v>0</v>
      </c>
      <c r="AU187" s="49">
        <f>SUM(AE187:AI187)</f>
        <v>0</v>
      </c>
      <c r="AV187" s="50">
        <f t="shared" si="457"/>
        <v>0</v>
      </c>
    </row>
    <row r="188" spans="1:48" ht="25.15" hidden="1" customHeight="1">
      <c r="A188" s="103"/>
      <c r="B188" s="51"/>
      <c r="C188" s="52" t="s">
        <v>95</v>
      </c>
      <c r="D188" s="53" t="s">
        <v>96</v>
      </c>
      <c r="E188" s="1327">
        <f t="shared" ref="E188:AJ188" si="458">+E187-E185</f>
        <v>0</v>
      </c>
      <c r="F188" s="1097">
        <f t="shared" si="458"/>
        <v>0</v>
      </c>
      <c r="G188" s="1205">
        <f t="shared" si="458"/>
        <v>0</v>
      </c>
      <c r="H188" s="1097">
        <f t="shared" si="458"/>
        <v>0</v>
      </c>
      <c r="I188" s="1097">
        <f t="shared" si="458"/>
        <v>0</v>
      </c>
      <c r="J188" s="1205">
        <f t="shared" si="458"/>
        <v>0</v>
      </c>
      <c r="K188" s="1205">
        <f t="shared" si="458"/>
        <v>0</v>
      </c>
      <c r="L188" s="1097">
        <f t="shared" si="458"/>
        <v>0</v>
      </c>
      <c r="M188" s="1097">
        <f t="shared" si="458"/>
        <v>0</v>
      </c>
      <c r="N188" s="1097">
        <f t="shared" si="458"/>
        <v>0</v>
      </c>
      <c r="O188" s="1097">
        <f t="shared" si="458"/>
        <v>0</v>
      </c>
      <c r="P188" s="1097">
        <f t="shared" si="458"/>
        <v>0</v>
      </c>
      <c r="Q188" s="1205">
        <f t="shared" si="458"/>
        <v>0</v>
      </c>
      <c r="R188" s="1205">
        <f t="shared" si="458"/>
        <v>0</v>
      </c>
      <c r="S188" s="1097">
        <f t="shared" si="458"/>
        <v>0</v>
      </c>
      <c r="T188" s="1097">
        <f t="shared" si="458"/>
        <v>0</v>
      </c>
      <c r="U188" s="1097">
        <f t="shared" si="458"/>
        <v>0</v>
      </c>
      <c r="V188" s="1097">
        <f t="shared" si="458"/>
        <v>0</v>
      </c>
      <c r="W188" s="1097">
        <f t="shared" si="458"/>
        <v>0</v>
      </c>
      <c r="X188" s="1205">
        <f t="shared" si="458"/>
        <v>0</v>
      </c>
      <c r="Y188" s="1205">
        <f t="shared" si="458"/>
        <v>0</v>
      </c>
      <c r="Z188" s="1097">
        <f t="shared" si="458"/>
        <v>0</v>
      </c>
      <c r="AA188" s="1097">
        <f t="shared" si="458"/>
        <v>0</v>
      </c>
      <c r="AB188" s="1097">
        <f t="shared" si="458"/>
        <v>0</v>
      </c>
      <c r="AC188" s="1097">
        <f t="shared" si="458"/>
        <v>0</v>
      </c>
      <c r="AD188" s="1097">
        <f t="shared" si="458"/>
        <v>0</v>
      </c>
      <c r="AE188" s="1205">
        <f t="shared" si="458"/>
        <v>0</v>
      </c>
      <c r="AF188" s="1205">
        <f t="shared" si="458"/>
        <v>0</v>
      </c>
      <c r="AG188" s="1097">
        <f t="shared" si="458"/>
        <v>0</v>
      </c>
      <c r="AH188" s="1097">
        <f t="shared" si="458"/>
        <v>0</v>
      </c>
      <c r="AI188" s="1328">
        <f t="shared" si="458"/>
        <v>0</v>
      </c>
      <c r="AJ188" s="54">
        <f t="shared" si="458"/>
        <v>0</v>
      </c>
      <c r="AK188" s="54"/>
      <c r="AL188" s="55">
        <f>+AJ188*AN185</f>
        <v>0</v>
      </c>
      <c r="AM188" s="1067">
        <f t="shared" si="380"/>
        <v>0</v>
      </c>
      <c r="AN188" s="31" t="s">
        <v>97</v>
      </c>
      <c r="AO188" s="622"/>
      <c r="AP188" s="39" t="s">
        <v>98</v>
      </c>
      <c r="AQ188" s="56">
        <f>AQ187-AQ186</f>
        <v>0</v>
      </c>
      <c r="AR188" s="70">
        <f>AR187-AR186</f>
        <v>0</v>
      </c>
      <c r="AS188" s="70">
        <f>AS187-AS186</f>
        <v>0</v>
      </c>
      <c r="AT188" s="70">
        <f>AT187-AT186</f>
        <v>0</v>
      </c>
      <c r="AU188" s="70">
        <f>AU187-AU186</f>
        <v>0</v>
      </c>
      <c r="AV188" s="57">
        <f t="shared" si="457"/>
        <v>0</v>
      </c>
    </row>
    <row r="189" spans="1:48" ht="25.15" hidden="1" customHeight="1">
      <c r="A189" s="58"/>
      <c r="B189" s="59"/>
      <c r="C189" s="60" t="s">
        <v>100</v>
      </c>
      <c r="D189" s="61" t="s">
        <v>101</v>
      </c>
      <c r="E189" s="1329"/>
      <c r="F189" s="1099"/>
      <c r="G189" s="1208"/>
      <c r="H189" s="1099"/>
      <c r="I189" s="1099"/>
      <c r="J189" s="1208"/>
      <c r="K189" s="1208"/>
      <c r="L189" s="1099"/>
      <c r="M189" s="1099"/>
      <c r="N189" s="1099"/>
      <c r="O189" s="1099"/>
      <c r="P189" s="1099"/>
      <c r="Q189" s="1208"/>
      <c r="R189" s="1208"/>
      <c r="S189" s="1099"/>
      <c r="T189" s="1099"/>
      <c r="U189" s="1099"/>
      <c r="V189" s="1099"/>
      <c r="W189" s="1099"/>
      <c r="X189" s="1208"/>
      <c r="Y189" s="1208"/>
      <c r="Z189" s="1099"/>
      <c r="AA189" s="1099"/>
      <c r="AB189" s="1099"/>
      <c r="AC189" s="1099"/>
      <c r="AD189" s="1099"/>
      <c r="AE189" s="1208"/>
      <c r="AF189" s="1208"/>
      <c r="AG189" s="1099"/>
      <c r="AH189" s="1099"/>
      <c r="AI189" s="1330"/>
      <c r="AJ189" s="62">
        <f>SUM(E189:AI189)</f>
        <v>0</v>
      </c>
      <c r="AK189" s="62"/>
      <c r="AL189" s="63">
        <f>+AJ189*AN185</f>
        <v>0</v>
      </c>
      <c r="AM189" s="1068">
        <f t="shared" si="380"/>
        <v>0</v>
      </c>
      <c r="AN189" s="64" t="e">
        <f>+AJ189/AJ187*100</f>
        <v>#DIV/0!</v>
      </c>
      <c r="AO189" s="635" t="e">
        <f>AO187/AO185</f>
        <v>#VALUE!</v>
      </c>
      <c r="AP189" s="39" t="s">
        <v>102</v>
      </c>
      <c r="AQ189" s="56">
        <f>SUM(E189:I189)</f>
        <v>0</v>
      </c>
      <c r="AR189" s="70">
        <f>SUM(J189:P189)</f>
        <v>0</v>
      </c>
      <c r="AS189" s="70">
        <f>SUM(Q189:W189)</f>
        <v>0</v>
      </c>
      <c r="AT189" s="70">
        <f>SUM(X189:AD189)</f>
        <v>0</v>
      </c>
      <c r="AU189" s="70">
        <f>SUM(AE189:AI189)</f>
        <v>0</v>
      </c>
      <c r="AV189" s="57">
        <f t="shared" si="457"/>
        <v>0</v>
      </c>
    </row>
    <row r="190" spans="1:48" ht="25.15" hidden="1" customHeight="1">
      <c r="A190" s="58" t="s">
        <v>521</v>
      </c>
      <c r="B190" s="65"/>
      <c r="C190" s="66"/>
      <c r="D190" s="67" t="s">
        <v>103</v>
      </c>
      <c r="E190" s="1331"/>
      <c r="F190" s="1101"/>
      <c r="G190" s="1209"/>
      <c r="H190" s="1101"/>
      <c r="I190" s="1101"/>
      <c r="J190" s="1209"/>
      <c r="K190" s="1209"/>
      <c r="L190" s="1101"/>
      <c r="M190" s="1101"/>
      <c r="N190" s="1101"/>
      <c r="O190" s="1101"/>
      <c r="P190" s="1101"/>
      <c r="Q190" s="1209"/>
      <c r="R190" s="1209"/>
      <c r="S190" s="1101"/>
      <c r="T190" s="1101"/>
      <c r="U190" s="1101"/>
      <c r="V190" s="1101"/>
      <c r="W190" s="1101"/>
      <c r="X190" s="1209"/>
      <c r="Y190" s="1209"/>
      <c r="Z190" s="1101"/>
      <c r="AA190" s="1101"/>
      <c r="AB190" s="1101"/>
      <c r="AC190" s="1101"/>
      <c r="AD190" s="1101"/>
      <c r="AE190" s="1209"/>
      <c r="AF190" s="1209"/>
      <c r="AG190" s="1101"/>
      <c r="AH190" s="1101"/>
      <c r="AI190" s="1332"/>
      <c r="AJ190" s="68">
        <f>SUM(E190:AI190)</f>
        <v>0</v>
      </c>
      <c r="AK190" s="68"/>
      <c r="AL190" s="69">
        <f>+AJ190*AN185</f>
        <v>0</v>
      </c>
      <c r="AM190" s="1069">
        <f t="shared" si="380"/>
        <v>0</v>
      </c>
      <c r="AN190" s="31"/>
      <c r="AO190" s="622"/>
      <c r="AP190" s="39" t="s">
        <v>19</v>
      </c>
      <c r="AQ190" s="56">
        <f>AQ189*AN185</f>
        <v>0</v>
      </c>
      <c r="AR190" s="56">
        <f>AR189*AN185</f>
        <v>0</v>
      </c>
      <c r="AS190" s="56">
        <f>AS189*AN185</f>
        <v>0</v>
      </c>
      <c r="AT190" s="56">
        <f>AT189*AN185</f>
        <v>0</v>
      </c>
      <c r="AU190" s="56">
        <f>AU189*AN185</f>
        <v>0</v>
      </c>
      <c r="AV190" s="57">
        <f t="shared" si="457"/>
        <v>0</v>
      </c>
    </row>
    <row r="191" spans="1:48" ht="25.15" hidden="1" customHeight="1">
      <c r="A191" s="103"/>
      <c r="B191" s="65"/>
      <c r="C191" s="72" t="s">
        <v>104</v>
      </c>
      <c r="D191" s="73" t="s">
        <v>105</v>
      </c>
      <c r="E191" s="1378"/>
      <c r="F191" s="1103"/>
      <c r="G191" s="1210"/>
      <c r="H191" s="1103"/>
      <c r="I191" s="1103"/>
      <c r="J191" s="1210"/>
      <c r="K191" s="1210"/>
      <c r="L191" s="1103"/>
      <c r="M191" s="1103"/>
      <c r="N191" s="1103"/>
      <c r="O191" s="1103"/>
      <c r="P191" s="1103"/>
      <c r="Q191" s="1210"/>
      <c r="R191" s="1210"/>
      <c r="S191" s="1103"/>
      <c r="T191" s="1103"/>
      <c r="U191" s="1103"/>
      <c r="V191" s="1103"/>
      <c r="W191" s="1103"/>
      <c r="X191" s="1210"/>
      <c r="Y191" s="1210"/>
      <c r="Z191" s="1103"/>
      <c r="AA191" s="1103"/>
      <c r="AB191" s="1103"/>
      <c r="AC191" s="1103"/>
      <c r="AD191" s="1103"/>
      <c r="AE191" s="1210"/>
      <c r="AF191" s="1210"/>
      <c r="AG191" s="1103"/>
      <c r="AH191" s="1103"/>
      <c r="AI191" s="1352"/>
      <c r="AJ191" s="74">
        <f>SUM(E191:AI191)</f>
        <v>0</v>
      </c>
      <c r="AK191" s="74"/>
      <c r="AL191" s="75">
        <f>+AJ191*AN185</f>
        <v>0</v>
      </c>
      <c r="AM191" s="1070">
        <f t="shared" si="380"/>
        <v>0</v>
      </c>
      <c r="AN191" s="76"/>
      <c r="AO191" s="636"/>
      <c r="AP191" s="47" t="s">
        <v>106</v>
      </c>
      <c r="AQ191" s="48">
        <f>AQ187*AN185</f>
        <v>0</v>
      </c>
      <c r="AR191" s="48">
        <f>AR187*AN185</f>
        <v>0</v>
      </c>
      <c r="AS191" s="48">
        <f>AS187*AN185</f>
        <v>0</v>
      </c>
      <c r="AT191" s="48">
        <f>AT187*AN185</f>
        <v>0</v>
      </c>
      <c r="AU191" s="48">
        <f>AU187*AN185</f>
        <v>0</v>
      </c>
      <c r="AV191" s="50">
        <f t="shared" si="457"/>
        <v>0</v>
      </c>
    </row>
    <row r="192" spans="1:48" ht="25.15" hidden="1" customHeight="1">
      <c r="A192" s="103"/>
      <c r="B192" s="65"/>
      <c r="C192" s="77">
        <v>300000</v>
      </c>
      <c r="D192" s="78" t="s">
        <v>107</v>
      </c>
      <c r="E192" s="1327">
        <v>1</v>
      </c>
      <c r="F192" s="1097">
        <v>1</v>
      </c>
      <c r="G192" s="1205">
        <v>1</v>
      </c>
      <c r="H192" s="1097">
        <v>1</v>
      </c>
      <c r="I192" s="1097">
        <v>1</v>
      </c>
      <c r="J192" s="1205">
        <v>1</v>
      </c>
      <c r="K192" s="1205">
        <v>1</v>
      </c>
      <c r="L192" s="1097">
        <v>1</v>
      </c>
      <c r="M192" s="1097">
        <v>1</v>
      </c>
      <c r="N192" s="1097">
        <v>1</v>
      </c>
      <c r="O192" s="1097">
        <v>1</v>
      </c>
      <c r="P192" s="1097">
        <v>1</v>
      </c>
      <c r="Q192" s="1205">
        <v>1</v>
      </c>
      <c r="R192" s="1205">
        <v>1</v>
      </c>
      <c r="S192" s="1097">
        <v>1</v>
      </c>
      <c r="T192" s="1097">
        <v>1</v>
      </c>
      <c r="U192" s="1097">
        <v>1</v>
      </c>
      <c r="V192" s="1097">
        <v>1</v>
      </c>
      <c r="W192" s="1097">
        <v>1</v>
      </c>
      <c r="X192" s="1205">
        <v>1</v>
      </c>
      <c r="Y192" s="1205">
        <v>1</v>
      </c>
      <c r="Z192" s="1097">
        <v>1</v>
      </c>
      <c r="AA192" s="1097">
        <v>1</v>
      </c>
      <c r="AB192" s="1097">
        <v>1</v>
      </c>
      <c r="AC192" s="1097">
        <v>1</v>
      </c>
      <c r="AD192" s="1097">
        <v>1</v>
      </c>
      <c r="AE192" s="1205">
        <v>1</v>
      </c>
      <c r="AF192" s="1205">
        <v>1</v>
      </c>
      <c r="AG192" s="1097">
        <v>1</v>
      </c>
      <c r="AH192" s="1097">
        <v>1</v>
      </c>
      <c r="AI192" s="1328">
        <v>1</v>
      </c>
      <c r="AJ192" s="79"/>
      <c r="AK192" s="79"/>
      <c r="AL192" s="55"/>
      <c r="AM192" s="1067">
        <f t="shared" si="380"/>
        <v>0</v>
      </c>
      <c r="AN192" s="31"/>
      <c r="AO192" s="622"/>
      <c r="AP192" s="23"/>
      <c r="AQ192" s="23"/>
      <c r="AR192" s="23"/>
      <c r="AS192" s="23"/>
      <c r="AT192" s="23"/>
      <c r="AU192" s="23"/>
      <c r="AV192" s="23"/>
    </row>
    <row r="193" spans="1:48" ht="25.15" hidden="1" customHeight="1">
      <c r="A193" s="103"/>
      <c r="B193" s="65"/>
      <c r="C193" s="80" t="s">
        <v>108</v>
      </c>
      <c r="D193" s="81" t="s">
        <v>109</v>
      </c>
      <c r="E193" s="1374">
        <f>SUM(E187+E189+E190+E191)/E192</f>
        <v>0</v>
      </c>
      <c r="F193" s="1104">
        <f>SUM(F187+F189+F190+F191)/F192</f>
        <v>0</v>
      </c>
      <c r="G193" s="1211">
        <f>SUM(G187+G189+G190+G191)/G192</f>
        <v>0</v>
      </c>
      <c r="H193" s="1104">
        <f t="shared" ref="H193:AH193" si="459">SUM(H187+H189+H190+H191)/H192</f>
        <v>0</v>
      </c>
      <c r="I193" s="1104">
        <f t="shared" si="459"/>
        <v>0</v>
      </c>
      <c r="J193" s="1211">
        <f t="shared" si="459"/>
        <v>0</v>
      </c>
      <c r="K193" s="1211">
        <f t="shared" si="459"/>
        <v>0</v>
      </c>
      <c r="L193" s="1104">
        <f t="shared" si="459"/>
        <v>0</v>
      </c>
      <c r="M193" s="1104">
        <f t="shared" si="459"/>
        <v>0</v>
      </c>
      <c r="N193" s="1104">
        <f t="shared" si="459"/>
        <v>0</v>
      </c>
      <c r="O193" s="1104">
        <f t="shared" si="459"/>
        <v>0</v>
      </c>
      <c r="P193" s="1104">
        <f t="shared" si="459"/>
        <v>0</v>
      </c>
      <c r="Q193" s="1211">
        <f t="shared" si="459"/>
        <v>0</v>
      </c>
      <c r="R193" s="1211">
        <f t="shared" si="459"/>
        <v>0</v>
      </c>
      <c r="S193" s="1104">
        <f t="shared" si="459"/>
        <v>0</v>
      </c>
      <c r="T193" s="1104">
        <f t="shared" si="459"/>
        <v>0</v>
      </c>
      <c r="U193" s="1104">
        <f t="shared" si="459"/>
        <v>0</v>
      </c>
      <c r="V193" s="1104">
        <f t="shared" si="459"/>
        <v>0</v>
      </c>
      <c r="W193" s="1104">
        <f t="shared" si="459"/>
        <v>0</v>
      </c>
      <c r="X193" s="1211">
        <f t="shared" si="459"/>
        <v>0</v>
      </c>
      <c r="Y193" s="1211">
        <f t="shared" si="459"/>
        <v>0</v>
      </c>
      <c r="Z193" s="1104">
        <f t="shared" si="459"/>
        <v>0</v>
      </c>
      <c r="AA193" s="1104">
        <f t="shared" si="459"/>
        <v>0</v>
      </c>
      <c r="AB193" s="1104">
        <f t="shared" si="459"/>
        <v>0</v>
      </c>
      <c r="AC193" s="1104">
        <f t="shared" si="459"/>
        <v>0</v>
      </c>
      <c r="AD193" s="1104">
        <f t="shared" si="459"/>
        <v>0</v>
      </c>
      <c r="AE193" s="1211">
        <f t="shared" si="459"/>
        <v>0</v>
      </c>
      <c r="AF193" s="1211">
        <f t="shared" si="459"/>
        <v>0</v>
      </c>
      <c r="AG193" s="1104">
        <f t="shared" si="459"/>
        <v>0</v>
      </c>
      <c r="AH193" s="1104">
        <f t="shared" si="459"/>
        <v>0</v>
      </c>
      <c r="AI193" s="1335">
        <f>SUM(AI187+AI189+AI190)/AI192</f>
        <v>0</v>
      </c>
      <c r="AJ193" s="104">
        <f>SUM(E193:AI193)</f>
        <v>0</v>
      </c>
      <c r="AK193" s="104"/>
      <c r="AL193" s="83"/>
      <c r="AM193" s="1068">
        <f t="shared" si="380"/>
        <v>0</v>
      </c>
      <c r="AN193" s="31"/>
      <c r="AO193" s="622"/>
      <c r="AP193" s="23"/>
      <c r="AQ193" s="23"/>
      <c r="AR193" s="23"/>
      <c r="AS193" s="23"/>
      <c r="AT193" s="23"/>
      <c r="AU193" s="23"/>
      <c r="AV193" s="23"/>
    </row>
    <row r="194" spans="1:48" ht="25.15" hidden="1" customHeight="1">
      <c r="A194" s="103"/>
      <c r="B194" s="59"/>
      <c r="C194" s="84">
        <f>+C192*0.8</f>
        <v>240000</v>
      </c>
      <c r="D194" s="85" t="s">
        <v>110</v>
      </c>
      <c r="E194" s="1105"/>
      <c r="F194" s="1106"/>
      <c r="G194" s="1211"/>
      <c r="H194" s="1104"/>
      <c r="I194" s="1104"/>
      <c r="J194" s="1211"/>
      <c r="K194" s="1211"/>
      <c r="L194" s="1104"/>
      <c r="M194" s="1104"/>
      <c r="N194" s="1104"/>
      <c r="O194" s="1107"/>
      <c r="P194" s="1104"/>
      <c r="Q194" s="1211"/>
      <c r="R194" s="1211"/>
      <c r="S194" s="1104"/>
      <c r="T194" s="1104"/>
      <c r="U194" s="1104"/>
      <c r="V194" s="1104"/>
      <c r="W194" s="1104"/>
      <c r="X194" s="1211"/>
      <c r="Y194" s="1211"/>
      <c r="Z194" s="1104"/>
      <c r="AA194" s="1104"/>
      <c r="AB194" s="1104"/>
      <c r="AC194" s="1104"/>
      <c r="AD194" s="1104"/>
      <c r="AE194" s="1211"/>
      <c r="AF194" s="1211"/>
      <c r="AG194" s="1104"/>
      <c r="AH194" s="1104"/>
      <c r="AI194" s="1353"/>
      <c r="AJ194" s="86"/>
      <c r="AK194" s="86"/>
      <c r="AL194" s="690"/>
      <c r="AM194" s="694">
        <f t="shared" si="380"/>
        <v>0</v>
      </c>
      <c r="AN194" s="31"/>
      <c r="AO194" s="622"/>
      <c r="AP194" s="23"/>
      <c r="AQ194" s="23"/>
      <c r="AR194" s="23"/>
      <c r="AS194" s="23"/>
      <c r="AT194" s="23"/>
      <c r="AU194" s="23"/>
      <c r="AV194" s="23"/>
    </row>
    <row r="195" spans="1:48" ht="25.15" hidden="1" customHeight="1">
      <c r="A195" s="103"/>
      <c r="B195" s="105"/>
      <c r="C195" s="77"/>
      <c r="D195" s="88" t="s">
        <v>111</v>
      </c>
      <c r="E195" s="1108">
        <f>IF(E194="O/H",E193,0+E193)</f>
        <v>0</v>
      </c>
      <c r="F195" s="1089">
        <f t="shared" ref="F195:AI195" si="460">IF(F194="O/H",F193,+E195+F193)</f>
        <v>0</v>
      </c>
      <c r="G195" s="44">
        <f t="shared" si="460"/>
        <v>0</v>
      </c>
      <c r="H195" s="1089">
        <f t="shared" si="460"/>
        <v>0</v>
      </c>
      <c r="I195" s="1089">
        <f t="shared" si="460"/>
        <v>0</v>
      </c>
      <c r="J195" s="44">
        <f t="shared" si="460"/>
        <v>0</v>
      </c>
      <c r="K195" s="44">
        <f t="shared" si="460"/>
        <v>0</v>
      </c>
      <c r="L195" s="1089">
        <f t="shared" si="460"/>
        <v>0</v>
      </c>
      <c r="M195" s="1089">
        <f t="shared" si="460"/>
        <v>0</v>
      </c>
      <c r="N195" s="1089">
        <f t="shared" si="460"/>
        <v>0</v>
      </c>
      <c r="O195" s="1089">
        <f t="shared" si="460"/>
        <v>0</v>
      </c>
      <c r="P195" s="1089">
        <f t="shared" si="460"/>
        <v>0</v>
      </c>
      <c r="Q195" s="44">
        <f t="shared" si="460"/>
        <v>0</v>
      </c>
      <c r="R195" s="44">
        <f t="shared" si="460"/>
        <v>0</v>
      </c>
      <c r="S195" s="1089">
        <f t="shared" si="460"/>
        <v>0</v>
      </c>
      <c r="T195" s="1089">
        <f t="shared" si="460"/>
        <v>0</v>
      </c>
      <c r="U195" s="1089">
        <f t="shared" si="460"/>
        <v>0</v>
      </c>
      <c r="V195" s="1089">
        <f t="shared" si="460"/>
        <v>0</v>
      </c>
      <c r="W195" s="1089">
        <f t="shared" si="460"/>
        <v>0</v>
      </c>
      <c r="X195" s="44">
        <f t="shared" si="460"/>
        <v>0</v>
      </c>
      <c r="Y195" s="44">
        <f t="shared" si="460"/>
        <v>0</v>
      </c>
      <c r="Z195" s="1089">
        <f t="shared" si="460"/>
        <v>0</v>
      </c>
      <c r="AA195" s="1089">
        <f t="shared" si="460"/>
        <v>0</v>
      </c>
      <c r="AB195" s="1089">
        <f t="shared" si="460"/>
        <v>0</v>
      </c>
      <c r="AC195" s="1089">
        <f t="shared" si="460"/>
        <v>0</v>
      </c>
      <c r="AD195" s="1089">
        <f t="shared" si="460"/>
        <v>0</v>
      </c>
      <c r="AE195" s="44">
        <f t="shared" si="460"/>
        <v>0</v>
      </c>
      <c r="AF195" s="44">
        <f t="shared" si="460"/>
        <v>0</v>
      </c>
      <c r="AG195" s="1089">
        <f t="shared" si="460"/>
        <v>0</v>
      </c>
      <c r="AH195" s="1089">
        <f t="shared" si="460"/>
        <v>0</v>
      </c>
      <c r="AI195" s="1326">
        <f t="shared" si="460"/>
        <v>0</v>
      </c>
      <c r="AJ195" s="79"/>
      <c r="AK195" s="86"/>
      <c r="AL195" s="689"/>
      <c r="AM195" s="694">
        <f t="shared" si="380"/>
        <v>0</v>
      </c>
      <c r="AN195" s="31"/>
      <c r="AO195" s="622"/>
      <c r="AP195" s="23"/>
      <c r="AQ195" s="23"/>
      <c r="AR195" s="23"/>
      <c r="AS195" s="23"/>
      <c r="AT195" s="23"/>
      <c r="AU195" s="23"/>
      <c r="AV195" s="23"/>
    </row>
    <row r="196" spans="1:48" ht="25.15" hidden="1" customHeight="1">
      <c r="A196" s="103"/>
      <c r="B196" s="89"/>
      <c r="C196" s="80"/>
      <c r="D196" s="90" t="s">
        <v>104</v>
      </c>
      <c r="E196" s="1108"/>
      <c r="F196" s="1089"/>
      <c r="G196" s="44"/>
      <c r="H196" s="1089"/>
      <c r="I196" s="1089"/>
      <c r="J196" s="44"/>
      <c r="K196" s="44"/>
      <c r="L196" s="1089"/>
      <c r="M196" s="1089"/>
      <c r="N196" s="1089"/>
      <c r="O196" s="1089"/>
      <c r="P196" s="1089"/>
      <c r="Q196" s="44"/>
      <c r="R196" s="44"/>
      <c r="S196" s="1089"/>
      <c r="T196" s="1089"/>
      <c r="U196" s="1089"/>
      <c r="V196" s="1089"/>
      <c r="W196" s="1089"/>
      <c r="X196" s="44"/>
      <c r="Y196" s="44"/>
      <c r="Z196" s="1089"/>
      <c r="AA196" s="1089"/>
      <c r="AB196" s="1089"/>
      <c r="AC196" s="1089"/>
      <c r="AD196" s="1089"/>
      <c r="AE196" s="44"/>
      <c r="AF196" s="44"/>
      <c r="AG196" s="1089"/>
      <c r="AH196" s="1089"/>
      <c r="AI196" s="1326"/>
      <c r="AJ196" s="79"/>
      <c r="AK196" s="79"/>
      <c r="AL196" s="63"/>
      <c r="AM196" s="1068">
        <f t="shared" si="380"/>
        <v>0</v>
      </c>
      <c r="AN196" s="64"/>
      <c r="AO196" s="624"/>
      <c r="AP196" s="23"/>
      <c r="AQ196" s="23"/>
      <c r="AR196" s="23"/>
      <c r="AS196" s="23"/>
      <c r="AT196" s="23"/>
      <c r="AU196" s="23"/>
      <c r="AV196" s="23"/>
    </row>
    <row r="197" spans="1:48" ht="25.15" hidden="1" customHeight="1" thickBot="1">
      <c r="A197" s="106"/>
      <c r="B197" s="93"/>
      <c r="C197" s="94"/>
      <c r="D197" s="95" t="s">
        <v>111</v>
      </c>
      <c r="E197" s="1109">
        <f>IF(E184="O/H",E179,0+E179)</f>
        <v>0</v>
      </c>
      <c r="F197" s="1110">
        <f t="shared" ref="F197:AI197" si="461">IF(F184="O/H",F179,+E197+F179)</f>
        <v>0</v>
      </c>
      <c r="G197" s="1212">
        <f t="shared" si="461"/>
        <v>0</v>
      </c>
      <c r="H197" s="1110">
        <f t="shared" si="461"/>
        <v>0</v>
      </c>
      <c r="I197" s="1110">
        <f t="shared" si="461"/>
        <v>0</v>
      </c>
      <c r="J197" s="1212">
        <f t="shared" si="461"/>
        <v>0</v>
      </c>
      <c r="K197" s="1212">
        <f t="shared" si="461"/>
        <v>0</v>
      </c>
      <c r="L197" s="1110">
        <f t="shared" si="461"/>
        <v>0</v>
      </c>
      <c r="M197" s="1110">
        <f t="shared" si="461"/>
        <v>0</v>
      </c>
      <c r="N197" s="1110">
        <f t="shared" si="461"/>
        <v>0</v>
      </c>
      <c r="O197" s="1110">
        <f t="shared" si="461"/>
        <v>0</v>
      </c>
      <c r="P197" s="1110">
        <f t="shared" si="461"/>
        <v>0</v>
      </c>
      <c r="Q197" s="1212">
        <f t="shared" si="461"/>
        <v>0</v>
      </c>
      <c r="R197" s="1212">
        <f t="shared" si="461"/>
        <v>0</v>
      </c>
      <c r="S197" s="1110">
        <f t="shared" si="461"/>
        <v>0</v>
      </c>
      <c r="T197" s="1110">
        <f t="shared" si="461"/>
        <v>1080</v>
      </c>
      <c r="U197" s="1110">
        <f t="shared" si="461"/>
        <v>2200</v>
      </c>
      <c r="V197" s="1110">
        <f t="shared" si="461"/>
        <v>3300</v>
      </c>
      <c r="W197" s="1110">
        <f t="shared" si="461"/>
        <v>4760</v>
      </c>
      <c r="X197" s="1212">
        <f t="shared" si="461"/>
        <v>4760</v>
      </c>
      <c r="Y197" s="1212">
        <f t="shared" si="461"/>
        <v>4760</v>
      </c>
      <c r="Z197" s="1110">
        <f t="shared" si="461"/>
        <v>5500</v>
      </c>
      <c r="AA197" s="1110">
        <f t="shared" si="461"/>
        <v>6600</v>
      </c>
      <c r="AB197" s="1110">
        <f t="shared" si="461"/>
        <v>6600</v>
      </c>
      <c r="AC197" s="1110">
        <f t="shared" si="461"/>
        <v>6600</v>
      </c>
      <c r="AD197" s="1110">
        <f t="shared" si="461"/>
        <v>6600</v>
      </c>
      <c r="AE197" s="1212">
        <f t="shared" si="461"/>
        <v>6600</v>
      </c>
      <c r="AF197" s="1212">
        <f t="shared" si="461"/>
        <v>6600</v>
      </c>
      <c r="AG197" s="1110">
        <f t="shared" si="461"/>
        <v>6600</v>
      </c>
      <c r="AH197" s="1110">
        <f t="shared" si="461"/>
        <v>6600</v>
      </c>
      <c r="AI197" s="1340">
        <f t="shared" si="461"/>
        <v>6600</v>
      </c>
      <c r="AJ197" s="96"/>
      <c r="AK197" s="96"/>
      <c r="AL197" s="97"/>
      <c r="AM197" s="1071">
        <f t="shared" si="380"/>
        <v>0</v>
      </c>
      <c r="AN197" s="98"/>
      <c r="AO197" s="625"/>
      <c r="AP197" s="23"/>
      <c r="AQ197" s="23"/>
      <c r="AR197" s="23"/>
      <c r="AS197" s="23"/>
      <c r="AT197" s="23"/>
      <c r="AU197" s="23"/>
      <c r="AV197" s="23"/>
    </row>
    <row r="198" spans="1:48" ht="25.15" hidden="1" customHeight="1" thickTop="1">
      <c r="A198" s="99"/>
      <c r="B198" s="26" t="s">
        <v>133</v>
      </c>
      <c r="C198" s="27"/>
      <c r="D198" s="28" t="s">
        <v>82</v>
      </c>
      <c r="E198" s="1111"/>
      <c r="F198" s="1111"/>
      <c r="G198" s="1201"/>
      <c r="H198" s="1111"/>
      <c r="I198" s="1111"/>
      <c r="J198" s="1201"/>
      <c r="K198" s="1201"/>
      <c r="L198" s="1111"/>
      <c r="M198" s="1111"/>
      <c r="N198" s="1111"/>
      <c r="O198" s="1111"/>
      <c r="P198" s="1111"/>
      <c r="Q198" s="1201"/>
      <c r="R198" s="1201"/>
      <c r="S198" s="1111"/>
      <c r="T198" s="1111"/>
      <c r="U198" s="1111"/>
      <c r="V198" s="1111"/>
      <c r="W198" s="1111"/>
      <c r="X198" s="1201"/>
      <c r="Y198" s="1201"/>
      <c r="Z198" s="1111"/>
      <c r="AA198" s="1111"/>
      <c r="AB198" s="1111"/>
      <c r="AC198" s="1111"/>
      <c r="AD198" s="1111"/>
      <c r="AE198" s="1201"/>
      <c r="AF198" s="1201"/>
      <c r="AG198" s="1111"/>
      <c r="AH198" s="1111"/>
      <c r="AI198" s="1412"/>
      <c r="AJ198" s="100">
        <f>SUM(Table75[[#This Row],[June''2026]:[Column27]])</f>
        <v>0</v>
      </c>
      <c r="AK198" s="1078">
        <f t="shared" si="384"/>
        <v>0</v>
      </c>
      <c r="AL198" s="101">
        <f>+AJ198*AN198</f>
        <v>0</v>
      </c>
      <c r="AM198" s="1079">
        <f t="shared" si="380"/>
        <v>0</v>
      </c>
      <c r="AN198" s="102"/>
      <c r="AO198" s="622" t="e">
        <f>Table5[[#This Row],[Total]]*B202/1000</f>
        <v>#VALUE!</v>
      </c>
      <c r="AP198" s="32" t="s">
        <v>134</v>
      </c>
      <c r="AQ198" s="33" t="s">
        <v>84</v>
      </c>
      <c r="AR198" s="33" t="s">
        <v>85</v>
      </c>
      <c r="AS198" s="33" t="s">
        <v>86</v>
      </c>
      <c r="AT198" s="33" t="s">
        <v>87</v>
      </c>
      <c r="AU198" s="33" t="s">
        <v>88</v>
      </c>
      <c r="AV198" s="34" t="s">
        <v>68</v>
      </c>
    </row>
    <row r="199" spans="1:48" ht="25.15" hidden="1" customHeight="1">
      <c r="A199" s="103"/>
      <c r="B199" s="35"/>
      <c r="C199" s="36"/>
      <c r="D199" s="37" t="s">
        <v>90</v>
      </c>
      <c r="E199" s="1373">
        <f>IF(E198="",0,+ E198/E205)</f>
        <v>0</v>
      </c>
      <c r="F199" s="1096">
        <f t="shared" ref="F199:AI199" si="462">IF(F198="",0, E199+F198/F205)</f>
        <v>0</v>
      </c>
      <c r="G199" s="1207">
        <f t="shared" si="462"/>
        <v>0</v>
      </c>
      <c r="H199" s="1096">
        <f t="shared" si="462"/>
        <v>0</v>
      </c>
      <c r="I199" s="1096">
        <f t="shared" si="462"/>
        <v>0</v>
      </c>
      <c r="J199" s="1207">
        <f t="shared" si="462"/>
        <v>0</v>
      </c>
      <c r="K199" s="1207">
        <f t="shared" si="462"/>
        <v>0</v>
      </c>
      <c r="L199" s="1096">
        <f t="shared" si="462"/>
        <v>0</v>
      </c>
      <c r="M199" s="1096">
        <f t="shared" si="462"/>
        <v>0</v>
      </c>
      <c r="N199" s="1096">
        <f t="shared" si="462"/>
        <v>0</v>
      </c>
      <c r="O199" s="1096">
        <f t="shared" si="462"/>
        <v>0</v>
      </c>
      <c r="P199" s="1096">
        <f t="shared" si="462"/>
        <v>0</v>
      </c>
      <c r="Q199" s="1207">
        <f t="shared" si="462"/>
        <v>0</v>
      </c>
      <c r="R199" s="1207">
        <f t="shared" si="462"/>
        <v>0</v>
      </c>
      <c r="S199" s="1096">
        <f t="shared" si="462"/>
        <v>0</v>
      </c>
      <c r="T199" s="1096">
        <f t="shared" si="462"/>
        <v>0</v>
      </c>
      <c r="U199" s="1096">
        <f t="shared" si="462"/>
        <v>0</v>
      </c>
      <c r="V199" s="1096">
        <f t="shared" si="462"/>
        <v>0</v>
      </c>
      <c r="W199" s="1096">
        <f t="shared" si="462"/>
        <v>0</v>
      </c>
      <c r="X199" s="1207">
        <f t="shared" si="462"/>
        <v>0</v>
      </c>
      <c r="Y199" s="1207">
        <f t="shared" si="462"/>
        <v>0</v>
      </c>
      <c r="Z199" s="1096">
        <f t="shared" si="462"/>
        <v>0</v>
      </c>
      <c r="AA199" s="1096">
        <f t="shared" si="462"/>
        <v>0</v>
      </c>
      <c r="AB199" s="1096">
        <f t="shared" si="462"/>
        <v>0</v>
      </c>
      <c r="AC199" s="1096">
        <f t="shared" si="462"/>
        <v>0</v>
      </c>
      <c r="AD199" s="1096">
        <f t="shared" si="462"/>
        <v>0</v>
      </c>
      <c r="AE199" s="1207">
        <f t="shared" si="462"/>
        <v>0</v>
      </c>
      <c r="AF199" s="1207">
        <f t="shared" si="462"/>
        <v>0</v>
      </c>
      <c r="AG199" s="1096">
        <f t="shared" si="462"/>
        <v>0</v>
      </c>
      <c r="AH199" s="1096">
        <f t="shared" si="462"/>
        <v>0</v>
      </c>
      <c r="AI199" s="1324">
        <f t="shared" si="462"/>
        <v>0</v>
      </c>
      <c r="AJ199" s="38"/>
      <c r="AK199" s="29"/>
      <c r="AL199" s="30"/>
      <c r="AM199" s="694"/>
      <c r="AN199" s="31"/>
      <c r="AO199" s="630"/>
      <c r="AP199" s="39" t="s">
        <v>91</v>
      </c>
      <c r="AQ199" s="40">
        <f>SUM(E198:I198)</f>
        <v>0</v>
      </c>
      <c r="AR199" s="41">
        <f>SUM(J198:P198)</f>
        <v>0</v>
      </c>
      <c r="AS199" s="41">
        <f>SUM(Q198:W198)</f>
        <v>0</v>
      </c>
      <c r="AT199" s="41">
        <f>SUM(X198:AD198)</f>
        <v>0</v>
      </c>
      <c r="AU199" s="41">
        <f>SUM(AE198:AI198)</f>
        <v>0</v>
      </c>
      <c r="AV199" s="34">
        <f t="shared" ref="AV199:AV204" si="463">SUM(AQ199:AU199)</f>
        <v>0</v>
      </c>
    </row>
    <row r="200" spans="1:48" ht="25.15" hidden="1" customHeight="1">
      <c r="A200" s="103"/>
      <c r="B200" s="26" t="s">
        <v>92</v>
      </c>
      <c r="C200" s="42"/>
      <c r="D200" s="43" t="s">
        <v>93</v>
      </c>
      <c r="E200" s="1325"/>
      <c r="F200" s="1089"/>
      <c r="G200" s="44"/>
      <c r="H200" s="1089"/>
      <c r="I200" s="1089"/>
      <c r="J200" s="44"/>
      <c r="K200" s="44"/>
      <c r="L200" s="1089"/>
      <c r="M200" s="1089"/>
      <c r="N200" s="1089"/>
      <c r="O200" s="1089"/>
      <c r="P200" s="1089"/>
      <c r="Q200" s="44"/>
      <c r="R200" s="44"/>
      <c r="S200" s="1089"/>
      <c r="T200" s="1089"/>
      <c r="U200" s="1089"/>
      <c r="V200" s="1089"/>
      <c r="W200" s="1089"/>
      <c r="X200" s="44"/>
      <c r="Y200" s="44"/>
      <c r="Z200" s="1089"/>
      <c r="AA200" s="1089"/>
      <c r="AB200" s="1089"/>
      <c r="AC200" s="1089"/>
      <c r="AD200" s="1089"/>
      <c r="AE200" s="44"/>
      <c r="AF200" s="44"/>
      <c r="AG200" s="1089"/>
      <c r="AH200" s="1089"/>
      <c r="AI200" s="1326"/>
      <c r="AJ200" s="45">
        <f>SUM(E200:AI200)</f>
        <v>0</v>
      </c>
      <c r="AK200" s="45"/>
      <c r="AL200" s="46">
        <f>+AJ200*AN198</f>
        <v>0</v>
      </c>
      <c r="AM200" s="1066"/>
      <c r="AN200" s="31"/>
      <c r="AO200" s="632">
        <f>(AJ200+AJ202+AJ203+AJ204)*B202/1000</f>
        <v>0</v>
      </c>
      <c r="AP200" s="47" t="s">
        <v>94</v>
      </c>
      <c r="AQ200" s="48">
        <f>SUM(E200:I200)</f>
        <v>0</v>
      </c>
      <c r="AR200" s="49">
        <f>SUM(J200:P200)</f>
        <v>0</v>
      </c>
      <c r="AS200" s="49">
        <f>SUM(Q200:W200)</f>
        <v>0</v>
      </c>
      <c r="AT200" s="49">
        <f>SUM(X200:AD200)</f>
        <v>0</v>
      </c>
      <c r="AU200" s="49">
        <f>SUM(AE200:AI200)</f>
        <v>0</v>
      </c>
      <c r="AV200" s="50">
        <f t="shared" si="463"/>
        <v>0</v>
      </c>
    </row>
    <row r="201" spans="1:48" ht="25.15" hidden="1" customHeight="1">
      <c r="A201" s="103"/>
      <c r="B201" s="51"/>
      <c r="C201" s="52" t="s">
        <v>95</v>
      </c>
      <c r="D201" s="53" t="s">
        <v>96</v>
      </c>
      <c r="E201" s="1327">
        <f t="shared" ref="E201:AJ201" si="464">+E200-E198</f>
        <v>0</v>
      </c>
      <c r="F201" s="1097">
        <f t="shared" si="464"/>
        <v>0</v>
      </c>
      <c r="G201" s="1205">
        <f t="shared" si="464"/>
        <v>0</v>
      </c>
      <c r="H201" s="1097">
        <f t="shared" si="464"/>
        <v>0</v>
      </c>
      <c r="I201" s="1097">
        <f t="shared" si="464"/>
        <v>0</v>
      </c>
      <c r="J201" s="1205">
        <f t="shared" si="464"/>
        <v>0</v>
      </c>
      <c r="K201" s="1205">
        <f t="shared" si="464"/>
        <v>0</v>
      </c>
      <c r="L201" s="1097">
        <f t="shared" si="464"/>
        <v>0</v>
      </c>
      <c r="M201" s="1097">
        <f t="shared" si="464"/>
        <v>0</v>
      </c>
      <c r="N201" s="1097">
        <f t="shared" si="464"/>
        <v>0</v>
      </c>
      <c r="O201" s="1097">
        <f t="shared" si="464"/>
        <v>0</v>
      </c>
      <c r="P201" s="1097">
        <f t="shared" ref="P201:Q201" si="465">+P200-P198</f>
        <v>0</v>
      </c>
      <c r="Q201" s="1205">
        <f t="shared" si="465"/>
        <v>0</v>
      </c>
      <c r="R201" s="1205">
        <f t="shared" si="464"/>
        <v>0</v>
      </c>
      <c r="S201" s="1097">
        <f t="shared" si="464"/>
        <v>0</v>
      </c>
      <c r="T201" s="1097">
        <f t="shared" si="464"/>
        <v>0</v>
      </c>
      <c r="U201" s="1097">
        <f>+U200-U198</f>
        <v>0</v>
      </c>
      <c r="V201" s="1097">
        <f t="shared" si="464"/>
        <v>0</v>
      </c>
      <c r="W201" s="1097">
        <f t="shared" si="464"/>
        <v>0</v>
      </c>
      <c r="X201" s="1205">
        <f t="shared" si="464"/>
        <v>0</v>
      </c>
      <c r="Y201" s="1205">
        <f t="shared" si="464"/>
        <v>0</v>
      </c>
      <c r="Z201" s="1097">
        <f t="shared" si="464"/>
        <v>0</v>
      </c>
      <c r="AA201" s="1097">
        <f t="shared" si="464"/>
        <v>0</v>
      </c>
      <c r="AB201" s="1097">
        <f t="shared" ref="AB201" si="466">+AB200-AB198</f>
        <v>0</v>
      </c>
      <c r="AC201" s="1097">
        <f t="shared" si="464"/>
        <v>0</v>
      </c>
      <c r="AD201" s="1097">
        <f t="shared" si="464"/>
        <v>0</v>
      </c>
      <c r="AE201" s="1205">
        <f t="shared" si="464"/>
        <v>0</v>
      </c>
      <c r="AF201" s="1205">
        <f t="shared" si="464"/>
        <v>0</v>
      </c>
      <c r="AG201" s="1097">
        <f t="shared" si="464"/>
        <v>0</v>
      </c>
      <c r="AH201" s="1097">
        <f t="shared" si="464"/>
        <v>0</v>
      </c>
      <c r="AI201" s="1328">
        <f t="shared" si="464"/>
        <v>0</v>
      </c>
      <c r="AJ201" s="54">
        <f t="shared" si="464"/>
        <v>0</v>
      </c>
      <c r="AK201" s="54"/>
      <c r="AL201" s="55">
        <f>+AJ201*AN198</f>
        <v>0</v>
      </c>
      <c r="AM201" s="1067"/>
      <c r="AN201" s="31" t="s">
        <v>97</v>
      </c>
      <c r="AO201" s="622"/>
      <c r="AP201" s="39" t="s">
        <v>98</v>
      </c>
      <c r="AQ201" s="56">
        <f>AQ200-AQ199</f>
        <v>0</v>
      </c>
      <c r="AR201" s="70">
        <f>AR200-AR199</f>
        <v>0</v>
      </c>
      <c r="AS201" s="70">
        <f>AS200-AS199</f>
        <v>0</v>
      </c>
      <c r="AT201" s="70">
        <f>AT200-AT199</f>
        <v>0</v>
      </c>
      <c r="AU201" s="70">
        <f>AU200-AU199</f>
        <v>0</v>
      </c>
      <c r="AV201" s="57">
        <f t="shared" si="463"/>
        <v>0</v>
      </c>
    </row>
    <row r="202" spans="1:48" ht="25.15" hidden="1" customHeight="1">
      <c r="A202" s="58"/>
      <c r="B202" s="59"/>
      <c r="C202" s="60" t="s">
        <v>100</v>
      </c>
      <c r="D202" s="61" t="s">
        <v>101</v>
      </c>
      <c r="E202" s="1329"/>
      <c r="F202" s="1099"/>
      <c r="G202" s="1208"/>
      <c r="H202" s="1099"/>
      <c r="I202" s="1099"/>
      <c r="J202" s="1208"/>
      <c r="K202" s="1208"/>
      <c r="L202" s="1099"/>
      <c r="M202" s="1099"/>
      <c r="N202" s="1099"/>
      <c r="O202" s="1099"/>
      <c r="P202" s="1099"/>
      <c r="Q202" s="1208"/>
      <c r="R202" s="1213"/>
      <c r="S202" s="1112"/>
      <c r="T202" s="1099"/>
      <c r="U202" s="1099"/>
      <c r="V202" s="1099"/>
      <c r="W202" s="1099"/>
      <c r="X202" s="1208"/>
      <c r="Y202" s="1208"/>
      <c r="Z202" s="1099"/>
      <c r="AA202" s="1099"/>
      <c r="AB202" s="1099"/>
      <c r="AC202" s="1099"/>
      <c r="AD202" s="1099"/>
      <c r="AE202" s="1208"/>
      <c r="AF202" s="1208"/>
      <c r="AG202" s="1099"/>
      <c r="AH202" s="1099"/>
      <c r="AI202" s="1330"/>
      <c r="AJ202" s="62">
        <f>SUM(E202:AI202)</f>
        <v>0</v>
      </c>
      <c r="AK202" s="62"/>
      <c r="AL202" s="63">
        <f>+AJ202*AN198</f>
        <v>0</v>
      </c>
      <c r="AM202" s="1068"/>
      <c r="AN202" s="64" t="e">
        <f>+AJ202/AJ200*100</f>
        <v>#DIV/0!</v>
      </c>
      <c r="AO202" s="635" t="e">
        <f>AO200/AO198</f>
        <v>#VALUE!</v>
      </c>
      <c r="AP202" s="39" t="s">
        <v>102</v>
      </c>
      <c r="AQ202" s="56">
        <f>SUM(E202:I202)</f>
        <v>0</v>
      </c>
      <c r="AR202" s="70">
        <f>SUM(J202:P202)</f>
        <v>0</v>
      </c>
      <c r="AS202" s="70">
        <f>SUM(Q202:W202)</f>
        <v>0</v>
      </c>
      <c r="AT202" s="70">
        <f>SUM(X202:AD202)</f>
        <v>0</v>
      </c>
      <c r="AU202" s="70">
        <f>SUM(AE202:AI202)</f>
        <v>0</v>
      </c>
      <c r="AV202" s="57">
        <f t="shared" si="463"/>
        <v>0</v>
      </c>
    </row>
    <row r="203" spans="1:48" ht="25.15" hidden="1" customHeight="1">
      <c r="A203" s="58" t="s">
        <v>135</v>
      </c>
      <c r="B203" s="65"/>
      <c r="C203" s="66"/>
      <c r="D203" s="67" t="s">
        <v>103</v>
      </c>
      <c r="E203" s="1331"/>
      <c r="F203" s="1101"/>
      <c r="G203" s="1209"/>
      <c r="H203" s="1101"/>
      <c r="I203" s="1101"/>
      <c r="J203" s="1209"/>
      <c r="K203" s="1209"/>
      <c r="L203" s="1101"/>
      <c r="M203" s="1101"/>
      <c r="N203" s="1101"/>
      <c r="O203" s="1101"/>
      <c r="P203" s="1101"/>
      <c r="Q203" s="1209"/>
      <c r="R203" s="1214"/>
      <c r="S203" s="1114"/>
      <c r="T203" s="1101"/>
      <c r="U203" s="1101"/>
      <c r="V203" s="1101"/>
      <c r="W203" s="1101"/>
      <c r="X203" s="1209"/>
      <c r="Y203" s="1209"/>
      <c r="Z203" s="1101"/>
      <c r="AA203" s="1101"/>
      <c r="AB203" s="1101"/>
      <c r="AC203" s="1101"/>
      <c r="AD203" s="1101"/>
      <c r="AE203" s="1209"/>
      <c r="AF203" s="1209"/>
      <c r="AG203" s="1101"/>
      <c r="AH203" s="1101"/>
      <c r="AI203" s="1332"/>
      <c r="AJ203" s="68">
        <f>SUM(E203:AI203)</f>
        <v>0</v>
      </c>
      <c r="AK203" s="68"/>
      <c r="AL203" s="69">
        <f>+AJ203*AN198</f>
        <v>0</v>
      </c>
      <c r="AM203" s="1069"/>
      <c r="AN203" s="31"/>
      <c r="AO203" s="622"/>
      <c r="AP203" s="39" t="s">
        <v>19</v>
      </c>
      <c r="AQ203" s="56">
        <f>AQ202*AN198</f>
        <v>0</v>
      </c>
      <c r="AR203" s="56">
        <f>AR202*AN198</f>
        <v>0</v>
      </c>
      <c r="AS203" s="56">
        <f>AS202*AN198</f>
        <v>0</v>
      </c>
      <c r="AT203" s="56">
        <f>AT202*AN198</f>
        <v>0</v>
      </c>
      <c r="AU203" s="56">
        <f>AU202*AN198</f>
        <v>0</v>
      </c>
      <c r="AV203" s="57">
        <f t="shared" si="463"/>
        <v>0</v>
      </c>
    </row>
    <row r="204" spans="1:48" ht="25.15" hidden="1" customHeight="1">
      <c r="A204" s="103"/>
      <c r="B204" s="65"/>
      <c r="C204" s="72" t="s">
        <v>104</v>
      </c>
      <c r="D204" s="73" t="s">
        <v>105</v>
      </c>
      <c r="E204" s="1378"/>
      <c r="F204" s="1103"/>
      <c r="G204" s="1210"/>
      <c r="H204" s="1103"/>
      <c r="I204" s="1103"/>
      <c r="J204" s="1210"/>
      <c r="K204" s="1210"/>
      <c r="L204" s="1103"/>
      <c r="M204" s="1103"/>
      <c r="N204" s="1103"/>
      <c r="O204" s="1103"/>
      <c r="P204" s="1103"/>
      <c r="Q204" s="1210"/>
      <c r="R204" s="1215"/>
      <c r="S204" s="1116"/>
      <c r="T204" s="1103"/>
      <c r="U204" s="1103"/>
      <c r="V204" s="1103"/>
      <c r="W204" s="1103"/>
      <c r="X204" s="1210"/>
      <c r="Y204" s="1210"/>
      <c r="Z204" s="1103"/>
      <c r="AA204" s="1103"/>
      <c r="AB204" s="1103"/>
      <c r="AC204" s="1103"/>
      <c r="AD204" s="1103"/>
      <c r="AE204" s="1210"/>
      <c r="AF204" s="1210"/>
      <c r="AG204" s="1103"/>
      <c r="AH204" s="1103"/>
      <c r="AI204" s="1352"/>
      <c r="AJ204" s="74">
        <f>SUM(E204:AI204)</f>
        <v>0</v>
      </c>
      <c r="AK204" s="74"/>
      <c r="AL204" s="75">
        <f>+AJ204*AN198</f>
        <v>0</v>
      </c>
      <c r="AM204" s="1070"/>
      <c r="AN204" s="76"/>
      <c r="AO204" s="636"/>
      <c r="AP204" s="47" t="s">
        <v>106</v>
      </c>
      <c r="AQ204" s="48">
        <f>AQ200*AN198</f>
        <v>0</v>
      </c>
      <c r="AR204" s="48">
        <f>AR200*AN198</f>
        <v>0</v>
      </c>
      <c r="AS204" s="48">
        <f>AS200*AN198</f>
        <v>0</v>
      </c>
      <c r="AT204" s="48">
        <f>AT200*AN198</f>
        <v>0</v>
      </c>
      <c r="AU204" s="48">
        <f>AU200*AN198</f>
        <v>0</v>
      </c>
      <c r="AV204" s="50">
        <f t="shared" si="463"/>
        <v>0</v>
      </c>
    </row>
    <row r="205" spans="1:48" ht="25.15" hidden="1" customHeight="1">
      <c r="A205" s="103"/>
      <c r="B205" s="65"/>
      <c r="C205" s="77">
        <v>300000</v>
      </c>
      <c r="D205" s="78" t="s">
        <v>107</v>
      </c>
      <c r="E205" s="1327">
        <v>1</v>
      </c>
      <c r="F205" s="1097">
        <v>1</v>
      </c>
      <c r="G205" s="1205">
        <v>1</v>
      </c>
      <c r="H205" s="1097">
        <v>1</v>
      </c>
      <c r="I205" s="1097">
        <v>1</v>
      </c>
      <c r="J205" s="1205">
        <v>1</v>
      </c>
      <c r="K205" s="1205">
        <v>1</v>
      </c>
      <c r="L205" s="1097">
        <v>1</v>
      </c>
      <c r="M205" s="1097">
        <v>1</v>
      </c>
      <c r="N205" s="1097">
        <v>1</v>
      </c>
      <c r="O205" s="1097">
        <v>1</v>
      </c>
      <c r="P205" s="1097">
        <v>1</v>
      </c>
      <c r="Q205" s="1205">
        <v>1</v>
      </c>
      <c r="R205" s="1205">
        <v>1</v>
      </c>
      <c r="S205" s="1097">
        <v>1</v>
      </c>
      <c r="T205" s="1097">
        <v>1</v>
      </c>
      <c r="U205" s="1097">
        <v>1</v>
      </c>
      <c r="V205" s="1097">
        <v>1</v>
      </c>
      <c r="W205" s="1097">
        <v>1</v>
      </c>
      <c r="X205" s="1205">
        <v>1</v>
      </c>
      <c r="Y205" s="1205">
        <v>1</v>
      </c>
      <c r="Z205" s="1097">
        <v>1</v>
      </c>
      <c r="AA205" s="1097">
        <v>1</v>
      </c>
      <c r="AB205" s="1097">
        <v>1</v>
      </c>
      <c r="AC205" s="1097">
        <v>1</v>
      </c>
      <c r="AD205" s="1097">
        <v>1</v>
      </c>
      <c r="AE205" s="1205">
        <v>1</v>
      </c>
      <c r="AF205" s="1205">
        <v>1</v>
      </c>
      <c r="AG205" s="1097">
        <v>1</v>
      </c>
      <c r="AH205" s="1097">
        <v>1</v>
      </c>
      <c r="AI205" s="1328">
        <v>1</v>
      </c>
      <c r="AJ205" s="79"/>
      <c r="AK205" s="79"/>
      <c r="AL205" s="55"/>
      <c r="AM205" s="1067"/>
      <c r="AN205" s="31"/>
      <c r="AO205" s="622"/>
      <c r="AP205" s="23"/>
      <c r="AQ205" s="23"/>
      <c r="AR205" s="23"/>
      <c r="AS205" s="23"/>
      <c r="AT205" s="23"/>
      <c r="AU205" s="23"/>
      <c r="AV205" s="23"/>
    </row>
    <row r="206" spans="1:48" ht="25.15" hidden="1" customHeight="1">
      <c r="A206" s="103"/>
      <c r="B206" s="65"/>
      <c r="C206" s="80" t="s">
        <v>108</v>
      </c>
      <c r="D206" s="81" t="s">
        <v>109</v>
      </c>
      <c r="E206" s="1374">
        <f>SUM(E200+E202+E203+E204)/E205</f>
        <v>0</v>
      </c>
      <c r="F206" s="1104">
        <f>SUM(F200+F202+F203+F204)/F205</f>
        <v>0</v>
      </c>
      <c r="G206" s="1211">
        <f>SUM(G200+G202+G203+G204)/G205</f>
        <v>0</v>
      </c>
      <c r="H206" s="1104">
        <f t="shared" ref="H206:AH206" si="467">SUM(H200+H202+H203+H204)/H205</f>
        <v>0</v>
      </c>
      <c r="I206" s="1104">
        <f t="shared" si="467"/>
        <v>0</v>
      </c>
      <c r="J206" s="1211">
        <f t="shared" si="467"/>
        <v>0</v>
      </c>
      <c r="K206" s="1211">
        <f t="shared" si="467"/>
        <v>0</v>
      </c>
      <c r="L206" s="1104">
        <f t="shared" si="467"/>
        <v>0</v>
      </c>
      <c r="M206" s="1104">
        <f t="shared" si="467"/>
        <v>0</v>
      </c>
      <c r="N206" s="1104">
        <f t="shared" si="467"/>
        <v>0</v>
      </c>
      <c r="O206" s="1104">
        <f t="shared" si="467"/>
        <v>0</v>
      </c>
      <c r="P206" s="1104">
        <f t="shared" si="467"/>
        <v>0</v>
      </c>
      <c r="Q206" s="1211">
        <f t="shared" si="467"/>
        <v>0</v>
      </c>
      <c r="R206" s="1211">
        <f t="shared" si="467"/>
        <v>0</v>
      </c>
      <c r="S206" s="1104">
        <f t="shared" si="467"/>
        <v>0</v>
      </c>
      <c r="T206" s="1104">
        <f t="shared" si="467"/>
        <v>0</v>
      </c>
      <c r="U206" s="1104">
        <f t="shared" si="467"/>
        <v>0</v>
      </c>
      <c r="V206" s="1104">
        <f t="shared" si="467"/>
        <v>0</v>
      </c>
      <c r="W206" s="1104">
        <f t="shared" si="467"/>
        <v>0</v>
      </c>
      <c r="X206" s="1211">
        <f t="shared" si="467"/>
        <v>0</v>
      </c>
      <c r="Y206" s="1211">
        <f t="shared" si="467"/>
        <v>0</v>
      </c>
      <c r="Z206" s="1104">
        <f t="shared" si="467"/>
        <v>0</v>
      </c>
      <c r="AA206" s="1104">
        <f t="shared" si="467"/>
        <v>0</v>
      </c>
      <c r="AB206" s="1104">
        <f t="shared" si="467"/>
        <v>0</v>
      </c>
      <c r="AC206" s="1104">
        <f t="shared" si="467"/>
        <v>0</v>
      </c>
      <c r="AD206" s="1104">
        <f t="shared" si="467"/>
        <v>0</v>
      </c>
      <c r="AE206" s="1211">
        <f t="shared" si="467"/>
        <v>0</v>
      </c>
      <c r="AF206" s="1211">
        <f t="shared" si="467"/>
        <v>0</v>
      </c>
      <c r="AG206" s="1104">
        <f t="shared" si="467"/>
        <v>0</v>
      </c>
      <c r="AH206" s="1104">
        <f t="shared" si="467"/>
        <v>0</v>
      </c>
      <c r="AI206" s="1335">
        <f>SUM(AI200+AI202+AI203)/AI205</f>
        <v>0</v>
      </c>
      <c r="AJ206" s="104">
        <f>SUM(E206:AI206)</f>
        <v>0</v>
      </c>
      <c r="AK206" s="104"/>
      <c r="AL206" s="83"/>
      <c r="AM206" s="1068"/>
      <c r="AN206" s="31"/>
      <c r="AO206" s="622"/>
      <c r="AP206" s="23"/>
      <c r="AQ206" s="23"/>
      <c r="AR206" s="23"/>
      <c r="AS206" s="23"/>
      <c r="AT206" s="23"/>
      <c r="AU206" s="23"/>
      <c r="AV206" s="23"/>
    </row>
    <row r="207" spans="1:48" ht="25.15" hidden="1" customHeight="1">
      <c r="A207" s="103"/>
      <c r="B207" s="59"/>
      <c r="C207" s="84">
        <f>+C205*0.8</f>
        <v>240000</v>
      </c>
      <c r="D207" s="85" t="s">
        <v>110</v>
      </c>
      <c r="E207" s="1105"/>
      <c r="F207" s="1106"/>
      <c r="G207" s="1211"/>
      <c r="H207" s="1104"/>
      <c r="I207" s="1104"/>
      <c r="J207" s="1211"/>
      <c r="K207" s="1211"/>
      <c r="L207" s="1104"/>
      <c r="M207" s="1104"/>
      <c r="N207" s="1104"/>
      <c r="O207" s="1107"/>
      <c r="P207" s="1104"/>
      <c r="Q207" s="1211"/>
      <c r="R207" s="1211"/>
      <c r="S207" s="1104"/>
      <c r="T207" s="1104"/>
      <c r="U207" s="1104"/>
      <c r="V207" s="1104"/>
      <c r="W207" s="1104"/>
      <c r="X207" s="1211"/>
      <c r="Y207" s="1211"/>
      <c r="Z207" s="1104"/>
      <c r="AA207" s="1104"/>
      <c r="AB207" s="1104"/>
      <c r="AC207" s="1104"/>
      <c r="AD207" s="1104"/>
      <c r="AE207" s="1211"/>
      <c r="AF207" s="1211"/>
      <c r="AG207" s="1104"/>
      <c r="AH207" s="1104"/>
      <c r="AI207" s="1353"/>
      <c r="AJ207" s="86"/>
      <c r="AK207" s="86"/>
      <c r="AL207" s="690"/>
      <c r="AM207" s="694"/>
      <c r="AN207" s="31"/>
      <c r="AO207" s="622"/>
      <c r="AP207" s="23"/>
      <c r="AQ207" s="23"/>
      <c r="AR207" s="23"/>
      <c r="AS207" s="23"/>
      <c r="AT207" s="23"/>
      <c r="AU207" s="23"/>
      <c r="AV207" s="23"/>
    </row>
    <row r="208" spans="1:48" ht="25.15" hidden="1" customHeight="1">
      <c r="A208" s="103"/>
      <c r="B208" s="105"/>
      <c r="C208" s="77"/>
      <c r="D208" s="88" t="s">
        <v>111</v>
      </c>
      <c r="E208" s="1108">
        <f>IF(E207="O/H",E206,7550+E206)</f>
        <v>7550</v>
      </c>
      <c r="F208" s="1089">
        <f t="shared" ref="F208:AI208" si="468">IF(F207="O/H",F206,+E208+F206)</f>
        <v>7550</v>
      </c>
      <c r="G208" s="44">
        <f t="shared" si="468"/>
        <v>7550</v>
      </c>
      <c r="H208" s="1089">
        <f t="shared" si="468"/>
        <v>7550</v>
      </c>
      <c r="I208" s="1089">
        <f t="shared" si="468"/>
        <v>7550</v>
      </c>
      <c r="J208" s="44">
        <f t="shared" si="468"/>
        <v>7550</v>
      </c>
      <c r="K208" s="44">
        <f t="shared" si="468"/>
        <v>7550</v>
      </c>
      <c r="L208" s="1089">
        <f t="shared" si="468"/>
        <v>7550</v>
      </c>
      <c r="M208" s="1089">
        <f t="shared" si="468"/>
        <v>7550</v>
      </c>
      <c r="N208" s="1089">
        <f t="shared" si="468"/>
        <v>7550</v>
      </c>
      <c r="O208" s="1089">
        <f t="shared" si="468"/>
        <v>7550</v>
      </c>
      <c r="P208" s="1089">
        <f t="shared" si="468"/>
        <v>7550</v>
      </c>
      <c r="Q208" s="44">
        <f t="shared" si="468"/>
        <v>7550</v>
      </c>
      <c r="R208" s="44">
        <f t="shared" si="468"/>
        <v>7550</v>
      </c>
      <c r="S208" s="1089">
        <f t="shared" si="468"/>
        <v>7550</v>
      </c>
      <c r="T208" s="1089">
        <f t="shared" si="468"/>
        <v>7550</v>
      </c>
      <c r="U208" s="1089">
        <f t="shared" si="468"/>
        <v>7550</v>
      </c>
      <c r="V208" s="1089">
        <f t="shared" si="468"/>
        <v>7550</v>
      </c>
      <c r="W208" s="1089">
        <f t="shared" si="468"/>
        <v>7550</v>
      </c>
      <c r="X208" s="44">
        <f t="shared" si="468"/>
        <v>7550</v>
      </c>
      <c r="Y208" s="44">
        <f t="shared" si="468"/>
        <v>7550</v>
      </c>
      <c r="Z208" s="1089">
        <f t="shared" si="468"/>
        <v>7550</v>
      </c>
      <c r="AA208" s="1089">
        <f t="shared" si="468"/>
        <v>7550</v>
      </c>
      <c r="AB208" s="1089">
        <f t="shared" si="468"/>
        <v>7550</v>
      </c>
      <c r="AC208" s="1089">
        <f t="shared" si="468"/>
        <v>7550</v>
      </c>
      <c r="AD208" s="1089">
        <f t="shared" si="468"/>
        <v>7550</v>
      </c>
      <c r="AE208" s="44">
        <f t="shared" si="468"/>
        <v>7550</v>
      </c>
      <c r="AF208" s="44">
        <f t="shared" si="468"/>
        <v>7550</v>
      </c>
      <c r="AG208" s="1089">
        <f t="shared" si="468"/>
        <v>7550</v>
      </c>
      <c r="AH208" s="1089">
        <f t="shared" si="468"/>
        <v>7550</v>
      </c>
      <c r="AI208" s="1326">
        <f t="shared" si="468"/>
        <v>7550</v>
      </c>
      <c r="AJ208" s="79"/>
      <c r="AK208" s="86"/>
      <c r="AL208" s="689"/>
      <c r="AM208" s="694"/>
      <c r="AN208" s="31"/>
      <c r="AO208" s="622"/>
      <c r="AP208" s="23"/>
      <c r="AQ208" s="23"/>
      <c r="AR208" s="23"/>
      <c r="AS208" s="23"/>
      <c r="AT208" s="23"/>
      <c r="AU208" s="23"/>
      <c r="AV208" s="23"/>
    </row>
    <row r="209" spans="1:48" s="23" customFormat="1" ht="20.65" hidden="1" customHeight="1">
      <c r="A209" s="274"/>
      <c r="B209" s="312"/>
      <c r="C209" s="308"/>
      <c r="D209" s="795" t="s">
        <v>112</v>
      </c>
      <c r="E209" s="1117" t="b">
        <f>IF(AND(ISNUMBER(E200)),166717+E206)</f>
        <v>0</v>
      </c>
      <c r="F209" s="1118" t="str">
        <f>IF(AND(ISNUMBER(F200)),E209+F206,"")</f>
        <v/>
      </c>
      <c r="G209" s="1216" t="str">
        <f t="shared" ref="G209" si="469">IF(AND(ISNUMBER(G200)),F209+G206,"")</f>
        <v/>
      </c>
      <c r="H209" s="1118" t="str">
        <f t="shared" ref="H209" si="470">IF(AND(ISNUMBER(H200)),G209+H206,"")</f>
        <v/>
      </c>
      <c r="I209" s="1118" t="str">
        <f>IF(AND(ISNUMBER(I200)),H209+I206,"")</f>
        <v/>
      </c>
      <c r="J209" s="1216" t="str">
        <f>IF(AND(ISNUMBER(J200)),I209+J206,"")</f>
        <v/>
      </c>
      <c r="K209" s="1216" t="str">
        <f>IF(AND(ISNUMBER(K200)),J209+K206,"")</f>
        <v/>
      </c>
      <c r="L209" s="1118" t="str">
        <f t="shared" ref="L209" si="471">IF(AND(ISNUMBER(L200)),K209+L206,"")</f>
        <v/>
      </c>
      <c r="M209" s="1118" t="str">
        <f t="shared" ref="M209" si="472">IF(AND(ISNUMBER(M200)),L209+M206,"")</f>
        <v/>
      </c>
      <c r="N209" s="1118" t="str">
        <f t="shared" ref="N209" si="473">IF(AND(ISNUMBER(N200)),M209+N206,"")</f>
        <v/>
      </c>
      <c r="O209" s="1118" t="str">
        <f t="shared" ref="O209" si="474">IF(AND(ISNUMBER(O200)),N209+O206,"")</f>
        <v/>
      </c>
      <c r="P209" s="1118" t="str">
        <f t="shared" ref="P209" si="475">IF(AND(ISNUMBER(P200)),O209+P206,"")</f>
        <v/>
      </c>
      <c r="Q209" s="1216" t="str">
        <f t="shared" ref="Q209" si="476">IF(AND(ISNUMBER(Q200)),P209+Q206,"")</f>
        <v/>
      </c>
      <c r="R209" s="1216" t="str">
        <f t="shared" ref="R209" si="477">IF(AND(ISNUMBER(R200)),Q209+R206,"")</f>
        <v/>
      </c>
      <c r="S209" s="1118" t="str">
        <f t="shared" ref="S209" si="478">IF(AND(ISNUMBER(S200)),R209+S206,"")</f>
        <v/>
      </c>
      <c r="T209" s="1118" t="str">
        <f t="shared" ref="T209" si="479">IF(AND(ISNUMBER(T200)),S209+T206,"")</f>
        <v/>
      </c>
      <c r="U209" s="1118" t="str">
        <f t="shared" ref="U209" si="480">IF(AND(ISNUMBER(U200)),T209+U206,"")</f>
        <v/>
      </c>
      <c r="V209" s="1118" t="str">
        <f t="shared" ref="V209" si="481">IF(AND(ISNUMBER(V200)),U209+V206,"")</f>
        <v/>
      </c>
      <c r="W209" s="1118" t="str">
        <f t="shared" ref="W209" si="482">IF(AND(ISNUMBER(W200)),V209+W206,"")</f>
        <v/>
      </c>
      <c r="X209" s="1216" t="str">
        <f t="shared" ref="X209" si="483">IF(AND(ISNUMBER(X200)),W209+X206,"")</f>
        <v/>
      </c>
      <c r="Y209" s="1216" t="str">
        <f t="shared" ref="Y209" si="484">IF(AND(ISNUMBER(Y200)),X209+Y206,"")</f>
        <v/>
      </c>
      <c r="Z209" s="1118" t="str">
        <f t="shared" ref="Z209" si="485">IF(AND(ISNUMBER(Z200)),Y209+Z206,"")</f>
        <v/>
      </c>
      <c r="AA209" s="1118" t="str">
        <f t="shared" ref="AA209" si="486">IF(AND(ISNUMBER(AA200)),Z209+AA206,"")</f>
        <v/>
      </c>
      <c r="AB209" s="1118" t="str">
        <f t="shared" ref="AB209" si="487">IF(AND(ISNUMBER(AB200)),AA209+AB206,"")</f>
        <v/>
      </c>
      <c r="AC209" s="1118" t="str">
        <f t="shared" ref="AC209" si="488">IF(AND(ISNUMBER(AC200)),AB209+AC206,"")</f>
        <v/>
      </c>
      <c r="AD209" s="1118" t="str">
        <f t="shared" ref="AD209" si="489">IF(AND(ISNUMBER(AD200)),AC209+AD206,"")</f>
        <v/>
      </c>
      <c r="AE209" s="1216" t="str">
        <f t="shared" ref="AE209" si="490">IF(AND(ISNUMBER(AE200)),AD209+AE206,"")</f>
        <v/>
      </c>
      <c r="AF209" s="1216" t="str">
        <f t="shared" ref="AF209" si="491">IF(AND(ISNUMBER(AF200)),AE209+AF206,"")</f>
        <v/>
      </c>
      <c r="AG209" s="1118" t="str">
        <f t="shared" ref="AG209" si="492">IF(AND(ISNUMBER(AG200)),AF209+AG206,"")</f>
        <v/>
      </c>
      <c r="AH209" s="1118" t="str">
        <f t="shared" ref="AH209" si="493">IF(AND(ISNUMBER(AH200)),AG209+AH206,"")</f>
        <v/>
      </c>
      <c r="AI209" s="1118" t="str">
        <f t="shared" ref="AI209" si="494">IF(AND(ISNUMBER(AI200)),AH209+AI206,"")</f>
        <v/>
      </c>
      <c r="AJ209" s="793"/>
      <c r="AK209" s="793"/>
      <c r="AL209" s="909"/>
      <c r="AM209" s="890"/>
      <c r="AN209" s="76"/>
      <c r="AO209" s="624"/>
      <c r="AP209" s="285"/>
      <c r="AQ209" s="285"/>
      <c r="AR209" s="285"/>
      <c r="AS209" s="285"/>
      <c r="AT209" s="286"/>
      <c r="AU209" s="285"/>
      <c r="AV209" s="287"/>
    </row>
    <row r="210" spans="1:48" ht="25.15" hidden="1" customHeight="1">
      <c r="A210" s="103"/>
      <c r="B210" s="89"/>
      <c r="C210" s="80"/>
      <c r="D210" s="90" t="s">
        <v>104</v>
      </c>
      <c r="E210" s="1108"/>
      <c r="F210" s="1089"/>
      <c r="G210" s="44"/>
      <c r="H210" s="1089"/>
      <c r="I210" s="1089"/>
      <c r="J210" s="44"/>
      <c r="K210" s="44"/>
      <c r="L210" s="1089"/>
      <c r="M210" s="1089"/>
      <c r="N210" s="1089"/>
      <c r="O210" s="1089"/>
      <c r="P210" s="1089"/>
      <c r="Q210" s="44"/>
      <c r="R210" s="44"/>
      <c r="S210" s="1089"/>
      <c r="T210" s="1089"/>
      <c r="U210" s="1089"/>
      <c r="V210" s="1089"/>
      <c r="W210" s="1089"/>
      <c r="X210" s="44"/>
      <c r="Y210" s="44"/>
      <c r="Z210" s="1089"/>
      <c r="AA210" s="1089"/>
      <c r="AB210" s="1089"/>
      <c r="AC210" s="1089"/>
      <c r="AD210" s="1089"/>
      <c r="AE210" s="44"/>
      <c r="AF210" s="44"/>
      <c r="AG210" s="1089"/>
      <c r="AH210" s="1089"/>
      <c r="AI210" s="1326"/>
      <c r="AJ210" s="79"/>
      <c r="AK210" s="79"/>
      <c r="AL210" s="63"/>
      <c r="AM210" s="1068"/>
      <c r="AN210" s="64"/>
      <c r="AO210" s="624"/>
      <c r="AP210" s="23"/>
      <c r="AQ210" s="23"/>
      <c r="AR210" s="23"/>
      <c r="AS210" s="23"/>
      <c r="AT210" s="23"/>
      <c r="AU210" s="23"/>
      <c r="AV210" s="23"/>
    </row>
    <row r="211" spans="1:48" ht="25.15" hidden="1" customHeight="1" thickBot="1">
      <c r="A211" s="106"/>
      <c r="B211" s="93"/>
      <c r="C211" s="94"/>
      <c r="D211" s="95" t="s">
        <v>111</v>
      </c>
      <c r="E211" s="1109">
        <f>IF(E210="O/H",E206,7550+E206)</f>
        <v>7550</v>
      </c>
      <c r="F211" s="1110">
        <f t="shared" ref="F211:T211" si="495">IF(F210="O/H",F206,+E211+F206)</f>
        <v>7550</v>
      </c>
      <c r="G211" s="1212">
        <f t="shared" si="495"/>
        <v>7550</v>
      </c>
      <c r="H211" s="1110">
        <f t="shared" si="495"/>
        <v>7550</v>
      </c>
      <c r="I211" s="1110">
        <f t="shared" si="495"/>
        <v>7550</v>
      </c>
      <c r="J211" s="1212">
        <f t="shared" si="495"/>
        <v>7550</v>
      </c>
      <c r="K211" s="1212">
        <f t="shared" si="495"/>
        <v>7550</v>
      </c>
      <c r="L211" s="1110">
        <f t="shared" si="495"/>
        <v>7550</v>
      </c>
      <c r="M211" s="1110">
        <f t="shared" si="495"/>
        <v>7550</v>
      </c>
      <c r="N211" s="1110">
        <f t="shared" si="495"/>
        <v>7550</v>
      </c>
      <c r="O211" s="1110">
        <f t="shared" si="495"/>
        <v>7550</v>
      </c>
      <c r="P211" s="1110">
        <f t="shared" si="495"/>
        <v>7550</v>
      </c>
      <c r="Q211" s="1212">
        <f t="shared" si="495"/>
        <v>7550</v>
      </c>
      <c r="R211" s="1212">
        <f t="shared" si="495"/>
        <v>7550</v>
      </c>
      <c r="S211" s="1110">
        <f t="shared" si="495"/>
        <v>7550</v>
      </c>
      <c r="T211" s="1110">
        <f t="shared" si="495"/>
        <v>7550</v>
      </c>
      <c r="U211" s="1110">
        <f>IF(U210="O/H",U206,+T211+U206)</f>
        <v>7550</v>
      </c>
      <c r="V211" s="1110">
        <f t="shared" ref="V211:AI211" si="496">IF(V210="O/H",V206,+U211+V206)</f>
        <v>7550</v>
      </c>
      <c r="W211" s="1110">
        <f t="shared" si="496"/>
        <v>7550</v>
      </c>
      <c r="X211" s="1212">
        <f t="shared" si="496"/>
        <v>7550</v>
      </c>
      <c r="Y211" s="1212">
        <f t="shared" si="496"/>
        <v>7550</v>
      </c>
      <c r="Z211" s="1110">
        <f t="shared" si="496"/>
        <v>7550</v>
      </c>
      <c r="AA211" s="1110">
        <f t="shared" si="496"/>
        <v>7550</v>
      </c>
      <c r="AB211" s="1110">
        <f t="shared" si="496"/>
        <v>7550</v>
      </c>
      <c r="AC211" s="1110">
        <f t="shared" si="496"/>
        <v>7550</v>
      </c>
      <c r="AD211" s="1110">
        <f t="shared" si="496"/>
        <v>7550</v>
      </c>
      <c r="AE211" s="1212">
        <f t="shared" si="496"/>
        <v>7550</v>
      </c>
      <c r="AF211" s="1212">
        <f t="shared" si="496"/>
        <v>7550</v>
      </c>
      <c r="AG211" s="1110">
        <f t="shared" si="496"/>
        <v>7550</v>
      </c>
      <c r="AH211" s="1110">
        <f t="shared" si="496"/>
        <v>7550</v>
      </c>
      <c r="AI211" s="1340">
        <f t="shared" si="496"/>
        <v>7550</v>
      </c>
      <c r="AJ211" s="96"/>
      <c r="AK211" s="96"/>
      <c r="AL211" s="97"/>
      <c r="AM211" s="1071"/>
      <c r="AN211" s="98"/>
      <c r="AO211" s="625"/>
      <c r="AP211" s="23"/>
      <c r="AQ211" s="23"/>
      <c r="AR211" s="23"/>
      <c r="AS211" s="23"/>
      <c r="AT211" s="23"/>
      <c r="AU211" s="23"/>
      <c r="AV211" s="23"/>
    </row>
    <row r="212" spans="1:48" ht="25.15" hidden="1" customHeight="1" thickTop="1">
      <c r="A212" s="99"/>
      <c r="B212" s="26" t="s">
        <v>136</v>
      </c>
      <c r="C212" s="27"/>
      <c r="D212" s="28" t="s">
        <v>82</v>
      </c>
      <c r="E212" s="1111"/>
      <c r="F212" s="1111"/>
      <c r="G212" s="1201"/>
      <c r="H212" s="1111"/>
      <c r="I212" s="1111"/>
      <c r="J212" s="1201"/>
      <c r="K212" s="1201"/>
      <c r="L212" s="1111"/>
      <c r="M212" s="1111"/>
      <c r="N212" s="1111"/>
      <c r="O212" s="1111"/>
      <c r="P212" s="1111"/>
      <c r="Q212" s="1201"/>
      <c r="R212" s="1201"/>
      <c r="S212" s="1111"/>
      <c r="T212" s="1111"/>
      <c r="U212" s="1111"/>
      <c r="V212" s="1111"/>
      <c r="W212" s="1111"/>
      <c r="X212" s="1201"/>
      <c r="Y212" s="1201"/>
      <c r="Z212" s="1111"/>
      <c r="AA212" s="1111"/>
      <c r="AB212" s="1111"/>
      <c r="AC212" s="1111"/>
      <c r="AD212" s="1111"/>
      <c r="AE212" s="1201"/>
      <c r="AF212" s="1201"/>
      <c r="AG212" s="1111"/>
      <c r="AH212" s="1111"/>
      <c r="AI212" s="1412"/>
      <c r="AJ212" s="100">
        <f>SUM(Table75[[#This Row],[June''2026]:[Column27]])</f>
        <v>0</v>
      </c>
      <c r="AK212" s="1078">
        <f t="shared" ref="AK212:AK253" si="497">AJ214</f>
        <v>0</v>
      </c>
      <c r="AL212" s="101">
        <f>+AJ212*AN212</f>
        <v>0</v>
      </c>
      <c r="AM212" s="1079">
        <f t="shared" ref="AM212:AM253" si="498">AL214</f>
        <v>0</v>
      </c>
      <c r="AN212" s="102"/>
      <c r="AO212" s="622" t="e">
        <f>Table5[[#This Row],[Total]]*B216/1000</f>
        <v>#VALUE!</v>
      </c>
      <c r="AP212" s="32" t="s">
        <v>134</v>
      </c>
      <c r="AQ212" s="33" t="s">
        <v>84</v>
      </c>
      <c r="AR212" s="33" t="s">
        <v>85</v>
      </c>
      <c r="AS212" s="33" t="s">
        <v>86</v>
      </c>
      <c r="AT212" s="33" t="s">
        <v>87</v>
      </c>
      <c r="AU212" s="33" t="s">
        <v>88</v>
      </c>
      <c r="AV212" s="34" t="s">
        <v>68</v>
      </c>
    </row>
    <row r="213" spans="1:48" ht="25.15" hidden="1" customHeight="1">
      <c r="A213" s="103"/>
      <c r="B213" s="35" t="s">
        <v>137</v>
      </c>
      <c r="C213" s="36"/>
      <c r="D213" s="37" t="s">
        <v>90</v>
      </c>
      <c r="E213" s="1373">
        <f>IF(E212="",0,+ E212/E219)</f>
        <v>0</v>
      </c>
      <c r="F213" s="1096">
        <f t="shared" ref="F213:AI213" si="499">IF(F212="",0, E213+F212/F219)</f>
        <v>0</v>
      </c>
      <c r="G213" s="1207">
        <f t="shared" si="499"/>
        <v>0</v>
      </c>
      <c r="H213" s="1096">
        <f t="shared" si="499"/>
        <v>0</v>
      </c>
      <c r="I213" s="1096">
        <f t="shared" si="499"/>
        <v>0</v>
      </c>
      <c r="J213" s="1207">
        <f t="shared" si="499"/>
        <v>0</v>
      </c>
      <c r="K213" s="1207">
        <f t="shared" si="499"/>
        <v>0</v>
      </c>
      <c r="L213" s="1096">
        <f t="shared" si="499"/>
        <v>0</v>
      </c>
      <c r="M213" s="1096">
        <f t="shared" si="499"/>
        <v>0</v>
      </c>
      <c r="N213" s="1096">
        <f t="shared" si="499"/>
        <v>0</v>
      </c>
      <c r="O213" s="1096">
        <f t="shared" si="499"/>
        <v>0</v>
      </c>
      <c r="P213" s="1096">
        <f t="shared" si="499"/>
        <v>0</v>
      </c>
      <c r="Q213" s="1207">
        <f t="shared" si="499"/>
        <v>0</v>
      </c>
      <c r="R213" s="1207">
        <f t="shared" si="499"/>
        <v>0</v>
      </c>
      <c r="S213" s="1096">
        <f t="shared" si="499"/>
        <v>0</v>
      </c>
      <c r="T213" s="1096">
        <f t="shared" si="499"/>
        <v>0</v>
      </c>
      <c r="U213" s="1096">
        <f t="shared" si="499"/>
        <v>0</v>
      </c>
      <c r="V213" s="1096">
        <f t="shared" si="499"/>
        <v>0</v>
      </c>
      <c r="W213" s="1096">
        <f t="shared" si="499"/>
        <v>0</v>
      </c>
      <c r="X213" s="1207">
        <f t="shared" si="499"/>
        <v>0</v>
      </c>
      <c r="Y213" s="1207">
        <f t="shared" si="499"/>
        <v>0</v>
      </c>
      <c r="Z213" s="1096">
        <f t="shared" si="499"/>
        <v>0</v>
      </c>
      <c r="AA213" s="1096">
        <f t="shared" si="499"/>
        <v>0</v>
      </c>
      <c r="AB213" s="1096">
        <f t="shared" si="499"/>
        <v>0</v>
      </c>
      <c r="AC213" s="1096">
        <f t="shared" si="499"/>
        <v>0</v>
      </c>
      <c r="AD213" s="1096">
        <f t="shared" si="499"/>
        <v>0</v>
      </c>
      <c r="AE213" s="1207">
        <f t="shared" si="499"/>
        <v>0</v>
      </c>
      <c r="AF213" s="1207">
        <f t="shared" si="499"/>
        <v>0</v>
      </c>
      <c r="AG213" s="1096">
        <f t="shared" si="499"/>
        <v>0</v>
      </c>
      <c r="AH213" s="1096">
        <f t="shared" si="499"/>
        <v>0</v>
      </c>
      <c r="AI213" s="1324">
        <f t="shared" si="499"/>
        <v>0</v>
      </c>
      <c r="AJ213" s="38"/>
      <c r="AK213" s="29"/>
      <c r="AL213" s="30"/>
      <c r="AM213" s="694"/>
      <c r="AN213" s="31"/>
      <c r="AO213" s="630"/>
      <c r="AP213" s="39" t="s">
        <v>91</v>
      </c>
      <c r="AQ213" s="40">
        <f>SUM(E212:I212)</f>
        <v>0</v>
      </c>
      <c r="AR213" s="41">
        <f>SUM(J212:P212)</f>
        <v>0</v>
      </c>
      <c r="AS213" s="41">
        <f>SUM(Q212:W212)</f>
        <v>0</v>
      </c>
      <c r="AT213" s="41">
        <f>SUM(X212:AD212)</f>
        <v>0</v>
      </c>
      <c r="AU213" s="41">
        <f>SUM(AE212:AI212)</f>
        <v>0</v>
      </c>
      <c r="AV213" s="34">
        <f t="shared" ref="AV213:AV218" si="500">SUM(AQ213:AU213)</f>
        <v>0</v>
      </c>
    </row>
    <row r="214" spans="1:48" ht="25.15" hidden="1" customHeight="1">
      <c r="A214" s="103"/>
      <c r="B214" s="26" t="s">
        <v>92</v>
      </c>
      <c r="C214" s="42"/>
      <c r="D214" s="43" t="s">
        <v>93</v>
      </c>
      <c r="E214" s="1325"/>
      <c r="F214" s="1089"/>
      <c r="G214" s="44"/>
      <c r="H214" s="1089"/>
      <c r="I214" s="1089"/>
      <c r="J214" s="44"/>
      <c r="K214" s="44"/>
      <c r="L214" s="1089"/>
      <c r="M214" s="1089"/>
      <c r="N214" s="1089"/>
      <c r="O214" s="1089"/>
      <c r="P214" s="1089"/>
      <c r="Q214" s="44"/>
      <c r="R214" s="44"/>
      <c r="S214" s="1089"/>
      <c r="T214" s="1089"/>
      <c r="U214" s="1089"/>
      <c r="V214" s="1089"/>
      <c r="W214" s="1089"/>
      <c r="X214" s="44"/>
      <c r="Y214" s="44"/>
      <c r="Z214" s="1089"/>
      <c r="AA214" s="1089"/>
      <c r="AB214" s="1089"/>
      <c r="AC214" s="1089"/>
      <c r="AD214" s="1089"/>
      <c r="AE214" s="44"/>
      <c r="AF214" s="44"/>
      <c r="AG214" s="1089"/>
      <c r="AH214" s="1089"/>
      <c r="AI214" s="1326"/>
      <c r="AJ214" s="45">
        <f>SUM(E214:AI214)</f>
        <v>0</v>
      </c>
      <c r="AK214" s="45"/>
      <c r="AL214" s="46">
        <f>+AJ214*AN212</f>
        <v>0</v>
      </c>
      <c r="AM214" s="1066"/>
      <c r="AN214" s="31"/>
      <c r="AO214" s="632">
        <f>(AJ214+AJ216+AJ217+AJ218)*B216/1000</f>
        <v>0</v>
      </c>
      <c r="AP214" s="47" t="s">
        <v>94</v>
      </c>
      <c r="AQ214" s="48">
        <f>SUM(E214:I214)</f>
        <v>0</v>
      </c>
      <c r="AR214" s="49">
        <f>SUM(J214:P214)</f>
        <v>0</v>
      </c>
      <c r="AS214" s="49">
        <f>SUM(Q214:W214)</f>
        <v>0</v>
      </c>
      <c r="AT214" s="49">
        <f>SUM(X214:AD214)</f>
        <v>0</v>
      </c>
      <c r="AU214" s="49">
        <f>SUM(AE214:AI214)</f>
        <v>0</v>
      </c>
      <c r="AV214" s="50">
        <f t="shared" si="500"/>
        <v>0</v>
      </c>
    </row>
    <row r="215" spans="1:48" ht="25.15" hidden="1" customHeight="1">
      <c r="A215" s="103"/>
      <c r="B215" s="51"/>
      <c r="C215" s="52" t="s">
        <v>95</v>
      </c>
      <c r="D215" s="53" t="s">
        <v>96</v>
      </c>
      <c r="E215" s="1327">
        <f t="shared" ref="E215:AJ215" si="501">+E214-E212</f>
        <v>0</v>
      </c>
      <c r="F215" s="1097">
        <f t="shared" si="501"/>
        <v>0</v>
      </c>
      <c r="G215" s="1205">
        <f t="shared" si="501"/>
        <v>0</v>
      </c>
      <c r="H215" s="1097">
        <f t="shared" si="501"/>
        <v>0</v>
      </c>
      <c r="I215" s="1097">
        <f t="shared" si="501"/>
        <v>0</v>
      </c>
      <c r="J215" s="1205">
        <f t="shared" si="501"/>
        <v>0</v>
      </c>
      <c r="K215" s="1205">
        <f t="shared" si="501"/>
        <v>0</v>
      </c>
      <c r="L215" s="1097">
        <f t="shared" si="501"/>
        <v>0</v>
      </c>
      <c r="M215" s="1097">
        <f t="shared" si="501"/>
        <v>0</v>
      </c>
      <c r="N215" s="1097">
        <f t="shared" si="501"/>
        <v>0</v>
      </c>
      <c r="O215" s="1097">
        <f t="shared" si="501"/>
        <v>0</v>
      </c>
      <c r="P215" s="1097">
        <f t="shared" si="501"/>
        <v>0</v>
      </c>
      <c r="Q215" s="1205">
        <f t="shared" ref="Q215" si="502">+Q214-Q212</f>
        <v>0</v>
      </c>
      <c r="R215" s="1205">
        <f t="shared" si="501"/>
        <v>0</v>
      </c>
      <c r="S215" s="1097">
        <f t="shared" si="501"/>
        <v>0</v>
      </c>
      <c r="T215" s="1097">
        <f t="shared" si="501"/>
        <v>0</v>
      </c>
      <c r="U215" s="1097">
        <f>+U214-U212</f>
        <v>0</v>
      </c>
      <c r="V215" s="1097">
        <f t="shared" si="501"/>
        <v>0</v>
      </c>
      <c r="W215" s="1097">
        <f t="shared" si="501"/>
        <v>0</v>
      </c>
      <c r="X215" s="1205">
        <f t="shared" si="501"/>
        <v>0</v>
      </c>
      <c r="Y215" s="1205">
        <f t="shared" si="501"/>
        <v>0</v>
      </c>
      <c r="Z215" s="1097">
        <f t="shared" si="501"/>
        <v>0</v>
      </c>
      <c r="AA215" s="1097">
        <f t="shared" si="501"/>
        <v>0</v>
      </c>
      <c r="AB215" s="1097">
        <f t="shared" si="501"/>
        <v>0</v>
      </c>
      <c r="AC215" s="1097">
        <f t="shared" si="501"/>
        <v>0</v>
      </c>
      <c r="AD215" s="1097">
        <f t="shared" si="501"/>
        <v>0</v>
      </c>
      <c r="AE215" s="1205">
        <f t="shared" si="501"/>
        <v>0</v>
      </c>
      <c r="AF215" s="1205">
        <f t="shared" si="501"/>
        <v>0</v>
      </c>
      <c r="AG215" s="1097">
        <f t="shared" si="501"/>
        <v>0</v>
      </c>
      <c r="AH215" s="1097">
        <f t="shared" si="501"/>
        <v>0</v>
      </c>
      <c r="AI215" s="1328">
        <f t="shared" si="501"/>
        <v>0</v>
      </c>
      <c r="AJ215" s="54">
        <f t="shared" si="501"/>
        <v>0</v>
      </c>
      <c r="AK215" s="54"/>
      <c r="AL215" s="55">
        <f>+AJ215*AN212</f>
        <v>0</v>
      </c>
      <c r="AM215" s="1067"/>
      <c r="AN215" s="31" t="s">
        <v>97</v>
      </c>
      <c r="AO215" s="622"/>
      <c r="AP215" s="39" t="s">
        <v>98</v>
      </c>
      <c r="AQ215" s="56">
        <f>AQ214-AQ213</f>
        <v>0</v>
      </c>
      <c r="AR215" s="70">
        <f>AR214-AR213</f>
        <v>0</v>
      </c>
      <c r="AS215" s="70">
        <f>AS214-AS213</f>
        <v>0</v>
      </c>
      <c r="AT215" s="70">
        <f>AT214-AT213</f>
        <v>0</v>
      </c>
      <c r="AU215" s="70">
        <f>AU214-AU213</f>
        <v>0</v>
      </c>
      <c r="AV215" s="57">
        <f t="shared" si="500"/>
        <v>0</v>
      </c>
    </row>
    <row r="216" spans="1:48" ht="25.15" hidden="1" customHeight="1">
      <c r="A216" s="58"/>
      <c r="B216" s="59"/>
      <c r="C216" s="60" t="s">
        <v>100</v>
      </c>
      <c r="D216" s="61" t="s">
        <v>101</v>
      </c>
      <c r="E216" s="1329"/>
      <c r="F216" s="1099"/>
      <c r="G216" s="1208"/>
      <c r="H216" s="1099"/>
      <c r="I216" s="1099"/>
      <c r="J216" s="1208"/>
      <c r="K216" s="1208"/>
      <c r="L216" s="1099"/>
      <c r="M216" s="1099"/>
      <c r="N216" s="1099"/>
      <c r="O216" s="1099"/>
      <c r="P216" s="1099"/>
      <c r="Q216" s="1208"/>
      <c r="R216" s="1213"/>
      <c r="S216" s="1112"/>
      <c r="T216" s="1099"/>
      <c r="U216" s="1099"/>
      <c r="V216" s="1099"/>
      <c r="W216" s="1099"/>
      <c r="X216" s="1208"/>
      <c r="Y216" s="1208"/>
      <c r="Z216" s="1099"/>
      <c r="AA216" s="1099"/>
      <c r="AB216" s="1099"/>
      <c r="AC216" s="1099"/>
      <c r="AD216" s="1099"/>
      <c r="AE216" s="1208"/>
      <c r="AF216" s="1208"/>
      <c r="AG216" s="1099"/>
      <c r="AH216" s="1099"/>
      <c r="AI216" s="1330"/>
      <c r="AJ216" s="62">
        <f>SUM(E216:AI216)</f>
        <v>0</v>
      </c>
      <c r="AK216" s="62"/>
      <c r="AL216" s="63">
        <f>+AJ216*AN212</f>
        <v>0</v>
      </c>
      <c r="AM216" s="1068"/>
      <c r="AN216" s="64" t="e">
        <f>+AJ216/AJ214*100</f>
        <v>#DIV/0!</v>
      </c>
      <c r="AO216" s="635" t="e">
        <f>AO214/AO212</f>
        <v>#VALUE!</v>
      </c>
      <c r="AP216" s="39" t="s">
        <v>102</v>
      </c>
      <c r="AQ216" s="56">
        <f>SUM(E216:I216)</f>
        <v>0</v>
      </c>
      <c r="AR216" s="70">
        <f>SUM(J216:P216)</f>
        <v>0</v>
      </c>
      <c r="AS216" s="70">
        <f>SUM(Q216:W216)</f>
        <v>0</v>
      </c>
      <c r="AT216" s="70">
        <f>SUM(X216:AD216)</f>
        <v>0</v>
      </c>
      <c r="AU216" s="70">
        <f>SUM(AE216:AI216)</f>
        <v>0</v>
      </c>
      <c r="AV216" s="57">
        <f t="shared" si="500"/>
        <v>0</v>
      </c>
    </row>
    <row r="217" spans="1:48" ht="25.15" hidden="1" customHeight="1">
      <c r="A217" s="58" t="s">
        <v>135</v>
      </c>
      <c r="B217" s="65"/>
      <c r="C217" s="66"/>
      <c r="D217" s="67" t="s">
        <v>103</v>
      </c>
      <c r="E217" s="1331"/>
      <c r="F217" s="1101"/>
      <c r="G217" s="1209"/>
      <c r="H217" s="1101"/>
      <c r="I217" s="1101"/>
      <c r="J217" s="1209"/>
      <c r="K217" s="1209"/>
      <c r="L217" s="1101"/>
      <c r="M217" s="1101"/>
      <c r="N217" s="1101"/>
      <c r="O217" s="1101"/>
      <c r="P217" s="1101"/>
      <c r="Q217" s="1209"/>
      <c r="R217" s="1214"/>
      <c r="S217" s="1114"/>
      <c r="T217" s="1101"/>
      <c r="U217" s="1101"/>
      <c r="V217" s="1101"/>
      <c r="W217" s="1101"/>
      <c r="X217" s="1209"/>
      <c r="Y217" s="1209"/>
      <c r="Z217" s="1101"/>
      <c r="AA217" s="1101"/>
      <c r="AB217" s="1101"/>
      <c r="AC217" s="1101"/>
      <c r="AD217" s="1101"/>
      <c r="AE217" s="1209"/>
      <c r="AF217" s="1209"/>
      <c r="AG217" s="1101"/>
      <c r="AH217" s="1101"/>
      <c r="AI217" s="1332"/>
      <c r="AJ217" s="68">
        <f>SUM(E217:AI217)</f>
        <v>0</v>
      </c>
      <c r="AK217" s="68"/>
      <c r="AL217" s="69">
        <f>+AJ217*AN212</f>
        <v>0</v>
      </c>
      <c r="AM217" s="1069"/>
      <c r="AN217" s="31"/>
      <c r="AO217" s="622"/>
      <c r="AP217" s="39" t="s">
        <v>19</v>
      </c>
      <c r="AQ217" s="56">
        <f>AQ216*AN212</f>
        <v>0</v>
      </c>
      <c r="AR217" s="56">
        <f>AR216*AN212</f>
        <v>0</v>
      </c>
      <c r="AS217" s="56">
        <f>AS216*AN212</f>
        <v>0</v>
      </c>
      <c r="AT217" s="56">
        <f>AT216*AN212</f>
        <v>0</v>
      </c>
      <c r="AU217" s="56">
        <f>AU216*AN212</f>
        <v>0</v>
      </c>
      <c r="AV217" s="57">
        <f t="shared" si="500"/>
        <v>0</v>
      </c>
    </row>
    <row r="218" spans="1:48" ht="25.15" hidden="1" customHeight="1">
      <c r="A218" s="103"/>
      <c r="B218" s="65"/>
      <c r="C218" s="72" t="s">
        <v>104</v>
      </c>
      <c r="D218" s="73" t="s">
        <v>105</v>
      </c>
      <c r="E218" s="1378"/>
      <c r="F218" s="1103"/>
      <c r="G218" s="1210"/>
      <c r="H218" s="1103"/>
      <c r="I218" s="1103"/>
      <c r="J218" s="1210"/>
      <c r="K218" s="1210"/>
      <c r="L218" s="1103"/>
      <c r="M218" s="1103"/>
      <c r="N218" s="1103"/>
      <c r="O218" s="1103"/>
      <c r="P218" s="1103"/>
      <c r="Q218" s="1210"/>
      <c r="R218" s="1215"/>
      <c r="S218" s="1116"/>
      <c r="T218" s="1103"/>
      <c r="U218" s="1103"/>
      <c r="V218" s="1103"/>
      <c r="W218" s="1103"/>
      <c r="X218" s="1210"/>
      <c r="Y218" s="1210"/>
      <c r="Z218" s="1103"/>
      <c r="AA218" s="1103"/>
      <c r="AB218" s="1103"/>
      <c r="AC218" s="1103"/>
      <c r="AD218" s="1103"/>
      <c r="AE218" s="1210"/>
      <c r="AF218" s="1210"/>
      <c r="AG218" s="1103"/>
      <c r="AH218" s="1103"/>
      <c r="AI218" s="1352"/>
      <c r="AJ218" s="74">
        <f>SUM(E218:AI218)</f>
        <v>0</v>
      </c>
      <c r="AK218" s="74"/>
      <c r="AL218" s="75">
        <f>+AJ218*AN212</f>
        <v>0</v>
      </c>
      <c r="AM218" s="1070"/>
      <c r="AN218" s="76"/>
      <c r="AO218" s="636"/>
      <c r="AP218" s="47" t="s">
        <v>106</v>
      </c>
      <c r="AQ218" s="48">
        <f>AQ214*AN212</f>
        <v>0</v>
      </c>
      <c r="AR218" s="48">
        <f>AR214*AN212</f>
        <v>0</v>
      </c>
      <c r="AS218" s="48">
        <f>AS214*AN212</f>
        <v>0</v>
      </c>
      <c r="AT218" s="48">
        <f>AT214*AN212</f>
        <v>0</v>
      </c>
      <c r="AU218" s="48">
        <f>AU214*AN212</f>
        <v>0</v>
      </c>
      <c r="AV218" s="50">
        <f t="shared" si="500"/>
        <v>0</v>
      </c>
    </row>
    <row r="219" spans="1:48" ht="25.15" hidden="1" customHeight="1">
      <c r="A219" s="103"/>
      <c r="B219" s="65"/>
      <c r="C219" s="77">
        <v>300000</v>
      </c>
      <c r="D219" s="78" t="s">
        <v>107</v>
      </c>
      <c r="E219" s="1327">
        <v>1</v>
      </c>
      <c r="F219" s="1097">
        <v>1</v>
      </c>
      <c r="G219" s="1205">
        <v>1</v>
      </c>
      <c r="H219" s="1097">
        <v>1</v>
      </c>
      <c r="I219" s="1097">
        <v>1</v>
      </c>
      <c r="J219" s="1205">
        <v>1</v>
      </c>
      <c r="K219" s="1205">
        <v>1</v>
      </c>
      <c r="L219" s="1097">
        <v>1</v>
      </c>
      <c r="M219" s="1097">
        <v>1</v>
      </c>
      <c r="N219" s="1097">
        <v>1</v>
      </c>
      <c r="O219" s="1097">
        <v>1</v>
      </c>
      <c r="P219" s="1097">
        <v>1</v>
      </c>
      <c r="Q219" s="1205">
        <v>1</v>
      </c>
      <c r="R219" s="1205">
        <v>1</v>
      </c>
      <c r="S219" s="1097">
        <v>1</v>
      </c>
      <c r="T219" s="1097">
        <v>1</v>
      </c>
      <c r="U219" s="1097">
        <v>1</v>
      </c>
      <c r="V219" s="1097">
        <v>1</v>
      </c>
      <c r="W219" s="1097">
        <v>1</v>
      </c>
      <c r="X219" s="1205">
        <v>1</v>
      </c>
      <c r="Y219" s="1205">
        <v>1</v>
      </c>
      <c r="Z219" s="1097">
        <v>1</v>
      </c>
      <c r="AA219" s="1097">
        <v>1</v>
      </c>
      <c r="AB219" s="1097">
        <v>1</v>
      </c>
      <c r="AC219" s="1097">
        <v>1</v>
      </c>
      <c r="AD219" s="1097">
        <v>1</v>
      </c>
      <c r="AE219" s="1205">
        <v>1</v>
      </c>
      <c r="AF219" s="1205">
        <v>1</v>
      </c>
      <c r="AG219" s="1097">
        <v>1</v>
      </c>
      <c r="AH219" s="1097">
        <v>1</v>
      </c>
      <c r="AI219" s="1328">
        <v>1</v>
      </c>
      <c r="AJ219" s="79"/>
      <c r="AK219" s="79"/>
      <c r="AL219" s="55"/>
      <c r="AM219" s="1067"/>
      <c r="AN219" s="31"/>
      <c r="AO219" s="622"/>
      <c r="AP219" s="23"/>
      <c r="AQ219" s="23"/>
      <c r="AR219" s="23"/>
      <c r="AS219" s="23"/>
      <c r="AT219" s="23"/>
      <c r="AU219" s="23"/>
      <c r="AV219" s="23"/>
    </row>
    <row r="220" spans="1:48" ht="25.15" hidden="1" customHeight="1">
      <c r="A220" s="103"/>
      <c r="B220" s="65"/>
      <c r="C220" s="80" t="s">
        <v>108</v>
      </c>
      <c r="D220" s="81" t="s">
        <v>109</v>
      </c>
      <c r="E220" s="1374">
        <f>SUM(E214+E216+E217+E218)/E219</f>
        <v>0</v>
      </c>
      <c r="F220" s="1104">
        <f>SUM(F214+F216+F217+F218)/F219</f>
        <v>0</v>
      </c>
      <c r="G220" s="1211">
        <f>SUM(G214+G216+G217+G218)/G219</f>
        <v>0</v>
      </c>
      <c r="H220" s="1104">
        <f t="shared" ref="H220:AH220" si="503">SUM(H214+H216+H217+H218)/H219</f>
        <v>0</v>
      </c>
      <c r="I220" s="1104">
        <f t="shared" si="503"/>
        <v>0</v>
      </c>
      <c r="J220" s="1211">
        <f t="shared" si="503"/>
        <v>0</v>
      </c>
      <c r="K220" s="1211">
        <f t="shared" si="503"/>
        <v>0</v>
      </c>
      <c r="L220" s="1104">
        <f t="shared" si="503"/>
        <v>0</v>
      </c>
      <c r="M220" s="1104">
        <f t="shared" si="503"/>
        <v>0</v>
      </c>
      <c r="N220" s="1104">
        <f t="shared" si="503"/>
        <v>0</v>
      </c>
      <c r="O220" s="1104">
        <f t="shared" si="503"/>
        <v>0</v>
      </c>
      <c r="P220" s="1104">
        <f t="shared" si="503"/>
        <v>0</v>
      </c>
      <c r="Q220" s="1211">
        <f t="shared" si="503"/>
        <v>0</v>
      </c>
      <c r="R220" s="1211">
        <f t="shared" si="503"/>
        <v>0</v>
      </c>
      <c r="S220" s="1104">
        <f t="shared" si="503"/>
        <v>0</v>
      </c>
      <c r="T220" s="1104">
        <f t="shared" si="503"/>
        <v>0</v>
      </c>
      <c r="U220" s="1104">
        <f t="shared" si="503"/>
        <v>0</v>
      </c>
      <c r="V220" s="1104">
        <f t="shared" si="503"/>
        <v>0</v>
      </c>
      <c r="W220" s="1104">
        <f t="shared" si="503"/>
        <v>0</v>
      </c>
      <c r="X220" s="1211">
        <f t="shared" si="503"/>
        <v>0</v>
      </c>
      <c r="Y220" s="1211">
        <f t="shared" si="503"/>
        <v>0</v>
      </c>
      <c r="Z220" s="1104">
        <f t="shared" si="503"/>
        <v>0</v>
      </c>
      <c r="AA220" s="1104">
        <f t="shared" si="503"/>
        <v>0</v>
      </c>
      <c r="AB220" s="1104">
        <f t="shared" si="503"/>
        <v>0</v>
      </c>
      <c r="AC220" s="1104">
        <f t="shared" si="503"/>
        <v>0</v>
      </c>
      <c r="AD220" s="1104">
        <f t="shared" si="503"/>
        <v>0</v>
      </c>
      <c r="AE220" s="1211">
        <f t="shared" si="503"/>
        <v>0</v>
      </c>
      <c r="AF220" s="1211">
        <f t="shared" si="503"/>
        <v>0</v>
      </c>
      <c r="AG220" s="1104">
        <f t="shared" si="503"/>
        <v>0</v>
      </c>
      <c r="AH220" s="1104">
        <f t="shared" si="503"/>
        <v>0</v>
      </c>
      <c r="AI220" s="1335">
        <f>SUM(AI214+AI216+AI217)/AI219</f>
        <v>0</v>
      </c>
      <c r="AJ220" s="104">
        <f>SUM(E220:AI220)</f>
        <v>0</v>
      </c>
      <c r="AK220" s="104"/>
      <c r="AL220" s="83"/>
      <c r="AM220" s="1068"/>
      <c r="AN220" s="31"/>
      <c r="AO220" s="622"/>
      <c r="AP220" s="23"/>
      <c r="AQ220" s="23"/>
      <c r="AR220" s="23"/>
      <c r="AS220" s="23"/>
      <c r="AT220" s="23"/>
      <c r="AU220" s="23"/>
      <c r="AV220" s="23"/>
    </row>
    <row r="221" spans="1:48" ht="25.15" hidden="1" customHeight="1">
      <c r="A221" s="103"/>
      <c r="B221" s="59"/>
      <c r="C221" s="84">
        <f>+C219*0.8</f>
        <v>240000</v>
      </c>
      <c r="D221" s="85" t="s">
        <v>110</v>
      </c>
      <c r="E221" s="1105"/>
      <c r="F221" s="1106"/>
      <c r="G221" s="1211"/>
      <c r="H221" s="1104"/>
      <c r="I221" s="1104"/>
      <c r="J221" s="1211"/>
      <c r="K221" s="1211"/>
      <c r="L221" s="1104"/>
      <c r="M221" s="1104"/>
      <c r="N221" s="1104"/>
      <c r="O221" s="1107"/>
      <c r="P221" s="1104"/>
      <c r="Q221" s="1211"/>
      <c r="R221" s="1211"/>
      <c r="S221" s="1104"/>
      <c r="T221" s="1104"/>
      <c r="U221" s="1104"/>
      <c r="V221" s="1104"/>
      <c r="W221" s="1104"/>
      <c r="X221" s="1211"/>
      <c r="Y221" s="1211"/>
      <c r="Z221" s="1104"/>
      <c r="AA221" s="1104"/>
      <c r="AB221" s="1104"/>
      <c r="AC221" s="1104"/>
      <c r="AD221" s="1104"/>
      <c r="AE221" s="1211"/>
      <c r="AF221" s="1211"/>
      <c r="AG221" s="1104"/>
      <c r="AH221" s="1104"/>
      <c r="AI221" s="1353"/>
      <c r="AJ221" s="86"/>
      <c r="AK221" s="86"/>
      <c r="AL221" s="690"/>
      <c r="AM221" s="694"/>
      <c r="AN221" s="31"/>
      <c r="AO221" s="622"/>
      <c r="AP221" s="23"/>
      <c r="AQ221" s="23"/>
      <c r="AR221" s="23"/>
      <c r="AS221" s="23"/>
      <c r="AT221" s="23"/>
      <c r="AU221" s="23"/>
      <c r="AV221" s="23"/>
    </row>
    <row r="222" spans="1:48" ht="25.15" hidden="1" customHeight="1">
      <c r="A222" s="103"/>
      <c r="B222" s="105"/>
      <c r="C222" s="77"/>
      <c r="D222" s="88" t="s">
        <v>111</v>
      </c>
      <c r="E222" s="1108">
        <f>IF(E221="O/H",E220,5000+E220)</f>
        <v>5000</v>
      </c>
      <c r="F222" s="1089">
        <f t="shared" ref="F222:AI222" si="504">IF(F221="O/H",F220,+E222+F220)</f>
        <v>5000</v>
      </c>
      <c r="G222" s="44">
        <f t="shared" si="504"/>
        <v>5000</v>
      </c>
      <c r="H222" s="1089">
        <f t="shared" si="504"/>
        <v>5000</v>
      </c>
      <c r="I222" s="1089">
        <f t="shared" si="504"/>
        <v>5000</v>
      </c>
      <c r="J222" s="44">
        <f t="shared" si="504"/>
        <v>5000</v>
      </c>
      <c r="K222" s="44">
        <f t="shared" si="504"/>
        <v>5000</v>
      </c>
      <c r="L222" s="1089">
        <f t="shared" si="504"/>
        <v>5000</v>
      </c>
      <c r="M222" s="1089">
        <f t="shared" si="504"/>
        <v>5000</v>
      </c>
      <c r="N222" s="1089">
        <f t="shared" si="504"/>
        <v>5000</v>
      </c>
      <c r="O222" s="1089">
        <f t="shared" si="504"/>
        <v>5000</v>
      </c>
      <c r="P222" s="1089">
        <f t="shared" si="504"/>
        <v>5000</v>
      </c>
      <c r="Q222" s="44">
        <f t="shared" si="504"/>
        <v>5000</v>
      </c>
      <c r="R222" s="44">
        <f t="shared" si="504"/>
        <v>5000</v>
      </c>
      <c r="S222" s="1089">
        <f t="shared" si="504"/>
        <v>5000</v>
      </c>
      <c r="T222" s="1089">
        <f t="shared" si="504"/>
        <v>5000</v>
      </c>
      <c r="U222" s="1089">
        <f t="shared" si="504"/>
        <v>5000</v>
      </c>
      <c r="V222" s="1089">
        <f t="shared" si="504"/>
        <v>5000</v>
      </c>
      <c r="W222" s="1089">
        <f t="shared" si="504"/>
        <v>5000</v>
      </c>
      <c r="X222" s="44">
        <f t="shared" si="504"/>
        <v>5000</v>
      </c>
      <c r="Y222" s="44">
        <f t="shared" si="504"/>
        <v>5000</v>
      </c>
      <c r="Z222" s="1089">
        <f t="shared" si="504"/>
        <v>5000</v>
      </c>
      <c r="AA222" s="1089">
        <f t="shared" si="504"/>
        <v>5000</v>
      </c>
      <c r="AB222" s="1089">
        <f t="shared" si="504"/>
        <v>5000</v>
      </c>
      <c r="AC222" s="1089">
        <f t="shared" si="504"/>
        <v>5000</v>
      </c>
      <c r="AD222" s="1089">
        <f t="shared" si="504"/>
        <v>5000</v>
      </c>
      <c r="AE222" s="44">
        <f t="shared" si="504"/>
        <v>5000</v>
      </c>
      <c r="AF222" s="44">
        <f t="shared" si="504"/>
        <v>5000</v>
      </c>
      <c r="AG222" s="1089">
        <f t="shared" si="504"/>
        <v>5000</v>
      </c>
      <c r="AH222" s="1089">
        <f t="shared" si="504"/>
        <v>5000</v>
      </c>
      <c r="AI222" s="1326">
        <f t="shared" si="504"/>
        <v>5000</v>
      </c>
      <c r="AJ222" s="79"/>
      <c r="AK222" s="86"/>
      <c r="AL222" s="689"/>
      <c r="AM222" s="694"/>
      <c r="AN222" s="31"/>
      <c r="AO222" s="622"/>
      <c r="AP222" s="23"/>
      <c r="AQ222" s="23"/>
      <c r="AR222" s="23"/>
      <c r="AS222" s="23"/>
      <c r="AT222" s="23"/>
      <c r="AU222" s="23"/>
      <c r="AV222" s="23"/>
    </row>
    <row r="223" spans="1:48" ht="25.15" hidden="1" customHeight="1">
      <c r="A223" s="103"/>
      <c r="B223" s="89"/>
      <c r="C223" s="80"/>
      <c r="D223" s="90" t="s">
        <v>104</v>
      </c>
      <c r="E223" s="1108"/>
      <c r="F223" s="1089"/>
      <c r="G223" s="44"/>
      <c r="H223" s="1089"/>
      <c r="I223" s="1089"/>
      <c r="J223" s="44"/>
      <c r="K223" s="44"/>
      <c r="L223" s="1089"/>
      <c r="M223" s="1089"/>
      <c r="N223" s="1089"/>
      <c r="O223" s="1089"/>
      <c r="P223" s="1089"/>
      <c r="Q223" s="44"/>
      <c r="R223" s="44"/>
      <c r="S223" s="1089"/>
      <c r="T223" s="1089"/>
      <c r="U223" s="1089"/>
      <c r="V223" s="1089"/>
      <c r="W223" s="1089"/>
      <c r="X223" s="44"/>
      <c r="Y223" s="44"/>
      <c r="Z223" s="1089"/>
      <c r="AA223" s="1089"/>
      <c r="AB223" s="1089"/>
      <c r="AC223" s="1089"/>
      <c r="AD223" s="1089"/>
      <c r="AE223" s="44"/>
      <c r="AF223" s="44"/>
      <c r="AG223" s="1089"/>
      <c r="AH223" s="1089"/>
      <c r="AI223" s="1326"/>
      <c r="AJ223" s="79"/>
      <c r="AK223" s="79"/>
      <c r="AL223" s="63"/>
      <c r="AM223" s="1068"/>
      <c r="AN223" s="64"/>
      <c r="AO223" s="624"/>
      <c r="AP223" s="23"/>
      <c r="AQ223" s="23"/>
      <c r="AR223" s="23"/>
      <c r="AS223" s="23"/>
      <c r="AT223" s="23"/>
      <c r="AU223" s="23"/>
      <c r="AV223" s="23"/>
    </row>
    <row r="224" spans="1:48" ht="25.15" hidden="1" customHeight="1" thickBot="1">
      <c r="A224" s="106"/>
      <c r="B224" s="93"/>
      <c r="C224" s="94"/>
      <c r="D224" s="95" t="s">
        <v>111</v>
      </c>
      <c r="E224" s="1109">
        <f>IF(E211="O/H",E206,7550+E206)</f>
        <v>7550</v>
      </c>
      <c r="F224" s="1110">
        <f t="shared" ref="F224:AI224" si="505">IF(F211="O/H",F206,+E224+F206)</f>
        <v>7550</v>
      </c>
      <c r="G224" s="1212">
        <f t="shared" si="505"/>
        <v>7550</v>
      </c>
      <c r="H224" s="1110">
        <f t="shared" si="505"/>
        <v>7550</v>
      </c>
      <c r="I224" s="1110">
        <f t="shared" si="505"/>
        <v>7550</v>
      </c>
      <c r="J224" s="1212">
        <f t="shared" si="505"/>
        <v>7550</v>
      </c>
      <c r="K224" s="1212">
        <f t="shared" si="505"/>
        <v>7550</v>
      </c>
      <c r="L224" s="1110">
        <f t="shared" si="505"/>
        <v>7550</v>
      </c>
      <c r="M224" s="1110">
        <f t="shared" si="505"/>
        <v>7550</v>
      </c>
      <c r="N224" s="1110">
        <f t="shared" si="505"/>
        <v>7550</v>
      </c>
      <c r="O224" s="1110">
        <f t="shared" si="505"/>
        <v>7550</v>
      </c>
      <c r="P224" s="1110">
        <f t="shared" si="505"/>
        <v>7550</v>
      </c>
      <c r="Q224" s="1212">
        <f t="shared" si="505"/>
        <v>7550</v>
      </c>
      <c r="R224" s="1212">
        <f t="shared" si="505"/>
        <v>7550</v>
      </c>
      <c r="S224" s="1110">
        <f t="shared" si="505"/>
        <v>7550</v>
      </c>
      <c r="T224" s="1110">
        <f t="shared" si="505"/>
        <v>7550</v>
      </c>
      <c r="U224" s="1110">
        <f t="shared" si="505"/>
        <v>7550</v>
      </c>
      <c r="V224" s="1110">
        <f t="shared" si="505"/>
        <v>7550</v>
      </c>
      <c r="W224" s="1110">
        <f t="shared" si="505"/>
        <v>7550</v>
      </c>
      <c r="X224" s="1212">
        <f t="shared" si="505"/>
        <v>7550</v>
      </c>
      <c r="Y224" s="1212">
        <f t="shared" si="505"/>
        <v>7550</v>
      </c>
      <c r="Z224" s="1110">
        <f t="shared" si="505"/>
        <v>7550</v>
      </c>
      <c r="AA224" s="1110">
        <f t="shared" si="505"/>
        <v>7550</v>
      </c>
      <c r="AB224" s="1110">
        <f t="shared" si="505"/>
        <v>7550</v>
      </c>
      <c r="AC224" s="1110">
        <f t="shared" si="505"/>
        <v>7550</v>
      </c>
      <c r="AD224" s="1110">
        <f t="shared" si="505"/>
        <v>7550</v>
      </c>
      <c r="AE224" s="1212">
        <f t="shared" si="505"/>
        <v>7550</v>
      </c>
      <c r="AF224" s="1212">
        <f t="shared" si="505"/>
        <v>7550</v>
      </c>
      <c r="AG224" s="1110">
        <f t="shared" si="505"/>
        <v>7550</v>
      </c>
      <c r="AH224" s="1110">
        <f t="shared" si="505"/>
        <v>7550</v>
      </c>
      <c r="AI224" s="1340">
        <f t="shared" si="505"/>
        <v>7550</v>
      </c>
      <c r="AJ224" s="96"/>
      <c r="AK224" s="96"/>
      <c r="AL224" s="97"/>
      <c r="AM224" s="1071"/>
      <c r="AN224" s="98"/>
      <c r="AO224" s="625"/>
      <c r="AP224" s="23"/>
      <c r="AQ224" s="23"/>
      <c r="AR224" s="23"/>
      <c r="AS224" s="23"/>
      <c r="AT224" s="23"/>
      <c r="AU224" s="23"/>
      <c r="AV224" s="23"/>
    </row>
    <row r="225" spans="1:48" ht="25.15" hidden="1" customHeight="1" thickTop="1">
      <c r="A225" s="99"/>
      <c r="B225" s="26" t="s">
        <v>138</v>
      </c>
      <c r="C225" s="27"/>
      <c r="D225" s="28" t="s">
        <v>82</v>
      </c>
      <c r="E225" s="1111"/>
      <c r="F225" s="1111"/>
      <c r="G225" s="1201"/>
      <c r="H225" s="1111"/>
      <c r="I225" s="1111"/>
      <c r="J225" s="1201"/>
      <c r="K225" s="1201"/>
      <c r="L225" s="1111"/>
      <c r="M225" s="1111"/>
      <c r="N225" s="1111"/>
      <c r="O225" s="1111"/>
      <c r="P225" s="1111"/>
      <c r="Q225" s="1201"/>
      <c r="R225" s="1201"/>
      <c r="S225" s="1111"/>
      <c r="T225" s="1111"/>
      <c r="U225" s="1111"/>
      <c r="V225" s="1111"/>
      <c r="W225" s="1111"/>
      <c r="X225" s="1201"/>
      <c r="Y225" s="1201"/>
      <c r="Z225" s="1111"/>
      <c r="AA225" s="1111"/>
      <c r="AB225" s="1111"/>
      <c r="AC225" s="1111"/>
      <c r="AD225" s="1111"/>
      <c r="AE225" s="1201"/>
      <c r="AF225" s="1201"/>
      <c r="AG225" s="1111"/>
      <c r="AH225" s="1111"/>
      <c r="AI225" s="1412"/>
      <c r="AJ225" s="100">
        <f>SUM(Table75[[#This Row],[June''2026]:[Column27]])</f>
        <v>0</v>
      </c>
      <c r="AK225" s="1078">
        <f t="shared" si="497"/>
        <v>0</v>
      </c>
      <c r="AL225" s="101">
        <f>+AJ225*AN225</f>
        <v>0</v>
      </c>
      <c r="AM225" s="1079">
        <f t="shared" si="498"/>
        <v>0</v>
      </c>
      <c r="AN225" s="102"/>
      <c r="AO225" s="622" t="e">
        <f>Table5[[#This Row],[Total]]*B229/1000</f>
        <v>#VALUE!</v>
      </c>
      <c r="AP225" s="32" t="s">
        <v>134</v>
      </c>
      <c r="AQ225" s="33" t="s">
        <v>84</v>
      </c>
      <c r="AR225" s="33" t="s">
        <v>85</v>
      </c>
      <c r="AS225" s="33" t="s">
        <v>86</v>
      </c>
      <c r="AT225" s="33" t="s">
        <v>87</v>
      </c>
      <c r="AU225" s="33" t="s">
        <v>88</v>
      </c>
      <c r="AV225" s="34" t="s">
        <v>68</v>
      </c>
    </row>
    <row r="226" spans="1:48" ht="25.15" hidden="1" customHeight="1">
      <c r="A226" s="103"/>
      <c r="B226" s="35" t="s">
        <v>139</v>
      </c>
      <c r="C226" s="36"/>
      <c r="D226" s="37" t="s">
        <v>90</v>
      </c>
      <c r="E226" s="1373">
        <f>IF(E225="",0,+ E225/E232)</f>
        <v>0</v>
      </c>
      <c r="F226" s="1096">
        <f t="shared" ref="F226:AI226" si="506">IF(F225="",0, E226+F225/F232)</f>
        <v>0</v>
      </c>
      <c r="G226" s="1207">
        <f t="shared" si="506"/>
        <v>0</v>
      </c>
      <c r="H226" s="1096">
        <f t="shared" si="506"/>
        <v>0</v>
      </c>
      <c r="I226" s="1096">
        <f t="shared" si="506"/>
        <v>0</v>
      </c>
      <c r="J226" s="1207">
        <f t="shared" si="506"/>
        <v>0</v>
      </c>
      <c r="K226" s="1207">
        <f t="shared" si="506"/>
        <v>0</v>
      </c>
      <c r="L226" s="1096">
        <f t="shared" si="506"/>
        <v>0</v>
      </c>
      <c r="M226" s="1096">
        <f t="shared" si="506"/>
        <v>0</v>
      </c>
      <c r="N226" s="1096">
        <f t="shared" si="506"/>
        <v>0</v>
      </c>
      <c r="O226" s="1096">
        <f t="shared" si="506"/>
        <v>0</v>
      </c>
      <c r="P226" s="1096">
        <f t="shared" si="506"/>
        <v>0</v>
      </c>
      <c r="Q226" s="1207">
        <v>0</v>
      </c>
      <c r="R226" s="1207">
        <f t="shared" si="506"/>
        <v>0</v>
      </c>
      <c r="S226" s="1096">
        <f t="shared" si="506"/>
        <v>0</v>
      </c>
      <c r="T226" s="1096">
        <f t="shared" si="506"/>
        <v>0</v>
      </c>
      <c r="U226" s="1096">
        <f t="shared" si="506"/>
        <v>0</v>
      </c>
      <c r="V226" s="1096">
        <f t="shared" si="506"/>
        <v>0</v>
      </c>
      <c r="W226" s="1096">
        <f t="shared" si="506"/>
        <v>0</v>
      </c>
      <c r="X226" s="1207">
        <f t="shared" si="506"/>
        <v>0</v>
      </c>
      <c r="Y226" s="1207">
        <f t="shared" si="506"/>
        <v>0</v>
      </c>
      <c r="Z226" s="1096">
        <f t="shared" si="506"/>
        <v>0</v>
      </c>
      <c r="AA226" s="1096">
        <f t="shared" si="506"/>
        <v>0</v>
      </c>
      <c r="AB226" s="1096">
        <f t="shared" si="506"/>
        <v>0</v>
      </c>
      <c r="AC226" s="1096">
        <f t="shared" si="506"/>
        <v>0</v>
      </c>
      <c r="AD226" s="1096">
        <f t="shared" si="506"/>
        <v>0</v>
      </c>
      <c r="AE226" s="1207">
        <f t="shared" si="506"/>
        <v>0</v>
      </c>
      <c r="AF226" s="1207">
        <f t="shared" si="506"/>
        <v>0</v>
      </c>
      <c r="AG226" s="1096">
        <f t="shared" si="506"/>
        <v>0</v>
      </c>
      <c r="AH226" s="1096">
        <f t="shared" si="506"/>
        <v>0</v>
      </c>
      <c r="AI226" s="1324">
        <f t="shared" si="506"/>
        <v>0</v>
      </c>
      <c r="AJ226" s="38"/>
      <c r="AK226" s="29"/>
      <c r="AL226" s="30"/>
      <c r="AM226" s="694"/>
      <c r="AN226" s="31"/>
      <c r="AO226" s="630"/>
      <c r="AP226" s="39" t="s">
        <v>91</v>
      </c>
      <c r="AQ226" s="40">
        <f>SUM(E225:I225)</f>
        <v>0</v>
      </c>
      <c r="AR226" s="41">
        <f>SUM(J225:P225)</f>
        <v>0</v>
      </c>
      <c r="AS226" s="41">
        <f>SUM(Q225:W225)</f>
        <v>0</v>
      </c>
      <c r="AT226" s="41">
        <f>SUM(X225:AD225)</f>
        <v>0</v>
      </c>
      <c r="AU226" s="41">
        <f>SUM(AE225:AI225)</f>
        <v>0</v>
      </c>
      <c r="AV226" s="34">
        <f t="shared" ref="AV226:AV231" si="507">SUM(AQ226:AU226)</f>
        <v>0</v>
      </c>
    </row>
    <row r="227" spans="1:48" ht="25.15" hidden="1" customHeight="1">
      <c r="A227" s="103"/>
      <c r="B227" s="26" t="s">
        <v>92</v>
      </c>
      <c r="C227" s="42"/>
      <c r="D227" s="43" t="s">
        <v>93</v>
      </c>
      <c r="E227" s="1325"/>
      <c r="F227" s="1089"/>
      <c r="G227" s="44"/>
      <c r="H227" s="1089"/>
      <c r="I227" s="1089"/>
      <c r="J227" s="44"/>
      <c r="K227" s="44"/>
      <c r="L227" s="1089"/>
      <c r="M227" s="1089"/>
      <c r="N227" s="1089"/>
      <c r="O227" s="1089"/>
      <c r="P227" s="1089"/>
      <c r="Q227" s="44"/>
      <c r="R227" s="44"/>
      <c r="S227" s="1089"/>
      <c r="T227" s="1089"/>
      <c r="U227" s="1089"/>
      <c r="V227" s="1089"/>
      <c r="W227" s="1089"/>
      <c r="X227" s="44"/>
      <c r="Y227" s="44"/>
      <c r="Z227" s="1089"/>
      <c r="AA227" s="1089"/>
      <c r="AB227" s="1089"/>
      <c r="AC227" s="1089"/>
      <c r="AD227" s="1089"/>
      <c r="AE227" s="44"/>
      <c r="AF227" s="44"/>
      <c r="AG227" s="1089"/>
      <c r="AH227" s="1089"/>
      <c r="AI227" s="1326"/>
      <c r="AJ227" s="45">
        <f>SUM(E227:AI227)</f>
        <v>0</v>
      </c>
      <c r="AK227" s="45"/>
      <c r="AL227" s="46">
        <f>+AJ227*AN225</f>
        <v>0</v>
      </c>
      <c r="AM227" s="1066"/>
      <c r="AN227" s="31"/>
      <c r="AO227" s="632">
        <f>(AJ227+AJ229+AJ230+AJ231)*B229/1000</f>
        <v>0</v>
      </c>
      <c r="AP227" s="47" t="s">
        <v>94</v>
      </c>
      <c r="AQ227" s="48">
        <f>SUM(E227:I227)</f>
        <v>0</v>
      </c>
      <c r="AR227" s="49">
        <f>SUM(J227:P227)</f>
        <v>0</v>
      </c>
      <c r="AS227" s="49">
        <f>SUM(Q227:W227)</f>
        <v>0</v>
      </c>
      <c r="AT227" s="49">
        <f>SUM(X227:AD227)</f>
        <v>0</v>
      </c>
      <c r="AU227" s="49">
        <f>SUM(AE227:AI227)</f>
        <v>0</v>
      </c>
      <c r="AV227" s="50">
        <f t="shared" si="507"/>
        <v>0</v>
      </c>
    </row>
    <row r="228" spans="1:48" ht="25.15" hidden="1" customHeight="1">
      <c r="A228" s="103"/>
      <c r="B228" s="51"/>
      <c r="C228" s="52" t="s">
        <v>95</v>
      </c>
      <c r="D228" s="53" t="s">
        <v>96</v>
      </c>
      <c r="E228" s="1327">
        <f t="shared" ref="E228:AJ228" si="508">+E227-E225</f>
        <v>0</v>
      </c>
      <c r="F228" s="1097">
        <f t="shared" si="508"/>
        <v>0</v>
      </c>
      <c r="G228" s="1205">
        <f t="shared" si="508"/>
        <v>0</v>
      </c>
      <c r="H228" s="1097">
        <f t="shared" si="508"/>
        <v>0</v>
      </c>
      <c r="I228" s="1097">
        <f t="shared" si="508"/>
        <v>0</v>
      </c>
      <c r="J228" s="1205">
        <f t="shared" si="508"/>
        <v>0</v>
      </c>
      <c r="K228" s="1205">
        <f t="shared" ref="K228" si="509">+K227-K225</f>
        <v>0</v>
      </c>
      <c r="L228" s="1097">
        <v>0</v>
      </c>
      <c r="M228" s="1097">
        <f t="shared" si="508"/>
        <v>0</v>
      </c>
      <c r="N228" s="1097">
        <f t="shared" si="508"/>
        <v>0</v>
      </c>
      <c r="O228" s="1097">
        <f t="shared" si="508"/>
        <v>0</v>
      </c>
      <c r="P228" s="1097">
        <f t="shared" si="508"/>
        <v>0</v>
      </c>
      <c r="Q228" s="1205">
        <f t="shared" si="508"/>
        <v>0</v>
      </c>
      <c r="R228" s="1205">
        <f t="shared" si="508"/>
        <v>0</v>
      </c>
      <c r="S228" s="1097">
        <f t="shared" si="508"/>
        <v>0</v>
      </c>
      <c r="T228" s="1097">
        <f t="shared" si="508"/>
        <v>0</v>
      </c>
      <c r="U228" s="1097">
        <f t="shared" si="508"/>
        <v>0</v>
      </c>
      <c r="V228" s="1097">
        <f t="shared" si="508"/>
        <v>0</v>
      </c>
      <c r="W228" s="1097">
        <f t="shared" si="508"/>
        <v>0</v>
      </c>
      <c r="X228" s="1205">
        <f t="shared" si="508"/>
        <v>0</v>
      </c>
      <c r="Y228" s="1205">
        <f t="shared" si="508"/>
        <v>0</v>
      </c>
      <c r="Z228" s="1097">
        <f t="shared" si="508"/>
        <v>0</v>
      </c>
      <c r="AA228" s="1097">
        <f t="shared" si="508"/>
        <v>0</v>
      </c>
      <c r="AB228" s="1097">
        <f t="shared" si="508"/>
        <v>0</v>
      </c>
      <c r="AC228" s="1097">
        <f t="shared" si="508"/>
        <v>0</v>
      </c>
      <c r="AD228" s="1097">
        <f t="shared" si="508"/>
        <v>0</v>
      </c>
      <c r="AE228" s="1205">
        <f t="shared" si="508"/>
        <v>0</v>
      </c>
      <c r="AF228" s="1205">
        <f t="shared" si="508"/>
        <v>0</v>
      </c>
      <c r="AG228" s="1097">
        <f t="shared" si="508"/>
        <v>0</v>
      </c>
      <c r="AH228" s="1097">
        <f t="shared" si="508"/>
        <v>0</v>
      </c>
      <c r="AI228" s="1328">
        <f t="shared" si="508"/>
        <v>0</v>
      </c>
      <c r="AJ228" s="54">
        <f t="shared" si="508"/>
        <v>0</v>
      </c>
      <c r="AK228" s="54"/>
      <c r="AL228" s="55">
        <f>+AJ228*AN225</f>
        <v>0</v>
      </c>
      <c r="AM228" s="1067"/>
      <c r="AN228" s="31" t="s">
        <v>97</v>
      </c>
      <c r="AO228" s="622"/>
      <c r="AP228" s="39" t="s">
        <v>98</v>
      </c>
      <c r="AQ228" s="56">
        <f>AQ227-AQ226</f>
        <v>0</v>
      </c>
      <c r="AR228" s="70">
        <f>AR227-AR226</f>
        <v>0</v>
      </c>
      <c r="AS228" s="70">
        <f>AS227-AS226</f>
        <v>0</v>
      </c>
      <c r="AT228" s="70">
        <f>AT227-AT226</f>
        <v>0</v>
      </c>
      <c r="AU228" s="70">
        <f>AU227-AU226</f>
        <v>0</v>
      </c>
      <c r="AV228" s="57">
        <f t="shared" si="507"/>
        <v>0</v>
      </c>
    </row>
    <row r="229" spans="1:48" ht="25.15" hidden="1" customHeight="1">
      <c r="A229" s="58"/>
      <c r="B229" s="59"/>
      <c r="C229" s="60" t="s">
        <v>100</v>
      </c>
      <c r="D229" s="61" t="s">
        <v>101</v>
      </c>
      <c r="E229" s="1098"/>
      <c r="F229" s="1099"/>
      <c r="G229" s="1208"/>
      <c r="H229" s="1099"/>
      <c r="I229" s="1099"/>
      <c r="J229" s="1208"/>
      <c r="K229" s="1208"/>
      <c r="L229" s="1099"/>
      <c r="M229" s="1099"/>
      <c r="N229" s="1099"/>
      <c r="O229" s="1099"/>
      <c r="P229" s="1099"/>
      <c r="Q229" s="1208"/>
      <c r="R229" s="1208"/>
      <c r="S229" s="1099"/>
      <c r="T229" s="1099"/>
      <c r="U229" s="1099"/>
      <c r="V229" s="1099"/>
      <c r="W229" s="1099"/>
      <c r="X229" s="1208"/>
      <c r="Y229" s="1208"/>
      <c r="Z229" s="1099"/>
      <c r="AA229" s="1099"/>
      <c r="AB229" s="1099"/>
      <c r="AC229" s="1099"/>
      <c r="AD229" s="1099"/>
      <c r="AE229" s="1208"/>
      <c r="AF229" s="1208"/>
      <c r="AG229" s="1099"/>
      <c r="AH229" s="1099"/>
      <c r="AI229" s="1330"/>
      <c r="AJ229" s="62">
        <f>SUM(E229:AI229)</f>
        <v>0</v>
      </c>
      <c r="AK229" s="62"/>
      <c r="AL229" s="63">
        <f>+AJ229*AN225</f>
        <v>0</v>
      </c>
      <c r="AM229" s="1068"/>
      <c r="AN229" s="64" t="e">
        <f>+AJ229/AJ227*100</f>
        <v>#DIV/0!</v>
      </c>
      <c r="AO229" s="635" t="e">
        <f>AO227/AO225</f>
        <v>#VALUE!</v>
      </c>
      <c r="AP229" s="39" t="s">
        <v>102</v>
      </c>
      <c r="AQ229" s="56">
        <f>SUM(E229:I229)</f>
        <v>0</v>
      </c>
      <c r="AR229" s="70">
        <f>SUM(J229:P229)</f>
        <v>0</v>
      </c>
      <c r="AS229" s="70">
        <f>SUM(Q229:W229)</f>
        <v>0</v>
      </c>
      <c r="AT229" s="70">
        <f>SUM(X229:AD229)</f>
        <v>0</v>
      </c>
      <c r="AU229" s="70">
        <f>SUM(AE229:AI229)</f>
        <v>0</v>
      </c>
      <c r="AV229" s="57">
        <f t="shared" si="507"/>
        <v>0</v>
      </c>
    </row>
    <row r="230" spans="1:48" ht="25.15" hidden="1" customHeight="1">
      <c r="A230" s="58" t="s">
        <v>135</v>
      </c>
      <c r="B230" s="65"/>
      <c r="C230" s="66"/>
      <c r="D230" s="67" t="s">
        <v>103</v>
      </c>
      <c r="E230" s="1100"/>
      <c r="F230" s="1101"/>
      <c r="G230" s="1209"/>
      <c r="H230" s="1101"/>
      <c r="I230" s="1101"/>
      <c r="J230" s="1209"/>
      <c r="K230" s="1209"/>
      <c r="L230" s="1101"/>
      <c r="M230" s="1101"/>
      <c r="N230" s="1101"/>
      <c r="O230" s="1101"/>
      <c r="P230" s="1101"/>
      <c r="Q230" s="1209"/>
      <c r="R230" s="1209"/>
      <c r="S230" s="1101"/>
      <c r="T230" s="1101"/>
      <c r="U230" s="1101"/>
      <c r="V230" s="1101"/>
      <c r="W230" s="1101"/>
      <c r="X230" s="1209"/>
      <c r="Y230" s="1209"/>
      <c r="Z230" s="1101"/>
      <c r="AA230" s="1101"/>
      <c r="AB230" s="1101"/>
      <c r="AC230" s="1101"/>
      <c r="AD230" s="1101"/>
      <c r="AE230" s="1209"/>
      <c r="AF230" s="1209"/>
      <c r="AG230" s="1101"/>
      <c r="AH230" s="1101"/>
      <c r="AI230" s="1332"/>
      <c r="AJ230" s="68">
        <f>SUM(E230:AI230)</f>
        <v>0</v>
      </c>
      <c r="AK230" s="68"/>
      <c r="AL230" s="69">
        <f>+AJ230*AN225</f>
        <v>0</v>
      </c>
      <c r="AM230" s="1069"/>
      <c r="AN230" s="31"/>
      <c r="AO230" s="622"/>
      <c r="AP230" s="39" t="s">
        <v>19</v>
      </c>
      <c r="AQ230" s="56">
        <f>AQ229*AN225</f>
        <v>0</v>
      </c>
      <c r="AR230" s="56">
        <f>AR229*AN225</f>
        <v>0</v>
      </c>
      <c r="AS230" s="56">
        <f>AS229*AN225</f>
        <v>0</v>
      </c>
      <c r="AT230" s="56">
        <f>AT229*AN225</f>
        <v>0</v>
      </c>
      <c r="AU230" s="56">
        <f>AU229*AN225</f>
        <v>0</v>
      </c>
      <c r="AV230" s="57">
        <f t="shared" si="507"/>
        <v>0</v>
      </c>
    </row>
    <row r="231" spans="1:48" ht="25.15" hidden="1" customHeight="1">
      <c r="A231" s="103"/>
      <c r="B231" s="65"/>
      <c r="C231" s="72" t="s">
        <v>104</v>
      </c>
      <c r="D231" s="73" t="s">
        <v>105</v>
      </c>
      <c r="E231" s="1115"/>
      <c r="F231" s="1116"/>
      <c r="G231" s="1215"/>
      <c r="H231" s="1116"/>
      <c r="I231" s="1116"/>
      <c r="J231" s="1215"/>
      <c r="K231" s="1215"/>
      <c r="L231" s="1103"/>
      <c r="M231" s="1116"/>
      <c r="N231" s="1116"/>
      <c r="O231" s="1103"/>
      <c r="P231" s="1103"/>
      <c r="Q231" s="1215"/>
      <c r="R231" s="1215"/>
      <c r="S231" s="1116"/>
      <c r="T231" s="1116"/>
      <c r="U231" s="1116"/>
      <c r="V231" s="1116"/>
      <c r="W231" s="1116"/>
      <c r="X231" s="1215"/>
      <c r="Y231" s="1215"/>
      <c r="Z231" s="1116"/>
      <c r="AA231" s="1116"/>
      <c r="AB231" s="1103"/>
      <c r="AC231" s="1116"/>
      <c r="AD231" s="1116"/>
      <c r="AE231" s="1215"/>
      <c r="AF231" s="1215"/>
      <c r="AG231" s="1116"/>
      <c r="AH231" s="1116"/>
      <c r="AI231" s="1352"/>
      <c r="AJ231" s="74">
        <f>SUM(E231:AI231)</f>
        <v>0</v>
      </c>
      <c r="AK231" s="74"/>
      <c r="AL231" s="75">
        <f>+AJ231*AN225</f>
        <v>0</v>
      </c>
      <c r="AM231" s="1070"/>
      <c r="AN231" s="76"/>
      <c r="AO231" s="636"/>
      <c r="AP231" s="47" t="s">
        <v>106</v>
      </c>
      <c r="AQ231" s="48">
        <f>AQ227*AN225</f>
        <v>0</v>
      </c>
      <c r="AR231" s="48">
        <f>AR227*AN225</f>
        <v>0</v>
      </c>
      <c r="AS231" s="48">
        <f>AS227*AN225</f>
        <v>0</v>
      </c>
      <c r="AT231" s="48">
        <f>AT227*AN225</f>
        <v>0</v>
      </c>
      <c r="AU231" s="48">
        <f>AU227*AN225</f>
        <v>0</v>
      </c>
      <c r="AV231" s="50">
        <f t="shared" si="507"/>
        <v>0</v>
      </c>
    </row>
    <row r="232" spans="1:48" ht="25.15" hidden="1" customHeight="1">
      <c r="A232" s="103"/>
      <c r="B232" s="65"/>
      <c r="C232" s="77">
        <v>300000</v>
      </c>
      <c r="D232" s="78" t="s">
        <v>107</v>
      </c>
      <c r="E232" s="1327">
        <v>1</v>
      </c>
      <c r="F232" s="1097">
        <v>1</v>
      </c>
      <c r="G232" s="1205">
        <v>1</v>
      </c>
      <c r="H232" s="1097">
        <v>1</v>
      </c>
      <c r="I232" s="1097">
        <v>1</v>
      </c>
      <c r="J232" s="1205">
        <v>1</v>
      </c>
      <c r="K232" s="1205">
        <v>1</v>
      </c>
      <c r="L232" s="1097">
        <v>1</v>
      </c>
      <c r="M232" s="1097">
        <v>1</v>
      </c>
      <c r="N232" s="1097">
        <v>1</v>
      </c>
      <c r="O232" s="1097">
        <v>1</v>
      </c>
      <c r="P232" s="1097">
        <v>1</v>
      </c>
      <c r="Q232" s="1205">
        <v>1</v>
      </c>
      <c r="R232" s="1205">
        <v>1</v>
      </c>
      <c r="S232" s="1097">
        <v>1</v>
      </c>
      <c r="T232" s="1097">
        <v>1</v>
      </c>
      <c r="U232" s="1097">
        <v>1</v>
      </c>
      <c r="V232" s="1097">
        <v>1</v>
      </c>
      <c r="W232" s="1097">
        <v>1</v>
      </c>
      <c r="X232" s="1205">
        <v>1</v>
      </c>
      <c r="Y232" s="1205">
        <v>1</v>
      </c>
      <c r="Z232" s="1097">
        <v>1</v>
      </c>
      <c r="AA232" s="1097">
        <v>1</v>
      </c>
      <c r="AB232" s="1097">
        <v>1</v>
      </c>
      <c r="AC232" s="1097">
        <v>1</v>
      </c>
      <c r="AD232" s="1097">
        <v>1</v>
      </c>
      <c r="AE232" s="1205">
        <v>1</v>
      </c>
      <c r="AF232" s="1205">
        <v>1</v>
      </c>
      <c r="AG232" s="1097">
        <v>1</v>
      </c>
      <c r="AH232" s="1097">
        <v>1</v>
      </c>
      <c r="AI232" s="1328">
        <v>1</v>
      </c>
      <c r="AJ232" s="79"/>
      <c r="AK232" s="79"/>
      <c r="AL232" s="55"/>
      <c r="AM232" s="1067"/>
      <c r="AN232" s="31"/>
      <c r="AO232" s="622"/>
      <c r="AP232" s="23"/>
      <c r="AQ232" s="23"/>
      <c r="AR232" s="23"/>
      <c r="AS232" s="23"/>
      <c r="AT232" s="23"/>
      <c r="AU232" s="23"/>
      <c r="AV232" s="23"/>
    </row>
    <row r="233" spans="1:48" ht="25.15" hidden="1" customHeight="1">
      <c r="A233" s="103"/>
      <c r="B233" s="65"/>
      <c r="C233" s="80" t="s">
        <v>108</v>
      </c>
      <c r="D233" s="81" t="s">
        <v>109</v>
      </c>
      <c r="E233" s="1374">
        <f>SUM(E227+E229+E230+E231)/E232</f>
        <v>0</v>
      </c>
      <c r="F233" s="1104">
        <f>SUM(F227+F229+F230+F231)/F232</f>
        <v>0</v>
      </c>
      <c r="G233" s="1211">
        <f>SUM(G227+G229+G230+G231)/G232</f>
        <v>0</v>
      </c>
      <c r="H233" s="1104">
        <f t="shared" ref="H233:AH233" si="510">SUM(H227+H229+H230+H231)/H232</f>
        <v>0</v>
      </c>
      <c r="I233" s="1104">
        <f t="shared" si="510"/>
        <v>0</v>
      </c>
      <c r="J233" s="1211">
        <f t="shared" si="510"/>
        <v>0</v>
      </c>
      <c r="K233" s="1211">
        <f t="shared" si="510"/>
        <v>0</v>
      </c>
      <c r="L233" s="1104">
        <f t="shared" si="510"/>
        <v>0</v>
      </c>
      <c r="M233" s="1104">
        <f t="shared" si="510"/>
        <v>0</v>
      </c>
      <c r="N233" s="1104">
        <f t="shared" si="510"/>
        <v>0</v>
      </c>
      <c r="O233" s="1104">
        <f t="shared" si="510"/>
        <v>0</v>
      </c>
      <c r="P233" s="1104">
        <f t="shared" si="510"/>
        <v>0</v>
      </c>
      <c r="Q233" s="1211">
        <f t="shared" si="510"/>
        <v>0</v>
      </c>
      <c r="R233" s="1211">
        <f t="shared" si="510"/>
        <v>0</v>
      </c>
      <c r="S233" s="1104">
        <f t="shared" si="510"/>
        <v>0</v>
      </c>
      <c r="T233" s="1104">
        <f t="shared" si="510"/>
        <v>0</v>
      </c>
      <c r="U233" s="1104">
        <f t="shared" si="510"/>
        <v>0</v>
      </c>
      <c r="V233" s="1104">
        <f t="shared" si="510"/>
        <v>0</v>
      </c>
      <c r="W233" s="1104">
        <f t="shared" si="510"/>
        <v>0</v>
      </c>
      <c r="X233" s="1211">
        <f t="shared" si="510"/>
        <v>0</v>
      </c>
      <c r="Y233" s="1211">
        <f t="shared" si="510"/>
        <v>0</v>
      </c>
      <c r="Z233" s="1104">
        <f t="shared" si="510"/>
        <v>0</v>
      </c>
      <c r="AA233" s="1104">
        <f t="shared" si="510"/>
        <v>0</v>
      </c>
      <c r="AB233" s="1104">
        <f t="shared" si="510"/>
        <v>0</v>
      </c>
      <c r="AC233" s="1104">
        <f t="shared" si="510"/>
        <v>0</v>
      </c>
      <c r="AD233" s="1104">
        <f t="shared" si="510"/>
        <v>0</v>
      </c>
      <c r="AE233" s="1211">
        <f t="shared" si="510"/>
        <v>0</v>
      </c>
      <c r="AF233" s="1211">
        <f t="shared" si="510"/>
        <v>0</v>
      </c>
      <c r="AG233" s="1104">
        <f t="shared" si="510"/>
        <v>0</v>
      </c>
      <c r="AH233" s="1104">
        <f t="shared" si="510"/>
        <v>0</v>
      </c>
      <c r="AI233" s="1335">
        <f>SUM(AI227+AI229+AI230)/AI232</f>
        <v>0</v>
      </c>
      <c r="AJ233" s="104">
        <f>SUM(E233:AI233)</f>
        <v>0</v>
      </c>
      <c r="AK233" s="104"/>
      <c r="AL233" s="83"/>
      <c r="AM233" s="1068"/>
      <c r="AN233" s="31"/>
      <c r="AO233" s="622"/>
      <c r="AP233" s="23"/>
      <c r="AQ233" s="23"/>
      <c r="AR233" s="23"/>
      <c r="AS233" s="23"/>
      <c r="AT233" s="23"/>
      <c r="AU233" s="23"/>
      <c r="AV233" s="23"/>
    </row>
    <row r="234" spans="1:48" ht="25.15" hidden="1" customHeight="1">
      <c r="A234" s="103"/>
      <c r="B234" s="59"/>
      <c r="C234" s="84">
        <f>+C232*0.8</f>
        <v>240000</v>
      </c>
      <c r="D234" s="85" t="s">
        <v>110</v>
      </c>
      <c r="E234" s="1105"/>
      <c r="F234" s="1106"/>
      <c r="G234" s="1211"/>
      <c r="H234" s="1104"/>
      <c r="I234" s="1104"/>
      <c r="J234" s="1211"/>
      <c r="K234" s="1211"/>
      <c r="L234" s="1104"/>
      <c r="M234" s="1104"/>
      <c r="N234" s="1104"/>
      <c r="O234" s="1107"/>
      <c r="P234" s="1104"/>
      <c r="Q234" s="1211"/>
      <c r="R234" s="1211"/>
      <c r="S234" s="1104"/>
      <c r="T234" s="1104"/>
      <c r="U234" s="1104"/>
      <c r="V234" s="1104"/>
      <c r="W234" s="1104"/>
      <c r="X234" s="1211"/>
      <c r="Y234" s="1211"/>
      <c r="Z234" s="1104"/>
      <c r="AA234" s="1104"/>
      <c r="AB234" s="1104"/>
      <c r="AC234" s="1104"/>
      <c r="AD234" s="1104"/>
      <c r="AE234" s="1211"/>
      <c r="AF234" s="1211"/>
      <c r="AG234" s="1104"/>
      <c r="AH234" s="1104"/>
      <c r="AI234" s="1353"/>
      <c r="AJ234" s="86"/>
      <c r="AK234" s="86"/>
      <c r="AL234" s="690"/>
      <c r="AM234" s="694"/>
      <c r="AN234" s="31"/>
      <c r="AO234" s="622"/>
      <c r="AP234" s="23"/>
      <c r="AQ234" s="23"/>
      <c r="AR234" s="23"/>
      <c r="AS234" s="23"/>
      <c r="AT234" s="23"/>
      <c r="AU234" s="23"/>
      <c r="AV234" s="23"/>
    </row>
    <row r="235" spans="1:48" ht="25.15" hidden="1" customHeight="1">
      <c r="A235" s="103"/>
      <c r="B235" s="105"/>
      <c r="C235" s="77"/>
      <c r="D235" s="88" t="s">
        <v>111</v>
      </c>
      <c r="E235" s="1108">
        <f>IF(E234="O/H",E233,0+E233)</f>
        <v>0</v>
      </c>
      <c r="F235" s="1089">
        <f t="shared" ref="F235:AI235" si="511">IF(F234="O/H",F233,+E235+F233)</f>
        <v>0</v>
      </c>
      <c r="G235" s="44">
        <f t="shared" si="511"/>
        <v>0</v>
      </c>
      <c r="H235" s="1089">
        <f t="shared" si="511"/>
        <v>0</v>
      </c>
      <c r="I235" s="1089">
        <f t="shared" si="511"/>
        <v>0</v>
      </c>
      <c r="J235" s="44">
        <f t="shared" si="511"/>
        <v>0</v>
      </c>
      <c r="K235" s="44">
        <f t="shared" si="511"/>
        <v>0</v>
      </c>
      <c r="L235" s="1089">
        <f t="shared" si="511"/>
        <v>0</v>
      </c>
      <c r="M235" s="1089">
        <f t="shared" si="511"/>
        <v>0</v>
      </c>
      <c r="N235" s="1089">
        <f t="shared" si="511"/>
        <v>0</v>
      </c>
      <c r="O235" s="1089">
        <f t="shared" si="511"/>
        <v>0</v>
      </c>
      <c r="P235" s="1089">
        <f t="shared" si="511"/>
        <v>0</v>
      </c>
      <c r="Q235" s="44">
        <f t="shared" si="511"/>
        <v>0</v>
      </c>
      <c r="R235" s="44">
        <f t="shared" si="511"/>
        <v>0</v>
      </c>
      <c r="S235" s="1089">
        <f t="shared" si="511"/>
        <v>0</v>
      </c>
      <c r="T235" s="1089">
        <f t="shared" si="511"/>
        <v>0</v>
      </c>
      <c r="U235" s="1089">
        <f t="shared" si="511"/>
        <v>0</v>
      </c>
      <c r="V235" s="1089">
        <f t="shared" si="511"/>
        <v>0</v>
      </c>
      <c r="W235" s="1089">
        <f t="shared" si="511"/>
        <v>0</v>
      </c>
      <c r="X235" s="44">
        <f t="shared" si="511"/>
        <v>0</v>
      </c>
      <c r="Y235" s="44">
        <f t="shared" si="511"/>
        <v>0</v>
      </c>
      <c r="Z235" s="1089">
        <f t="shared" si="511"/>
        <v>0</v>
      </c>
      <c r="AA235" s="1089">
        <f t="shared" si="511"/>
        <v>0</v>
      </c>
      <c r="AB235" s="1089">
        <f t="shared" si="511"/>
        <v>0</v>
      </c>
      <c r="AC235" s="1089">
        <f t="shared" si="511"/>
        <v>0</v>
      </c>
      <c r="AD235" s="1089">
        <f t="shared" si="511"/>
        <v>0</v>
      </c>
      <c r="AE235" s="44">
        <f t="shared" si="511"/>
        <v>0</v>
      </c>
      <c r="AF235" s="44">
        <f t="shared" si="511"/>
        <v>0</v>
      </c>
      <c r="AG235" s="1089">
        <f t="shared" si="511"/>
        <v>0</v>
      </c>
      <c r="AH235" s="1089">
        <f t="shared" si="511"/>
        <v>0</v>
      </c>
      <c r="AI235" s="1326">
        <f t="shared" si="511"/>
        <v>0</v>
      </c>
      <c r="AJ235" s="79"/>
      <c r="AK235" s="86"/>
      <c r="AL235" s="689"/>
      <c r="AM235" s="694"/>
      <c r="AN235" s="31"/>
      <c r="AO235" s="622"/>
      <c r="AP235" s="23"/>
      <c r="AQ235" s="23"/>
      <c r="AR235" s="23"/>
      <c r="AS235" s="23"/>
      <c r="AT235" s="23"/>
      <c r="AU235" s="23"/>
      <c r="AV235" s="23"/>
    </row>
    <row r="236" spans="1:48" s="23" customFormat="1" ht="20.65" hidden="1" customHeight="1">
      <c r="A236" s="274"/>
      <c r="B236" s="312"/>
      <c r="C236" s="308"/>
      <c r="D236" s="795" t="s">
        <v>112</v>
      </c>
      <c r="E236" s="1117" t="b">
        <f>IF(AND(ISNUMBER(E227)),314508+E233)</f>
        <v>0</v>
      </c>
      <c r="F236" s="1118" t="str">
        <f>IF(AND(ISNUMBER(F227)),E236+F233,"")</f>
        <v/>
      </c>
      <c r="G236" s="1216" t="str">
        <f t="shared" ref="G236" si="512">IF(AND(ISNUMBER(G227)),F236+G233,"")</f>
        <v/>
      </c>
      <c r="H236" s="1118" t="str">
        <f t="shared" ref="H236" si="513">IF(AND(ISNUMBER(H227)),G236+H233,"")</f>
        <v/>
      </c>
      <c r="I236" s="1118" t="str">
        <f>IF(AND(ISNUMBER(I227)),H236+I233,"")</f>
        <v/>
      </c>
      <c r="J236" s="1216" t="str">
        <f>IF(AND(ISNUMBER(J227)),I236+J233,"")</f>
        <v/>
      </c>
      <c r="K236" s="1216" t="str">
        <f>IF(AND(ISNUMBER(K227)),J236+K233,"")</f>
        <v/>
      </c>
      <c r="L236" s="1118" t="str">
        <f t="shared" ref="L236" si="514">IF(AND(ISNUMBER(L227)),K236+L233,"")</f>
        <v/>
      </c>
      <c r="M236" s="1118" t="str">
        <f t="shared" ref="M236" si="515">IF(AND(ISNUMBER(M227)),L236+M233,"")</f>
        <v/>
      </c>
      <c r="N236" s="1118" t="str">
        <f t="shared" ref="N236" si="516">IF(AND(ISNUMBER(N227)),M236+N233,"")</f>
        <v/>
      </c>
      <c r="O236" s="1118" t="str">
        <f t="shared" ref="O236" si="517">IF(AND(ISNUMBER(O227)),N236+O233,"")</f>
        <v/>
      </c>
      <c r="P236" s="1118" t="str">
        <f t="shared" ref="P236" si="518">IF(AND(ISNUMBER(P227)),O236+P233,"")</f>
        <v/>
      </c>
      <c r="Q236" s="1216" t="str">
        <f t="shared" ref="Q236" si="519">IF(AND(ISNUMBER(Q227)),P236+Q233,"")</f>
        <v/>
      </c>
      <c r="R236" s="1216" t="str">
        <f t="shared" ref="R236" si="520">IF(AND(ISNUMBER(R227)),Q236+R233,"")</f>
        <v/>
      </c>
      <c r="S236" s="1118" t="str">
        <f t="shared" ref="S236" si="521">IF(AND(ISNUMBER(S227)),R236+S233,"")</f>
        <v/>
      </c>
      <c r="T236" s="1118" t="str">
        <f t="shared" ref="T236" si="522">IF(AND(ISNUMBER(T227)),S236+T233,"")</f>
        <v/>
      </c>
      <c r="U236" s="1118" t="str">
        <f t="shared" ref="U236" si="523">IF(AND(ISNUMBER(U227)),T236+U233,"")</f>
        <v/>
      </c>
      <c r="V236" s="1118" t="str">
        <f t="shared" ref="V236" si="524">IF(AND(ISNUMBER(V227)),U236+V233,"")</f>
        <v/>
      </c>
      <c r="W236" s="1118" t="str">
        <f t="shared" ref="W236" si="525">IF(AND(ISNUMBER(W227)),V236+W233,"")</f>
        <v/>
      </c>
      <c r="X236" s="1216" t="str">
        <f t="shared" ref="X236" si="526">IF(AND(ISNUMBER(X227)),W236+X233,"")</f>
        <v/>
      </c>
      <c r="Y236" s="1216" t="str">
        <f t="shared" ref="Y236" si="527">IF(AND(ISNUMBER(Y227)),X236+Y233,"")</f>
        <v/>
      </c>
      <c r="Z236" s="1118" t="str">
        <f t="shared" ref="Z236" si="528">IF(AND(ISNUMBER(Z227)),Y236+Z233,"")</f>
        <v/>
      </c>
      <c r="AA236" s="1118" t="str">
        <f t="shared" ref="AA236" si="529">IF(AND(ISNUMBER(AA227)),Z236+AA233,"")</f>
        <v/>
      </c>
      <c r="AB236" s="1118" t="str">
        <f t="shared" ref="AB236" si="530">IF(AND(ISNUMBER(AB227)),AA236+AB233,"")</f>
        <v/>
      </c>
      <c r="AC236" s="1118" t="str">
        <f t="shared" ref="AC236" si="531">IF(AND(ISNUMBER(AC227)),AB236+AC233,"")</f>
        <v/>
      </c>
      <c r="AD236" s="1118" t="str">
        <f t="shared" ref="AD236" si="532">IF(AND(ISNUMBER(AD227)),AC236+AD233,"")</f>
        <v/>
      </c>
      <c r="AE236" s="1216" t="str">
        <f t="shared" ref="AE236" si="533">IF(AND(ISNUMBER(AE227)),AD236+AE233,"")</f>
        <v/>
      </c>
      <c r="AF236" s="1216" t="str">
        <f t="shared" ref="AF236" si="534">IF(AND(ISNUMBER(AF227)),AE236+AF233,"")</f>
        <v/>
      </c>
      <c r="AG236" s="1118" t="str">
        <f t="shared" ref="AG236" si="535">IF(AND(ISNUMBER(AG227)),AF236+AG233,"")</f>
        <v/>
      </c>
      <c r="AH236" s="1118" t="str">
        <f t="shared" ref="AH236" si="536">IF(AND(ISNUMBER(AH227)),AG236+AH233,"")</f>
        <v/>
      </c>
      <c r="AI236" s="1118" t="str">
        <f t="shared" ref="AI236" si="537">IF(AND(ISNUMBER(AI227)),AH236+AI233,"")</f>
        <v/>
      </c>
      <c r="AJ236" s="793"/>
      <c r="AK236" s="793"/>
      <c r="AL236" s="909"/>
      <c r="AM236" s="890"/>
      <c r="AN236" s="76"/>
      <c r="AO236" s="624"/>
      <c r="AP236" s="285"/>
      <c r="AQ236" s="285"/>
      <c r="AR236" s="285"/>
      <c r="AS236" s="285"/>
      <c r="AT236" s="286"/>
      <c r="AU236" s="285"/>
      <c r="AV236" s="287"/>
    </row>
    <row r="237" spans="1:48" ht="25.15" hidden="1" customHeight="1">
      <c r="A237" s="103"/>
      <c r="B237" s="89"/>
      <c r="C237" s="80"/>
      <c r="D237" s="90" t="s">
        <v>104</v>
      </c>
      <c r="E237" s="1108"/>
      <c r="F237" s="1089"/>
      <c r="G237" s="44"/>
      <c r="H237" s="1089"/>
      <c r="I237" s="1089"/>
      <c r="J237" s="44"/>
      <c r="K237" s="44"/>
      <c r="L237" s="1089"/>
      <c r="M237" s="1089"/>
      <c r="N237" s="1089"/>
      <c r="O237" s="1089"/>
      <c r="P237" s="1089"/>
      <c r="Q237" s="44"/>
      <c r="R237" s="44"/>
      <c r="S237" s="1089"/>
      <c r="T237" s="1089"/>
      <c r="U237" s="1089"/>
      <c r="V237" s="1089"/>
      <c r="W237" s="1089"/>
      <c r="X237" s="44"/>
      <c r="Y237" s="44"/>
      <c r="Z237" s="1089"/>
      <c r="AA237" s="1089"/>
      <c r="AB237" s="1089"/>
      <c r="AC237" s="1089"/>
      <c r="AD237" s="1089"/>
      <c r="AE237" s="44"/>
      <c r="AF237" s="44"/>
      <c r="AG237" s="1089"/>
      <c r="AH237" s="1089"/>
      <c r="AI237" s="1326"/>
      <c r="AJ237" s="79"/>
      <c r="AK237" s="79"/>
      <c r="AL237" s="63"/>
      <c r="AM237" s="1068"/>
      <c r="AN237" s="64"/>
      <c r="AO237" s="624"/>
      <c r="AP237" s="23"/>
      <c r="AQ237" s="23"/>
      <c r="AR237" s="23"/>
      <c r="AS237" s="23"/>
      <c r="AT237" s="23"/>
      <c r="AU237" s="23"/>
      <c r="AV237" s="23"/>
    </row>
    <row r="238" spans="1:48" ht="25.15" hidden="1" customHeight="1" thickBot="1">
      <c r="A238" s="106"/>
      <c r="B238" s="93"/>
      <c r="C238" s="94"/>
      <c r="D238" s="95" t="s">
        <v>111</v>
      </c>
      <c r="E238" s="1109">
        <f>IF(E237="O/H",E233,0+E233)</f>
        <v>0</v>
      </c>
      <c r="F238" s="1110">
        <f t="shared" ref="F238:AI238" si="538">IF(F237="O/H",F233,+E238+F233)</f>
        <v>0</v>
      </c>
      <c r="G238" s="1212">
        <f t="shared" si="538"/>
        <v>0</v>
      </c>
      <c r="H238" s="1110">
        <f t="shared" si="538"/>
        <v>0</v>
      </c>
      <c r="I238" s="1110">
        <f t="shared" si="538"/>
        <v>0</v>
      </c>
      <c r="J238" s="1212">
        <f t="shared" si="538"/>
        <v>0</v>
      </c>
      <c r="K238" s="1212">
        <f t="shared" si="538"/>
        <v>0</v>
      </c>
      <c r="L238" s="1110">
        <f t="shared" si="538"/>
        <v>0</v>
      </c>
      <c r="M238" s="1110">
        <f t="shared" si="538"/>
        <v>0</v>
      </c>
      <c r="N238" s="1110">
        <f t="shared" si="538"/>
        <v>0</v>
      </c>
      <c r="O238" s="1110">
        <f t="shared" si="538"/>
        <v>0</v>
      </c>
      <c r="P238" s="1110">
        <f t="shared" si="538"/>
        <v>0</v>
      </c>
      <c r="Q238" s="1212">
        <f t="shared" si="538"/>
        <v>0</v>
      </c>
      <c r="R238" s="1212">
        <f t="shared" si="538"/>
        <v>0</v>
      </c>
      <c r="S238" s="1110">
        <f t="shared" si="538"/>
        <v>0</v>
      </c>
      <c r="T238" s="1110">
        <f t="shared" si="538"/>
        <v>0</v>
      </c>
      <c r="U238" s="1110">
        <f t="shared" si="538"/>
        <v>0</v>
      </c>
      <c r="V238" s="1110">
        <f t="shared" si="538"/>
        <v>0</v>
      </c>
      <c r="W238" s="1110">
        <f t="shared" si="538"/>
        <v>0</v>
      </c>
      <c r="X238" s="1212">
        <f t="shared" si="538"/>
        <v>0</v>
      </c>
      <c r="Y238" s="1212">
        <f t="shared" si="538"/>
        <v>0</v>
      </c>
      <c r="Z238" s="1110">
        <f t="shared" si="538"/>
        <v>0</v>
      </c>
      <c r="AA238" s="1110">
        <f t="shared" si="538"/>
        <v>0</v>
      </c>
      <c r="AB238" s="1110">
        <f t="shared" si="538"/>
        <v>0</v>
      </c>
      <c r="AC238" s="1110">
        <f t="shared" si="538"/>
        <v>0</v>
      </c>
      <c r="AD238" s="1110">
        <f t="shared" si="538"/>
        <v>0</v>
      </c>
      <c r="AE238" s="1212">
        <f t="shared" si="538"/>
        <v>0</v>
      </c>
      <c r="AF238" s="1212">
        <f t="shared" si="538"/>
        <v>0</v>
      </c>
      <c r="AG238" s="1110">
        <f t="shared" si="538"/>
        <v>0</v>
      </c>
      <c r="AH238" s="1110">
        <f t="shared" si="538"/>
        <v>0</v>
      </c>
      <c r="AI238" s="1340">
        <f t="shared" si="538"/>
        <v>0</v>
      </c>
      <c r="AJ238" s="96"/>
      <c r="AK238" s="96"/>
      <c r="AL238" s="97"/>
      <c r="AM238" s="1071"/>
      <c r="AN238" s="98"/>
      <c r="AO238" s="625"/>
      <c r="AP238" s="23"/>
      <c r="AQ238" s="23"/>
      <c r="AR238" s="23"/>
      <c r="AS238" s="23"/>
      <c r="AT238" s="23"/>
      <c r="AU238" s="23"/>
      <c r="AV238" s="23"/>
    </row>
    <row r="239" spans="1:48" ht="25.15" hidden="1" customHeight="1" thickTop="1">
      <c r="A239" s="99"/>
      <c r="B239" s="26" t="s">
        <v>140</v>
      </c>
      <c r="C239" s="27"/>
      <c r="D239" s="28" t="s">
        <v>82</v>
      </c>
      <c r="E239" s="1111"/>
      <c r="F239" s="1111"/>
      <c r="G239" s="1201"/>
      <c r="H239" s="1111"/>
      <c r="I239" s="1111"/>
      <c r="J239" s="1201"/>
      <c r="K239" s="1201"/>
      <c r="L239" s="1111"/>
      <c r="M239" s="1111"/>
      <c r="N239" s="1111"/>
      <c r="O239" s="1111"/>
      <c r="P239" s="1111"/>
      <c r="Q239" s="1201"/>
      <c r="R239" s="1201"/>
      <c r="S239" s="1111"/>
      <c r="T239" s="1111"/>
      <c r="U239" s="1111"/>
      <c r="V239" s="1111"/>
      <c r="W239" s="1111"/>
      <c r="X239" s="1201"/>
      <c r="Y239" s="1201"/>
      <c r="Z239" s="1111"/>
      <c r="AA239" s="1111"/>
      <c r="AB239" s="1111"/>
      <c r="AC239" s="1111"/>
      <c r="AD239" s="1111"/>
      <c r="AE239" s="1201"/>
      <c r="AF239" s="1201"/>
      <c r="AG239" s="1111"/>
      <c r="AH239" s="1111"/>
      <c r="AI239" s="1412"/>
      <c r="AJ239" s="100">
        <f>SUM(Table75[[#This Row],[June''2026]:[Column27]])</f>
        <v>0</v>
      </c>
      <c r="AK239" s="1078">
        <f t="shared" si="497"/>
        <v>0</v>
      </c>
      <c r="AL239" s="101">
        <f>+AJ239*AN239</f>
        <v>0</v>
      </c>
      <c r="AM239" s="1079">
        <f t="shared" si="498"/>
        <v>0</v>
      </c>
      <c r="AN239" s="102"/>
      <c r="AO239" s="622" t="e">
        <f>Table5[[#This Row],[Total]]*B243/1000</f>
        <v>#VALUE!</v>
      </c>
      <c r="AP239" s="32" t="s">
        <v>134</v>
      </c>
      <c r="AQ239" s="33" t="s">
        <v>84</v>
      </c>
      <c r="AR239" s="33" t="s">
        <v>85</v>
      </c>
      <c r="AS239" s="33" t="s">
        <v>86</v>
      </c>
      <c r="AT239" s="33" t="s">
        <v>87</v>
      </c>
      <c r="AU239" s="33" t="s">
        <v>88</v>
      </c>
      <c r="AV239" s="34" t="s">
        <v>68</v>
      </c>
    </row>
    <row r="240" spans="1:48" ht="25.15" hidden="1" customHeight="1">
      <c r="A240" s="103"/>
      <c r="B240" s="35" t="s">
        <v>141</v>
      </c>
      <c r="C240" s="36"/>
      <c r="D240" s="37" t="s">
        <v>90</v>
      </c>
      <c r="E240" s="1373">
        <f>IF(E239="",0,+ E239/E246)</f>
        <v>0</v>
      </c>
      <c r="F240" s="1096">
        <f t="shared" ref="F240:AI240" si="539">IF(F239="",0, E240+F239/F246)</f>
        <v>0</v>
      </c>
      <c r="G240" s="1207">
        <f t="shared" si="539"/>
        <v>0</v>
      </c>
      <c r="H240" s="1096">
        <f t="shared" si="539"/>
        <v>0</v>
      </c>
      <c r="I240" s="1096">
        <f t="shared" si="539"/>
        <v>0</v>
      </c>
      <c r="J240" s="1207">
        <f t="shared" si="539"/>
        <v>0</v>
      </c>
      <c r="K240" s="1207">
        <f t="shared" si="539"/>
        <v>0</v>
      </c>
      <c r="L240" s="1096">
        <f t="shared" si="539"/>
        <v>0</v>
      </c>
      <c r="M240" s="1096">
        <f t="shared" si="539"/>
        <v>0</v>
      </c>
      <c r="N240" s="1096">
        <f t="shared" si="539"/>
        <v>0</v>
      </c>
      <c r="O240" s="1096">
        <f t="shared" si="539"/>
        <v>0</v>
      </c>
      <c r="P240" s="1096">
        <f t="shared" si="539"/>
        <v>0</v>
      </c>
      <c r="Q240" s="1207">
        <f t="shared" si="539"/>
        <v>0</v>
      </c>
      <c r="R240" s="1207">
        <f t="shared" si="539"/>
        <v>0</v>
      </c>
      <c r="S240" s="1096">
        <f t="shared" si="539"/>
        <v>0</v>
      </c>
      <c r="T240" s="1096">
        <f t="shared" si="539"/>
        <v>0</v>
      </c>
      <c r="U240" s="1096">
        <f t="shared" si="539"/>
        <v>0</v>
      </c>
      <c r="V240" s="1096">
        <f t="shared" si="539"/>
        <v>0</v>
      </c>
      <c r="W240" s="1096">
        <f t="shared" si="539"/>
        <v>0</v>
      </c>
      <c r="X240" s="1207">
        <f t="shared" si="539"/>
        <v>0</v>
      </c>
      <c r="Y240" s="1207">
        <f t="shared" si="539"/>
        <v>0</v>
      </c>
      <c r="Z240" s="1096">
        <f t="shared" si="539"/>
        <v>0</v>
      </c>
      <c r="AA240" s="1096">
        <f t="shared" si="539"/>
        <v>0</v>
      </c>
      <c r="AB240" s="1096">
        <f t="shared" si="539"/>
        <v>0</v>
      </c>
      <c r="AC240" s="1096">
        <f t="shared" si="539"/>
        <v>0</v>
      </c>
      <c r="AD240" s="1096">
        <f t="shared" si="539"/>
        <v>0</v>
      </c>
      <c r="AE240" s="1207">
        <f t="shared" si="539"/>
        <v>0</v>
      </c>
      <c r="AF240" s="1207">
        <f t="shared" si="539"/>
        <v>0</v>
      </c>
      <c r="AG240" s="1096">
        <f t="shared" si="539"/>
        <v>0</v>
      </c>
      <c r="AH240" s="1096">
        <f t="shared" si="539"/>
        <v>0</v>
      </c>
      <c r="AI240" s="1324">
        <f t="shared" si="539"/>
        <v>0</v>
      </c>
      <c r="AJ240" s="38"/>
      <c r="AK240" s="29"/>
      <c r="AL240" s="30"/>
      <c r="AM240" s="694"/>
      <c r="AN240" s="31"/>
      <c r="AO240" s="630"/>
      <c r="AP240" s="39" t="s">
        <v>91</v>
      </c>
      <c r="AQ240" s="40">
        <f>SUM(E239:I239)</f>
        <v>0</v>
      </c>
      <c r="AR240" s="41">
        <f>SUM(J239:P239)</f>
        <v>0</v>
      </c>
      <c r="AS240" s="41">
        <f>SUM(Q239:W239)</f>
        <v>0</v>
      </c>
      <c r="AT240" s="41">
        <f>SUM(X239:AD239)</f>
        <v>0</v>
      </c>
      <c r="AU240" s="41">
        <f>SUM(AE239:AI239)</f>
        <v>0</v>
      </c>
      <c r="AV240" s="34">
        <f t="shared" ref="AV240:AV245" si="540">SUM(AQ240:AU240)</f>
        <v>0</v>
      </c>
    </row>
    <row r="241" spans="1:48" ht="25.15" hidden="1" customHeight="1">
      <c r="A241" s="103"/>
      <c r="B241" s="26" t="s">
        <v>92</v>
      </c>
      <c r="C241" s="42"/>
      <c r="D241" s="43" t="s">
        <v>93</v>
      </c>
      <c r="E241" s="1325"/>
      <c r="F241" s="1089"/>
      <c r="G241" s="44"/>
      <c r="H241" s="1089"/>
      <c r="I241" s="1089"/>
      <c r="J241" s="44"/>
      <c r="K241" s="44"/>
      <c r="L241" s="1089"/>
      <c r="M241" s="1089"/>
      <c r="N241" s="1089"/>
      <c r="O241" s="1089"/>
      <c r="P241" s="1089"/>
      <c r="Q241" s="44"/>
      <c r="R241" s="44"/>
      <c r="S241" s="1089"/>
      <c r="T241" s="1089"/>
      <c r="U241" s="1089"/>
      <c r="V241" s="1089"/>
      <c r="W241" s="1089"/>
      <c r="X241" s="44"/>
      <c r="Y241" s="44"/>
      <c r="Z241" s="1089"/>
      <c r="AA241" s="1089"/>
      <c r="AB241" s="1089"/>
      <c r="AC241" s="1089"/>
      <c r="AD241" s="1089"/>
      <c r="AE241" s="44"/>
      <c r="AF241" s="44"/>
      <c r="AG241" s="1089"/>
      <c r="AH241" s="1089"/>
      <c r="AI241" s="1326"/>
      <c r="AJ241" s="45">
        <f>SUM(E241:AI241)</f>
        <v>0</v>
      </c>
      <c r="AK241" s="45"/>
      <c r="AL241" s="46">
        <f>+AJ241*AN239</f>
        <v>0</v>
      </c>
      <c r="AM241" s="1066"/>
      <c r="AN241" s="31"/>
      <c r="AO241" s="632">
        <f>(AJ241+AJ243+AJ244+AJ245)*B243/1000</f>
        <v>0</v>
      </c>
      <c r="AP241" s="47" t="s">
        <v>94</v>
      </c>
      <c r="AQ241" s="48">
        <f>SUM(E241:I241)</f>
        <v>0</v>
      </c>
      <c r="AR241" s="49">
        <f>SUM(J241:P241)</f>
        <v>0</v>
      </c>
      <c r="AS241" s="49">
        <f>SUM(Q241:W241)</f>
        <v>0</v>
      </c>
      <c r="AT241" s="49">
        <f>SUM(X241:AD241)</f>
        <v>0</v>
      </c>
      <c r="AU241" s="49">
        <f>SUM(AE241:AI241)</f>
        <v>0</v>
      </c>
      <c r="AV241" s="50">
        <f t="shared" si="540"/>
        <v>0</v>
      </c>
    </row>
    <row r="242" spans="1:48" ht="25.15" hidden="1" customHeight="1">
      <c r="A242" s="103"/>
      <c r="B242" s="51"/>
      <c r="C242" s="52" t="s">
        <v>95</v>
      </c>
      <c r="D242" s="53" t="s">
        <v>96</v>
      </c>
      <c r="E242" s="1327">
        <f t="shared" ref="E242:AJ242" si="541">+E241-E239</f>
        <v>0</v>
      </c>
      <c r="F242" s="1097">
        <f t="shared" si="541"/>
        <v>0</v>
      </c>
      <c r="G242" s="1205">
        <f t="shared" si="541"/>
        <v>0</v>
      </c>
      <c r="H242" s="1097">
        <f t="shared" si="541"/>
        <v>0</v>
      </c>
      <c r="I242" s="1097">
        <f t="shared" si="541"/>
        <v>0</v>
      </c>
      <c r="J242" s="1205">
        <f t="shared" si="541"/>
        <v>0</v>
      </c>
      <c r="K242" s="1205">
        <f t="shared" ref="K242" si="542">+K241-K239</f>
        <v>0</v>
      </c>
      <c r="L242" s="1097">
        <f t="shared" si="541"/>
        <v>0</v>
      </c>
      <c r="M242" s="1097">
        <f t="shared" si="541"/>
        <v>0</v>
      </c>
      <c r="N242" s="1097">
        <f t="shared" si="541"/>
        <v>0</v>
      </c>
      <c r="O242" s="1097">
        <f t="shared" si="541"/>
        <v>0</v>
      </c>
      <c r="P242" s="1097">
        <f t="shared" si="541"/>
        <v>0</v>
      </c>
      <c r="Q242" s="1205">
        <f t="shared" si="541"/>
        <v>0</v>
      </c>
      <c r="R242" s="1205">
        <f t="shared" si="541"/>
        <v>0</v>
      </c>
      <c r="S242" s="1097">
        <f t="shared" si="541"/>
        <v>0</v>
      </c>
      <c r="T242" s="1097">
        <f t="shared" si="541"/>
        <v>0</v>
      </c>
      <c r="U242" s="1097">
        <f>+U241-U239</f>
        <v>0</v>
      </c>
      <c r="V242" s="1097">
        <f t="shared" si="541"/>
        <v>0</v>
      </c>
      <c r="W242" s="1097">
        <f t="shared" si="541"/>
        <v>0</v>
      </c>
      <c r="X242" s="1205">
        <f t="shared" si="541"/>
        <v>0</v>
      </c>
      <c r="Y242" s="1205">
        <f t="shared" si="541"/>
        <v>0</v>
      </c>
      <c r="Z242" s="1097">
        <f t="shared" si="541"/>
        <v>0</v>
      </c>
      <c r="AA242" s="1097">
        <f t="shared" si="541"/>
        <v>0</v>
      </c>
      <c r="AB242" s="1097">
        <f t="shared" si="541"/>
        <v>0</v>
      </c>
      <c r="AC242" s="1097">
        <f t="shared" si="541"/>
        <v>0</v>
      </c>
      <c r="AD242" s="1097">
        <f t="shared" si="541"/>
        <v>0</v>
      </c>
      <c r="AE242" s="1205">
        <f t="shared" si="541"/>
        <v>0</v>
      </c>
      <c r="AF242" s="1205">
        <f t="shared" si="541"/>
        <v>0</v>
      </c>
      <c r="AG242" s="1097">
        <f t="shared" si="541"/>
        <v>0</v>
      </c>
      <c r="AH242" s="1097">
        <f t="shared" si="541"/>
        <v>0</v>
      </c>
      <c r="AI242" s="1328">
        <f t="shared" si="541"/>
        <v>0</v>
      </c>
      <c r="AJ242" s="54">
        <f t="shared" si="541"/>
        <v>0</v>
      </c>
      <c r="AK242" s="54"/>
      <c r="AL242" s="55">
        <f>+AJ242*AN239</f>
        <v>0</v>
      </c>
      <c r="AM242" s="1067"/>
      <c r="AN242" s="31" t="s">
        <v>97</v>
      </c>
      <c r="AO242" s="622"/>
      <c r="AP242" s="39" t="s">
        <v>98</v>
      </c>
      <c r="AQ242" s="56">
        <f>AQ241-AQ240</f>
        <v>0</v>
      </c>
      <c r="AR242" s="70">
        <f>AR241-AR240</f>
        <v>0</v>
      </c>
      <c r="AS242" s="70">
        <f>AS241-AS240</f>
        <v>0</v>
      </c>
      <c r="AT242" s="70">
        <f>AT241-AT240</f>
        <v>0</v>
      </c>
      <c r="AU242" s="70">
        <f>AU241-AU240</f>
        <v>0</v>
      </c>
      <c r="AV242" s="57">
        <f t="shared" si="540"/>
        <v>0</v>
      </c>
    </row>
    <row r="243" spans="1:48" ht="25.15" hidden="1" customHeight="1">
      <c r="A243" s="58"/>
      <c r="B243" s="59"/>
      <c r="C243" s="60" t="s">
        <v>100</v>
      </c>
      <c r="D243" s="61" t="s">
        <v>101</v>
      </c>
      <c r="E243" s="1329"/>
      <c r="F243" s="1099"/>
      <c r="G243" s="1208"/>
      <c r="H243" s="1099"/>
      <c r="I243" s="1099"/>
      <c r="J243" s="1208"/>
      <c r="K243" s="1208"/>
      <c r="L243" s="1099"/>
      <c r="M243" s="1099"/>
      <c r="N243" s="1099"/>
      <c r="O243" s="1099"/>
      <c r="P243" s="1099"/>
      <c r="Q243" s="1208"/>
      <c r="R243" s="1208"/>
      <c r="S243" s="1099"/>
      <c r="T243" s="1099"/>
      <c r="U243" s="1099"/>
      <c r="V243" s="1099"/>
      <c r="W243" s="1099"/>
      <c r="X243" s="1208"/>
      <c r="Y243" s="1208"/>
      <c r="Z243" s="1099"/>
      <c r="AA243" s="1099"/>
      <c r="AB243" s="1099"/>
      <c r="AC243" s="1099"/>
      <c r="AD243" s="1099"/>
      <c r="AE243" s="1208"/>
      <c r="AF243" s="1208"/>
      <c r="AG243" s="1099"/>
      <c r="AH243" s="1099"/>
      <c r="AI243" s="1330"/>
      <c r="AJ243" s="62">
        <f>SUM(E243:AI243)</f>
        <v>0</v>
      </c>
      <c r="AK243" s="62"/>
      <c r="AL243" s="63">
        <f>+AJ243*AN239</f>
        <v>0</v>
      </c>
      <c r="AM243" s="1068"/>
      <c r="AN243" s="64" t="e">
        <f>+AJ243/AJ241*100</f>
        <v>#DIV/0!</v>
      </c>
      <c r="AO243" s="635" t="e">
        <f>AO241/AO239</f>
        <v>#VALUE!</v>
      </c>
      <c r="AP243" s="39" t="s">
        <v>102</v>
      </c>
      <c r="AQ243" s="56">
        <f>SUM(E243:I243)</f>
        <v>0</v>
      </c>
      <c r="AR243" s="70">
        <f>SUM(J243:P243)</f>
        <v>0</v>
      </c>
      <c r="AS243" s="70">
        <f>SUM(Q243:W243)</f>
        <v>0</v>
      </c>
      <c r="AT243" s="70">
        <f>SUM(X243:AD243)</f>
        <v>0</v>
      </c>
      <c r="AU243" s="70">
        <f>SUM(AE243:AI243)</f>
        <v>0</v>
      </c>
      <c r="AV243" s="57">
        <f t="shared" si="540"/>
        <v>0</v>
      </c>
    </row>
    <row r="244" spans="1:48" ht="25.15" hidden="1" customHeight="1">
      <c r="A244" s="58" t="s">
        <v>135</v>
      </c>
      <c r="B244" s="65"/>
      <c r="C244" s="66"/>
      <c r="D244" s="67" t="s">
        <v>103</v>
      </c>
      <c r="E244" s="1331"/>
      <c r="F244" s="1101"/>
      <c r="G244" s="1209"/>
      <c r="H244" s="1101"/>
      <c r="I244" s="1101"/>
      <c r="J244" s="1209"/>
      <c r="K244" s="1209"/>
      <c r="L244" s="1101"/>
      <c r="M244" s="1101"/>
      <c r="N244" s="1101"/>
      <c r="O244" s="1101"/>
      <c r="P244" s="1101"/>
      <c r="Q244" s="1209"/>
      <c r="R244" s="1209"/>
      <c r="S244" s="1101"/>
      <c r="T244" s="1101"/>
      <c r="U244" s="1101"/>
      <c r="V244" s="1101"/>
      <c r="W244" s="1101"/>
      <c r="X244" s="1209"/>
      <c r="Y244" s="1209"/>
      <c r="Z244" s="1101"/>
      <c r="AA244" s="1101"/>
      <c r="AB244" s="1101"/>
      <c r="AC244" s="1101"/>
      <c r="AD244" s="1101"/>
      <c r="AE244" s="1209"/>
      <c r="AF244" s="1209"/>
      <c r="AG244" s="1101"/>
      <c r="AH244" s="1101"/>
      <c r="AI244" s="1332"/>
      <c r="AJ244" s="68">
        <f>SUM(E244:AI244)</f>
        <v>0</v>
      </c>
      <c r="AK244" s="68"/>
      <c r="AL244" s="69">
        <f>+AJ244*AN239</f>
        <v>0</v>
      </c>
      <c r="AM244" s="1069"/>
      <c r="AN244" s="31"/>
      <c r="AO244" s="622"/>
      <c r="AP244" s="39" t="s">
        <v>19</v>
      </c>
      <c r="AQ244" s="56">
        <f>AQ243*AN239</f>
        <v>0</v>
      </c>
      <c r="AR244" s="56">
        <f>AR243*AN239</f>
        <v>0</v>
      </c>
      <c r="AS244" s="56">
        <f>AS243*AN239</f>
        <v>0</v>
      </c>
      <c r="AT244" s="56">
        <f>AT243*AN239</f>
        <v>0</v>
      </c>
      <c r="AU244" s="56">
        <f>AU243*AN239</f>
        <v>0</v>
      </c>
      <c r="AV244" s="57">
        <f t="shared" si="540"/>
        <v>0</v>
      </c>
    </row>
    <row r="245" spans="1:48" ht="25.15" hidden="1" customHeight="1">
      <c r="A245" s="103"/>
      <c r="B245" s="65"/>
      <c r="C245" s="72" t="s">
        <v>104</v>
      </c>
      <c r="D245" s="73" t="s">
        <v>105</v>
      </c>
      <c r="E245" s="1378"/>
      <c r="F245" s="1103"/>
      <c r="G245" s="1210"/>
      <c r="H245" s="1103"/>
      <c r="I245" s="1103"/>
      <c r="J245" s="1210"/>
      <c r="K245" s="1210"/>
      <c r="L245" s="1103"/>
      <c r="M245" s="1103"/>
      <c r="N245" s="1103"/>
      <c r="O245" s="1103"/>
      <c r="P245" s="1103"/>
      <c r="Q245" s="1210"/>
      <c r="R245" s="1210"/>
      <c r="S245" s="1103"/>
      <c r="T245" s="1103"/>
      <c r="U245" s="1103"/>
      <c r="V245" s="1103"/>
      <c r="W245" s="1103"/>
      <c r="X245" s="1210"/>
      <c r="Y245" s="1210"/>
      <c r="Z245" s="1103"/>
      <c r="AA245" s="1103"/>
      <c r="AB245" s="1103"/>
      <c r="AC245" s="1103"/>
      <c r="AD245" s="1103"/>
      <c r="AE245" s="1210"/>
      <c r="AF245" s="1210"/>
      <c r="AG245" s="1103"/>
      <c r="AH245" s="1103"/>
      <c r="AI245" s="1352"/>
      <c r="AJ245" s="74">
        <f>SUM(E245:AI245)</f>
        <v>0</v>
      </c>
      <c r="AK245" s="74"/>
      <c r="AL245" s="75">
        <f>+AJ245*AN239</f>
        <v>0</v>
      </c>
      <c r="AM245" s="1070"/>
      <c r="AN245" s="76"/>
      <c r="AO245" s="636"/>
      <c r="AP245" s="47" t="s">
        <v>106</v>
      </c>
      <c r="AQ245" s="48">
        <f>AQ241*AN239</f>
        <v>0</v>
      </c>
      <c r="AR245" s="48">
        <f>AR241*AN239</f>
        <v>0</v>
      </c>
      <c r="AS245" s="48">
        <f>AS241*AN239</f>
        <v>0</v>
      </c>
      <c r="AT245" s="48">
        <f>AT241*AN239</f>
        <v>0</v>
      </c>
      <c r="AU245" s="48">
        <f>AU241*AN239</f>
        <v>0</v>
      </c>
      <c r="AV245" s="50">
        <f t="shared" si="540"/>
        <v>0</v>
      </c>
    </row>
    <row r="246" spans="1:48" ht="25.15" hidden="1" customHeight="1">
      <c r="A246" s="103"/>
      <c r="B246" s="65"/>
      <c r="C246" s="77">
        <v>300000</v>
      </c>
      <c r="D246" s="78" t="s">
        <v>107</v>
      </c>
      <c r="E246" s="1327">
        <v>1</v>
      </c>
      <c r="F246" s="1097">
        <v>1</v>
      </c>
      <c r="G246" s="1205">
        <v>1</v>
      </c>
      <c r="H246" s="1097">
        <v>1</v>
      </c>
      <c r="I246" s="1097">
        <v>1</v>
      </c>
      <c r="J246" s="1205">
        <v>1</v>
      </c>
      <c r="K246" s="1205">
        <v>1</v>
      </c>
      <c r="L246" s="1097">
        <v>1</v>
      </c>
      <c r="M246" s="1097">
        <v>1</v>
      </c>
      <c r="N246" s="1097">
        <v>1</v>
      </c>
      <c r="O246" s="1097">
        <v>1</v>
      </c>
      <c r="P246" s="1097">
        <v>1</v>
      </c>
      <c r="Q246" s="1205">
        <v>1</v>
      </c>
      <c r="R246" s="1205">
        <v>1</v>
      </c>
      <c r="S246" s="1097">
        <v>1</v>
      </c>
      <c r="T246" s="1097">
        <v>1</v>
      </c>
      <c r="U246" s="1097">
        <v>1</v>
      </c>
      <c r="V246" s="1097">
        <v>1</v>
      </c>
      <c r="W246" s="1097">
        <v>1</v>
      </c>
      <c r="X246" s="1205">
        <v>1</v>
      </c>
      <c r="Y246" s="1205">
        <v>1</v>
      </c>
      <c r="Z246" s="1097">
        <v>1</v>
      </c>
      <c r="AA246" s="1097">
        <v>1</v>
      </c>
      <c r="AB246" s="1097">
        <v>1</v>
      </c>
      <c r="AC246" s="1097">
        <v>1</v>
      </c>
      <c r="AD246" s="1097">
        <v>1</v>
      </c>
      <c r="AE246" s="1205">
        <v>1</v>
      </c>
      <c r="AF246" s="1205">
        <v>1</v>
      </c>
      <c r="AG246" s="1097">
        <v>1</v>
      </c>
      <c r="AH246" s="1097">
        <v>1</v>
      </c>
      <c r="AI246" s="1328">
        <v>1</v>
      </c>
      <c r="AJ246" s="79"/>
      <c r="AK246" s="79"/>
      <c r="AL246" s="55"/>
      <c r="AM246" s="1067"/>
      <c r="AN246" s="31"/>
      <c r="AO246" s="622"/>
      <c r="AP246" s="23"/>
      <c r="AQ246" s="23"/>
      <c r="AR246" s="23"/>
      <c r="AS246" s="23"/>
      <c r="AT246" s="23"/>
      <c r="AU246" s="23"/>
      <c r="AV246" s="23"/>
    </row>
    <row r="247" spans="1:48" ht="25.15" hidden="1" customHeight="1">
      <c r="A247" s="103"/>
      <c r="B247" s="65"/>
      <c r="C247" s="80" t="s">
        <v>108</v>
      </c>
      <c r="D247" s="81" t="s">
        <v>109</v>
      </c>
      <c r="E247" s="1374">
        <f>SUM(E241+E243+E244+E245)/E246</f>
        <v>0</v>
      </c>
      <c r="F247" s="1104">
        <f>SUM(F241+F243+F244+F245)/F246</f>
        <v>0</v>
      </c>
      <c r="G247" s="1211">
        <f>SUM(G241+G243+G244+G245)/G246</f>
        <v>0</v>
      </c>
      <c r="H247" s="1104">
        <f t="shared" ref="H247:AH247" si="543">SUM(H241+H243+H244+H245)/H246</f>
        <v>0</v>
      </c>
      <c r="I247" s="1104">
        <f t="shared" si="543"/>
        <v>0</v>
      </c>
      <c r="J247" s="1211">
        <f t="shared" si="543"/>
        <v>0</v>
      </c>
      <c r="K247" s="1211">
        <f t="shared" si="543"/>
        <v>0</v>
      </c>
      <c r="L247" s="1104">
        <f t="shared" si="543"/>
        <v>0</v>
      </c>
      <c r="M247" s="1104">
        <f t="shared" si="543"/>
        <v>0</v>
      </c>
      <c r="N247" s="1104">
        <f t="shared" si="543"/>
        <v>0</v>
      </c>
      <c r="O247" s="1104">
        <f t="shared" si="543"/>
        <v>0</v>
      </c>
      <c r="P247" s="1104">
        <f t="shared" si="543"/>
        <v>0</v>
      </c>
      <c r="Q247" s="1211">
        <f t="shared" si="543"/>
        <v>0</v>
      </c>
      <c r="R247" s="1211">
        <f t="shared" si="543"/>
        <v>0</v>
      </c>
      <c r="S247" s="1104">
        <f t="shared" si="543"/>
        <v>0</v>
      </c>
      <c r="T247" s="1104">
        <f t="shared" si="543"/>
        <v>0</v>
      </c>
      <c r="U247" s="1104">
        <f t="shared" si="543"/>
        <v>0</v>
      </c>
      <c r="V247" s="1104">
        <v>0</v>
      </c>
      <c r="W247" s="1104">
        <f t="shared" si="543"/>
        <v>0</v>
      </c>
      <c r="X247" s="1211">
        <f t="shared" si="543"/>
        <v>0</v>
      </c>
      <c r="Y247" s="1211">
        <f t="shared" si="543"/>
        <v>0</v>
      </c>
      <c r="Z247" s="1104">
        <f t="shared" si="543"/>
        <v>0</v>
      </c>
      <c r="AA247" s="1104">
        <f t="shared" si="543"/>
        <v>0</v>
      </c>
      <c r="AB247" s="1104">
        <f t="shared" si="543"/>
        <v>0</v>
      </c>
      <c r="AC247" s="1104">
        <f t="shared" si="543"/>
        <v>0</v>
      </c>
      <c r="AD247" s="1104">
        <f t="shared" si="543"/>
        <v>0</v>
      </c>
      <c r="AE247" s="1211">
        <f t="shared" si="543"/>
        <v>0</v>
      </c>
      <c r="AF247" s="1211">
        <f t="shared" si="543"/>
        <v>0</v>
      </c>
      <c r="AG247" s="1104">
        <f t="shared" si="543"/>
        <v>0</v>
      </c>
      <c r="AH247" s="1104">
        <f t="shared" si="543"/>
        <v>0</v>
      </c>
      <c r="AI247" s="1335">
        <f>SUM(AI241+AI243+AI244)/AI246</f>
        <v>0</v>
      </c>
      <c r="AJ247" s="104">
        <f>SUM(E247:AI247)</f>
        <v>0</v>
      </c>
      <c r="AK247" s="104"/>
      <c r="AL247" s="83"/>
      <c r="AM247" s="1068"/>
      <c r="AN247" s="31"/>
      <c r="AO247" s="622"/>
      <c r="AP247" s="23"/>
      <c r="AQ247" s="23"/>
      <c r="AR247" s="23"/>
      <c r="AS247" s="23"/>
      <c r="AT247" s="23"/>
      <c r="AU247" s="23"/>
      <c r="AV247" s="23"/>
    </row>
    <row r="248" spans="1:48" ht="25.15" hidden="1" customHeight="1">
      <c r="A248" s="103"/>
      <c r="B248" s="59"/>
      <c r="C248" s="84">
        <f>+C246*0.8</f>
        <v>240000</v>
      </c>
      <c r="D248" s="85" t="s">
        <v>110</v>
      </c>
      <c r="E248" s="1105"/>
      <c r="F248" s="1106"/>
      <c r="G248" s="1211"/>
      <c r="H248" s="1104"/>
      <c r="I248" s="1104"/>
      <c r="J248" s="1211"/>
      <c r="K248" s="1211"/>
      <c r="L248" s="1104"/>
      <c r="M248" s="1104"/>
      <c r="N248" s="1104"/>
      <c r="O248" s="1107"/>
      <c r="P248" s="1104"/>
      <c r="Q248" s="1211"/>
      <c r="R248" s="1211"/>
      <c r="S248" s="1104"/>
      <c r="T248" s="1104"/>
      <c r="U248" s="1104"/>
      <c r="V248" s="1104"/>
      <c r="W248" s="1104"/>
      <c r="X248" s="1211"/>
      <c r="Y248" s="1211"/>
      <c r="Z248" s="1104"/>
      <c r="AA248" s="1104"/>
      <c r="AB248" s="1104"/>
      <c r="AC248" s="1104"/>
      <c r="AD248" s="1104"/>
      <c r="AE248" s="1211"/>
      <c r="AF248" s="1211"/>
      <c r="AG248" s="1104"/>
      <c r="AH248" s="1104"/>
      <c r="AI248" s="1353"/>
      <c r="AJ248" s="86"/>
      <c r="AK248" s="86"/>
      <c r="AL248" s="690"/>
      <c r="AM248" s="694"/>
      <c r="AN248" s="31"/>
      <c r="AO248" s="622"/>
      <c r="AP248" s="23"/>
      <c r="AQ248" s="23"/>
      <c r="AR248" s="23"/>
      <c r="AS248" s="23"/>
      <c r="AT248" s="23"/>
      <c r="AU248" s="23"/>
      <c r="AV248" s="23"/>
    </row>
    <row r="249" spans="1:48" ht="24" hidden="1" customHeight="1">
      <c r="A249" s="103"/>
      <c r="B249" s="105"/>
      <c r="C249" s="77"/>
      <c r="D249" s="88" t="s">
        <v>111</v>
      </c>
      <c r="E249" s="1108">
        <f>IF(E248="O/H",E247,0+E247)</f>
        <v>0</v>
      </c>
      <c r="F249" s="1089">
        <f t="shared" ref="F249:AI249" si="544">IF(F248="O/H",F247,+E249+F247)</f>
        <v>0</v>
      </c>
      <c r="G249" s="44">
        <f t="shared" si="544"/>
        <v>0</v>
      </c>
      <c r="H249" s="1089">
        <f t="shared" si="544"/>
        <v>0</v>
      </c>
      <c r="I249" s="1089">
        <f t="shared" si="544"/>
        <v>0</v>
      </c>
      <c r="J249" s="44">
        <f t="shared" si="544"/>
        <v>0</v>
      </c>
      <c r="K249" s="44">
        <f t="shared" si="544"/>
        <v>0</v>
      </c>
      <c r="L249" s="1089">
        <f t="shared" si="544"/>
        <v>0</v>
      </c>
      <c r="M249" s="1089">
        <f t="shared" si="544"/>
        <v>0</v>
      </c>
      <c r="N249" s="1089">
        <f t="shared" si="544"/>
        <v>0</v>
      </c>
      <c r="O249" s="1089">
        <f t="shared" si="544"/>
        <v>0</v>
      </c>
      <c r="P249" s="1089">
        <f t="shared" si="544"/>
        <v>0</v>
      </c>
      <c r="Q249" s="44">
        <f t="shared" si="544"/>
        <v>0</v>
      </c>
      <c r="R249" s="44">
        <f t="shared" si="544"/>
        <v>0</v>
      </c>
      <c r="S249" s="1089">
        <f t="shared" si="544"/>
        <v>0</v>
      </c>
      <c r="T249" s="1089">
        <f t="shared" si="544"/>
        <v>0</v>
      </c>
      <c r="U249" s="1089">
        <f t="shared" si="544"/>
        <v>0</v>
      </c>
      <c r="V249" s="1089">
        <f t="shared" si="544"/>
        <v>0</v>
      </c>
      <c r="W249" s="1089">
        <f t="shared" si="544"/>
        <v>0</v>
      </c>
      <c r="X249" s="44">
        <f t="shared" si="544"/>
        <v>0</v>
      </c>
      <c r="Y249" s="44">
        <f t="shared" si="544"/>
        <v>0</v>
      </c>
      <c r="Z249" s="1089">
        <f t="shared" si="544"/>
        <v>0</v>
      </c>
      <c r="AA249" s="1089">
        <f t="shared" si="544"/>
        <v>0</v>
      </c>
      <c r="AB249" s="1089">
        <f t="shared" si="544"/>
        <v>0</v>
      </c>
      <c r="AC249" s="1089">
        <f t="shared" si="544"/>
        <v>0</v>
      </c>
      <c r="AD249" s="1089">
        <f t="shared" si="544"/>
        <v>0</v>
      </c>
      <c r="AE249" s="44">
        <f t="shared" si="544"/>
        <v>0</v>
      </c>
      <c r="AF249" s="44">
        <f t="shared" si="544"/>
        <v>0</v>
      </c>
      <c r="AG249" s="1089">
        <f t="shared" si="544"/>
        <v>0</v>
      </c>
      <c r="AH249" s="1089">
        <f t="shared" si="544"/>
        <v>0</v>
      </c>
      <c r="AI249" s="1326">
        <f t="shared" si="544"/>
        <v>0</v>
      </c>
      <c r="AJ249" s="79"/>
      <c r="AK249" s="86"/>
      <c r="AL249" s="689"/>
      <c r="AM249" s="694"/>
      <c r="AN249" s="31"/>
      <c r="AO249" s="622"/>
      <c r="AP249" s="23"/>
      <c r="AQ249" s="23"/>
      <c r="AR249" s="23"/>
      <c r="AS249" s="23"/>
      <c r="AT249" s="23"/>
      <c r="AU249" s="23"/>
      <c r="AV249" s="23"/>
    </row>
    <row r="250" spans="1:48" s="23" customFormat="1" ht="20.65" hidden="1" customHeight="1">
      <c r="A250" s="274"/>
      <c r="B250" s="312"/>
      <c r="C250" s="308"/>
      <c r="D250" s="795" t="s">
        <v>112</v>
      </c>
      <c r="E250" s="1117" t="b">
        <f>IF(AND(ISNUMBER(E241)),314508+E247)</f>
        <v>0</v>
      </c>
      <c r="F250" s="1118" t="str">
        <f>IF(AND(ISNUMBER(F241)),E250+F247,"")</f>
        <v/>
      </c>
      <c r="G250" s="1216" t="str">
        <f t="shared" ref="G250" si="545">IF(AND(ISNUMBER(G241)),F250+G247,"")</f>
        <v/>
      </c>
      <c r="H250" s="1118" t="str">
        <f t="shared" ref="H250" si="546">IF(AND(ISNUMBER(H241)),G250+H247,"")</f>
        <v/>
      </c>
      <c r="I250" s="1118" t="str">
        <f>IF(AND(ISNUMBER(I241)),H250+I247,"")</f>
        <v/>
      </c>
      <c r="J250" s="1216" t="str">
        <f>IF(AND(ISNUMBER(J241)),I250+J247,"")</f>
        <v/>
      </c>
      <c r="K250" s="1216" t="str">
        <f>IF(AND(ISNUMBER(K241)),J250+K247,"")</f>
        <v/>
      </c>
      <c r="L250" s="1118" t="str">
        <f t="shared" ref="L250" si="547">IF(AND(ISNUMBER(L241)),K250+L247,"")</f>
        <v/>
      </c>
      <c r="M250" s="1118" t="str">
        <f t="shared" ref="M250" si="548">IF(AND(ISNUMBER(M241)),L250+M247,"")</f>
        <v/>
      </c>
      <c r="N250" s="1118" t="str">
        <f t="shared" ref="N250" si="549">IF(AND(ISNUMBER(N241)),M250+N247,"")</f>
        <v/>
      </c>
      <c r="O250" s="1118" t="str">
        <f t="shared" ref="O250" si="550">IF(AND(ISNUMBER(O241)),N250+O247,"")</f>
        <v/>
      </c>
      <c r="P250" s="1118" t="str">
        <f t="shared" ref="P250" si="551">IF(AND(ISNUMBER(P241)),O250+P247,"")</f>
        <v/>
      </c>
      <c r="Q250" s="1216" t="str">
        <f t="shared" ref="Q250" si="552">IF(AND(ISNUMBER(Q241)),P250+Q247,"")</f>
        <v/>
      </c>
      <c r="R250" s="1216" t="str">
        <f t="shared" ref="R250" si="553">IF(AND(ISNUMBER(R241)),Q250+R247,"")</f>
        <v/>
      </c>
      <c r="S250" s="1118" t="str">
        <f t="shared" ref="S250" si="554">IF(AND(ISNUMBER(S241)),R250+S247,"")</f>
        <v/>
      </c>
      <c r="T250" s="1118" t="str">
        <f t="shared" ref="T250" si="555">IF(AND(ISNUMBER(T241)),S250+T247,"")</f>
        <v/>
      </c>
      <c r="U250" s="1118" t="str">
        <f t="shared" ref="U250" si="556">IF(AND(ISNUMBER(U241)),T250+U247,"")</f>
        <v/>
      </c>
      <c r="V250" s="1118" t="str">
        <f t="shared" ref="V250" si="557">IF(AND(ISNUMBER(V241)),U250+V247,"")</f>
        <v/>
      </c>
      <c r="W250" s="1118" t="str">
        <f t="shared" ref="W250" si="558">IF(AND(ISNUMBER(W241)),V250+W247,"")</f>
        <v/>
      </c>
      <c r="X250" s="1216" t="str">
        <f t="shared" ref="X250" si="559">IF(AND(ISNUMBER(X241)),W250+X247,"")</f>
        <v/>
      </c>
      <c r="Y250" s="1216" t="str">
        <f t="shared" ref="Y250" si="560">IF(AND(ISNUMBER(Y241)),X250+Y247,"")</f>
        <v/>
      </c>
      <c r="Z250" s="1118" t="str">
        <f t="shared" ref="Z250" si="561">IF(AND(ISNUMBER(Z241)),Y250+Z247,"")</f>
        <v/>
      </c>
      <c r="AA250" s="1118" t="str">
        <f t="shared" ref="AA250" si="562">IF(AND(ISNUMBER(AA241)),Z250+AA247,"")</f>
        <v/>
      </c>
      <c r="AB250" s="1118" t="str">
        <f t="shared" ref="AB250" si="563">IF(AND(ISNUMBER(AB241)),AA250+AB247,"")</f>
        <v/>
      </c>
      <c r="AC250" s="1118" t="str">
        <f t="shared" ref="AC250" si="564">IF(AND(ISNUMBER(AC241)),AB250+AC247,"")</f>
        <v/>
      </c>
      <c r="AD250" s="1118" t="str">
        <f t="shared" ref="AD250" si="565">IF(AND(ISNUMBER(AD241)),AC250+AD247,"")</f>
        <v/>
      </c>
      <c r="AE250" s="1216" t="str">
        <f t="shared" ref="AE250" si="566">IF(AND(ISNUMBER(AE241)),AD250+AE247,"")</f>
        <v/>
      </c>
      <c r="AF250" s="1216" t="str">
        <f t="shared" ref="AF250" si="567">IF(AND(ISNUMBER(AF241)),AE250+AF247,"")</f>
        <v/>
      </c>
      <c r="AG250" s="1118" t="str">
        <f t="shared" ref="AG250" si="568">IF(AND(ISNUMBER(AG241)),AF250+AG247,"")</f>
        <v/>
      </c>
      <c r="AH250" s="1118" t="str">
        <f t="shared" ref="AH250" si="569">IF(AND(ISNUMBER(AH241)),AG250+AH247,"")</f>
        <v/>
      </c>
      <c r="AI250" s="1118" t="str">
        <f t="shared" ref="AI250" si="570">IF(AND(ISNUMBER(AI241)),AH250+AI247,"")</f>
        <v/>
      </c>
      <c r="AJ250" s="793"/>
      <c r="AK250" s="793"/>
      <c r="AL250" s="909"/>
      <c r="AM250" s="890"/>
      <c r="AN250" s="76"/>
      <c r="AO250" s="624"/>
      <c r="AP250" s="285"/>
      <c r="AQ250" s="285"/>
      <c r="AR250" s="285"/>
      <c r="AS250" s="285"/>
      <c r="AT250" s="286"/>
      <c r="AU250" s="285"/>
      <c r="AV250" s="287"/>
    </row>
    <row r="251" spans="1:48" ht="25.15" hidden="1" customHeight="1">
      <c r="A251" s="103"/>
      <c r="B251" s="89"/>
      <c r="C251" s="80"/>
      <c r="D251" s="90" t="s">
        <v>104</v>
      </c>
      <c r="E251" s="1108"/>
      <c r="F251" s="1089"/>
      <c r="G251" s="44"/>
      <c r="H251" s="1089"/>
      <c r="I251" s="1089"/>
      <c r="J251" s="44"/>
      <c r="K251" s="44"/>
      <c r="L251" s="1089"/>
      <c r="M251" s="1089"/>
      <c r="N251" s="1089"/>
      <c r="O251" s="1089"/>
      <c r="P251" s="1089"/>
      <c r="Q251" s="44"/>
      <c r="R251" s="44"/>
      <c r="S251" s="1089"/>
      <c r="T251" s="1089"/>
      <c r="U251" s="1089"/>
      <c r="V251" s="1089"/>
      <c r="W251" s="1089"/>
      <c r="X251" s="44"/>
      <c r="Y251" s="44"/>
      <c r="Z251" s="1089"/>
      <c r="AA251" s="1089"/>
      <c r="AB251" s="1089"/>
      <c r="AC251" s="1089"/>
      <c r="AD251" s="1089"/>
      <c r="AE251" s="44"/>
      <c r="AF251" s="44"/>
      <c r="AG251" s="1089"/>
      <c r="AH251" s="1089"/>
      <c r="AI251" s="1326"/>
      <c r="AJ251" s="79"/>
      <c r="AK251" s="79"/>
      <c r="AL251" s="63"/>
      <c r="AM251" s="1068"/>
      <c r="AN251" s="64"/>
      <c r="AO251" s="624"/>
      <c r="AP251" s="23"/>
      <c r="AQ251" s="23"/>
      <c r="AR251" s="23"/>
      <c r="AS251" s="23"/>
      <c r="AT251" s="23"/>
      <c r="AU251" s="23"/>
      <c r="AV251" s="23"/>
    </row>
    <row r="252" spans="1:48" ht="25.15" hidden="1" customHeight="1" thickBot="1">
      <c r="A252" s="106"/>
      <c r="B252" s="93"/>
      <c r="C252" s="94"/>
      <c r="D252" s="95" t="s">
        <v>111</v>
      </c>
      <c r="E252" s="1109">
        <f>IF(E251="O/H",E247,0+E247)</f>
        <v>0</v>
      </c>
      <c r="F252" s="1110">
        <f t="shared" ref="F252:AI252" si="571">IF(F251="O/H",F247,+E252+F247)</f>
        <v>0</v>
      </c>
      <c r="G252" s="1212">
        <f t="shared" si="571"/>
        <v>0</v>
      </c>
      <c r="H252" s="1110">
        <f t="shared" si="571"/>
        <v>0</v>
      </c>
      <c r="I252" s="1110">
        <f t="shared" si="571"/>
        <v>0</v>
      </c>
      <c r="J252" s="1212">
        <f t="shared" si="571"/>
        <v>0</v>
      </c>
      <c r="K252" s="1212">
        <f t="shared" si="571"/>
        <v>0</v>
      </c>
      <c r="L252" s="1110">
        <f t="shared" si="571"/>
        <v>0</v>
      </c>
      <c r="M252" s="1110">
        <f t="shared" si="571"/>
        <v>0</v>
      </c>
      <c r="N252" s="1110">
        <f t="shared" si="571"/>
        <v>0</v>
      </c>
      <c r="O252" s="1110">
        <f t="shared" si="571"/>
        <v>0</v>
      </c>
      <c r="P252" s="1110">
        <f t="shared" si="571"/>
        <v>0</v>
      </c>
      <c r="Q252" s="1212">
        <f t="shared" si="571"/>
        <v>0</v>
      </c>
      <c r="R252" s="1212">
        <f t="shared" si="571"/>
        <v>0</v>
      </c>
      <c r="S252" s="1110">
        <f t="shared" si="571"/>
        <v>0</v>
      </c>
      <c r="T252" s="1110">
        <f t="shared" si="571"/>
        <v>0</v>
      </c>
      <c r="U252" s="1110">
        <f t="shared" si="571"/>
        <v>0</v>
      </c>
      <c r="V252" s="1110">
        <f t="shared" si="571"/>
        <v>0</v>
      </c>
      <c r="W252" s="1110">
        <f t="shared" si="571"/>
        <v>0</v>
      </c>
      <c r="X252" s="1212">
        <f t="shared" si="571"/>
        <v>0</v>
      </c>
      <c r="Y252" s="1212">
        <f t="shared" si="571"/>
        <v>0</v>
      </c>
      <c r="Z252" s="1110">
        <f t="shared" si="571"/>
        <v>0</v>
      </c>
      <c r="AA252" s="1110">
        <f t="shared" si="571"/>
        <v>0</v>
      </c>
      <c r="AB252" s="1110">
        <f t="shared" si="571"/>
        <v>0</v>
      </c>
      <c r="AC252" s="1110">
        <f t="shared" si="571"/>
        <v>0</v>
      </c>
      <c r="AD252" s="1110">
        <f t="shared" si="571"/>
        <v>0</v>
      </c>
      <c r="AE252" s="1212">
        <f t="shared" si="571"/>
        <v>0</v>
      </c>
      <c r="AF252" s="1212">
        <f t="shared" si="571"/>
        <v>0</v>
      </c>
      <c r="AG252" s="1110">
        <f t="shared" si="571"/>
        <v>0</v>
      </c>
      <c r="AH252" s="1110">
        <f t="shared" si="571"/>
        <v>0</v>
      </c>
      <c r="AI252" s="1340">
        <f t="shared" si="571"/>
        <v>0</v>
      </c>
      <c r="AJ252" s="96"/>
      <c r="AK252" s="96"/>
      <c r="AL252" s="97"/>
      <c r="AM252" s="1071"/>
      <c r="AN252" s="98"/>
      <c r="AO252" s="625"/>
      <c r="AP252" s="23"/>
      <c r="AQ252" s="23"/>
      <c r="AR252" s="23"/>
      <c r="AS252" s="23"/>
      <c r="AT252" s="23"/>
      <c r="AU252" s="23"/>
      <c r="AV252" s="23"/>
    </row>
    <row r="253" spans="1:48" ht="25.15" hidden="1" customHeight="1" thickTop="1">
      <c r="A253" s="99"/>
      <c r="B253" s="26" t="s">
        <v>142</v>
      </c>
      <c r="C253" s="27"/>
      <c r="D253" s="28" t="s">
        <v>82</v>
      </c>
      <c r="E253" s="1111"/>
      <c r="F253" s="1111"/>
      <c r="G253" s="1201"/>
      <c r="H253" s="1111"/>
      <c r="I253" s="1111"/>
      <c r="J253" s="1201"/>
      <c r="K253" s="1201"/>
      <c r="L253" s="1111"/>
      <c r="M253" s="1111"/>
      <c r="N253" s="1111"/>
      <c r="O253" s="1111"/>
      <c r="P253" s="1111"/>
      <c r="Q253" s="1201"/>
      <c r="R253" s="1201"/>
      <c r="S253" s="1111"/>
      <c r="T253" s="1111"/>
      <c r="U253" s="1111"/>
      <c r="V253" s="1111"/>
      <c r="W253" s="1111"/>
      <c r="X253" s="1201"/>
      <c r="Y253" s="1201"/>
      <c r="Z253" s="1111"/>
      <c r="AA253" s="1111"/>
      <c r="AB253" s="1111"/>
      <c r="AC253" s="1111"/>
      <c r="AD253" s="1111"/>
      <c r="AE253" s="1201"/>
      <c r="AF253" s="1201"/>
      <c r="AG253" s="1111"/>
      <c r="AH253" s="1111"/>
      <c r="AI253" s="1412"/>
      <c r="AJ253" s="100">
        <f>SUM(Table75[[#This Row],[June''2026]:[Column27]])</f>
        <v>0</v>
      </c>
      <c r="AK253" s="1078">
        <f t="shared" si="497"/>
        <v>0</v>
      </c>
      <c r="AL253" s="101">
        <f>+AJ253*AN253</f>
        <v>0</v>
      </c>
      <c r="AM253" s="1079">
        <f t="shared" si="498"/>
        <v>0</v>
      </c>
      <c r="AN253" s="102"/>
      <c r="AO253" s="622" t="e">
        <f>Table5[[#This Row],[Total]]*B257/1000</f>
        <v>#VALUE!</v>
      </c>
      <c r="AP253" s="32" t="s">
        <v>134</v>
      </c>
      <c r="AQ253" s="33" t="s">
        <v>84</v>
      </c>
      <c r="AR253" s="33" t="s">
        <v>85</v>
      </c>
      <c r="AS253" s="33" t="s">
        <v>86</v>
      </c>
      <c r="AT253" s="33" t="s">
        <v>87</v>
      </c>
      <c r="AU253" s="33" t="s">
        <v>88</v>
      </c>
      <c r="AV253" s="34" t="s">
        <v>68</v>
      </c>
    </row>
    <row r="254" spans="1:48" ht="25.15" hidden="1" customHeight="1">
      <c r="A254" s="103"/>
      <c r="B254" s="26" t="s">
        <v>143</v>
      </c>
      <c r="C254" s="36"/>
      <c r="D254" s="37" t="s">
        <v>90</v>
      </c>
      <c r="E254" s="1373">
        <f>IF(E253="",0,+ E253/E260)</f>
        <v>0</v>
      </c>
      <c r="F254" s="1096">
        <f t="shared" ref="F254:AI254" si="572">IF(F253="",0, E254+F253/F260)</f>
        <v>0</v>
      </c>
      <c r="G254" s="1207">
        <f t="shared" si="572"/>
        <v>0</v>
      </c>
      <c r="H254" s="1096">
        <f t="shared" si="572"/>
        <v>0</v>
      </c>
      <c r="I254" s="1096">
        <f t="shared" si="572"/>
        <v>0</v>
      </c>
      <c r="J254" s="1207">
        <f t="shared" si="572"/>
        <v>0</v>
      </c>
      <c r="K254" s="1207">
        <f t="shared" si="572"/>
        <v>0</v>
      </c>
      <c r="L254" s="1096">
        <f t="shared" si="572"/>
        <v>0</v>
      </c>
      <c r="M254" s="1096">
        <f t="shared" si="572"/>
        <v>0</v>
      </c>
      <c r="N254" s="1096">
        <f t="shared" si="572"/>
        <v>0</v>
      </c>
      <c r="O254" s="1096">
        <f t="shared" si="572"/>
        <v>0</v>
      </c>
      <c r="P254" s="1096">
        <f t="shared" si="572"/>
        <v>0</v>
      </c>
      <c r="Q254" s="1207">
        <f t="shared" si="572"/>
        <v>0</v>
      </c>
      <c r="R254" s="1207">
        <f t="shared" si="572"/>
        <v>0</v>
      </c>
      <c r="S254" s="1096">
        <f t="shared" si="572"/>
        <v>0</v>
      </c>
      <c r="T254" s="1096">
        <f t="shared" si="572"/>
        <v>0</v>
      </c>
      <c r="U254" s="1096">
        <f t="shared" si="572"/>
        <v>0</v>
      </c>
      <c r="V254" s="1096">
        <f t="shared" si="572"/>
        <v>0</v>
      </c>
      <c r="W254" s="1096">
        <f t="shared" si="572"/>
        <v>0</v>
      </c>
      <c r="X254" s="1207">
        <f t="shared" si="572"/>
        <v>0</v>
      </c>
      <c r="Y254" s="1207">
        <f t="shared" si="572"/>
        <v>0</v>
      </c>
      <c r="Z254" s="1096">
        <f t="shared" si="572"/>
        <v>0</v>
      </c>
      <c r="AA254" s="1096">
        <f t="shared" si="572"/>
        <v>0</v>
      </c>
      <c r="AB254" s="1096">
        <f t="shared" si="572"/>
        <v>0</v>
      </c>
      <c r="AC254" s="1096">
        <f t="shared" si="572"/>
        <v>0</v>
      </c>
      <c r="AD254" s="1096">
        <f t="shared" si="572"/>
        <v>0</v>
      </c>
      <c r="AE254" s="1207">
        <f t="shared" si="572"/>
        <v>0</v>
      </c>
      <c r="AF254" s="1207">
        <f t="shared" si="572"/>
        <v>0</v>
      </c>
      <c r="AG254" s="1096">
        <f t="shared" si="572"/>
        <v>0</v>
      </c>
      <c r="AH254" s="1096">
        <f t="shared" si="572"/>
        <v>0</v>
      </c>
      <c r="AI254" s="1324">
        <f t="shared" si="572"/>
        <v>0</v>
      </c>
      <c r="AJ254" s="38"/>
      <c r="AK254" s="29"/>
      <c r="AL254" s="30"/>
      <c r="AM254" s="694"/>
      <c r="AN254" s="31"/>
      <c r="AO254" s="630"/>
      <c r="AP254" s="39" t="s">
        <v>91</v>
      </c>
      <c r="AQ254" s="40">
        <f>SUM(E253:I253)</f>
        <v>0</v>
      </c>
      <c r="AR254" s="41">
        <f>SUM(J253:P253)</f>
        <v>0</v>
      </c>
      <c r="AS254" s="41">
        <f>SUM(Q253:W253)</f>
        <v>0</v>
      </c>
      <c r="AT254" s="41">
        <f>SUM(X253:AD253)</f>
        <v>0</v>
      </c>
      <c r="AU254" s="41">
        <f>SUM(AE253:AI253)</f>
        <v>0</v>
      </c>
      <c r="AV254" s="34">
        <f t="shared" ref="AV254:AV259" si="573">SUM(AQ254:AU254)</f>
        <v>0</v>
      </c>
    </row>
    <row r="255" spans="1:48" ht="25.15" hidden="1" customHeight="1">
      <c r="A255" s="103"/>
      <c r="B255" s="26" t="s">
        <v>92</v>
      </c>
      <c r="C255" s="42"/>
      <c r="D255" s="43" t="s">
        <v>93</v>
      </c>
      <c r="E255" s="1108"/>
      <c r="F255" s="1089"/>
      <c r="G255" s="44"/>
      <c r="H255" s="1089"/>
      <c r="I255" s="1089"/>
      <c r="J255" s="44"/>
      <c r="K255" s="44"/>
      <c r="L255" s="1089"/>
      <c r="M255" s="1089"/>
      <c r="N255" s="1089"/>
      <c r="O255" s="1089"/>
      <c r="P255" s="1089"/>
      <c r="Q255" s="44"/>
      <c r="R255" s="44"/>
      <c r="S255" s="1089"/>
      <c r="T255" s="1089"/>
      <c r="U255" s="1089"/>
      <c r="V255" s="1089"/>
      <c r="W255" s="1089"/>
      <c r="X255" s="44"/>
      <c r="Y255" s="44"/>
      <c r="Z255" s="1089"/>
      <c r="AA255" s="1089"/>
      <c r="AB255" s="1089"/>
      <c r="AC255" s="1089"/>
      <c r="AD255" s="1089"/>
      <c r="AE255" s="44"/>
      <c r="AF255" s="44"/>
      <c r="AG255" s="1089"/>
      <c r="AH255" s="1089"/>
      <c r="AI255" s="1326"/>
      <c r="AJ255" s="45">
        <f>SUM(E255:AI255)</f>
        <v>0</v>
      </c>
      <c r="AK255" s="45"/>
      <c r="AL255" s="46">
        <f>+AJ255*AN253</f>
        <v>0</v>
      </c>
      <c r="AM255" s="1066"/>
      <c r="AN255" s="31"/>
      <c r="AO255" s="632">
        <f>(AJ255+AJ257+AJ258+AJ259)*B257/1000</f>
        <v>0</v>
      </c>
      <c r="AP255" s="47" t="s">
        <v>94</v>
      </c>
      <c r="AQ255" s="48">
        <f>SUM(E255:I255)</f>
        <v>0</v>
      </c>
      <c r="AR255" s="49">
        <f>SUM(J255:P255)</f>
        <v>0</v>
      </c>
      <c r="AS255" s="49">
        <f>SUM(Q255:W255)</f>
        <v>0</v>
      </c>
      <c r="AT255" s="49">
        <f>SUM(X255:AD255)</f>
        <v>0</v>
      </c>
      <c r="AU255" s="49">
        <f>SUM(AE255:AI255)</f>
        <v>0</v>
      </c>
      <c r="AV255" s="50">
        <f t="shared" si="573"/>
        <v>0</v>
      </c>
    </row>
    <row r="256" spans="1:48" ht="25.15" hidden="1" customHeight="1">
      <c r="A256" s="103"/>
      <c r="B256" s="51"/>
      <c r="C256" s="52" t="s">
        <v>95</v>
      </c>
      <c r="D256" s="53" t="s">
        <v>96</v>
      </c>
      <c r="E256" s="1327">
        <f t="shared" ref="E256:AH256" si="574">+E255-E253</f>
        <v>0</v>
      </c>
      <c r="F256" s="1097">
        <f t="shared" si="574"/>
        <v>0</v>
      </c>
      <c r="G256" s="1205">
        <f t="shared" si="574"/>
        <v>0</v>
      </c>
      <c r="H256" s="1097">
        <f t="shared" si="574"/>
        <v>0</v>
      </c>
      <c r="I256" s="1097">
        <f t="shared" si="574"/>
        <v>0</v>
      </c>
      <c r="J256" s="1205">
        <f t="shared" si="574"/>
        <v>0</v>
      </c>
      <c r="K256" s="1205">
        <f t="shared" si="574"/>
        <v>0</v>
      </c>
      <c r="L256" s="1097">
        <f t="shared" si="574"/>
        <v>0</v>
      </c>
      <c r="M256" s="1097">
        <f t="shared" si="574"/>
        <v>0</v>
      </c>
      <c r="N256" s="1097">
        <f t="shared" si="574"/>
        <v>0</v>
      </c>
      <c r="O256" s="1097">
        <f t="shared" si="574"/>
        <v>0</v>
      </c>
      <c r="P256" s="1097">
        <f t="shared" si="574"/>
        <v>0</v>
      </c>
      <c r="Q256" s="1205">
        <f t="shared" si="574"/>
        <v>0</v>
      </c>
      <c r="R256" s="1205">
        <f t="shared" si="574"/>
        <v>0</v>
      </c>
      <c r="S256" s="1097">
        <f t="shared" si="574"/>
        <v>0</v>
      </c>
      <c r="T256" s="1097">
        <f t="shared" si="574"/>
        <v>0</v>
      </c>
      <c r="U256" s="1097">
        <f>+U255-U253</f>
        <v>0</v>
      </c>
      <c r="V256" s="1097">
        <f t="shared" si="574"/>
        <v>0</v>
      </c>
      <c r="W256" s="1097">
        <f t="shared" si="574"/>
        <v>0</v>
      </c>
      <c r="X256" s="1205">
        <f t="shared" si="574"/>
        <v>0</v>
      </c>
      <c r="Y256" s="1205">
        <f t="shared" si="574"/>
        <v>0</v>
      </c>
      <c r="Z256" s="1097">
        <f t="shared" si="574"/>
        <v>0</v>
      </c>
      <c r="AA256" s="1097">
        <f t="shared" si="574"/>
        <v>0</v>
      </c>
      <c r="AB256" s="1097">
        <f t="shared" si="574"/>
        <v>0</v>
      </c>
      <c r="AC256" s="1097">
        <f t="shared" si="574"/>
        <v>0</v>
      </c>
      <c r="AD256" s="1097">
        <f t="shared" si="574"/>
        <v>0</v>
      </c>
      <c r="AE256" s="1205">
        <f t="shared" si="574"/>
        <v>0</v>
      </c>
      <c r="AF256" s="1205">
        <f t="shared" si="574"/>
        <v>0</v>
      </c>
      <c r="AG256" s="1097">
        <f t="shared" si="574"/>
        <v>0</v>
      </c>
      <c r="AH256" s="1097">
        <f t="shared" si="574"/>
        <v>0</v>
      </c>
      <c r="AI256" s="1328">
        <f t="shared" ref="AI256:AJ256" si="575">+AI255-AI253</f>
        <v>0</v>
      </c>
      <c r="AJ256" s="54">
        <f t="shared" si="575"/>
        <v>0</v>
      </c>
      <c r="AK256" s="54"/>
      <c r="AL256" s="55">
        <f>+AJ256*AN253</f>
        <v>0</v>
      </c>
      <c r="AM256" s="1067"/>
      <c r="AN256" s="31" t="s">
        <v>97</v>
      </c>
      <c r="AO256" s="622"/>
      <c r="AP256" s="39" t="s">
        <v>98</v>
      </c>
      <c r="AQ256" s="56">
        <f>AQ255-AQ254</f>
        <v>0</v>
      </c>
      <c r="AR256" s="70">
        <f>AR255-AR254</f>
        <v>0</v>
      </c>
      <c r="AS256" s="70">
        <f>AS255-AS254</f>
        <v>0</v>
      </c>
      <c r="AT256" s="70">
        <f>AT255-AT254</f>
        <v>0</v>
      </c>
      <c r="AU256" s="70">
        <f>AU255-AU254</f>
        <v>0</v>
      </c>
      <c r="AV256" s="57">
        <f t="shared" si="573"/>
        <v>0</v>
      </c>
    </row>
    <row r="257" spans="1:48" ht="25.15" hidden="1" customHeight="1">
      <c r="A257" s="58"/>
      <c r="B257" s="59"/>
      <c r="C257" s="60" t="s">
        <v>100</v>
      </c>
      <c r="D257" s="61" t="s">
        <v>101</v>
      </c>
      <c r="E257" s="1098"/>
      <c r="F257" s="1099"/>
      <c r="G257" s="1208"/>
      <c r="H257" s="1099"/>
      <c r="I257" s="1099"/>
      <c r="J257" s="1208"/>
      <c r="K257" s="1208"/>
      <c r="L257" s="1099"/>
      <c r="M257" s="1099"/>
      <c r="N257" s="1099"/>
      <c r="O257" s="1099"/>
      <c r="P257" s="1099"/>
      <c r="Q257" s="1208"/>
      <c r="R257" s="1208"/>
      <c r="S257" s="1099"/>
      <c r="T257" s="1099"/>
      <c r="U257" s="1099"/>
      <c r="V257" s="1099"/>
      <c r="W257" s="1099"/>
      <c r="X257" s="1208"/>
      <c r="Y257" s="1208"/>
      <c r="Z257" s="1099"/>
      <c r="AA257" s="1099"/>
      <c r="AB257" s="1099"/>
      <c r="AC257" s="1099"/>
      <c r="AD257" s="1099"/>
      <c r="AE257" s="1208"/>
      <c r="AF257" s="1208"/>
      <c r="AG257" s="1099"/>
      <c r="AH257" s="1099"/>
      <c r="AI257" s="1330"/>
      <c r="AJ257" s="62">
        <f>SUM(E257:AI257)</f>
        <v>0</v>
      </c>
      <c r="AK257" s="62"/>
      <c r="AL257" s="63">
        <f>+AJ257*AN253</f>
        <v>0</v>
      </c>
      <c r="AM257" s="1068"/>
      <c r="AN257" s="64" t="e">
        <f>+AJ257/AJ255*100</f>
        <v>#DIV/0!</v>
      </c>
      <c r="AO257" s="635" t="e">
        <f>AO255/AO253</f>
        <v>#VALUE!</v>
      </c>
      <c r="AP257" s="39" t="s">
        <v>102</v>
      </c>
      <c r="AQ257" s="56">
        <f>SUM(E257:I257)</f>
        <v>0</v>
      </c>
      <c r="AR257" s="70">
        <f>SUM(J257:P257)</f>
        <v>0</v>
      </c>
      <c r="AS257" s="70">
        <f>SUM(Q257:W257)</f>
        <v>0</v>
      </c>
      <c r="AT257" s="70">
        <f>SUM(X257:AD257)</f>
        <v>0</v>
      </c>
      <c r="AU257" s="70">
        <f>SUM(AE257:AI257)</f>
        <v>0</v>
      </c>
      <c r="AV257" s="57">
        <f t="shared" si="573"/>
        <v>0</v>
      </c>
    </row>
    <row r="258" spans="1:48" ht="25.15" hidden="1" customHeight="1">
      <c r="A258" s="58" t="s">
        <v>135</v>
      </c>
      <c r="B258" s="65"/>
      <c r="C258" s="66"/>
      <c r="D258" s="67" t="s">
        <v>103</v>
      </c>
      <c r="E258" s="1100"/>
      <c r="F258" s="1101"/>
      <c r="G258" s="1209"/>
      <c r="H258" s="1101"/>
      <c r="I258" s="1101"/>
      <c r="J258" s="1209"/>
      <c r="K258" s="1209"/>
      <c r="L258" s="1101"/>
      <c r="M258" s="1101"/>
      <c r="N258" s="1101"/>
      <c r="O258" s="1101"/>
      <c r="P258" s="1101"/>
      <c r="Q258" s="1209"/>
      <c r="R258" s="1209"/>
      <c r="S258" s="1101"/>
      <c r="T258" s="1101"/>
      <c r="U258" s="1101"/>
      <c r="V258" s="1101"/>
      <c r="W258" s="1101"/>
      <c r="X258" s="1209"/>
      <c r="Y258" s="1209"/>
      <c r="Z258" s="1101"/>
      <c r="AA258" s="1101"/>
      <c r="AB258" s="1101"/>
      <c r="AC258" s="1101"/>
      <c r="AD258" s="1101"/>
      <c r="AE258" s="1209"/>
      <c r="AF258" s="1209"/>
      <c r="AG258" s="1101"/>
      <c r="AH258" s="1101"/>
      <c r="AI258" s="1332"/>
      <c r="AJ258" s="68">
        <f>SUM(E258:AI258)</f>
        <v>0</v>
      </c>
      <c r="AK258" s="68"/>
      <c r="AL258" s="69">
        <f>+AJ258*AN253</f>
        <v>0</v>
      </c>
      <c r="AM258" s="1069"/>
      <c r="AN258" s="31"/>
      <c r="AO258" s="622"/>
      <c r="AP258" s="39" t="s">
        <v>19</v>
      </c>
      <c r="AQ258" s="56">
        <f>AQ257*AN253</f>
        <v>0</v>
      </c>
      <c r="AR258" s="56">
        <f>AR257*AN253</f>
        <v>0</v>
      </c>
      <c r="AS258" s="56">
        <f>AS257*AN253</f>
        <v>0</v>
      </c>
      <c r="AT258" s="56">
        <f>AT257*AN253</f>
        <v>0</v>
      </c>
      <c r="AU258" s="56">
        <f>AU257*AN253</f>
        <v>0</v>
      </c>
      <c r="AV258" s="57">
        <f t="shared" si="573"/>
        <v>0</v>
      </c>
    </row>
    <row r="259" spans="1:48" ht="25.15" hidden="1" customHeight="1">
      <c r="A259" s="103"/>
      <c r="B259" s="65"/>
      <c r="C259" s="72" t="s">
        <v>104</v>
      </c>
      <c r="D259" s="73" t="s">
        <v>105</v>
      </c>
      <c r="E259" s="1102"/>
      <c r="F259" s="1103"/>
      <c r="G259" s="1210"/>
      <c r="H259" s="1103"/>
      <c r="I259" s="1103"/>
      <c r="J259" s="1215"/>
      <c r="K259" s="1215"/>
      <c r="L259" s="1103"/>
      <c r="M259" s="1103"/>
      <c r="N259" s="1103"/>
      <c r="O259" s="1103"/>
      <c r="P259" s="1103"/>
      <c r="Q259" s="1210"/>
      <c r="R259" s="1210"/>
      <c r="S259" s="1103"/>
      <c r="T259" s="1103"/>
      <c r="U259" s="1103"/>
      <c r="V259" s="1103"/>
      <c r="W259" s="1103"/>
      <c r="X259" s="1210"/>
      <c r="Y259" s="1210"/>
      <c r="Z259" s="1103"/>
      <c r="AA259" s="1103"/>
      <c r="AB259" s="1103"/>
      <c r="AC259" s="1103"/>
      <c r="AD259" s="1103"/>
      <c r="AE259" s="1210"/>
      <c r="AF259" s="1210"/>
      <c r="AG259" s="1103"/>
      <c r="AH259" s="1103"/>
      <c r="AI259" s="1352"/>
      <c r="AJ259" s="74">
        <f>SUM(E259:AI259)</f>
        <v>0</v>
      </c>
      <c r="AK259" s="74"/>
      <c r="AL259" s="75">
        <f>+AJ259*AN253</f>
        <v>0</v>
      </c>
      <c r="AM259" s="1070"/>
      <c r="AN259" s="76"/>
      <c r="AO259" s="636"/>
      <c r="AP259" s="47" t="s">
        <v>106</v>
      </c>
      <c r="AQ259" s="48">
        <f>AQ255*AN253</f>
        <v>0</v>
      </c>
      <c r="AR259" s="48">
        <f>AR255*AN253</f>
        <v>0</v>
      </c>
      <c r="AS259" s="48">
        <f>AS255*AN253</f>
        <v>0</v>
      </c>
      <c r="AT259" s="48">
        <f>AT255*AN253</f>
        <v>0</v>
      </c>
      <c r="AU259" s="48">
        <f>AU255*AN253</f>
        <v>0</v>
      </c>
      <c r="AV259" s="50">
        <f t="shared" si="573"/>
        <v>0</v>
      </c>
    </row>
    <row r="260" spans="1:48" ht="25.15" hidden="1" customHeight="1">
      <c r="A260" s="103"/>
      <c r="B260" s="65"/>
      <c r="C260" s="77">
        <v>300000</v>
      </c>
      <c r="D260" s="78" t="s">
        <v>107</v>
      </c>
      <c r="E260" s="1327">
        <v>1</v>
      </c>
      <c r="F260" s="1097">
        <v>1</v>
      </c>
      <c r="G260" s="1205">
        <v>1</v>
      </c>
      <c r="H260" s="1097">
        <v>1</v>
      </c>
      <c r="I260" s="1097">
        <v>1</v>
      </c>
      <c r="J260" s="1205">
        <v>1</v>
      </c>
      <c r="K260" s="1205">
        <v>1</v>
      </c>
      <c r="L260" s="1097">
        <v>1</v>
      </c>
      <c r="M260" s="1097">
        <v>1</v>
      </c>
      <c r="N260" s="1097">
        <v>1</v>
      </c>
      <c r="O260" s="1097">
        <v>1</v>
      </c>
      <c r="P260" s="1097">
        <v>1</v>
      </c>
      <c r="Q260" s="1205">
        <v>1</v>
      </c>
      <c r="R260" s="1205">
        <v>1</v>
      </c>
      <c r="S260" s="1097">
        <v>1</v>
      </c>
      <c r="T260" s="1097">
        <v>1</v>
      </c>
      <c r="U260" s="1097">
        <v>1</v>
      </c>
      <c r="V260" s="1097">
        <v>1</v>
      </c>
      <c r="W260" s="1097">
        <v>1</v>
      </c>
      <c r="X260" s="1205">
        <v>1</v>
      </c>
      <c r="Y260" s="1205">
        <v>1</v>
      </c>
      <c r="Z260" s="1097">
        <v>1</v>
      </c>
      <c r="AA260" s="1097">
        <v>1</v>
      </c>
      <c r="AB260" s="1097">
        <v>1</v>
      </c>
      <c r="AC260" s="1097">
        <v>1</v>
      </c>
      <c r="AD260" s="1097">
        <v>1</v>
      </c>
      <c r="AE260" s="1205">
        <v>1</v>
      </c>
      <c r="AF260" s="1205">
        <v>1</v>
      </c>
      <c r="AG260" s="1097">
        <v>1</v>
      </c>
      <c r="AH260" s="1097">
        <v>1</v>
      </c>
      <c r="AI260" s="1328">
        <v>1</v>
      </c>
      <c r="AJ260" s="79"/>
      <c r="AK260" s="79"/>
      <c r="AL260" s="55"/>
      <c r="AM260" s="1067"/>
      <c r="AN260" s="31"/>
      <c r="AO260" s="622"/>
      <c r="AP260" s="23"/>
      <c r="AQ260" s="23"/>
      <c r="AR260" s="23"/>
      <c r="AS260" s="23"/>
      <c r="AT260" s="23"/>
      <c r="AU260" s="23"/>
      <c r="AV260" s="23"/>
    </row>
    <row r="261" spans="1:48" ht="25.15" hidden="1" customHeight="1">
      <c r="A261" s="103"/>
      <c r="B261" s="65"/>
      <c r="C261" s="80" t="s">
        <v>108</v>
      </c>
      <c r="D261" s="81" t="s">
        <v>109</v>
      </c>
      <c r="E261" s="1374">
        <f>SUM(E255+E257+E258+E259)/E260</f>
        <v>0</v>
      </c>
      <c r="F261" s="1104">
        <f>SUM(F255+F257+F258+F259)/F260</f>
        <v>0</v>
      </c>
      <c r="G261" s="1211">
        <f>SUM(G255+G257+G258+G259)/G260</f>
        <v>0</v>
      </c>
      <c r="H261" s="1104">
        <f t="shared" ref="H261:AH261" si="576">SUM(H255+H257+H258+H259)/H260</f>
        <v>0</v>
      </c>
      <c r="I261" s="1104">
        <f t="shared" si="576"/>
        <v>0</v>
      </c>
      <c r="J261" s="1211">
        <f t="shared" si="576"/>
        <v>0</v>
      </c>
      <c r="K261" s="1211">
        <f t="shared" si="576"/>
        <v>0</v>
      </c>
      <c r="L261" s="1104">
        <f t="shared" si="576"/>
        <v>0</v>
      </c>
      <c r="M261" s="1104">
        <f t="shared" si="576"/>
        <v>0</v>
      </c>
      <c r="N261" s="1104">
        <f t="shared" si="576"/>
        <v>0</v>
      </c>
      <c r="O261" s="1104">
        <f t="shared" si="576"/>
        <v>0</v>
      </c>
      <c r="P261" s="1104">
        <f t="shared" si="576"/>
        <v>0</v>
      </c>
      <c r="Q261" s="1211">
        <f t="shared" si="576"/>
        <v>0</v>
      </c>
      <c r="R261" s="1211">
        <f t="shared" si="576"/>
        <v>0</v>
      </c>
      <c r="S261" s="1104">
        <f t="shared" si="576"/>
        <v>0</v>
      </c>
      <c r="T261" s="1104">
        <f t="shared" si="576"/>
        <v>0</v>
      </c>
      <c r="U261" s="1104">
        <f t="shared" si="576"/>
        <v>0</v>
      </c>
      <c r="V261" s="1104">
        <f t="shared" si="576"/>
        <v>0</v>
      </c>
      <c r="W261" s="1104">
        <f t="shared" si="576"/>
        <v>0</v>
      </c>
      <c r="X261" s="1211">
        <f t="shared" si="576"/>
        <v>0</v>
      </c>
      <c r="Y261" s="1211">
        <f t="shared" si="576"/>
        <v>0</v>
      </c>
      <c r="Z261" s="1104">
        <f t="shared" si="576"/>
        <v>0</v>
      </c>
      <c r="AA261" s="1104">
        <f t="shared" si="576"/>
        <v>0</v>
      </c>
      <c r="AB261" s="1104">
        <f t="shared" si="576"/>
        <v>0</v>
      </c>
      <c r="AC261" s="1104">
        <f t="shared" si="576"/>
        <v>0</v>
      </c>
      <c r="AD261" s="1104">
        <f t="shared" si="576"/>
        <v>0</v>
      </c>
      <c r="AE261" s="1211">
        <f t="shared" si="576"/>
        <v>0</v>
      </c>
      <c r="AF261" s="1211">
        <f t="shared" si="576"/>
        <v>0</v>
      </c>
      <c r="AG261" s="1104">
        <f t="shared" si="576"/>
        <v>0</v>
      </c>
      <c r="AH261" s="1104">
        <f t="shared" si="576"/>
        <v>0</v>
      </c>
      <c r="AI261" s="1335">
        <f>SUM(AI255+AI257+AI258)/AI260</f>
        <v>0</v>
      </c>
      <c r="AJ261" s="104">
        <f>SUM(E261:AI261)</f>
        <v>0</v>
      </c>
      <c r="AK261" s="104"/>
      <c r="AL261" s="83"/>
      <c r="AM261" s="1068"/>
      <c r="AN261" s="31"/>
      <c r="AO261" s="622"/>
      <c r="AP261" s="23"/>
      <c r="AQ261" s="23"/>
      <c r="AR261" s="23"/>
      <c r="AS261" s="23"/>
      <c r="AT261" s="23"/>
      <c r="AU261" s="23"/>
      <c r="AV261" s="23"/>
    </row>
    <row r="262" spans="1:48" ht="25.15" hidden="1" customHeight="1">
      <c r="A262" s="103"/>
      <c r="B262" s="59"/>
      <c r="C262" s="84">
        <f>+C260*0.8</f>
        <v>240000</v>
      </c>
      <c r="D262" s="85" t="s">
        <v>110</v>
      </c>
      <c r="E262" s="1105"/>
      <c r="F262" s="1106"/>
      <c r="G262" s="1211"/>
      <c r="H262" s="1104"/>
      <c r="I262" s="1104"/>
      <c r="J262" s="1211"/>
      <c r="K262" s="1211"/>
      <c r="L262" s="1104"/>
      <c r="M262" s="1104"/>
      <c r="N262" s="1104"/>
      <c r="O262" s="1107"/>
      <c r="P262" s="1104"/>
      <c r="Q262" s="1211"/>
      <c r="R262" s="1211"/>
      <c r="S262" s="1104"/>
      <c r="T262" s="1104"/>
      <c r="U262" s="1104"/>
      <c r="V262" s="1104"/>
      <c r="W262" s="1104"/>
      <c r="X262" s="1211"/>
      <c r="Y262" s="1211"/>
      <c r="Z262" s="1104"/>
      <c r="AA262" s="1104"/>
      <c r="AB262" s="1104"/>
      <c r="AC262" s="1104"/>
      <c r="AD262" s="1104"/>
      <c r="AE262" s="1211"/>
      <c r="AF262" s="1211"/>
      <c r="AG262" s="1104"/>
      <c r="AH262" s="1104"/>
      <c r="AI262" s="1353"/>
      <c r="AJ262" s="86"/>
      <c r="AK262" s="86"/>
      <c r="AL262" s="690"/>
      <c r="AM262" s="694"/>
      <c r="AN262" s="31"/>
      <c r="AO262" s="622"/>
      <c r="AP262" s="23"/>
      <c r="AQ262" s="23"/>
      <c r="AR262" s="23"/>
      <c r="AS262" s="23"/>
      <c r="AT262" s="23"/>
      <c r="AU262" s="23"/>
      <c r="AV262" s="23"/>
    </row>
    <row r="263" spans="1:48" ht="25.15" hidden="1" customHeight="1">
      <c r="A263" s="103"/>
      <c r="B263" s="105"/>
      <c r="C263" s="77"/>
      <c r="D263" s="88" t="s">
        <v>111</v>
      </c>
      <c r="E263" s="1108">
        <f>IF(E262="O/H",E261,0+E261)</f>
        <v>0</v>
      </c>
      <c r="F263" s="1089">
        <f t="shared" ref="F263:AI263" si="577">IF(F262="O/H",F261,+E263+F261)</f>
        <v>0</v>
      </c>
      <c r="G263" s="44">
        <f t="shared" si="577"/>
        <v>0</v>
      </c>
      <c r="H263" s="1089">
        <f t="shared" si="577"/>
        <v>0</v>
      </c>
      <c r="I263" s="1089">
        <f t="shared" si="577"/>
        <v>0</v>
      </c>
      <c r="J263" s="44">
        <f t="shared" si="577"/>
        <v>0</v>
      </c>
      <c r="K263" s="44">
        <f t="shared" si="577"/>
        <v>0</v>
      </c>
      <c r="L263" s="1089">
        <f t="shared" si="577"/>
        <v>0</v>
      </c>
      <c r="M263" s="1089">
        <f t="shared" si="577"/>
        <v>0</v>
      </c>
      <c r="N263" s="1089">
        <f t="shared" si="577"/>
        <v>0</v>
      </c>
      <c r="O263" s="1089">
        <f t="shared" si="577"/>
        <v>0</v>
      </c>
      <c r="P263" s="1089">
        <f t="shared" si="577"/>
        <v>0</v>
      </c>
      <c r="Q263" s="44">
        <f t="shared" si="577"/>
        <v>0</v>
      </c>
      <c r="R263" s="44">
        <f t="shared" si="577"/>
        <v>0</v>
      </c>
      <c r="S263" s="1089">
        <f t="shared" si="577"/>
        <v>0</v>
      </c>
      <c r="T263" s="1089">
        <f t="shared" si="577"/>
        <v>0</v>
      </c>
      <c r="U263" s="1089">
        <f t="shared" si="577"/>
        <v>0</v>
      </c>
      <c r="V263" s="1089">
        <f t="shared" si="577"/>
        <v>0</v>
      </c>
      <c r="W263" s="1089">
        <f t="shared" si="577"/>
        <v>0</v>
      </c>
      <c r="X263" s="44">
        <f t="shared" si="577"/>
        <v>0</v>
      </c>
      <c r="Y263" s="44">
        <f t="shared" si="577"/>
        <v>0</v>
      </c>
      <c r="Z263" s="1089">
        <f t="shared" si="577"/>
        <v>0</v>
      </c>
      <c r="AA263" s="1089">
        <f t="shared" si="577"/>
        <v>0</v>
      </c>
      <c r="AB263" s="1089">
        <f t="shared" si="577"/>
        <v>0</v>
      </c>
      <c r="AC263" s="1089">
        <f t="shared" si="577"/>
        <v>0</v>
      </c>
      <c r="AD263" s="1089">
        <f t="shared" si="577"/>
        <v>0</v>
      </c>
      <c r="AE263" s="44">
        <f t="shared" si="577"/>
        <v>0</v>
      </c>
      <c r="AF263" s="44">
        <f t="shared" si="577"/>
        <v>0</v>
      </c>
      <c r="AG263" s="1089">
        <f t="shared" si="577"/>
        <v>0</v>
      </c>
      <c r="AH263" s="1089">
        <f t="shared" si="577"/>
        <v>0</v>
      </c>
      <c r="AI263" s="1326">
        <f t="shared" si="577"/>
        <v>0</v>
      </c>
      <c r="AJ263" s="79"/>
      <c r="AK263" s="86"/>
      <c r="AL263" s="689"/>
      <c r="AM263" s="694"/>
      <c r="AN263" s="31"/>
      <c r="AO263" s="622"/>
      <c r="AP263" s="23"/>
      <c r="AQ263" s="23"/>
      <c r="AR263" s="23"/>
      <c r="AS263" s="23"/>
      <c r="AT263" s="23"/>
      <c r="AU263" s="23"/>
      <c r="AV263" s="23"/>
    </row>
    <row r="264" spans="1:48" ht="25.15" hidden="1" customHeight="1">
      <c r="A264" s="103"/>
      <c r="B264" s="89"/>
      <c r="C264" s="80"/>
      <c r="D264" s="90" t="s">
        <v>104</v>
      </c>
      <c r="E264" s="1108"/>
      <c r="F264" s="1089"/>
      <c r="G264" s="44"/>
      <c r="H264" s="1089"/>
      <c r="I264" s="1089"/>
      <c r="J264" s="44"/>
      <c r="K264" s="44"/>
      <c r="L264" s="1089"/>
      <c r="M264" s="1089"/>
      <c r="N264" s="1089"/>
      <c r="O264" s="1089"/>
      <c r="P264" s="1089"/>
      <c r="Q264" s="44"/>
      <c r="R264" s="44"/>
      <c r="S264" s="1089"/>
      <c r="T264" s="1089"/>
      <c r="U264" s="1089"/>
      <c r="V264" s="1089"/>
      <c r="W264" s="1089"/>
      <c r="X264" s="44"/>
      <c r="Y264" s="44"/>
      <c r="Z264" s="1089"/>
      <c r="AA264" s="1089"/>
      <c r="AB264" s="1089"/>
      <c r="AC264" s="1089"/>
      <c r="AD264" s="1089"/>
      <c r="AE264" s="44"/>
      <c r="AF264" s="44"/>
      <c r="AG264" s="1089"/>
      <c r="AH264" s="1089"/>
      <c r="AI264" s="1326"/>
      <c r="AJ264" s="79"/>
      <c r="AK264" s="79"/>
      <c r="AL264" s="63"/>
      <c r="AM264" s="1068"/>
      <c r="AN264" s="64"/>
      <c r="AO264" s="624"/>
      <c r="AP264" s="23"/>
      <c r="AQ264" s="23"/>
      <c r="AR264" s="23"/>
      <c r="AS264" s="23"/>
      <c r="AT264" s="23"/>
      <c r="AU264" s="23"/>
      <c r="AV264" s="23"/>
    </row>
    <row r="265" spans="1:48" ht="25.15" hidden="1" customHeight="1" thickBot="1">
      <c r="A265" s="106"/>
      <c r="B265" s="93"/>
      <c r="C265" s="94"/>
      <c r="D265" s="95" t="s">
        <v>111</v>
      </c>
      <c r="E265" s="1109">
        <f>IF(E264="O/H",E261,0+E261)</f>
        <v>0</v>
      </c>
      <c r="F265" s="1110">
        <f t="shared" ref="F265:AI265" si="578">IF(F264="O/H",F261,+E265+F261)</f>
        <v>0</v>
      </c>
      <c r="G265" s="1212">
        <f t="shared" si="578"/>
        <v>0</v>
      </c>
      <c r="H265" s="1110">
        <f t="shared" si="578"/>
        <v>0</v>
      </c>
      <c r="I265" s="1110">
        <f t="shared" si="578"/>
        <v>0</v>
      </c>
      <c r="J265" s="1212">
        <f t="shared" si="578"/>
        <v>0</v>
      </c>
      <c r="K265" s="1212">
        <f t="shared" si="578"/>
        <v>0</v>
      </c>
      <c r="L265" s="1110">
        <f t="shared" si="578"/>
        <v>0</v>
      </c>
      <c r="M265" s="1110">
        <f t="shared" si="578"/>
        <v>0</v>
      </c>
      <c r="N265" s="1110">
        <f t="shared" si="578"/>
        <v>0</v>
      </c>
      <c r="O265" s="1110">
        <f t="shared" si="578"/>
        <v>0</v>
      </c>
      <c r="P265" s="1110">
        <f t="shared" si="578"/>
        <v>0</v>
      </c>
      <c r="Q265" s="1212">
        <f t="shared" si="578"/>
        <v>0</v>
      </c>
      <c r="R265" s="1212">
        <f t="shared" si="578"/>
        <v>0</v>
      </c>
      <c r="S265" s="1110">
        <f t="shared" si="578"/>
        <v>0</v>
      </c>
      <c r="T265" s="1110">
        <f t="shared" si="578"/>
        <v>0</v>
      </c>
      <c r="U265" s="1110">
        <f t="shared" si="578"/>
        <v>0</v>
      </c>
      <c r="V265" s="1110">
        <f t="shared" si="578"/>
        <v>0</v>
      </c>
      <c r="W265" s="1110">
        <f t="shared" si="578"/>
        <v>0</v>
      </c>
      <c r="X265" s="1212">
        <f t="shared" si="578"/>
        <v>0</v>
      </c>
      <c r="Y265" s="1212">
        <f t="shared" si="578"/>
        <v>0</v>
      </c>
      <c r="Z265" s="1110">
        <f t="shared" si="578"/>
        <v>0</v>
      </c>
      <c r="AA265" s="1110">
        <f t="shared" si="578"/>
        <v>0</v>
      </c>
      <c r="AB265" s="1110">
        <f t="shared" si="578"/>
        <v>0</v>
      </c>
      <c r="AC265" s="1110">
        <f t="shared" si="578"/>
        <v>0</v>
      </c>
      <c r="AD265" s="1110">
        <f t="shared" si="578"/>
        <v>0</v>
      </c>
      <c r="AE265" s="1212">
        <f t="shared" si="578"/>
        <v>0</v>
      </c>
      <c r="AF265" s="1212">
        <f t="shared" si="578"/>
        <v>0</v>
      </c>
      <c r="AG265" s="1110">
        <f t="shared" si="578"/>
        <v>0</v>
      </c>
      <c r="AH265" s="1110">
        <f t="shared" si="578"/>
        <v>0</v>
      </c>
      <c r="AI265" s="1340">
        <f t="shared" si="578"/>
        <v>0</v>
      </c>
      <c r="AJ265" s="96"/>
      <c r="AK265" s="96"/>
      <c r="AL265" s="97"/>
      <c r="AM265" s="1071"/>
      <c r="AN265" s="98"/>
      <c r="AO265" s="625"/>
      <c r="AP265" s="23"/>
      <c r="AQ265" s="23"/>
      <c r="AR265" s="23"/>
      <c r="AS265" s="23"/>
      <c r="AT265" s="23"/>
      <c r="AU265" s="23"/>
      <c r="AV265" s="23"/>
    </row>
    <row r="266" spans="1:48" ht="25.15" hidden="1" customHeight="1" thickTop="1">
      <c r="A266" s="99"/>
      <c r="B266" s="26" t="s">
        <v>144</v>
      </c>
      <c r="C266" s="27"/>
      <c r="D266" s="28" t="s">
        <v>82</v>
      </c>
      <c r="E266" s="1111"/>
      <c r="F266" s="1111"/>
      <c r="G266" s="1201"/>
      <c r="H266" s="1111"/>
      <c r="I266" s="1111"/>
      <c r="J266" s="1201"/>
      <c r="K266" s="1201"/>
      <c r="L266" s="1111"/>
      <c r="M266" s="1111"/>
      <c r="N266" s="1111"/>
      <c r="O266" s="1111"/>
      <c r="P266" s="1111"/>
      <c r="Q266" s="1201"/>
      <c r="R266" s="1201"/>
      <c r="S266" s="1111"/>
      <c r="T266" s="1111"/>
      <c r="U266" s="1111"/>
      <c r="V266" s="1111"/>
      <c r="W266" s="1111"/>
      <c r="X266" s="1201"/>
      <c r="Y266" s="1201"/>
      <c r="Z266" s="1111"/>
      <c r="AA266" s="1111"/>
      <c r="AB266" s="1111"/>
      <c r="AC266" s="1111"/>
      <c r="AD266" s="1111"/>
      <c r="AE266" s="1201"/>
      <c r="AF266" s="1201"/>
      <c r="AG266" s="1111"/>
      <c r="AH266" s="1111"/>
      <c r="AI266" s="1412"/>
      <c r="AJ266" s="100">
        <f>SUM(Table75[[#This Row],[June''2026]:[Column27]])</f>
        <v>0</v>
      </c>
      <c r="AK266" s="100">
        <f t="shared" ref="AK266:AK321" si="579">AJ268</f>
        <v>0</v>
      </c>
      <c r="AL266" s="101">
        <f>+AJ266*AN266</f>
        <v>0</v>
      </c>
      <c r="AM266" s="1072">
        <f t="shared" ref="AM266:AM326" si="580">AL268</f>
        <v>0</v>
      </c>
      <c r="AN266" s="102"/>
      <c r="AO266" s="622" t="e">
        <f>Table5[[#This Row],[Total]]*B270/1000</f>
        <v>#VALUE!</v>
      </c>
      <c r="AP266" s="32" t="s">
        <v>145</v>
      </c>
      <c r="AQ266" s="33" t="s">
        <v>84</v>
      </c>
      <c r="AR266" s="33" t="s">
        <v>85</v>
      </c>
      <c r="AS266" s="33" t="s">
        <v>86</v>
      </c>
      <c r="AT266" s="33" t="s">
        <v>87</v>
      </c>
      <c r="AU266" s="33" t="s">
        <v>88</v>
      </c>
      <c r="AV266" s="34" t="s">
        <v>68</v>
      </c>
    </row>
    <row r="267" spans="1:48" ht="25.15" hidden="1" customHeight="1">
      <c r="A267" s="103"/>
      <c r="B267" s="35" t="s">
        <v>146</v>
      </c>
      <c r="C267" s="36"/>
      <c r="D267" s="37" t="s">
        <v>90</v>
      </c>
      <c r="E267" s="1373">
        <f>IF(E266="",0,+ E266/E273)</f>
        <v>0</v>
      </c>
      <c r="F267" s="1096">
        <f t="shared" ref="F267:AI267" si="581">IF(F266="",0, E267+F266/F273)</f>
        <v>0</v>
      </c>
      <c r="G267" s="1207">
        <f t="shared" si="581"/>
        <v>0</v>
      </c>
      <c r="H267" s="1096">
        <f t="shared" si="581"/>
        <v>0</v>
      </c>
      <c r="I267" s="1096">
        <f t="shared" si="581"/>
        <v>0</v>
      </c>
      <c r="J267" s="1207">
        <f t="shared" si="581"/>
        <v>0</v>
      </c>
      <c r="K267" s="1207">
        <f t="shared" si="581"/>
        <v>0</v>
      </c>
      <c r="L267" s="1096">
        <f t="shared" si="581"/>
        <v>0</v>
      </c>
      <c r="M267" s="1096">
        <f t="shared" si="581"/>
        <v>0</v>
      </c>
      <c r="N267" s="1096">
        <f t="shared" si="581"/>
        <v>0</v>
      </c>
      <c r="O267" s="1096">
        <f t="shared" si="581"/>
        <v>0</v>
      </c>
      <c r="P267" s="1096">
        <f t="shared" si="581"/>
        <v>0</v>
      </c>
      <c r="Q267" s="1207">
        <f t="shared" si="581"/>
        <v>0</v>
      </c>
      <c r="R267" s="1207">
        <f t="shared" si="581"/>
        <v>0</v>
      </c>
      <c r="S267" s="1096">
        <f t="shared" si="581"/>
        <v>0</v>
      </c>
      <c r="T267" s="1096">
        <f t="shared" si="581"/>
        <v>0</v>
      </c>
      <c r="U267" s="1096">
        <f t="shared" si="581"/>
        <v>0</v>
      </c>
      <c r="V267" s="1096">
        <f t="shared" si="581"/>
        <v>0</v>
      </c>
      <c r="W267" s="1096">
        <f t="shared" si="581"/>
        <v>0</v>
      </c>
      <c r="X267" s="1207">
        <f t="shared" si="581"/>
        <v>0</v>
      </c>
      <c r="Y267" s="1207">
        <f t="shared" si="581"/>
        <v>0</v>
      </c>
      <c r="Z267" s="1096">
        <f t="shared" si="581"/>
        <v>0</v>
      </c>
      <c r="AA267" s="1096">
        <f t="shared" si="581"/>
        <v>0</v>
      </c>
      <c r="AB267" s="1096">
        <f t="shared" si="581"/>
        <v>0</v>
      </c>
      <c r="AC267" s="1096">
        <f t="shared" si="581"/>
        <v>0</v>
      </c>
      <c r="AD267" s="1096">
        <f t="shared" si="581"/>
        <v>0</v>
      </c>
      <c r="AE267" s="1207">
        <f t="shared" si="581"/>
        <v>0</v>
      </c>
      <c r="AF267" s="1207">
        <f t="shared" si="581"/>
        <v>0</v>
      </c>
      <c r="AG267" s="1096">
        <f t="shared" si="581"/>
        <v>0</v>
      </c>
      <c r="AH267" s="1096">
        <f t="shared" si="581"/>
        <v>0</v>
      </c>
      <c r="AI267" s="1324">
        <f t="shared" si="581"/>
        <v>0</v>
      </c>
      <c r="AJ267" s="38"/>
      <c r="AK267" s="29"/>
      <c r="AL267" s="30"/>
      <c r="AM267" s="694">
        <f t="shared" si="580"/>
        <v>0</v>
      </c>
      <c r="AN267" s="31"/>
      <c r="AO267" s="630"/>
      <c r="AP267" s="39" t="s">
        <v>91</v>
      </c>
      <c r="AQ267" s="40">
        <f>SUM(E266:I266)</f>
        <v>0</v>
      </c>
      <c r="AR267" s="41">
        <f>SUM(J266:P266)</f>
        <v>0</v>
      </c>
      <c r="AS267" s="41">
        <f>SUM(Q266:W266)</f>
        <v>0</v>
      </c>
      <c r="AT267" s="41">
        <f>SUM(X266:AD266)</f>
        <v>0</v>
      </c>
      <c r="AU267" s="41">
        <f>SUM(AE266:AI266)</f>
        <v>0</v>
      </c>
      <c r="AV267" s="34">
        <f t="shared" ref="AV267:AV272" si="582">SUM(AQ267:AU267)</f>
        <v>0</v>
      </c>
    </row>
    <row r="268" spans="1:48" ht="25.15" hidden="1" customHeight="1">
      <c r="A268" s="103"/>
      <c r="B268" s="26" t="s">
        <v>92</v>
      </c>
      <c r="C268" s="42"/>
      <c r="D268" s="43" t="s">
        <v>93</v>
      </c>
      <c r="E268" s="1325"/>
      <c r="F268" s="1089"/>
      <c r="G268" s="44"/>
      <c r="H268" s="1089"/>
      <c r="I268" s="1089"/>
      <c r="J268" s="44"/>
      <c r="K268" s="44"/>
      <c r="L268" s="1089"/>
      <c r="M268" s="1089"/>
      <c r="N268" s="1089"/>
      <c r="O268" s="1089"/>
      <c r="P268" s="1089"/>
      <c r="Q268" s="44"/>
      <c r="R268" s="44"/>
      <c r="S268" s="1089"/>
      <c r="T268" s="1089"/>
      <c r="U268" s="1089"/>
      <c r="V268" s="1089"/>
      <c r="W268" s="1089"/>
      <c r="X268" s="44"/>
      <c r="Y268" s="44"/>
      <c r="Z268" s="1089"/>
      <c r="AA268" s="1089"/>
      <c r="AB268" s="1089"/>
      <c r="AC268" s="1089"/>
      <c r="AD268" s="1089"/>
      <c r="AE268" s="44"/>
      <c r="AF268" s="44"/>
      <c r="AG268" s="1089"/>
      <c r="AH268" s="1089"/>
      <c r="AI268" s="1326"/>
      <c r="AJ268" s="45">
        <f>SUM(E268:AI268)</f>
        <v>0</v>
      </c>
      <c r="AK268" s="45"/>
      <c r="AL268" s="46">
        <f>+AJ268*AN266</f>
        <v>0</v>
      </c>
      <c r="AM268" s="1066">
        <f t="shared" si="580"/>
        <v>0</v>
      </c>
      <c r="AN268" s="31"/>
      <c r="AO268" s="632">
        <f>(AJ268+AJ270+AJ271+AJ272)*B270/1000</f>
        <v>0</v>
      </c>
      <c r="AP268" s="47" t="s">
        <v>94</v>
      </c>
      <c r="AQ268" s="48">
        <f>SUM(E268:I268)</f>
        <v>0</v>
      </c>
      <c r="AR268" s="49">
        <f>SUM(J268:P268)</f>
        <v>0</v>
      </c>
      <c r="AS268" s="49">
        <f>SUM(Q268:W268)</f>
        <v>0</v>
      </c>
      <c r="AT268" s="49">
        <f>SUM(X268:AD268)</f>
        <v>0</v>
      </c>
      <c r="AU268" s="49">
        <f>SUM(AE268:AI268)</f>
        <v>0</v>
      </c>
      <c r="AV268" s="50">
        <f t="shared" si="582"/>
        <v>0</v>
      </c>
    </row>
    <row r="269" spans="1:48" ht="25.15" hidden="1" customHeight="1">
      <c r="A269" s="103"/>
      <c r="B269" s="51"/>
      <c r="C269" s="52" t="s">
        <v>95</v>
      </c>
      <c r="D269" s="53" t="s">
        <v>96</v>
      </c>
      <c r="E269" s="1327">
        <f t="shared" ref="E269:AJ269" si="583">+E268-E266</f>
        <v>0</v>
      </c>
      <c r="F269" s="1097">
        <f t="shared" si="583"/>
        <v>0</v>
      </c>
      <c r="G269" s="1205">
        <f t="shared" si="583"/>
        <v>0</v>
      </c>
      <c r="H269" s="1097">
        <f t="shared" si="583"/>
        <v>0</v>
      </c>
      <c r="I269" s="1097">
        <f t="shared" si="583"/>
        <v>0</v>
      </c>
      <c r="J269" s="1205">
        <f t="shared" si="583"/>
        <v>0</v>
      </c>
      <c r="K269" s="1205">
        <f t="shared" si="583"/>
        <v>0</v>
      </c>
      <c r="L269" s="1097">
        <f t="shared" si="583"/>
        <v>0</v>
      </c>
      <c r="M269" s="1097">
        <f t="shared" si="583"/>
        <v>0</v>
      </c>
      <c r="N269" s="1097">
        <f t="shared" si="583"/>
        <v>0</v>
      </c>
      <c r="O269" s="1097">
        <f t="shared" si="583"/>
        <v>0</v>
      </c>
      <c r="P269" s="1097">
        <f t="shared" si="583"/>
        <v>0</v>
      </c>
      <c r="Q269" s="1205">
        <f t="shared" si="583"/>
        <v>0</v>
      </c>
      <c r="R269" s="1205">
        <f t="shared" si="583"/>
        <v>0</v>
      </c>
      <c r="S269" s="1097">
        <f t="shared" si="583"/>
        <v>0</v>
      </c>
      <c r="T269" s="1097">
        <f t="shared" si="583"/>
        <v>0</v>
      </c>
      <c r="U269" s="1097">
        <f t="shared" si="583"/>
        <v>0</v>
      </c>
      <c r="V269" s="1097">
        <f t="shared" si="583"/>
        <v>0</v>
      </c>
      <c r="W269" s="1097">
        <f t="shared" si="583"/>
        <v>0</v>
      </c>
      <c r="X269" s="1205">
        <f t="shared" si="583"/>
        <v>0</v>
      </c>
      <c r="Y269" s="1205">
        <f t="shared" si="583"/>
        <v>0</v>
      </c>
      <c r="Z269" s="1097">
        <f t="shared" si="583"/>
        <v>0</v>
      </c>
      <c r="AA269" s="1097">
        <f t="shared" si="583"/>
        <v>0</v>
      </c>
      <c r="AB269" s="1097">
        <f t="shared" si="583"/>
        <v>0</v>
      </c>
      <c r="AC269" s="1097">
        <f t="shared" si="583"/>
        <v>0</v>
      </c>
      <c r="AD269" s="1097">
        <f t="shared" si="583"/>
        <v>0</v>
      </c>
      <c r="AE269" s="1205">
        <f t="shared" si="583"/>
        <v>0</v>
      </c>
      <c r="AF269" s="1205">
        <f t="shared" ref="AF269" si="584">+AF268-AF266</f>
        <v>0</v>
      </c>
      <c r="AG269" s="1097">
        <f t="shared" si="583"/>
        <v>0</v>
      </c>
      <c r="AH269" s="1097">
        <f t="shared" si="583"/>
        <v>0</v>
      </c>
      <c r="AI269" s="1328">
        <f t="shared" si="583"/>
        <v>0</v>
      </c>
      <c r="AJ269" s="54">
        <f t="shared" si="583"/>
        <v>0</v>
      </c>
      <c r="AK269" s="54"/>
      <c r="AL269" s="55">
        <f>+AJ269*AN266</f>
        <v>0</v>
      </c>
      <c r="AM269" s="1067">
        <f t="shared" si="580"/>
        <v>0</v>
      </c>
      <c r="AN269" s="31" t="s">
        <v>97</v>
      </c>
      <c r="AO269" s="622"/>
      <c r="AP269" s="39" t="s">
        <v>98</v>
      </c>
      <c r="AQ269" s="56">
        <f>AQ268-AQ267</f>
        <v>0</v>
      </c>
      <c r="AR269" s="70">
        <f>AR268-AR267</f>
        <v>0</v>
      </c>
      <c r="AS269" s="70">
        <f>AS268-AS267</f>
        <v>0</v>
      </c>
      <c r="AT269" s="70">
        <f>AT268-AT267</f>
        <v>0</v>
      </c>
      <c r="AU269" s="70">
        <f>AU268-AU267</f>
        <v>0</v>
      </c>
      <c r="AV269" s="57">
        <f t="shared" si="582"/>
        <v>0</v>
      </c>
    </row>
    <row r="270" spans="1:48" ht="25.15" hidden="1" customHeight="1">
      <c r="A270" s="58"/>
      <c r="B270" s="59"/>
      <c r="C270" s="60" t="s">
        <v>100</v>
      </c>
      <c r="D270" s="61" t="s">
        <v>101</v>
      </c>
      <c r="E270" s="1329"/>
      <c r="F270" s="1099"/>
      <c r="G270" s="1208"/>
      <c r="H270" s="1099"/>
      <c r="I270" s="1099"/>
      <c r="J270" s="1208"/>
      <c r="K270" s="1208"/>
      <c r="L270" s="1099"/>
      <c r="M270" s="1099"/>
      <c r="N270" s="1099"/>
      <c r="O270" s="1099"/>
      <c r="P270" s="1099"/>
      <c r="Q270" s="1208"/>
      <c r="R270" s="1208"/>
      <c r="S270" s="1099"/>
      <c r="T270" s="1099"/>
      <c r="U270" s="1099"/>
      <c r="V270" s="1099"/>
      <c r="W270" s="1099"/>
      <c r="X270" s="1208"/>
      <c r="Y270" s="1208"/>
      <c r="Z270" s="1099"/>
      <c r="AA270" s="1099"/>
      <c r="AB270" s="1099"/>
      <c r="AC270" s="1099"/>
      <c r="AD270" s="1099"/>
      <c r="AE270" s="1208"/>
      <c r="AF270" s="1208"/>
      <c r="AG270" s="1099"/>
      <c r="AH270" s="1099"/>
      <c r="AI270" s="1330"/>
      <c r="AJ270" s="62">
        <f>SUM(E270:AI270)</f>
        <v>0</v>
      </c>
      <c r="AK270" s="62"/>
      <c r="AL270" s="63">
        <f>+AJ270*AN266</f>
        <v>0</v>
      </c>
      <c r="AM270" s="1068">
        <f t="shared" si="580"/>
        <v>0</v>
      </c>
      <c r="AN270" s="64" t="e">
        <f>+AJ270/AJ268*100</f>
        <v>#DIV/0!</v>
      </c>
      <c r="AO270" s="635" t="e">
        <f>AO268/AO266</f>
        <v>#VALUE!</v>
      </c>
      <c r="AP270" s="39" t="s">
        <v>102</v>
      </c>
      <c r="AQ270" s="56">
        <f>SUM(E270:I270)</f>
        <v>0</v>
      </c>
      <c r="AR270" s="70">
        <f>SUM(J270:P270)</f>
        <v>0</v>
      </c>
      <c r="AS270" s="70">
        <f>SUM(Q270:W270)</f>
        <v>0</v>
      </c>
      <c r="AT270" s="70">
        <f>SUM(X270:AD270)</f>
        <v>0</v>
      </c>
      <c r="AU270" s="70">
        <f>SUM(AE270:AI270)</f>
        <v>0</v>
      </c>
      <c r="AV270" s="57">
        <f t="shared" si="582"/>
        <v>0</v>
      </c>
    </row>
    <row r="271" spans="1:48" ht="25.15" hidden="1" customHeight="1">
      <c r="A271" s="58" t="s">
        <v>147</v>
      </c>
      <c r="B271" s="65"/>
      <c r="C271" s="66"/>
      <c r="D271" s="67" t="s">
        <v>103</v>
      </c>
      <c r="E271" s="1331"/>
      <c r="F271" s="1101"/>
      <c r="G271" s="1209"/>
      <c r="H271" s="1101"/>
      <c r="I271" s="1101"/>
      <c r="J271" s="1209"/>
      <c r="K271" s="1209"/>
      <c r="L271" s="1101"/>
      <c r="M271" s="1101"/>
      <c r="N271" s="1101"/>
      <c r="O271" s="1101"/>
      <c r="P271" s="1101"/>
      <c r="Q271" s="1209"/>
      <c r="R271" s="1209"/>
      <c r="S271" s="1101"/>
      <c r="T271" s="1101"/>
      <c r="U271" s="1101"/>
      <c r="V271" s="1101"/>
      <c r="W271" s="1101"/>
      <c r="X271" s="1209"/>
      <c r="Y271" s="1209"/>
      <c r="Z271" s="1101"/>
      <c r="AA271" s="1101"/>
      <c r="AB271" s="1101"/>
      <c r="AC271" s="1101"/>
      <c r="AD271" s="1101"/>
      <c r="AE271" s="1209"/>
      <c r="AF271" s="1209"/>
      <c r="AG271" s="1101"/>
      <c r="AH271" s="1101"/>
      <c r="AI271" s="1332"/>
      <c r="AJ271" s="68">
        <f>SUM(E271:AI271)</f>
        <v>0</v>
      </c>
      <c r="AK271" s="68"/>
      <c r="AL271" s="69">
        <f>+AJ271*AN266</f>
        <v>0</v>
      </c>
      <c r="AM271" s="1069">
        <f t="shared" si="580"/>
        <v>0</v>
      </c>
      <c r="AN271" s="31"/>
      <c r="AO271" s="622"/>
      <c r="AP271" s="39" t="s">
        <v>19</v>
      </c>
      <c r="AQ271" s="56">
        <f>AQ270*AN266</f>
        <v>0</v>
      </c>
      <c r="AR271" s="56">
        <f>AR270*AN266</f>
        <v>0</v>
      </c>
      <c r="AS271" s="56">
        <f>AS270*AN266</f>
        <v>0</v>
      </c>
      <c r="AT271" s="56">
        <f>AT270*AN266</f>
        <v>0</v>
      </c>
      <c r="AU271" s="56">
        <f>AU270*AN266</f>
        <v>0</v>
      </c>
      <c r="AV271" s="57">
        <f t="shared" si="582"/>
        <v>0</v>
      </c>
    </row>
    <row r="272" spans="1:48" ht="25.15" hidden="1" customHeight="1">
      <c r="A272" s="103"/>
      <c r="B272" s="65"/>
      <c r="C272" s="72" t="s">
        <v>104</v>
      </c>
      <c r="D272" s="73" t="s">
        <v>105</v>
      </c>
      <c r="E272" s="1378"/>
      <c r="F272" s="1103"/>
      <c r="G272" s="1210"/>
      <c r="H272" s="1103"/>
      <c r="I272" s="1103"/>
      <c r="J272" s="1210"/>
      <c r="K272" s="1210"/>
      <c r="L272" s="1103"/>
      <c r="M272" s="1103"/>
      <c r="N272" s="1103"/>
      <c r="O272" s="1103"/>
      <c r="P272" s="1103"/>
      <c r="Q272" s="1210"/>
      <c r="R272" s="1210"/>
      <c r="S272" s="1103"/>
      <c r="T272" s="1103"/>
      <c r="U272" s="1103"/>
      <c r="V272" s="1103"/>
      <c r="W272" s="1103"/>
      <c r="X272" s="1210"/>
      <c r="Y272" s="1210"/>
      <c r="Z272" s="1103"/>
      <c r="AA272" s="1103"/>
      <c r="AB272" s="1103"/>
      <c r="AC272" s="1103"/>
      <c r="AD272" s="1103"/>
      <c r="AE272" s="1210"/>
      <c r="AF272" s="1210"/>
      <c r="AG272" s="1103"/>
      <c r="AH272" s="1103"/>
      <c r="AI272" s="1352"/>
      <c r="AJ272" s="74">
        <f>SUM(E272:AI272)</f>
        <v>0</v>
      </c>
      <c r="AK272" s="74"/>
      <c r="AL272" s="75">
        <f>+AJ272*AN266</f>
        <v>0</v>
      </c>
      <c r="AM272" s="1070">
        <f t="shared" si="580"/>
        <v>0</v>
      </c>
      <c r="AN272" s="76"/>
      <c r="AO272" s="636"/>
      <c r="AP272" s="47" t="s">
        <v>106</v>
      </c>
      <c r="AQ272" s="48">
        <f>AQ268*AN266</f>
        <v>0</v>
      </c>
      <c r="AR272" s="48">
        <f>AR268*AN266</f>
        <v>0</v>
      </c>
      <c r="AS272" s="48">
        <f>AS268*AN266</f>
        <v>0</v>
      </c>
      <c r="AT272" s="48">
        <f>AT268*AN266</f>
        <v>0</v>
      </c>
      <c r="AU272" s="48">
        <f>AU268*AN266</f>
        <v>0</v>
      </c>
      <c r="AV272" s="50">
        <f t="shared" si="582"/>
        <v>0</v>
      </c>
    </row>
    <row r="273" spans="1:48" ht="25.15" hidden="1" customHeight="1">
      <c r="A273" s="103"/>
      <c r="B273" s="65"/>
      <c r="C273" s="77">
        <v>300000</v>
      </c>
      <c r="D273" s="78" t="s">
        <v>107</v>
      </c>
      <c r="E273" s="1327">
        <v>1</v>
      </c>
      <c r="F273" s="1097">
        <v>1</v>
      </c>
      <c r="G273" s="1205">
        <v>1</v>
      </c>
      <c r="H273" s="1097">
        <v>1</v>
      </c>
      <c r="I273" s="1097">
        <v>1</v>
      </c>
      <c r="J273" s="1205">
        <v>1</v>
      </c>
      <c r="K273" s="1205">
        <v>1</v>
      </c>
      <c r="L273" s="1097">
        <v>1</v>
      </c>
      <c r="M273" s="1097">
        <v>1</v>
      </c>
      <c r="N273" s="1097">
        <v>1</v>
      </c>
      <c r="O273" s="1097">
        <v>1</v>
      </c>
      <c r="P273" s="1097">
        <v>1</v>
      </c>
      <c r="Q273" s="1205">
        <v>1</v>
      </c>
      <c r="R273" s="1205">
        <v>1</v>
      </c>
      <c r="S273" s="1097">
        <v>1</v>
      </c>
      <c r="T273" s="1097">
        <v>1</v>
      </c>
      <c r="U273" s="1097">
        <v>1</v>
      </c>
      <c r="V273" s="1097">
        <v>1</v>
      </c>
      <c r="W273" s="1097">
        <v>1</v>
      </c>
      <c r="X273" s="1205">
        <v>1</v>
      </c>
      <c r="Y273" s="1205">
        <v>1</v>
      </c>
      <c r="Z273" s="1097">
        <v>1</v>
      </c>
      <c r="AA273" s="1097">
        <v>1</v>
      </c>
      <c r="AB273" s="1097">
        <v>1</v>
      </c>
      <c r="AC273" s="1097">
        <v>1</v>
      </c>
      <c r="AD273" s="1097">
        <v>1</v>
      </c>
      <c r="AE273" s="1205">
        <v>1</v>
      </c>
      <c r="AF273" s="1205">
        <v>1</v>
      </c>
      <c r="AG273" s="1097">
        <v>1</v>
      </c>
      <c r="AH273" s="1097">
        <v>1</v>
      </c>
      <c r="AI273" s="1328">
        <v>1</v>
      </c>
      <c r="AJ273" s="79"/>
      <c r="AK273" s="79"/>
      <c r="AL273" s="55"/>
      <c r="AM273" s="1067">
        <f t="shared" si="580"/>
        <v>0</v>
      </c>
      <c r="AN273" s="31"/>
      <c r="AO273" s="622"/>
      <c r="AP273" s="23"/>
      <c r="AQ273" s="23"/>
      <c r="AR273" s="23"/>
      <c r="AS273" s="23"/>
      <c r="AT273" s="23"/>
      <c r="AU273" s="23"/>
      <c r="AV273" s="23"/>
    </row>
    <row r="274" spans="1:48" ht="25.15" hidden="1" customHeight="1">
      <c r="A274" s="103"/>
      <c r="B274" s="65"/>
      <c r="C274" s="80" t="s">
        <v>108</v>
      </c>
      <c r="D274" s="81" t="s">
        <v>109</v>
      </c>
      <c r="E274" s="1374">
        <f>SUM(E268+E270+E271+E272)/E273</f>
        <v>0</v>
      </c>
      <c r="F274" s="1104">
        <f>SUM(F268+F270+F271+F272)/F273</f>
        <v>0</v>
      </c>
      <c r="G274" s="1211">
        <f>SUM(G268+G270+G271+G272)/G273</f>
        <v>0</v>
      </c>
      <c r="H274" s="1104">
        <f t="shared" ref="H274:AH274" si="585">SUM(H268+H270+H271+H272)/H273</f>
        <v>0</v>
      </c>
      <c r="I274" s="1104">
        <f t="shared" si="585"/>
        <v>0</v>
      </c>
      <c r="J274" s="1211">
        <f t="shared" si="585"/>
        <v>0</v>
      </c>
      <c r="K274" s="1211">
        <f t="shared" si="585"/>
        <v>0</v>
      </c>
      <c r="L274" s="1104">
        <f t="shared" si="585"/>
        <v>0</v>
      </c>
      <c r="M274" s="1104">
        <f t="shared" si="585"/>
        <v>0</v>
      </c>
      <c r="N274" s="1104">
        <f t="shared" si="585"/>
        <v>0</v>
      </c>
      <c r="O274" s="1104">
        <f t="shared" si="585"/>
        <v>0</v>
      </c>
      <c r="P274" s="1104">
        <f t="shared" si="585"/>
        <v>0</v>
      </c>
      <c r="Q274" s="1211">
        <f t="shared" si="585"/>
        <v>0</v>
      </c>
      <c r="R274" s="1211">
        <f t="shared" si="585"/>
        <v>0</v>
      </c>
      <c r="S274" s="1104">
        <f t="shared" si="585"/>
        <v>0</v>
      </c>
      <c r="T274" s="1104">
        <f t="shared" si="585"/>
        <v>0</v>
      </c>
      <c r="U274" s="1104">
        <f t="shared" si="585"/>
        <v>0</v>
      </c>
      <c r="V274" s="1104">
        <f t="shared" si="585"/>
        <v>0</v>
      </c>
      <c r="W274" s="1104">
        <f t="shared" si="585"/>
        <v>0</v>
      </c>
      <c r="X274" s="1211">
        <f t="shared" si="585"/>
        <v>0</v>
      </c>
      <c r="Y274" s="1211">
        <f t="shared" si="585"/>
        <v>0</v>
      </c>
      <c r="Z274" s="1104">
        <f t="shared" si="585"/>
        <v>0</v>
      </c>
      <c r="AA274" s="1104">
        <f t="shared" si="585"/>
        <v>0</v>
      </c>
      <c r="AB274" s="1104">
        <f t="shared" si="585"/>
        <v>0</v>
      </c>
      <c r="AC274" s="1104">
        <f t="shared" si="585"/>
        <v>0</v>
      </c>
      <c r="AD274" s="1104">
        <f t="shared" si="585"/>
        <v>0</v>
      </c>
      <c r="AE274" s="1211">
        <f t="shared" si="585"/>
        <v>0</v>
      </c>
      <c r="AF274" s="1211">
        <f t="shared" si="585"/>
        <v>0</v>
      </c>
      <c r="AG274" s="1104">
        <f t="shared" si="585"/>
        <v>0</v>
      </c>
      <c r="AH274" s="1104">
        <f t="shared" si="585"/>
        <v>0</v>
      </c>
      <c r="AI274" s="1335">
        <f>SUM(AI268+AI270+AI271)/AI273</f>
        <v>0</v>
      </c>
      <c r="AJ274" s="104">
        <f>SUM(E274:AI274)</f>
        <v>0</v>
      </c>
      <c r="AK274" s="104"/>
      <c r="AL274" s="83"/>
      <c r="AM274" s="1068">
        <f t="shared" si="580"/>
        <v>0</v>
      </c>
      <c r="AN274" s="31"/>
      <c r="AO274" s="622"/>
      <c r="AP274" s="23"/>
      <c r="AQ274" s="23"/>
      <c r="AR274" s="23"/>
      <c r="AS274" s="23"/>
      <c r="AT274" s="23"/>
      <c r="AU274" s="23"/>
      <c r="AV274" s="23"/>
    </row>
    <row r="275" spans="1:48" ht="25.15" hidden="1" customHeight="1">
      <c r="A275" s="103"/>
      <c r="B275" s="59"/>
      <c r="C275" s="84">
        <f>+C273*0.8</f>
        <v>240000</v>
      </c>
      <c r="D275" s="85" t="s">
        <v>110</v>
      </c>
      <c r="E275" s="1105"/>
      <c r="F275" s="1106"/>
      <c r="G275" s="1211"/>
      <c r="H275" s="1104"/>
      <c r="I275" s="1104"/>
      <c r="J275" s="1211"/>
      <c r="K275" s="1211"/>
      <c r="L275" s="1104"/>
      <c r="M275" s="1104"/>
      <c r="N275" s="1104"/>
      <c r="O275" s="1107"/>
      <c r="P275" s="1104"/>
      <c r="Q275" s="1211"/>
      <c r="R275" s="1211"/>
      <c r="S275" s="1104"/>
      <c r="T275" s="1104"/>
      <c r="U275" s="1104"/>
      <c r="V275" s="1104"/>
      <c r="W275" s="1104"/>
      <c r="X275" s="1211"/>
      <c r="Y275" s="1211"/>
      <c r="Z275" s="1104"/>
      <c r="AA275" s="1104"/>
      <c r="AB275" s="1104"/>
      <c r="AC275" s="1104"/>
      <c r="AD275" s="1104"/>
      <c r="AE275" s="1211"/>
      <c r="AF275" s="1211"/>
      <c r="AG275" s="1104"/>
      <c r="AH275" s="1104"/>
      <c r="AI275" s="1353"/>
      <c r="AJ275" s="86"/>
      <c r="AK275" s="86"/>
      <c r="AL275" s="690"/>
      <c r="AM275" s="694">
        <f t="shared" si="580"/>
        <v>0</v>
      </c>
      <c r="AN275" s="31"/>
      <c r="AO275" s="622"/>
      <c r="AP275" s="23"/>
      <c r="AQ275" s="23"/>
      <c r="AR275" s="23"/>
      <c r="AS275" s="23"/>
      <c r="AT275" s="23"/>
      <c r="AU275" s="23"/>
      <c r="AV275" s="23"/>
    </row>
    <row r="276" spans="1:48" ht="25.15" hidden="1" customHeight="1">
      <c r="A276" s="103"/>
      <c r="B276" s="105"/>
      <c r="C276" s="77"/>
      <c r="D276" s="88" t="s">
        <v>111</v>
      </c>
      <c r="E276" s="1108">
        <f>IF(E275="O/H",E274,0+E274)</f>
        <v>0</v>
      </c>
      <c r="F276" s="1089">
        <f t="shared" ref="F276:AI276" si="586">IF(F275="O/H",F274,+E276+F274)</f>
        <v>0</v>
      </c>
      <c r="G276" s="44">
        <f t="shared" si="586"/>
        <v>0</v>
      </c>
      <c r="H276" s="1089">
        <f t="shared" si="586"/>
        <v>0</v>
      </c>
      <c r="I276" s="1089">
        <f t="shared" si="586"/>
        <v>0</v>
      </c>
      <c r="J276" s="44">
        <f t="shared" si="586"/>
        <v>0</v>
      </c>
      <c r="K276" s="44">
        <f t="shared" si="586"/>
        <v>0</v>
      </c>
      <c r="L276" s="1089">
        <f t="shared" si="586"/>
        <v>0</v>
      </c>
      <c r="M276" s="1089">
        <f t="shared" si="586"/>
        <v>0</v>
      </c>
      <c r="N276" s="1089">
        <f t="shared" si="586"/>
        <v>0</v>
      </c>
      <c r="O276" s="1089">
        <f t="shared" si="586"/>
        <v>0</v>
      </c>
      <c r="P276" s="1089">
        <f t="shared" si="586"/>
        <v>0</v>
      </c>
      <c r="Q276" s="44">
        <f t="shared" si="586"/>
        <v>0</v>
      </c>
      <c r="R276" s="44">
        <f t="shared" si="586"/>
        <v>0</v>
      </c>
      <c r="S276" s="1089">
        <f t="shared" si="586"/>
        <v>0</v>
      </c>
      <c r="T276" s="1089">
        <f t="shared" si="586"/>
        <v>0</v>
      </c>
      <c r="U276" s="1089">
        <f t="shared" si="586"/>
        <v>0</v>
      </c>
      <c r="V276" s="1089">
        <f t="shared" si="586"/>
        <v>0</v>
      </c>
      <c r="W276" s="1089">
        <f t="shared" si="586"/>
        <v>0</v>
      </c>
      <c r="X276" s="44">
        <f t="shared" si="586"/>
        <v>0</v>
      </c>
      <c r="Y276" s="44">
        <f t="shared" si="586"/>
        <v>0</v>
      </c>
      <c r="Z276" s="1089">
        <f t="shared" si="586"/>
        <v>0</v>
      </c>
      <c r="AA276" s="1089">
        <f t="shared" si="586"/>
        <v>0</v>
      </c>
      <c r="AB276" s="1089">
        <f t="shared" si="586"/>
        <v>0</v>
      </c>
      <c r="AC276" s="1089">
        <f t="shared" si="586"/>
        <v>0</v>
      </c>
      <c r="AD276" s="1089">
        <f t="shared" si="586"/>
        <v>0</v>
      </c>
      <c r="AE276" s="44">
        <f t="shared" si="586"/>
        <v>0</v>
      </c>
      <c r="AF276" s="44">
        <f t="shared" si="586"/>
        <v>0</v>
      </c>
      <c r="AG276" s="1089">
        <f t="shared" si="586"/>
        <v>0</v>
      </c>
      <c r="AH276" s="1089">
        <f t="shared" si="586"/>
        <v>0</v>
      </c>
      <c r="AI276" s="1326">
        <f t="shared" si="586"/>
        <v>0</v>
      </c>
      <c r="AJ276" s="79"/>
      <c r="AK276" s="86"/>
      <c r="AL276" s="689"/>
      <c r="AM276" s="694">
        <f t="shared" si="580"/>
        <v>0</v>
      </c>
      <c r="AN276" s="31"/>
      <c r="AO276" s="622"/>
      <c r="AP276" s="23"/>
      <c r="AQ276" s="23"/>
      <c r="AR276" s="23"/>
      <c r="AS276" s="23"/>
      <c r="AT276" s="23"/>
      <c r="AU276" s="23"/>
      <c r="AV276" s="23"/>
    </row>
    <row r="277" spans="1:48" s="23" customFormat="1" ht="20.65" hidden="1" customHeight="1">
      <c r="A277" s="274"/>
      <c r="B277" s="312"/>
      <c r="C277" s="308"/>
      <c r="D277" s="795" t="s">
        <v>112</v>
      </c>
      <c r="E277" s="1108" t="b">
        <f>IF(AND(ISNUMBER(E268)),305845+E274)</f>
        <v>0</v>
      </c>
      <c r="F277" s="1089" t="str">
        <f>IF(AND(ISNUMBER(F268)),E277+F274,"")</f>
        <v/>
      </c>
      <c r="G277" s="44" t="str">
        <f t="shared" ref="G277" si="587">IF(AND(ISNUMBER(G268)),F277+G274,"")</f>
        <v/>
      </c>
      <c r="H277" s="1089" t="str">
        <f t="shared" ref="H277" si="588">IF(AND(ISNUMBER(H268)),G277+H274,"")</f>
        <v/>
      </c>
      <c r="I277" s="1089" t="str">
        <f>IF(AND(ISNUMBER(I268)),H277+I274,"")</f>
        <v/>
      </c>
      <c r="J277" s="44" t="str">
        <f>IF(AND(ISNUMBER(J268)),I277+J274,"")</f>
        <v/>
      </c>
      <c r="K277" s="44" t="str">
        <f>IF(AND(ISNUMBER(K268)),J277+K274,"")</f>
        <v/>
      </c>
      <c r="L277" s="1089" t="str">
        <f t="shared" ref="L277" si="589">IF(AND(ISNUMBER(L268)),K277+L274,"")</f>
        <v/>
      </c>
      <c r="M277" s="1089" t="str">
        <f t="shared" ref="M277" si="590">IF(AND(ISNUMBER(M268)),L277+M274,"")</f>
        <v/>
      </c>
      <c r="N277" s="1089" t="str">
        <f t="shared" ref="N277" si="591">IF(AND(ISNUMBER(N268)),M277+N274,"")</f>
        <v/>
      </c>
      <c r="O277" s="1089" t="str">
        <f t="shared" ref="O277" si="592">IF(AND(ISNUMBER(O268)),N277+O274,"")</f>
        <v/>
      </c>
      <c r="P277" s="1089" t="str">
        <f t="shared" ref="P277" si="593">IF(AND(ISNUMBER(P268)),O277+P274,"")</f>
        <v/>
      </c>
      <c r="Q277" s="44" t="str">
        <f t="shared" ref="Q277" si="594">IF(AND(ISNUMBER(Q268)),P277+Q274,"")</f>
        <v/>
      </c>
      <c r="R277" s="44" t="str">
        <f t="shared" ref="R277" si="595">IF(AND(ISNUMBER(R268)),Q277+R274,"")</f>
        <v/>
      </c>
      <c r="S277" s="1089" t="str">
        <f t="shared" ref="S277" si="596">IF(AND(ISNUMBER(S268)),R277+S274,"")</f>
        <v/>
      </c>
      <c r="T277" s="1089" t="str">
        <f t="shared" ref="T277" si="597">IF(AND(ISNUMBER(T268)),S277+T274,"")</f>
        <v/>
      </c>
      <c r="U277" s="1089" t="str">
        <f t="shared" ref="U277" si="598">IF(AND(ISNUMBER(U268)),T277+U274,"")</f>
        <v/>
      </c>
      <c r="V277" s="1089" t="str">
        <f t="shared" ref="V277" si="599">IF(AND(ISNUMBER(V268)),U277+V274,"")</f>
        <v/>
      </c>
      <c r="W277" s="1089" t="str">
        <f t="shared" ref="W277" si="600">IF(AND(ISNUMBER(W268)),V277+W274,"")</f>
        <v/>
      </c>
      <c r="X277" s="44" t="str">
        <f t="shared" ref="X277" si="601">IF(AND(ISNUMBER(X268)),W277+X274,"")</f>
        <v/>
      </c>
      <c r="Y277" s="44" t="str">
        <f t="shared" ref="Y277" si="602">IF(AND(ISNUMBER(Y268)),X277+Y274,"")</f>
        <v/>
      </c>
      <c r="Z277" s="1089" t="str">
        <f t="shared" ref="Z277" si="603">IF(AND(ISNUMBER(Z268)),Y277+Z274,"")</f>
        <v/>
      </c>
      <c r="AA277" s="1089" t="str">
        <f t="shared" ref="AA277" si="604">IF(AND(ISNUMBER(AA268)),Z277+AA274,"")</f>
        <v/>
      </c>
      <c r="AB277" s="1089" t="str">
        <f t="shared" ref="AB277" si="605">IF(AND(ISNUMBER(AB268)),AA277+AB274,"")</f>
        <v/>
      </c>
      <c r="AC277" s="1089" t="str">
        <f t="shared" ref="AC277" si="606">IF(AND(ISNUMBER(AC268)),AB277+AC274,"")</f>
        <v/>
      </c>
      <c r="AD277" s="1089" t="str">
        <f t="shared" ref="AD277" si="607">IF(AND(ISNUMBER(AD268)),AC277+AD274,"")</f>
        <v/>
      </c>
      <c r="AE277" s="44" t="str">
        <f t="shared" ref="AE277" si="608">IF(AND(ISNUMBER(AE268)),AD277+AE274,"")</f>
        <v/>
      </c>
      <c r="AF277" s="44" t="str">
        <f t="shared" ref="AF277" si="609">IF(AND(ISNUMBER(AF268)),AE277+AF274,"")</f>
        <v/>
      </c>
      <c r="AG277" s="1089" t="str">
        <f t="shared" ref="AG277" si="610">IF(AND(ISNUMBER(AG268)),AF277+AG274,"")</f>
        <v/>
      </c>
      <c r="AH277" s="1089" t="str">
        <f t="shared" ref="AH277" si="611">IF(AND(ISNUMBER(AH268)),AG277+AH274,"")</f>
        <v/>
      </c>
      <c r="AI277" s="1089" t="str">
        <f t="shared" ref="AI277" si="612">IF(AND(ISNUMBER(AI268)),AH277+AI274,"")</f>
        <v/>
      </c>
      <c r="AJ277" s="793"/>
      <c r="AK277" s="793"/>
      <c r="AL277" s="909"/>
      <c r="AM277" s="890">
        <f t="shared" si="580"/>
        <v>0</v>
      </c>
      <c r="AN277" s="76"/>
      <c r="AO277" s="624"/>
      <c r="AP277" s="285"/>
      <c r="AQ277" s="285"/>
      <c r="AR277" s="285"/>
      <c r="AS277" s="285"/>
      <c r="AT277" s="286"/>
      <c r="AU277" s="285"/>
      <c r="AV277" s="287"/>
    </row>
    <row r="278" spans="1:48" ht="25.15" hidden="1" customHeight="1">
      <c r="A278" s="103"/>
      <c r="B278" s="89"/>
      <c r="C278" s="80"/>
      <c r="D278" s="90" t="s">
        <v>104</v>
      </c>
      <c r="E278" s="1108"/>
      <c r="F278" s="1089"/>
      <c r="G278" s="44"/>
      <c r="H278" s="1089"/>
      <c r="I278" s="1089"/>
      <c r="J278" s="44"/>
      <c r="K278" s="44"/>
      <c r="L278" s="1089"/>
      <c r="M278" s="1089"/>
      <c r="N278" s="1089"/>
      <c r="O278" s="1089"/>
      <c r="P278" s="1089"/>
      <c r="Q278" s="44"/>
      <c r="R278" s="44"/>
      <c r="S278" s="1089"/>
      <c r="T278" s="1089"/>
      <c r="U278" s="1089"/>
      <c r="V278" s="1089"/>
      <c r="W278" s="1089"/>
      <c r="X278" s="44"/>
      <c r="Y278" s="44"/>
      <c r="Z278" s="1089"/>
      <c r="AA278" s="1089"/>
      <c r="AB278" s="1089"/>
      <c r="AC278" s="1089"/>
      <c r="AD278" s="1089"/>
      <c r="AE278" s="44"/>
      <c r="AF278" s="44"/>
      <c r="AG278" s="1089"/>
      <c r="AH278" s="1089"/>
      <c r="AI278" s="1326"/>
      <c r="AJ278" s="79"/>
      <c r="AK278" s="79"/>
      <c r="AL278" s="63"/>
      <c r="AM278" s="1068">
        <f t="shared" si="580"/>
        <v>0</v>
      </c>
      <c r="AN278" s="64"/>
      <c r="AO278" s="624"/>
      <c r="AP278" s="23"/>
      <c r="AQ278" s="23"/>
      <c r="AR278" s="23"/>
      <c r="AS278" s="23"/>
      <c r="AT278" s="23"/>
      <c r="AU278" s="23"/>
      <c r="AV278" s="23"/>
    </row>
    <row r="279" spans="1:48" ht="25.15" hidden="1" customHeight="1" thickBot="1">
      <c r="A279" s="106"/>
      <c r="B279" s="93"/>
      <c r="C279" s="94"/>
      <c r="D279" s="95" t="s">
        <v>111</v>
      </c>
      <c r="E279" s="1109">
        <f>IF(E278="O/H",E274,0+E274)</f>
        <v>0</v>
      </c>
      <c r="F279" s="1110">
        <f t="shared" ref="F279:AI279" si="613">IF(F278="O/H",F274,+E279+F274)</f>
        <v>0</v>
      </c>
      <c r="G279" s="1212">
        <f t="shared" si="613"/>
        <v>0</v>
      </c>
      <c r="H279" s="1110">
        <f t="shared" si="613"/>
        <v>0</v>
      </c>
      <c r="I279" s="1110">
        <f t="shared" si="613"/>
        <v>0</v>
      </c>
      <c r="J279" s="1212">
        <f t="shared" si="613"/>
        <v>0</v>
      </c>
      <c r="K279" s="1212">
        <f t="shared" si="613"/>
        <v>0</v>
      </c>
      <c r="L279" s="1110">
        <f t="shared" si="613"/>
        <v>0</v>
      </c>
      <c r="M279" s="1110">
        <f t="shared" si="613"/>
        <v>0</v>
      </c>
      <c r="N279" s="1110">
        <f t="shared" si="613"/>
        <v>0</v>
      </c>
      <c r="O279" s="1110">
        <f t="shared" si="613"/>
        <v>0</v>
      </c>
      <c r="P279" s="1110">
        <f t="shared" si="613"/>
        <v>0</v>
      </c>
      <c r="Q279" s="1212">
        <f t="shared" si="613"/>
        <v>0</v>
      </c>
      <c r="R279" s="1212">
        <f t="shared" si="613"/>
        <v>0</v>
      </c>
      <c r="S279" s="1110">
        <f t="shared" si="613"/>
        <v>0</v>
      </c>
      <c r="T279" s="1110">
        <f t="shared" si="613"/>
        <v>0</v>
      </c>
      <c r="U279" s="1110">
        <f t="shared" si="613"/>
        <v>0</v>
      </c>
      <c r="V279" s="1110">
        <f t="shared" si="613"/>
        <v>0</v>
      </c>
      <c r="W279" s="1110">
        <f t="shared" si="613"/>
        <v>0</v>
      </c>
      <c r="X279" s="1212">
        <f t="shared" si="613"/>
        <v>0</v>
      </c>
      <c r="Y279" s="1212">
        <f t="shared" si="613"/>
        <v>0</v>
      </c>
      <c r="Z279" s="1110">
        <f t="shared" si="613"/>
        <v>0</v>
      </c>
      <c r="AA279" s="1110">
        <f t="shared" si="613"/>
        <v>0</v>
      </c>
      <c r="AB279" s="1110">
        <f t="shared" si="613"/>
        <v>0</v>
      </c>
      <c r="AC279" s="1110">
        <f t="shared" si="613"/>
        <v>0</v>
      </c>
      <c r="AD279" s="1110">
        <f t="shared" si="613"/>
        <v>0</v>
      </c>
      <c r="AE279" s="1212">
        <f t="shared" si="613"/>
        <v>0</v>
      </c>
      <c r="AF279" s="1212">
        <f t="shared" si="613"/>
        <v>0</v>
      </c>
      <c r="AG279" s="1110">
        <f t="shared" si="613"/>
        <v>0</v>
      </c>
      <c r="AH279" s="1110">
        <f t="shared" si="613"/>
        <v>0</v>
      </c>
      <c r="AI279" s="1340">
        <f t="shared" si="613"/>
        <v>0</v>
      </c>
      <c r="AJ279" s="96"/>
      <c r="AK279" s="96"/>
      <c r="AL279" s="97"/>
      <c r="AM279" s="1071">
        <f t="shared" si="580"/>
        <v>0</v>
      </c>
      <c r="AN279" s="98"/>
      <c r="AO279" s="625"/>
      <c r="AP279" s="23"/>
      <c r="AQ279" s="23"/>
      <c r="AR279" s="23"/>
      <c r="AS279" s="23"/>
      <c r="AT279" s="23"/>
      <c r="AU279" s="23"/>
      <c r="AV279" s="23"/>
    </row>
    <row r="280" spans="1:48" ht="25.15" hidden="1" customHeight="1" thickTop="1">
      <c r="A280" s="99"/>
      <c r="B280" s="26" t="s">
        <v>148</v>
      </c>
      <c r="C280" s="27"/>
      <c r="D280" s="28" t="s">
        <v>82</v>
      </c>
      <c r="E280" s="1111"/>
      <c r="F280" s="1111"/>
      <c r="G280" s="1201"/>
      <c r="H280" s="1111"/>
      <c r="I280" s="1111"/>
      <c r="J280" s="1201"/>
      <c r="K280" s="1201"/>
      <c r="L280" s="1111"/>
      <c r="M280" s="1111"/>
      <c r="N280" s="1111"/>
      <c r="O280" s="1111"/>
      <c r="P280" s="1111"/>
      <c r="Q280" s="1201"/>
      <c r="R280" s="1201"/>
      <c r="S280" s="1111"/>
      <c r="T280" s="1111"/>
      <c r="U280" s="1111"/>
      <c r="V280" s="1111"/>
      <c r="W280" s="1111"/>
      <c r="X280" s="1201"/>
      <c r="Y280" s="1201"/>
      <c r="Z280" s="1111"/>
      <c r="AA280" s="1111"/>
      <c r="AB280" s="1111"/>
      <c r="AC280" s="1111"/>
      <c r="AD280" s="1111"/>
      <c r="AE280" s="1201"/>
      <c r="AF280" s="1201"/>
      <c r="AG280" s="1111"/>
      <c r="AH280" s="1111"/>
      <c r="AI280" s="1412"/>
      <c r="AJ280" s="100">
        <f>SUM(Table75[[#This Row],[June''2026]:[Column27]])</f>
        <v>0</v>
      </c>
      <c r="AK280" s="100">
        <f t="shared" si="579"/>
        <v>0</v>
      </c>
      <c r="AL280" s="101">
        <f>+AJ280*AN280</f>
        <v>0</v>
      </c>
      <c r="AM280" s="1072">
        <f t="shared" si="580"/>
        <v>0</v>
      </c>
      <c r="AN280" s="102"/>
      <c r="AO280" s="622" t="e">
        <f>Table5[[#This Row],[Total]]*B284/1000</f>
        <v>#VALUE!</v>
      </c>
      <c r="AP280" s="32" t="s">
        <v>145</v>
      </c>
      <c r="AQ280" s="33" t="s">
        <v>84</v>
      </c>
      <c r="AR280" s="33" t="s">
        <v>85</v>
      </c>
      <c r="AS280" s="33" t="s">
        <v>86</v>
      </c>
      <c r="AT280" s="33" t="s">
        <v>87</v>
      </c>
      <c r="AU280" s="33" t="s">
        <v>88</v>
      </c>
      <c r="AV280" s="34" t="s">
        <v>68</v>
      </c>
    </row>
    <row r="281" spans="1:48" ht="25.15" hidden="1" customHeight="1">
      <c r="A281" s="103"/>
      <c r="B281" s="35" t="s">
        <v>149</v>
      </c>
      <c r="C281" s="36"/>
      <c r="D281" s="37" t="s">
        <v>90</v>
      </c>
      <c r="E281" s="1373">
        <f>IF(E280="",0,+ E280/E287)</f>
        <v>0</v>
      </c>
      <c r="F281" s="1096">
        <f t="shared" ref="F281:AI281" si="614">IF(F280="",0, E281+F280/F287)</f>
        <v>0</v>
      </c>
      <c r="G281" s="1207">
        <f t="shared" si="614"/>
        <v>0</v>
      </c>
      <c r="H281" s="1096">
        <f t="shared" si="614"/>
        <v>0</v>
      </c>
      <c r="I281" s="1096">
        <f t="shared" si="614"/>
        <v>0</v>
      </c>
      <c r="J281" s="1207">
        <f t="shared" si="614"/>
        <v>0</v>
      </c>
      <c r="K281" s="1207">
        <f t="shared" si="614"/>
        <v>0</v>
      </c>
      <c r="L281" s="1096">
        <f t="shared" si="614"/>
        <v>0</v>
      </c>
      <c r="M281" s="1096">
        <f t="shared" si="614"/>
        <v>0</v>
      </c>
      <c r="N281" s="1096">
        <f t="shared" si="614"/>
        <v>0</v>
      </c>
      <c r="O281" s="1096">
        <f t="shared" si="614"/>
        <v>0</v>
      </c>
      <c r="P281" s="1096">
        <f t="shared" si="614"/>
        <v>0</v>
      </c>
      <c r="Q281" s="1207">
        <f t="shared" si="614"/>
        <v>0</v>
      </c>
      <c r="R281" s="1207">
        <f t="shared" si="614"/>
        <v>0</v>
      </c>
      <c r="S281" s="1096">
        <f t="shared" si="614"/>
        <v>0</v>
      </c>
      <c r="T281" s="1096">
        <f t="shared" si="614"/>
        <v>0</v>
      </c>
      <c r="U281" s="1096">
        <f t="shared" si="614"/>
        <v>0</v>
      </c>
      <c r="V281" s="1096">
        <f t="shared" si="614"/>
        <v>0</v>
      </c>
      <c r="W281" s="1096">
        <f t="shared" si="614"/>
        <v>0</v>
      </c>
      <c r="X281" s="1207">
        <f t="shared" si="614"/>
        <v>0</v>
      </c>
      <c r="Y281" s="1207">
        <f t="shared" si="614"/>
        <v>0</v>
      </c>
      <c r="Z281" s="1096">
        <f t="shared" si="614"/>
        <v>0</v>
      </c>
      <c r="AA281" s="1096">
        <f t="shared" si="614"/>
        <v>0</v>
      </c>
      <c r="AB281" s="1096">
        <f t="shared" si="614"/>
        <v>0</v>
      </c>
      <c r="AC281" s="1096">
        <f t="shared" si="614"/>
        <v>0</v>
      </c>
      <c r="AD281" s="1096">
        <f t="shared" si="614"/>
        <v>0</v>
      </c>
      <c r="AE281" s="1207">
        <f t="shared" si="614"/>
        <v>0</v>
      </c>
      <c r="AF281" s="1207">
        <f t="shared" si="614"/>
        <v>0</v>
      </c>
      <c r="AG281" s="1096">
        <f t="shared" si="614"/>
        <v>0</v>
      </c>
      <c r="AH281" s="1096">
        <f t="shared" si="614"/>
        <v>0</v>
      </c>
      <c r="AI281" s="1324">
        <f t="shared" si="614"/>
        <v>0</v>
      </c>
      <c r="AJ281" s="38"/>
      <c r="AK281" s="29"/>
      <c r="AL281" s="30"/>
      <c r="AM281" s="694">
        <f t="shared" si="580"/>
        <v>0</v>
      </c>
      <c r="AN281" s="31"/>
      <c r="AO281" s="630"/>
      <c r="AP281" s="39" t="s">
        <v>91</v>
      </c>
      <c r="AQ281" s="40">
        <f>SUM(E280:I280)</f>
        <v>0</v>
      </c>
      <c r="AR281" s="41">
        <f>SUM(J280:P280)</f>
        <v>0</v>
      </c>
      <c r="AS281" s="41">
        <f>SUM(Q280:W280)</f>
        <v>0</v>
      </c>
      <c r="AT281" s="41">
        <f>SUM(X280:AD280)</f>
        <v>0</v>
      </c>
      <c r="AU281" s="41">
        <f>SUM(AE280:AI280)</f>
        <v>0</v>
      </c>
      <c r="AV281" s="34">
        <f t="shared" ref="AV281:AV286" si="615">SUM(AQ281:AU281)</f>
        <v>0</v>
      </c>
    </row>
    <row r="282" spans="1:48" ht="25.15" hidden="1" customHeight="1">
      <c r="A282" s="103"/>
      <c r="B282" s="26" t="s">
        <v>92</v>
      </c>
      <c r="C282" s="42"/>
      <c r="D282" s="43" t="s">
        <v>93</v>
      </c>
      <c r="E282" s="1108"/>
      <c r="F282" s="1089"/>
      <c r="G282" s="44"/>
      <c r="H282" s="1089"/>
      <c r="I282" s="1089"/>
      <c r="J282" s="44"/>
      <c r="K282" s="44"/>
      <c r="L282" s="1089"/>
      <c r="M282" s="1089"/>
      <c r="N282" s="1089"/>
      <c r="O282" s="1089"/>
      <c r="P282" s="1089"/>
      <c r="Q282" s="44"/>
      <c r="R282" s="44"/>
      <c r="S282" s="1089"/>
      <c r="T282" s="1089"/>
      <c r="U282" s="1089"/>
      <c r="V282" s="1089"/>
      <c r="W282" s="1089"/>
      <c r="X282" s="44"/>
      <c r="Y282" s="44"/>
      <c r="Z282" s="1089"/>
      <c r="AA282" s="1089"/>
      <c r="AB282" s="1089"/>
      <c r="AC282" s="1089"/>
      <c r="AD282" s="1089"/>
      <c r="AE282" s="44"/>
      <c r="AF282" s="44"/>
      <c r="AG282" s="1089"/>
      <c r="AH282" s="1089"/>
      <c r="AI282" s="1326"/>
      <c r="AJ282" s="45">
        <f>SUM(E282:AI282)</f>
        <v>0</v>
      </c>
      <c r="AK282" s="45"/>
      <c r="AL282" s="46">
        <f>+AJ282*AN280</f>
        <v>0</v>
      </c>
      <c r="AM282" s="1066">
        <f t="shared" si="580"/>
        <v>0</v>
      </c>
      <c r="AN282" s="31"/>
      <c r="AO282" s="632">
        <f>(AJ282+AJ284+AJ285+AJ286)*B284/1000</f>
        <v>0</v>
      </c>
      <c r="AP282" s="47" t="s">
        <v>94</v>
      </c>
      <c r="AQ282" s="48">
        <f>SUM(E282:I282)</f>
        <v>0</v>
      </c>
      <c r="AR282" s="49">
        <f>SUM(J282:P282)</f>
        <v>0</v>
      </c>
      <c r="AS282" s="49">
        <f>SUM(Q282:W282)</f>
        <v>0</v>
      </c>
      <c r="AT282" s="49">
        <f>SUM(X282:AD282)</f>
        <v>0</v>
      </c>
      <c r="AU282" s="49">
        <f>SUM(AE282:AI282)</f>
        <v>0</v>
      </c>
      <c r="AV282" s="50">
        <f t="shared" si="615"/>
        <v>0</v>
      </c>
    </row>
    <row r="283" spans="1:48" ht="25.15" hidden="1" customHeight="1">
      <c r="A283" s="103"/>
      <c r="B283" s="51"/>
      <c r="C283" s="52" t="s">
        <v>95</v>
      </c>
      <c r="D283" s="53" t="s">
        <v>96</v>
      </c>
      <c r="E283" s="1327">
        <f t="shared" ref="E283:AJ283" si="616">+E282-E280</f>
        <v>0</v>
      </c>
      <c r="F283" s="1097">
        <f t="shared" si="616"/>
        <v>0</v>
      </c>
      <c r="G283" s="1205">
        <f t="shared" si="616"/>
        <v>0</v>
      </c>
      <c r="H283" s="1097">
        <f t="shared" si="616"/>
        <v>0</v>
      </c>
      <c r="I283" s="1097">
        <f t="shared" si="616"/>
        <v>0</v>
      </c>
      <c r="J283" s="1205">
        <f t="shared" si="616"/>
        <v>0</v>
      </c>
      <c r="K283" s="1205">
        <f t="shared" si="616"/>
        <v>0</v>
      </c>
      <c r="L283" s="1097">
        <f t="shared" si="616"/>
        <v>0</v>
      </c>
      <c r="M283" s="1097">
        <f t="shared" si="616"/>
        <v>0</v>
      </c>
      <c r="N283" s="1097">
        <f t="shared" si="616"/>
        <v>0</v>
      </c>
      <c r="O283" s="1097">
        <f t="shared" si="616"/>
        <v>0</v>
      </c>
      <c r="P283" s="1097">
        <f t="shared" si="616"/>
        <v>0</v>
      </c>
      <c r="Q283" s="1205">
        <f t="shared" si="616"/>
        <v>0</v>
      </c>
      <c r="R283" s="1205">
        <f t="shared" si="616"/>
        <v>0</v>
      </c>
      <c r="S283" s="1097">
        <f t="shared" si="616"/>
        <v>0</v>
      </c>
      <c r="T283" s="1097">
        <f t="shared" si="616"/>
        <v>0</v>
      </c>
      <c r="U283" s="1097">
        <f t="shared" si="616"/>
        <v>0</v>
      </c>
      <c r="V283" s="1097">
        <f t="shared" si="616"/>
        <v>0</v>
      </c>
      <c r="W283" s="1097">
        <f t="shared" si="616"/>
        <v>0</v>
      </c>
      <c r="X283" s="1205">
        <f t="shared" si="616"/>
        <v>0</v>
      </c>
      <c r="Y283" s="1205">
        <f t="shared" si="616"/>
        <v>0</v>
      </c>
      <c r="Z283" s="1097">
        <f t="shared" si="616"/>
        <v>0</v>
      </c>
      <c r="AA283" s="1097">
        <f t="shared" si="616"/>
        <v>0</v>
      </c>
      <c r="AB283" s="1097">
        <f t="shared" si="616"/>
        <v>0</v>
      </c>
      <c r="AC283" s="1097">
        <f t="shared" si="616"/>
        <v>0</v>
      </c>
      <c r="AD283" s="1097">
        <f t="shared" si="616"/>
        <v>0</v>
      </c>
      <c r="AE283" s="1205">
        <f t="shared" si="616"/>
        <v>0</v>
      </c>
      <c r="AF283" s="1205">
        <f t="shared" si="616"/>
        <v>0</v>
      </c>
      <c r="AG283" s="1097">
        <f t="shared" si="616"/>
        <v>0</v>
      </c>
      <c r="AH283" s="1097">
        <f t="shared" si="616"/>
        <v>0</v>
      </c>
      <c r="AI283" s="1328">
        <f t="shared" si="616"/>
        <v>0</v>
      </c>
      <c r="AJ283" s="54">
        <f t="shared" si="616"/>
        <v>0</v>
      </c>
      <c r="AK283" s="54"/>
      <c r="AL283" s="55">
        <f>+AJ283*AN280</f>
        <v>0</v>
      </c>
      <c r="AM283" s="1067">
        <f t="shared" si="580"/>
        <v>0</v>
      </c>
      <c r="AN283" s="31" t="s">
        <v>97</v>
      </c>
      <c r="AO283" s="622"/>
      <c r="AP283" s="39" t="s">
        <v>98</v>
      </c>
      <c r="AQ283" s="56">
        <f>AQ282-AQ281</f>
        <v>0</v>
      </c>
      <c r="AR283" s="70">
        <f>AR282-AR281</f>
        <v>0</v>
      </c>
      <c r="AS283" s="70">
        <f>AS282-AS281</f>
        <v>0</v>
      </c>
      <c r="AT283" s="70">
        <f>AT282-AT281</f>
        <v>0</v>
      </c>
      <c r="AU283" s="70">
        <f>AU282-AU281</f>
        <v>0</v>
      </c>
      <c r="AV283" s="57">
        <f t="shared" si="615"/>
        <v>0</v>
      </c>
    </row>
    <row r="284" spans="1:48" ht="25.15" hidden="1" customHeight="1">
      <c r="A284" s="58"/>
      <c r="B284" s="59"/>
      <c r="C284" s="60" t="s">
        <v>100</v>
      </c>
      <c r="D284" s="61" t="s">
        <v>101</v>
      </c>
      <c r="E284" s="1098"/>
      <c r="F284" s="1099"/>
      <c r="G284" s="1208"/>
      <c r="H284" s="1099"/>
      <c r="I284" s="1099"/>
      <c r="J284" s="1208"/>
      <c r="K284" s="1208"/>
      <c r="L284" s="1099"/>
      <c r="M284" s="1099"/>
      <c r="N284" s="1099"/>
      <c r="O284" s="1099"/>
      <c r="P284" s="1099"/>
      <c r="Q284" s="1208"/>
      <c r="R284" s="1208"/>
      <c r="S284" s="1099"/>
      <c r="T284" s="1099"/>
      <c r="U284" s="1099"/>
      <c r="V284" s="1099"/>
      <c r="W284" s="1099"/>
      <c r="X284" s="1208"/>
      <c r="Y284" s="1208"/>
      <c r="Z284" s="1099"/>
      <c r="AA284" s="1099"/>
      <c r="AB284" s="1099"/>
      <c r="AC284" s="1099"/>
      <c r="AD284" s="1099"/>
      <c r="AE284" s="1208"/>
      <c r="AF284" s="1208"/>
      <c r="AG284" s="1099"/>
      <c r="AH284" s="1099"/>
      <c r="AI284" s="1330"/>
      <c r="AJ284" s="62">
        <f>SUM(E284:AI284)</f>
        <v>0</v>
      </c>
      <c r="AK284" s="62"/>
      <c r="AL284" s="63">
        <f>+AJ284*AN280</f>
        <v>0</v>
      </c>
      <c r="AM284" s="1068">
        <f t="shared" si="580"/>
        <v>0</v>
      </c>
      <c r="AN284" s="64" t="e">
        <f>+AJ284/AJ282*100</f>
        <v>#DIV/0!</v>
      </c>
      <c r="AO284" s="635" t="e">
        <f>AO282/AO280</f>
        <v>#VALUE!</v>
      </c>
      <c r="AP284" s="39" t="s">
        <v>102</v>
      </c>
      <c r="AQ284" s="56">
        <f>SUM(E284:I284)</f>
        <v>0</v>
      </c>
      <c r="AR284" s="70">
        <f>SUM(J284:P284)</f>
        <v>0</v>
      </c>
      <c r="AS284" s="70">
        <f>SUM(Q284:W284)</f>
        <v>0</v>
      </c>
      <c r="AT284" s="70">
        <f>SUM(X284:AD284)</f>
        <v>0</v>
      </c>
      <c r="AU284" s="70">
        <f>SUM(AE284:AI284)</f>
        <v>0</v>
      </c>
      <c r="AV284" s="57">
        <f t="shared" si="615"/>
        <v>0</v>
      </c>
    </row>
    <row r="285" spans="1:48" ht="25.15" hidden="1" customHeight="1">
      <c r="A285" s="58" t="s">
        <v>150</v>
      </c>
      <c r="B285" s="65"/>
      <c r="C285" s="66"/>
      <c r="D285" s="67" t="s">
        <v>103</v>
      </c>
      <c r="E285" s="1100"/>
      <c r="F285" s="1101"/>
      <c r="G285" s="1209"/>
      <c r="H285" s="1101"/>
      <c r="I285" s="1101"/>
      <c r="J285" s="1209"/>
      <c r="K285" s="1209"/>
      <c r="L285" s="1101"/>
      <c r="M285" s="1101"/>
      <c r="N285" s="1101"/>
      <c r="O285" s="1101"/>
      <c r="P285" s="1101"/>
      <c r="Q285" s="1209"/>
      <c r="R285" s="1209"/>
      <c r="S285" s="1101"/>
      <c r="T285" s="1101"/>
      <c r="U285" s="1101"/>
      <c r="V285" s="1101"/>
      <c r="W285" s="1101"/>
      <c r="X285" s="1209"/>
      <c r="Y285" s="1209"/>
      <c r="Z285" s="1101"/>
      <c r="AA285" s="1101"/>
      <c r="AB285" s="1101"/>
      <c r="AC285" s="1101"/>
      <c r="AD285" s="1101"/>
      <c r="AE285" s="1209"/>
      <c r="AF285" s="1209"/>
      <c r="AG285" s="1101"/>
      <c r="AH285" s="1101"/>
      <c r="AI285" s="1332"/>
      <c r="AJ285" s="68">
        <f>SUM(E285:AI285)</f>
        <v>0</v>
      </c>
      <c r="AK285" s="68"/>
      <c r="AL285" s="69">
        <f>+AJ285*AN280</f>
        <v>0</v>
      </c>
      <c r="AM285" s="1069">
        <f t="shared" si="580"/>
        <v>0</v>
      </c>
      <c r="AN285" s="31"/>
      <c r="AO285" s="622"/>
      <c r="AP285" s="39" t="s">
        <v>19</v>
      </c>
      <c r="AQ285" s="56">
        <f>AQ284*AN280</f>
        <v>0</v>
      </c>
      <c r="AR285" s="56">
        <f>AR284*AN280</f>
        <v>0</v>
      </c>
      <c r="AS285" s="56">
        <f>AS284*AN280</f>
        <v>0</v>
      </c>
      <c r="AT285" s="56">
        <f>AT284*AN280</f>
        <v>0</v>
      </c>
      <c r="AU285" s="56">
        <f>AU284*AN280</f>
        <v>0</v>
      </c>
      <c r="AV285" s="57">
        <f t="shared" si="615"/>
        <v>0</v>
      </c>
    </row>
    <row r="286" spans="1:48" ht="25.15" hidden="1" customHeight="1">
      <c r="A286" s="103"/>
      <c r="B286" s="65"/>
      <c r="C286" s="72" t="s">
        <v>104</v>
      </c>
      <c r="D286" s="73" t="s">
        <v>105</v>
      </c>
      <c r="E286" s="1115"/>
      <c r="F286" s="1116"/>
      <c r="G286" s="1215"/>
      <c r="H286" s="1116"/>
      <c r="I286" s="1116"/>
      <c r="J286" s="1215"/>
      <c r="K286" s="1210"/>
      <c r="L286" s="1103"/>
      <c r="M286" s="1116"/>
      <c r="N286" s="1116"/>
      <c r="O286" s="1116"/>
      <c r="P286" s="1116"/>
      <c r="Q286" s="1215"/>
      <c r="R286" s="1215"/>
      <c r="S286" s="1116"/>
      <c r="T286" s="1116"/>
      <c r="U286" s="1116"/>
      <c r="V286" s="1116"/>
      <c r="W286" s="1116"/>
      <c r="X286" s="1215"/>
      <c r="Y286" s="1215"/>
      <c r="Z286" s="1116"/>
      <c r="AA286" s="1116"/>
      <c r="AB286" s="1116"/>
      <c r="AC286" s="1116"/>
      <c r="AD286" s="1116"/>
      <c r="AE286" s="1215"/>
      <c r="AF286" s="1215"/>
      <c r="AG286" s="1116"/>
      <c r="AH286" s="1116"/>
      <c r="AI286" s="1352"/>
      <c r="AJ286" s="74">
        <f>SUM(E286:AI286)</f>
        <v>0</v>
      </c>
      <c r="AK286" s="74"/>
      <c r="AL286" s="75">
        <f>+AJ286*AN280</f>
        <v>0</v>
      </c>
      <c r="AM286" s="1070">
        <f t="shared" si="580"/>
        <v>0</v>
      </c>
      <c r="AN286" s="76"/>
      <c r="AO286" s="636"/>
      <c r="AP286" s="47" t="s">
        <v>106</v>
      </c>
      <c r="AQ286" s="48">
        <f>AQ282*AN280</f>
        <v>0</v>
      </c>
      <c r="AR286" s="48">
        <f>AR282*AN280</f>
        <v>0</v>
      </c>
      <c r="AS286" s="48">
        <f>AS282*AN280</f>
        <v>0</v>
      </c>
      <c r="AT286" s="48">
        <f>AT282*AN280</f>
        <v>0</v>
      </c>
      <c r="AU286" s="48">
        <f>AU282*AN280</f>
        <v>0</v>
      </c>
      <c r="AV286" s="50">
        <f t="shared" si="615"/>
        <v>0</v>
      </c>
    </row>
    <row r="287" spans="1:48" ht="25.15" hidden="1" customHeight="1">
      <c r="A287" s="103"/>
      <c r="B287" s="65"/>
      <c r="C287" s="77">
        <v>300000</v>
      </c>
      <c r="D287" s="78" t="s">
        <v>107</v>
      </c>
      <c r="E287" s="1327">
        <v>1</v>
      </c>
      <c r="F287" s="1097">
        <v>1</v>
      </c>
      <c r="G287" s="1205">
        <v>1</v>
      </c>
      <c r="H287" s="1097">
        <v>1</v>
      </c>
      <c r="I287" s="1097">
        <v>1</v>
      </c>
      <c r="J287" s="1205">
        <v>1</v>
      </c>
      <c r="K287" s="1205">
        <v>1</v>
      </c>
      <c r="L287" s="1097">
        <v>1</v>
      </c>
      <c r="M287" s="1097">
        <v>1</v>
      </c>
      <c r="N287" s="1097">
        <v>1</v>
      </c>
      <c r="O287" s="1097">
        <v>1</v>
      </c>
      <c r="P287" s="1097">
        <v>1</v>
      </c>
      <c r="Q287" s="1205">
        <v>1</v>
      </c>
      <c r="R287" s="1205">
        <v>1</v>
      </c>
      <c r="S287" s="1097">
        <v>1</v>
      </c>
      <c r="T287" s="1097">
        <v>1</v>
      </c>
      <c r="U287" s="1097">
        <v>1</v>
      </c>
      <c r="V287" s="1097">
        <v>1</v>
      </c>
      <c r="W287" s="1097">
        <v>1</v>
      </c>
      <c r="X287" s="1205">
        <v>1</v>
      </c>
      <c r="Y287" s="1205">
        <v>1</v>
      </c>
      <c r="Z287" s="1097">
        <v>1</v>
      </c>
      <c r="AA287" s="1097">
        <v>1</v>
      </c>
      <c r="AB287" s="1097">
        <v>1</v>
      </c>
      <c r="AC287" s="1097">
        <v>1</v>
      </c>
      <c r="AD287" s="1097">
        <v>1</v>
      </c>
      <c r="AE287" s="1205">
        <v>1</v>
      </c>
      <c r="AF287" s="1205">
        <v>1</v>
      </c>
      <c r="AG287" s="1097">
        <v>1</v>
      </c>
      <c r="AH287" s="1097">
        <v>1</v>
      </c>
      <c r="AI287" s="1328">
        <v>1</v>
      </c>
      <c r="AJ287" s="79"/>
      <c r="AK287" s="79"/>
      <c r="AL287" s="55"/>
      <c r="AM287" s="1067">
        <f t="shared" si="580"/>
        <v>0</v>
      </c>
      <c r="AN287" s="31"/>
      <c r="AO287" s="622"/>
      <c r="AP287" s="23"/>
      <c r="AQ287" s="23"/>
      <c r="AR287" s="23"/>
      <c r="AS287" s="23"/>
      <c r="AT287" s="23"/>
      <c r="AU287" s="23"/>
      <c r="AV287" s="23"/>
    </row>
    <row r="288" spans="1:48" ht="25.15" hidden="1" customHeight="1">
      <c r="A288" s="103"/>
      <c r="B288" s="65"/>
      <c r="C288" s="80" t="s">
        <v>108</v>
      </c>
      <c r="D288" s="81" t="s">
        <v>109</v>
      </c>
      <c r="E288" s="1374">
        <f>SUM(E282+E284+E285+E286)/E287</f>
        <v>0</v>
      </c>
      <c r="F288" s="1104">
        <f>SUM(F282+F284+F285+F286)/F287</f>
        <v>0</v>
      </c>
      <c r="G288" s="1211">
        <f>SUM(G282+G284+G285+G286)/G287</f>
        <v>0</v>
      </c>
      <c r="H288" s="1104">
        <f t="shared" ref="H288:AH288" si="617">SUM(H282+H284+H285+H286)/H287</f>
        <v>0</v>
      </c>
      <c r="I288" s="1104">
        <f t="shared" si="617"/>
        <v>0</v>
      </c>
      <c r="J288" s="1211">
        <f t="shared" si="617"/>
        <v>0</v>
      </c>
      <c r="K288" s="1211">
        <f t="shared" si="617"/>
        <v>0</v>
      </c>
      <c r="L288" s="1104">
        <f t="shared" si="617"/>
        <v>0</v>
      </c>
      <c r="M288" s="1104">
        <f t="shared" si="617"/>
        <v>0</v>
      </c>
      <c r="N288" s="1104">
        <f t="shared" si="617"/>
        <v>0</v>
      </c>
      <c r="O288" s="1104">
        <f t="shared" si="617"/>
        <v>0</v>
      </c>
      <c r="P288" s="1104">
        <f t="shared" si="617"/>
        <v>0</v>
      </c>
      <c r="Q288" s="1211">
        <f t="shared" si="617"/>
        <v>0</v>
      </c>
      <c r="R288" s="1211">
        <f t="shared" si="617"/>
        <v>0</v>
      </c>
      <c r="S288" s="1104">
        <f t="shared" si="617"/>
        <v>0</v>
      </c>
      <c r="T288" s="1104">
        <f t="shared" si="617"/>
        <v>0</v>
      </c>
      <c r="U288" s="1104">
        <f t="shared" si="617"/>
        <v>0</v>
      </c>
      <c r="V288" s="1104">
        <f t="shared" si="617"/>
        <v>0</v>
      </c>
      <c r="W288" s="1104">
        <f t="shared" si="617"/>
        <v>0</v>
      </c>
      <c r="X288" s="1211">
        <f t="shared" si="617"/>
        <v>0</v>
      </c>
      <c r="Y288" s="1211">
        <f t="shared" si="617"/>
        <v>0</v>
      </c>
      <c r="Z288" s="1104">
        <f t="shared" si="617"/>
        <v>0</v>
      </c>
      <c r="AA288" s="1104">
        <f t="shared" si="617"/>
        <v>0</v>
      </c>
      <c r="AB288" s="1104">
        <f t="shared" si="617"/>
        <v>0</v>
      </c>
      <c r="AC288" s="1104">
        <f t="shared" si="617"/>
        <v>0</v>
      </c>
      <c r="AD288" s="1104">
        <f t="shared" si="617"/>
        <v>0</v>
      </c>
      <c r="AE288" s="1211">
        <f t="shared" si="617"/>
        <v>0</v>
      </c>
      <c r="AF288" s="1211">
        <f t="shared" si="617"/>
        <v>0</v>
      </c>
      <c r="AG288" s="1104">
        <f t="shared" si="617"/>
        <v>0</v>
      </c>
      <c r="AH288" s="1104">
        <f t="shared" si="617"/>
        <v>0</v>
      </c>
      <c r="AI288" s="1335">
        <f>SUM(AI282+AI284+AI285)/AI287</f>
        <v>0</v>
      </c>
      <c r="AJ288" s="104">
        <f>SUM(E288:AI288)</f>
        <v>0</v>
      </c>
      <c r="AK288" s="104"/>
      <c r="AL288" s="83"/>
      <c r="AM288" s="1068">
        <f t="shared" si="580"/>
        <v>0</v>
      </c>
      <c r="AN288" s="31"/>
      <c r="AO288" s="622"/>
      <c r="AP288" s="23"/>
      <c r="AQ288" s="23"/>
      <c r="AR288" s="23"/>
      <c r="AS288" s="23"/>
      <c r="AT288" s="23"/>
      <c r="AU288" s="23"/>
      <c r="AV288" s="23"/>
    </row>
    <row r="289" spans="1:48" ht="25.15" hidden="1" customHeight="1">
      <c r="A289" s="103"/>
      <c r="B289" s="59"/>
      <c r="C289" s="84">
        <f>+C287*0.8</f>
        <v>240000</v>
      </c>
      <c r="D289" s="85" t="s">
        <v>110</v>
      </c>
      <c r="E289" s="1105"/>
      <c r="F289" s="1106"/>
      <c r="G289" s="1211"/>
      <c r="H289" s="1104"/>
      <c r="I289" s="1104"/>
      <c r="J289" s="1211"/>
      <c r="K289" s="1211"/>
      <c r="L289" s="1104"/>
      <c r="M289" s="1104"/>
      <c r="N289" s="1104"/>
      <c r="O289" s="1107"/>
      <c r="P289" s="1104"/>
      <c r="Q289" s="1211"/>
      <c r="R289" s="1211"/>
      <c r="S289" s="1104"/>
      <c r="T289" s="1104"/>
      <c r="U289" s="1104"/>
      <c r="V289" s="1104"/>
      <c r="W289" s="1104"/>
      <c r="X289" s="1211"/>
      <c r="Y289" s="1211"/>
      <c r="Z289" s="1104"/>
      <c r="AA289" s="1104"/>
      <c r="AB289" s="1104"/>
      <c r="AC289" s="1104"/>
      <c r="AD289" s="1104"/>
      <c r="AE289" s="1211"/>
      <c r="AF289" s="1211"/>
      <c r="AG289" s="1104"/>
      <c r="AH289" s="1104"/>
      <c r="AI289" s="1353"/>
      <c r="AJ289" s="86"/>
      <c r="AK289" s="86"/>
      <c r="AL289" s="690"/>
      <c r="AM289" s="694">
        <f t="shared" si="580"/>
        <v>0</v>
      </c>
      <c r="AN289" s="31"/>
      <c r="AO289" s="622"/>
      <c r="AP289" s="23"/>
      <c r="AQ289" s="23"/>
      <c r="AR289" s="23"/>
      <c r="AS289" s="23"/>
      <c r="AT289" s="23"/>
      <c r="AU289" s="23"/>
      <c r="AV289" s="23"/>
    </row>
    <row r="290" spans="1:48" ht="25.15" hidden="1" customHeight="1">
      <c r="A290" s="103"/>
      <c r="B290" s="105"/>
      <c r="C290" s="77"/>
      <c r="D290" s="88" t="s">
        <v>111</v>
      </c>
      <c r="E290" s="1108">
        <f>IF(E289="O/H",E288,0+E288)</f>
        <v>0</v>
      </c>
      <c r="F290" s="1089">
        <f t="shared" ref="F290:AI290" si="618">IF(F289="O/H",F288,+E290+F288)</f>
        <v>0</v>
      </c>
      <c r="G290" s="44">
        <f t="shared" si="618"/>
        <v>0</v>
      </c>
      <c r="H290" s="1089">
        <f t="shared" si="618"/>
        <v>0</v>
      </c>
      <c r="I290" s="1089">
        <f t="shared" si="618"/>
        <v>0</v>
      </c>
      <c r="J290" s="44">
        <f t="shared" si="618"/>
        <v>0</v>
      </c>
      <c r="K290" s="44">
        <f t="shared" si="618"/>
        <v>0</v>
      </c>
      <c r="L290" s="1089">
        <f t="shared" si="618"/>
        <v>0</v>
      </c>
      <c r="M290" s="1089">
        <f t="shared" si="618"/>
        <v>0</v>
      </c>
      <c r="N290" s="1089">
        <f t="shared" si="618"/>
        <v>0</v>
      </c>
      <c r="O290" s="1089">
        <f t="shared" si="618"/>
        <v>0</v>
      </c>
      <c r="P290" s="1089">
        <f t="shared" si="618"/>
        <v>0</v>
      </c>
      <c r="Q290" s="44">
        <f t="shared" si="618"/>
        <v>0</v>
      </c>
      <c r="R290" s="44">
        <f t="shared" si="618"/>
        <v>0</v>
      </c>
      <c r="S290" s="1089">
        <f t="shared" si="618"/>
        <v>0</v>
      </c>
      <c r="T290" s="1089">
        <f t="shared" si="618"/>
        <v>0</v>
      </c>
      <c r="U290" s="1089">
        <f t="shared" si="618"/>
        <v>0</v>
      </c>
      <c r="V290" s="1089">
        <f t="shared" si="618"/>
        <v>0</v>
      </c>
      <c r="W290" s="1089">
        <f t="shared" si="618"/>
        <v>0</v>
      </c>
      <c r="X290" s="44">
        <f t="shared" si="618"/>
        <v>0</v>
      </c>
      <c r="Y290" s="44">
        <f t="shared" si="618"/>
        <v>0</v>
      </c>
      <c r="Z290" s="1089">
        <f t="shared" si="618"/>
        <v>0</v>
      </c>
      <c r="AA290" s="1089">
        <f t="shared" si="618"/>
        <v>0</v>
      </c>
      <c r="AB290" s="1089">
        <f t="shared" si="618"/>
        <v>0</v>
      </c>
      <c r="AC290" s="1089">
        <f t="shared" si="618"/>
        <v>0</v>
      </c>
      <c r="AD290" s="1089">
        <f t="shared" si="618"/>
        <v>0</v>
      </c>
      <c r="AE290" s="44">
        <f t="shared" si="618"/>
        <v>0</v>
      </c>
      <c r="AF290" s="44">
        <f t="shared" si="618"/>
        <v>0</v>
      </c>
      <c r="AG290" s="1089">
        <f t="shared" si="618"/>
        <v>0</v>
      </c>
      <c r="AH290" s="1089">
        <f t="shared" si="618"/>
        <v>0</v>
      </c>
      <c r="AI290" s="1326">
        <f t="shared" si="618"/>
        <v>0</v>
      </c>
      <c r="AJ290" s="79"/>
      <c r="AK290" s="86"/>
      <c r="AL290" s="689"/>
      <c r="AM290" s="694">
        <f t="shared" si="580"/>
        <v>0</v>
      </c>
      <c r="AN290" s="31"/>
      <c r="AO290" s="622"/>
      <c r="AP290" s="23"/>
      <c r="AQ290" s="23"/>
      <c r="AR290" s="23"/>
      <c r="AS290" s="23"/>
      <c r="AT290" s="23"/>
      <c r="AU290" s="23"/>
      <c r="AV290" s="23"/>
    </row>
    <row r="291" spans="1:48" s="23" customFormat="1" ht="20.65" hidden="1" customHeight="1">
      <c r="A291" s="274"/>
      <c r="B291" s="312"/>
      <c r="C291" s="308"/>
      <c r="D291" s="795" t="s">
        <v>112</v>
      </c>
      <c r="E291" s="1108" t="b">
        <f>IF(AND(ISNUMBER(E282)),305845+E288)</f>
        <v>0</v>
      </c>
      <c r="F291" s="1089" t="str">
        <f>IF(AND(ISNUMBER(F282)),E291+F288,"")</f>
        <v/>
      </c>
      <c r="G291" s="44" t="str">
        <f t="shared" ref="G291" si="619">IF(AND(ISNUMBER(G282)),F291+G288,"")</f>
        <v/>
      </c>
      <c r="H291" s="1089" t="str">
        <f t="shared" ref="H291" si="620">IF(AND(ISNUMBER(H282)),G291+H288,"")</f>
        <v/>
      </c>
      <c r="I291" s="1089" t="str">
        <f>IF(AND(ISNUMBER(I282)),H291+I288,"")</f>
        <v/>
      </c>
      <c r="J291" s="44" t="str">
        <f>IF(AND(ISNUMBER(J282)),I291+J288,"")</f>
        <v/>
      </c>
      <c r="K291" s="44" t="str">
        <f>IF(AND(ISNUMBER(K282)),J291+K288,"")</f>
        <v/>
      </c>
      <c r="L291" s="1089" t="str">
        <f t="shared" ref="L291" si="621">IF(AND(ISNUMBER(L282)),K291+L288,"")</f>
        <v/>
      </c>
      <c r="M291" s="1089" t="str">
        <f t="shared" ref="M291" si="622">IF(AND(ISNUMBER(M282)),L291+M288,"")</f>
        <v/>
      </c>
      <c r="N291" s="1089" t="str">
        <f t="shared" ref="N291" si="623">IF(AND(ISNUMBER(N282)),M291+N288,"")</f>
        <v/>
      </c>
      <c r="O291" s="1089" t="str">
        <f t="shared" ref="O291" si="624">IF(AND(ISNUMBER(O282)),N291+O288,"")</f>
        <v/>
      </c>
      <c r="P291" s="1089" t="str">
        <f t="shared" ref="P291" si="625">IF(AND(ISNUMBER(P282)),O291+P288,"")</f>
        <v/>
      </c>
      <c r="Q291" s="44" t="str">
        <f t="shared" ref="Q291" si="626">IF(AND(ISNUMBER(Q282)),P291+Q288,"")</f>
        <v/>
      </c>
      <c r="R291" s="44" t="str">
        <f t="shared" ref="R291" si="627">IF(AND(ISNUMBER(R282)),Q291+R288,"")</f>
        <v/>
      </c>
      <c r="S291" s="1089" t="str">
        <f t="shared" ref="S291" si="628">IF(AND(ISNUMBER(S282)),R291+S288,"")</f>
        <v/>
      </c>
      <c r="T291" s="1089" t="str">
        <f t="shared" ref="T291" si="629">IF(AND(ISNUMBER(T282)),S291+T288,"")</f>
        <v/>
      </c>
      <c r="U291" s="1089" t="str">
        <f t="shared" ref="U291" si="630">IF(AND(ISNUMBER(U282)),T291+U288,"")</f>
        <v/>
      </c>
      <c r="V291" s="1089" t="str">
        <f t="shared" ref="V291" si="631">IF(AND(ISNUMBER(V282)),U291+V288,"")</f>
        <v/>
      </c>
      <c r="W291" s="1089" t="str">
        <f t="shared" ref="W291" si="632">IF(AND(ISNUMBER(W282)),V291+W288,"")</f>
        <v/>
      </c>
      <c r="X291" s="44" t="str">
        <f t="shared" ref="X291" si="633">IF(AND(ISNUMBER(X282)),W291+X288,"")</f>
        <v/>
      </c>
      <c r="Y291" s="44" t="str">
        <f t="shared" ref="Y291" si="634">IF(AND(ISNUMBER(Y282)),X291+Y288,"")</f>
        <v/>
      </c>
      <c r="Z291" s="1089" t="str">
        <f t="shared" ref="Z291" si="635">IF(AND(ISNUMBER(Z282)),Y291+Z288,"")</f>
        <v/>
      </c>
      <c r="AA291" s="1089" t="str">
        <f t="shared" ref="AA291" si="636">IF(AND(ISNUMBER(AA282)),Z291+AA288,"")</f>
        <v/>
      </c>
      <c r="AB291" s="1089" t="str">
        <f t="shared" ref="AB291" si="637">IF(AND(ISNUMBER(AB282)),AA291+AB288,"")</f>
        <v/>
      </c>
      <c r="AC291" s="1089" t="str">
        <f t="shared" ref="AC291" si="638">IF(AND(ISNUMBER(AC282)),AB291+AC288,"")</f>
        <v/>
      </c>
      <c r="AD291" s="1089" t="str">
        <f t="shared" ref="AD291" si="639">IF(AND(ISNUMBER(AD282)),AC291+AD288,"")</f>
        <v/>
      </c>
      <c r="AE291" s="44" t="str">
        <f t="shared" ref="AE291" si="640">IF(AND(ISNUMBER(AE282)),AD291+AE288,"")</f>
        <v/>
      </c>
      <c r="AF291" s="44" t="str">
        <f t="shared" ref="AF291" si="641">IF(AND(ISNUMBER(AF282)),AE291+AF288,"")</f>
        <v/>
      </c>
      <c r="AG291" s="1089" t="str">
        <f t="shared" ref="AG291" si="642">IF(AND(ISNUMBER(AG282)),AF291+AG288,"")</f>
        <v/>
      </c>
      <c r="AH291" s="1089" t="str">
        <f t="shared" ref="AH291" si="643">IF(AND(ISNUMBER(AH282)),AG291+AH288,"")</f>
        <v/>
      </c>
      <c r="AI291" s="1089" t="str">
        <f t="shared" ref="AI291" si="644">IF(AND(ISNUMBER(AI282)),AH291+AI288,"")</f>
        <v/>
      </c>
      <c r="AJ291" s="793"/>
      <c r="AK291" s="793"/>
      <c r="AL291" s="909"/>
      <c r="AM291" s="890">
        <f t="shared" si="580"/>
        <v>0</v>
      </c>
      <c r="AN291" s="76"/>
      <c r="AO291" s="624"/>
      <c r="AP291" s="285"/>
      <c r="AQ291" s="285"/>
      <c r="AR291" s="285"/>
      <c r="AS291" s="285"/>
      <c r="AT291" s="286"/>
      <c r="AU291" s="285"/>
      <c r="AV291" s="287"/>
    </row>
    <row r="292" spans="1:48" ht="25.15" hidden="1" customHeight="1">
      <c r="A292" s="103"/>
      <c r="B292" s="89"/>
      <c r="C292" s="80"/>
      <c r="D292" s="90" t="s">
        <v>104</v>
      </c>
      <c r="E292" s="1108"/>
      <c r="F292" s="1089"/>
      <c r="G292" s="44"/>
      <c r="H292" s="1089"/>
      <c r="I292" s="1089"/>
      <c r="J292" s="44"/>
      <c r="K292" s="44"/>
      <c r="L292" s="1089"/>
      <c r="M292" s="1089"/>
      <c r="N292" s="1089"/>
      <c r="O292" s="1089"/>
      <c r="P292" s="1089"/>
      <c r="Q292" s="44"/>
      <c r="R292" s="44"/>
      <c r="S292" s="1089"/>
      <c r="T292" s="1089"/>
      <c r="U292" s="1089"/>
      <c r="V292" s="1089"/>
      <c r="W292" s="1089"/>
      <c r="X292" s="44"/>
      <c r="Y292" s="44"/>
      <c r="Z292" s="1089"/>
      <c r="AA292" s="1089"/>
      <c r="AB292" s="1089"/>
      <c r="AC292" s="1089"/>
      <c r="AD292" s="1089"/>
      <c r="AE292" s="44"/>
      <c r="AF292" s="44"/>
      <c r="AG292" s="1089"/>
      <c r="AH292" s="1089"/>
      <c r="AI292" s="1326"/>
      <c r="AJ292" s="79"/>
      <c r="AK292" s="79"/>
      <c r="AL292" s="63"/>
      <c r="AM292" s="1068">
        <f t="shared" si="580"/>
        <v>0</v>
      </c>
      <c r="AN292" s="64"/>
      <c r="AO292" s="624"/>
      <c r="AP292" s="23"/>
      <c r="AQ292" s="23"/>
      <c r="AR292" s="23"/>
      <c r="AS292" s="23"/>
      <c r="AT292" s="23"/>
      <c r="AU292" s="23"/>
      <c r="AV292" s="23"/>
    </row>
    <row r="293" spans="1:48" ht="25.15" hidden="1" customHeight="1" thickBot="1">
      <c r="A293" s="106"/>
      <c r="B293" s="93"/>
      <c r="C293" s="94"/>
      <c r="D293" s="95" t="s">
        <v>111</v>
      </c>
      <c r="E293" s="1109">
        <f>IF(E292="O/H",E288,0+E288)</f>
        <v>0</v>
      </c>
      <c r="F293" s="1110">
        <f t="shared" ref="F293:AI293" si="645">IF(F292="O/H",F288,+E293+F288)</f>
        <v>0</v>
      </c>
      <c r="G293" s="1212">
        <f t="shared" si="645"/>
        <v>0</v>
      </c>
      <c r="H293" s="1110">
        <f t="shared" si="645"/>
        <v>0</v>
      </c>
      <c r="I293" s="1110">
        <f t="shared" si="645"/>
        <v>0</v>
      </c>
      <c r="J293" s="1212">
        <f t="shared" si="645"/>
        <v>0</v>
      </c>
      <c r="K293" s="1212">
        <f t="shared" si="645"/>
        <v>0</v>
      </c>
      <c r="L293" s="1110">
        <f t="shared" si="645"/>
        <v>0</v>
      </c>
      <c r="M293" s="1110">
        <f t="shared" si="645"/>
        <v>0</v>
      </c>
      <c r="N293" s="1110">
        <f t="shared" si="645"/>
        <v>0</v>
      </c>
      <c r="O293" s="1110">
        <f t="shared" si="645"/>
        <v>0</v>
      </c>
      <c r="P293" s="1110">
        <f t="shared" si="645"/>
        <v>0</v>
      </c>
      <c r="Q293" s="1212">
        <f t="shared" si="645"/>
        <v>0</v>
      </c>
      <c r="R293" s="1212">
        <f t="shared" si="645"/>
        <v>0</v>
      </c>
      <c r="S293" s="1110">
        <f t="shared" si="645"/>
        <v>0</v>
      </c>
      <c r="T293" s="1110">
        <f t="shared" si="645"/>
        <v>0</v>
      </c>
      <c r="U293" s="1110">
        <f t="shared" si="645"/>
        <v>0</v>
      </c>
      <c r="V293" s="1110">
        <f t="shared" si="645"/>
        <v>0</v>
      </c>
      <c r="W293" s="1110">
        <f t="shared" si="645"/>
        <v>0</v>
      </c>
      <c r="X293" s="1212">
        <f t="shared" si="645"/>
        <v>0</v>
      </c>
      <c r="Y293" s="1212">
        <f t="shared" si="645"/>
        <v>0</v>
      </c>
      <c r="Z293" s="1110">
        <f t="shared" si="645"/>
        <v>0</v>
      </c>
      <c r="AA293" s="1110">
        <f t="shared" si="645"/>
        <v>0</v>
      </c>
      <c r="AB293" s="1110">
        <f t="shared" si="645"/>
        <v>0</v>
      </c>
      <c r="AC293" s="1110">
        <f t="shared" si="645"/>
        <v>0</v>
      </c>
      <c r="AD293" s="1110">
        <f t="shared" si="645"/>
        <v>0</v>
      </c>
      <c r="AE293" s="1212">
        <f t="shared" si="645"/>
        <v>0</v>
      </c>
      <c r="AF293" s="1212">
        <f t="shared" si="645"/>
        <v>0</v>
      </c>
      <c r="AG293" s="1110">
        <f t="shared" si="645"/>
        <v>0</v>
      </c>
      <c r="AH293" s="1110">
        <f t="shared" si="645"/>
        <v>0</v>
      </c>
      <c r="AI293" s="1340">
        <f t="shared" si="645"/>
        <v>0</v>
      </c>
      <c r="AJ293" s="96"/>
      <c r="AK293" s="96"/>
      <c r="AL293" s="97"/>
      <c r="AM293" s="1071">
        <f t="shared" si="580"/>
        <v>0</v>
      </c>
      <c r="AN293" s="98"/>
      <c r="AO293" s="625"/>
      <c r="AP293" s="23"/>
      <c r="AQ293" s="23"/>
      <c r="AR293" s="23"/>
      <c r="AS293" s="23"/>
      <c r="AT293" s="23"/>
      <c r="AU293" s="23"/>
      <c r="AV293" s="23"/>
    </row>
    <row r="294" spans="1:48" ht="25.15" hidden="1" customHeight="1" thickTop="1">
      <c r="A294" s="99"/>
      <c r="B294" s="26" t="s">
        <v>151</v>
      </c>
      <c r="C294" s="27"/>
      <c r="D294" s="28" t="s">
        <v>82</v>
      </c>
      <c r="E294" s="1111"/>
      <c r="F294" s="1111"/>
      <c r="G294" s="1201"/>
      <c r="H294" s="1111"/>
      <c r="I294" s="1111"/>
      <c r="J294" s="1201"/>
      <c r="K294" s="1201"/>
      <c r="L294" s="1111"/>
      <c r="M294" s="1111"/>
      <c r="N294" s="1111"/>
      <c r="O294" s="1111"/>
      <c r="P294" s="1111"/>
      <c r="Q294" s="1201"/>
      <c r="R294" s="1201"/>
      <c r="S294" s="1111"/>
      <c r="T294" s="1111"/>
      <c r="U294" s="1111"/>
      <c r="V294" s="1111"/>
      <c r="W294" s="1111"/>
      <c r="X294" s="1201"/>
      <c r="Y294" s="1201"/>
      <c r="Z294" s="1111"/>
      <c r="AA294" s="1111"/>
      <c r="AB294" s="1111"/>
      <c r="AC294" s="1111"/>
      <c r="AD294" s="1111"/>
      <c r="AE294" s="1201"/>
      <c r="AF294" s="1201"/>
      <c r="AG294" s="1111"/>
      <c r="AH294" s="1111"/>
      <c r="AI294" s="1412"/>
      <c r="AJ294" s="100">
        <f>SUM(Table75[[#This Row],[June''2026]:[Column27]])</f>
        <v>0</v>
      </c>
      <c r="AK294" s="100">
        <f t="shared" si="579"/>
        <v>0</v>
      </c>
      <c r="AL294" s="101">
        <f>+AJ294*AN294</f>
        <v>0</v>
      </c>
      <c r="AM294" s="1072">
        <f t="shared" si="580"/>
        <v>0</v>
      </c>
      <c r="AN294" s="102"/>
      <c r="AO294" s="622" t="e">
        <f>Table5[[#This Row],[Total]]*B298/1000</f>
        <v>#VALUE!</v>
      </c>
      <c r="AP294" s="32" t="s">
        <v>145</v>
      </c>
      <c r="AQ294" s="33" t="s">
        <v>84</v>
      </c>
      <c r="AR294" s="33" t="s">
        <v>85</v>
      </c>
      <c r="AS294" s="33" t="s">
        <v>86</v>
      </c>
      <c r="AT294" s="33" t="s">
        <v>87</v>
      </c>
      <c r="AU294" s="33" t="s">
        <v>88</v>
      </c>
      <c r="AV294" s="34" t="s">
        <v>68</v>
      </c>
    </row>
    <row r="295" spans="1:48" ht="25.15" hidden="1" customHeight="1">
      <c r="A295" s="103"/>
      <c r="B295" s="26" t="s">
        <v>152</v>
      </c>
      <c r="C295" s="36"/>
      <c r="D295" s="37" t="s">
        <v>90</v>
      </c>
      <c r="E295" s="1373">
        <f>IF(E294="",0,+ E294/E301)</f>
        <v>0</v>
      </c>
      <c r="F295" s="1096">
        <f t="shared" ref="F295:AI295" si="646">IF(F294="",0, E295+F294/F301)</f>
        <v>0</v>
      </c>
      <c r="G295" s="1207">
        <f t="shared" si="646"/>
        <v>0</v>
      </c>
      <c r="H295" s="1096">
        <f t="shared" si="646"/>
        <v>0</v>
      </c>
      <c r="I295" s="1096">
        <f t="shared" si="646"/>
        <v>0</v>
      </c>
      <c r="J295" s="1207">
        <f t="shared" si="646"/>
        <v>0</v>
      </c>
      <c r="K295" s="1207">
        <f t="shared" si="646"/>
        <v>0</v>
      </c>
      <c r="L295" s="1096">
        <f t="shared" si="646"/>
        <v>0</v>
      </c>
      <c r="M295" s="1096">
        <f t="shared" si="646"/>
        <v>0</v>
      </c>
      <c r="N295" s="1096">
        <f t="shared" si="646"/>
        <v>0</v>
      </c>
      <c r="O295" s="1096">
        <f t="shared" si="646"/>
        <v>0</v>
      </c>
      <c r="P295" s="1096">
        <f t="shared" si="646"/>
        <v>0</v>
      </c>
      <c r="Q295" s="1207">
        <f t="shared" si="646"/>
        <v>0</v>
      </c>
      <c r="R295" s="1207">
        <f t="shared" si="646"/>
        <v>0</v>
      </c>
      <c r="S295" s="1096">
        <f t="shared" si="646"/>
        <v>0</v>
      </c>
      <c r="T295" s="1096">
        <f t="shared" si="646"/>
        <v>0</v>
      </c>
      <c r="U295" s="1096">
        <f t="shared" si="646"/>
        <v>0</v>
      </c>
      <c r="V295" s="1096">
        <f t="shared" si="646"/>
        <v>0</v>
      </c>
      <c r="W295" s="1096">
        <f t="shared" si="646"/>
        <v>0</v>
      </c>
      <c r="X295" s="1207">
        <f t="shared" si="646"/>
        <v>0</v>
      </c>
      <c r="Y295" s="1207">
        <f t="shared" si="646"/>
        <v>0</v>
      </c>
      <c r="Z295" s="1096">
        <f t="shared" si="646"/>
        <v>0</v>
      </c>
      <c r="AA295" s="1096">
        <f t="shared" si="646"/>
        <v>0</v>
      </c>
      <c r="AB295" s="1096">
        <f t="shared" si="646"/>
        <v>0</v>
      </c>
      <c r="AC295" s="1096">
        <f t="shared" si="646"/>
        <v>0</v>
      </c>
      <c r="AD295" s="1096">
        <f t="shared" si="646"/>
        <v>0</v>
      </c>
      <c r="AE295" s="1207">
        <f t="shared" si="646"/>
        <v>0</v>
      </c>
      <c r="AF295" s="1207">
        <f t="shared" si="646"/>
        <v>0</v>
      </c>
      <c r="AG295" s="1096">
        <f t="shared" si="646"/>
        <v>0</v>
      </c>
      <c r="AH295" s="1096">
        <f t="shared" si="646"/>
        <v>0</v>
      </c>
      <c r="AI295" s="1324">
        <f t="shared" si="646"/>
        <v>0</v>
      </c>
      <c r="AJ295" s="38"/>
      <c r="AK295" s="29"/>
      <c r="AL295" s="30"/>
      <c r="AM295" s="694">
        <f t="shared" si="580"/>
        <v>0</v>
      </c>
      <c r="AN295" s="31"/>
      <c r="AO295" s="630"/>
      <c r="AP295" s="39" t="s">
        <v>91</v>
      </c>
      <c r="AQ295" s="40">
        <f>SUM(E294:I294)</f>
        <v>0</v>
      </c>
      <c r="AR295" s="41">
        <f>SUM(J294:P294)</f>
        <v>0</v>
      </c>
      <c r="AS295" s="41">
        <f>SUM(Q294:W294)</f>
        <v>0</v>
      </c>
      <c r="AT295" s="41">
        <f>SUM(X294:AD294)</f>
        <v>0</v>
      </c>
      <c r="AU295" s="41">
        <f>SUM(AE294:AI294)</f>
        <v>0</v>
      </c>
      <c r="AV295" s="34">
        <f t="shared" ref="AV295:AV300" si="647">SUM(AQ295:AU295)</f>
        <v>0</v>
      </c>
    </row>
    <row r="296" spans="1:48" ht="25.15" hidden="1" customHeight="1">
      <c r="A296" s="103"/>
      <c r="B296" s="26" t="s">
        <v>92</v>
      </c>
      <c r="C296" s="42"/>
      <c r="D296" s="43" t="s">
        <v>93</v>
      </c>
      <c r="E296" s="1325"/>
      <c r="F296" s="1089"/>
      <c r="G296" s="44"/>
      <c r="H296" s="1089"/>
      <c r="I296" s="1089"/>
      <c r="J296" s="44"/>
      <c r="K296" s="44"/>
      <c r="L296" s="1089"/>
      <c r="M296" s="1089"/>
      <c r="N296" s="1089"/>
      <c r="O296" s="1089"/>
      <c r="P296" s="1089"/>
      <c r="Q296" s="44"/>
      <c r="R296" s="44"/>
      <c r="S296" s="1089"/>
      <c r="T296" s="1089"/>
      <c r="U296" s="1089"/>
      <c r="V296" s="1089"/>
      <c r="W296" s="1089"/>
      <c r="X296" s="44"/>
      <c r="Y296" s="44"/>
      <c r="Z296" s="1089"/>
      <c r="AA296" s="1089"/>
      <c r="AB296" s="1089"/>
      <c r="AC296" s="1089"/>
      <c r="AD296" s="1089"/>
      <c r="AE296" s="44"/>
      <c r="AF296" s="44"/>
      <c r="AG296" s="1089"/>
      <c r="AH296" s="1089"/>
      <c r="AI296" s="1326"/>
      <c r="AJ296" s="45">
        <f>SUM(E296:AI296)</f>
        <v>0</v>
      </c>
      <c r="AK296" s="45"/>
      <c r="AL296" s="46">
        <f>+AJ296*AN294</f>
        <v>0</v>
      </c>
      <c r="AM296" s="1066">
        <f t="shared" si="580"/>
        <v>0</v>
      </c>
      <c r="AN296" s="31"/>
      <c r="AO296" s="632">
        <f>(AJ296+AJ298+AJ299+AJ300)*B298/1000</f>
        <v>0</v>
      </c>
      <c r="AP296" s="47" t="s">
        <v>94</v>
      </c>
      <c r="AQ296" s="48">
        <f>SUM(E296:I296)</f>
        <v>0</v>
      </c>
      <c r="AR296" s="49">
        <f>SUM(J296:P296)</f>
        <v>0</v>
      </c>
      <c r="AS296" s="49">
        <f>SUM(Q296:W296)</f>
        <v>0</v>
      </c>
      <c r="AT296" s="49">
        <f>SUM(X296:AD296)</f>
        <v>0</v>
      </c>
      <c r="AU296" s="49">
        <f>SUM(AE296:AI296)</f>
        <v>0</v>
      </c>
      <c r="AV296" s="50">
        <f t="shared" si="647"/>
        <v>0</v>
      </c>
    </row>
    <row r="297" spans="1:48" ht="25.15" hidden="1" customHeight="1">
      <c r="A297" s="103"/>
      <c r="B297" s="51"/>
      <c r="C297" s="52" t="s">
        <v>95</v>
      </c>
      <c r="D297" s="53" t="s">
        <v>96</v>
      </c>
      <c r="E297" s="1327">
        <f t="shared" ref="E297:AJ297" si="648">+E296-E294</f>
        <v>0</v>
      </c>
      <c r="F297" s="1097">
        <f t="shared" si="648"/>
        <v>0</v>
      </c>
      <c r="G297" s="1205">
        <f t="shared" si="648"/>
        <v>0</v>
      </c>
      <c r="H297" s="1097">
        <f t="shared" si="648"/>
        <v>0</v>
      </c>
      <c r="I297" s="1097">
        <f t="shared" si="648"/>
        <v>0</v>
      </c>
      <c r="J297" s="1205">
        <f t="shared" si="648"/>
        <v>0</v>
      </c>
      <c r="K297" s="1205">
        <f t="shared" si="648"/>
        <v>0</v>
      </c>
      <c r="L297" s="1097">
        <f t="shared" si="648"/>
        <v>0</v>
      </c>
      <c r="M297" s="1097">
        <f t="shared" si="648"/>
        <v>0</v>
      </c>
      <c r="N297" s="1097">
        <f t="shared" si="648"/>
        <v>0</v>
      </c>
      <c r="O297" s="1097">
        <f t="shared" si="648"/>
        <v>0</v>
      </c>
      <c r="P297" s="1097">
        <f t="shared" si="648"/>
        <v>0</v>
      </c>
      <c r="Q297" s="1205">
        <f t="shared" si="648"/>
        <v>0</v>
      </c>
      <c r="R297" s="1205">
        <f t="shared" si="648"/>
        <v>0</v>
      </c>
      <c r="S297" s="1097">
        <f t="shared" si="648"/>
        <v>0</v>
      </c>
      <c r="T297" s="1097">
        <f t="shared" si="648"/>
        <v>0</v>
      </c>
      <c r="U297" s="1097">
        <f t="shared" si="648"/>
        <v>0</v>
      </c>
      <c r="V297" s="1097">
        <f t="shared" si="648"/>
        <v>0</v>
      </c>
      <c r="W297" s="1097">
        <f t="shared" si="648"/>
        <v>0</v>
      </c>
      <c r="X297" s="1205">
        <f t="shared" si="648"/>
        <v>0</v>
      </c>
      <c r="Y297" s="1205">
        <v>0</v>
      </c>
      <c r="Z297" s="1097">
        <f t="shared" si="648"/>
        <v>0</v>
      </c>
      <c r="AA297" s="1097">
        <f t="shared" si="648"/>
        <v>0</v>
      </c>
      <c r="AB297" s="1097">
        <f t="shared" si="648"/>
        <v>0</v>
      </c>
      <c r="AC297" s="1097">
        <f t="shared" si="648"/>
        <v>0</v>
      </c>
      <c r="AD297" s="1097">
        <f t="shared" si="648"/>
        <v>0</v>
      </c>
      <c r="AE297" s="1205">
        <f t="shared" si="648"/>
        <v>0</v>
      </c>
      <c r="AF297" s="1205">
        <f t="shared" ref="AF297" si="649">+AF296-AF294</f>
        <v>0</v>
      </c>
      <c r="AG297" s="1097">
        <f t="shared" si="648"/>
        <v>0</v>
      </c>
      <c r="AH297" s="1097">
        <f t="shared" si="648"/>
        <v>0</v>
      </c>
      <c r="AI297" s="1328">
        <f t="shared" si="648"/>
        <v>0</v>
      </c>
      <c r="AJ297" s="54">
        <f t="shared" si="648"/>
        <v>0</v>
      </c>
      <c r="AK297" s="54"/>
      <c r="AL297" s="55">
        <f>+AJ297*AN294</f>
        <v>0</v>
      </c>
      <c r="AM297" s="1067">
        <f t="shared" si="580"/>
        <v>0</v>
      </c>
      <c r="AN297" s="31" t="s">
        <v>97</v>
      </c>
      <c r="AO297" s="622"/>
      <c r="AP297" s="39" t="s">
        <v>98</v>
      </c>
      <c r="AQ297" s="56">
        <f>AQ296-AQ295</f>
        <v>0</v>
      </c>
      <c r="AR297" s="70">
        <f>AR296-AR295</f>
        <v>0</v>
      </c>
      <c r="AS297" s="70">
        <f>AS296-AS295</f>
        <v>0</v>
      </c>
      <c r="AT297" s="70">
        <f>AT296-AT295</f>
        <v>0</v>
      </c>
      <c r="AU297" s="70">
        <f>AU296-AU295</f>
        <v>0</v>
      </c>
      <c r="AV297" s="57">
        <f t="shared" si="647"/>
        <v>0</v>
      </c>
    </row>
    <row r="298" spans="1:48" ht="25.15" hidden="1" customHeight="1">
      <c r="A298" s="58"/>
      <c r="B298" s="59"/>
      <c r="C298" s="60" t="s">
        <v>100</v>
      </c>
      <c r="D298" s="61" t="s">
        <v>101</v>
      </c>
      <c r="E298" s="1329"/>
      <c r="F298" s="1099"/>
      <c r="G298" s="1208"/>
      <c r="H298" s="1099"/>
      <c r="I298" s="1099"/>
      <c r="J298" s="1208"/>
      <c r="K298" s="1208"/>
      <c r="L298" s="1099"/>
      <c r="M298" s="1099"/>
      <c r="N298" s="1099"/>
      <c r="O298" s="1099"/>
      <c r="P298" s="1099"/>
      <c r="Q298" s="1208"/>
      <c r="R298" s="1208"/>
      <c r="S298" s="1099"/>
      <c r="T298" s="1099"/>
      <c r="U298" s="1099"/>
      <c r="V298" s="1099"/>
      <c r="W298" s="1099"/>
      <c r="X298" s="1208"/>
      <c r="Y298" s="1208"/>
      <c r="Z298" s="1099"/>
      <c r="AA298" s="1099"/>
      <c r="AB298" s="1099"/>
      <c r="AC298" s="1099"/>
      <c r="AD298" s="1099"/>
      <c r="AE298" s="1208"/>
      <c r="AF298" s="1208"/>
      <c r="AG298" s="1099"/>
      <c r="AH298" s="1099"/>
      <c r="AI298" s="1330"/>
      <c r="AJ298" s="62">
        <f>SUM(E298:AI298)</f>
        <v>0</v>
      </c>
      <c r="AK298" s="62"/>
      <c r="AL298" s="63">
        <f>+AJ298*AN294</f>
        <v>0</v>
      </c>
      <c r="AM298" s="1068">
        <f t="shared" si="580"/>
        <v>0</v>
      </c>
      <c r="AN298" s="64" t="e">
        <f>+AJ298/AJ296*100</f>
        <v>#DIV/0!</v>
      </c>
      <c r="AO298" s="635" t="e">
        <f>AO296/AO294</f>
        <v>#VALUE!</v>
      </c>
      <c r="AP298" s="39" t="s">
        <v>102</v>
      </c>
      <c r="AQ298" s="56">
        <f>SUM(E298:I298)</f>
        <v>0</v>
      </c>
      <c r="AR298" s="70">
        <f>SUM(J298:P298)</f>
        <v>0</v>
      </c>
      <c r="AS298" s="70">
        <f>SUM(Q298:W298)</f>
        <v>0</v>
      </c>
      <c r="AT298" s="70">
        <f>SUM(X298:AD298)</f>
        <v>0</v>
      </c>
      <c r="AU298" s="70">
        <f>SUM(AE298:AI298)</f>
        <v>0</v>
      </c>
      <c r="AV298" s="57">
        <f t="shared" si="647"/>
        <v>0</v>
      </c>
    </row>
    <row r="299" spans="1:48" ht="25.15" hidden="1" customHeight="1">
      <c r="A299" s="58" t="s">
        <v>150</v>
      </c>
      <c r="B299" s="65"/>
      <c r="C299" s="66"/>
      <c r="D299" s="67" t="s">
        <v>103</v>
      </c>
      <c r="E299" s="1331"/>
      <c r="F299" s="1101"/>
      <c r="G299" s="1209"/>
      <c r="H299" s="1101"/>
      <c r="I299" s="1101"/>
      <c r="J299" s="1209"/>
      <c r="K299" s="1209"/>
      <c r="L299" s="1101"/>
      <c r="M299" s="1101"/>
      <c r="N299" s="1101"/>
      <c r="O299" s="1101"/>
      <c r="P299" s="1101"/>
      <c r="Q299" s="1209"/>
      <c r="R299" s="1209"/>
      <c r="S299" s="1101"/>
      <c r="T299" s="1101"/>
      <c r="U299" s="1101"/>
      <c r="V299" s="1101"/>
      <c r="W299" s="1101"/>
      <c r="X299" s="1209"/>
      <c r="Y299" s="1209"/>
      <c r="Z299" s="1101"/>
      <c r="AA299" s="1101"/>
      <c r="AB299" s="1101"/>
      <c r="AC299" s="1101"/>
      <c r="AD299" s="1101"/>
      <c r="AE299" s="1209"/>
      <c r="AF299" s="1209"/>
      <c r="AG299" s="1101"/>
      <c r="AH299" s="1101"/>
      <c r="AI299" s="1332"/>
      <c r="AJ299" s="68">
        <f>SUM(E299:AI299)</f>
        <v>0</v>
      </c>
      <c r="AK299" s="68"/>
      <c r="AL299" s="69">
        <f>+AJ299*AN294</f>
        <v>0</v>
      </c>
      <c r="AM299" s="1069">
        <f t="shared" si="580"/>
        <v>0</v>
      </c>
      <c r="AN299" s="31"/>
      <c r="AO299" s="622"/>
      <c r="AP299" s="39" t="s">
        <v>19</v>
      </c>
      <c r="AQ299" s="56">
        <f>AQ298*AN294</f>
        <v>0</v>
      </c>
      <c r="AR299" s="56">
        <f>AR298*AN294</f>
        <v>0</v>
      </c>
      <c r="AS299" s="56">
        <f>AS298*AN294</f>
        <v>0</v>
      </c>
      <c r="AT299" s="56">
        <f>AT298*AN294</f>
        <v>0</v>
      </c>
      <c r="AU299" s="56">
        <f>AU298*AN294</f>
        <v>0</v>
      </c>
      <c r="AV299" s="57">
        <f t="shared" si="647"/>
        <v>0</v>
      </c>
    </row>
    <row r="300" spans="1:48" ht="25.15" hidden="1" customHeight="1">
      <c r="A300" s="103"/>
      <c r="B300" s="65"/>
      <c r="C300" s="72" t="s">
        <v>104</v>
      </c>
      <c r="D300" s="73" t="s">
        <v>105</v>
      </c>
      <c r="E300" s="1378"/>
      <c r="F300" s="1103"/>
      <c r="G300" s="1210"/>
      <c r="H300" s="1103"/>
      <c r="I300" s="1103"/>
      <c r="J300" s="1210"/>
      <c r="K300" s="1210"/>
      <c r="L300" s="1103"/>
      <c r="M300" s="1103"/>
      <c r="N300" s="1103"/>
      <c r="O300" s="1103"/>
      <c r="P300" s="1103"/>
      <c r="Q300" s="1210"/>
      <c r="R300" s="1210"/>
      <c r="S300" s="1103"/>
      <c r="T300" s="1103"/>
      <c r="U300" s="1103"/>
      <c r="V300" s="1103"/>
      <c r="W300" s="1103"/>
      <c r="X300" s="1210"/>
      <c r="Y300" s="1210"/>
      <c r="Z300" s="1103"/>
      <c r="AA300" s="1103"/>
      <c r="AB300" s="1103"/>
      <c r="AC300" s="1103"/>
      <c r="AD300" s="1103"/>
      <c r="AE300" s="1210"/>
      <c r="AF300" s="1210"/>
      <c r="AG300" s="1103"/>
      <c r="AH300" s="1103"/>
      <c r="AI300" s="1352"/>
      <c r="AJ300" s="74">
        <f>SUM(E300:AI300)</f>
        <v>0</v>
      </c>
      <c r="AK300" s="74"/>
      <c r="AL300" s="75">
        <f>+AJ300*AN294</f>
        <v>0</v>
      </c>
      <c r="AM300" s="1070">
        <f t="shared" si="580"/>
        <v>0</v>
      </c>
      <c r="AN300" s="76"/>
      <c r="AO300" s="636"/>
      <c r="AP300" s="47" t="s">
        <v>106</v>
      </c>
      <c r="AQ300" s="48">
        <f>AQ296*AN294</f>
        <v>0</v>
      </c>
      <c r="AR300" s="48">
        <f>AR296*AN294</f>
        <v>0</v>
      </c>
      <c r="AS300" s="48">
        <f>AS296*AN294</f>
        <v>0</v>
      </c>
      <c r="AT300" s="48">
        <f>AT296*AN294</f>
        <v>0</v>
      </c>
      <c r="AU300" s="48">
        <f>AU296*AN294</f>
        <v>0</v>
      </c>
      <c r="AV300" s="50">
        <f t="shared" si="647"/>
        <v>0</v>
      </c>
    </row>
    <row r="301" spans="1:48" ht="25.15" hidden="1" customHeight="1">
      <c r="A301" s="103"/>
      <c r="B301" s="65"/>
      <c r="C301" s="77">
        <v>300000</v>
      </c>
      <c r="D301" s="78" t="s">
        <v>107</v>
      </c>
      <c r="E301" s="1327">
        <v>1</v>
      </c>
      <c r="F301" s="1097">
        <v>1</v>
      </c>
      <c r="G301" s="1205">
        <v>1</v>
      </c>
      <c r="H301" s="1097">
        <v>1</v>
      </c>
      <c r="I301" s="1097">
        <v>1</v>
      </c>
      <c r="J301" s="1205">
        <v>1</v>
      </c>
      <c r="K301" s="1205">
        <v>1</v>
      </c>
      <c r="L301" s="1097">
        <v>1</v>
      </c>
      <c r="M301" s="1097">
        <v>1</v>
      </c>
      <c r="N301" s="1097">
        <v>1</v>
      </c>
      <c r="O301" s="1097">
        <v>1</v>
      </c>
      <c r="P301" s="1097">
        <v>1</v>
      </c>
      <c r="Q301" s="1205">
        <v>1</v>
      </c>
      <c r="R301" s="1205">
        <v>1</v>
      </c>
      <c r="S301" s="1097">
        <v>1</v>
      </c>
      <c r="T301" s="1097">
        <v>1</v>
      </c>
      <c r="U301" s="1097">
        <v>1</v>
      </c>
      <c r="V301" s="1097">
        <v>1</v>
      </c>
      <c r="W301" s="1097">
        <v>1</v>
      </c>
      <c r="X301" s="1205">
        <v>1</v>
      </c>
      <c r="Y301" s="1205">
        <v>1</v>
      </c>
      <c r="Z301" s="1097">
        <v>1</v>
      </c>
      <c r="AA301" s="1097">
        <v>1</v>
      </c>
      <c r="AB301" s="1097">
        <v>1</v>
      </c>
      <c r="AC301" s="1097">
        <v>1</v>
      </c>
      <c r="AD301" s="1097">
        <v>1</v>
      </c>
      <c r="AE301" s="1205">
        <v>1</v>
      </c>
      <c r="AF301" s="1205">
        <v>1</v>
      </c>
      <c r="AG301" s="1097">
        <v>1</v>
      </c>
      <c r="AH301" s="1097">
        <v>1</v>
      </c>
      <c r="AI301" s="1328">
        <v>1</v>
      </c>
      <c r="AJ301" s="79"/>
      <c r="AK301" s="79"/>
      <c r="AL301" s="55"/>
      <c r="AM301" s="1067">
        <f t="shared" si="580"/>
        <v>0</v>
      </c>
      <c r="AN301" s="31"/>
      <c r="AO301" s="622"/>
      <c r="AP301" s="23"/>
      <c r="AQ301" s="23"/>
      <c r="AR301" s="23"/>
      <c r="AS301" s="23"/>
      <c r="AT301" s="23"/>
      <c r="AU301" s="23"/>
      <c r="AV301" s="23"/>
    </row>
    <row r="302" spans="1:48" ht="25.15" hidden="1" customHeight="1">
      <c r="A302" s="103"/>
      <c r="B302" s="65"/>
      <c r="C302" s="80" t="s">
        <v>108</v>
      </c>
      <c r="D302" s="81" t="s">
        <v>109</v>
      </c>
      <c r="E302" s="1374">
        <f>SUM(E296+E298+E299+E300)/E301</f>
        <v>0</v>
      </c>
      <c r="F302" s="1104">
        <f>SUM(F296+F298+F299+F300)/F301</f>
        <v>0</v>
      </c>
      <c r="G302" s="1211">
        <f>SUM(G296+G298+G299+G300)/G301</f>
        <v>0</v>
      </c>
      <c r="H302" s="1104">
        <f t="shared" ref="H302:AH302" si="650">SUM(H296+H298+H299+H300)/H301</f>
        <v>0</v>
      </c>
      <c r="I302" s="1104">
        <f t="shared" si="650"/>
        <v>0</v>
      </c>
      <c r="J302" s="1211">
        <f t="shared" si="650"/>
        <v>0</v>
      </c>
      <c r="K302" s="1211">
        <f t="shared" si="650"/>
        <v>0</v>
      </c>
      <c r="L302" s="1104">
        <f t="shared" si="650"/>
        <v>0</v>
      </c>
      <c r="M302" s="1104">
        <f t="shared" si="650"/>
        <v>0</v>
      </c>
      <c r="N302" s="1104">
        <f t="shared" si="650"/>
        <v>0</v>
      </c>
      <c r="O302" s="1104">
        <f t="shared" si="650"/>
        <v>0</v>
      </c>
      <c r="P302" s="1104">
        <f t="shared" si="650"/>
        <v>0</v>
      </c>
      <c r="Q302" s="1211">
        <f t="shared" si="650"/>
        <v>0</v>
      </c>
      <c r="R302" s="1211">
        <f t="shared" si="650"/>
        <v>0</v>
      </c>
      <c r="S302" s="1104">
        <f t="shared" si="650"/>
        <v>0</v>
      </c>
      <c r="T302" s="1104">
        <f t="shared" si="650"/>
        <v>0</v>
      </c>
      <c r="U302" s="1104">
        <f t="shared" si="650"/>
        <v>0</v>
      </c>
      <c r="V302" s="1104">
        <f t="shared" si="650"/>
        <v>0</v>
      </c>
      <c r="W302" s="1104">
        <f t="shared" si="650"/>
        <v>0</v>
      </c>
      <c r="X302" s="1211">
        <f t="shared" si="650"/>
        <v>0</v>
      </c>
      <c r="Y302" s="1211">
        <f t="shared" si="650"/>
        <v>0</v>
      </c>
      <c r="Z302" s="1104">
        <f t="shared" si="650"/>
        <v>0</v>
      </c>
      <c r="AA302" s="1104">
        <f t="shared" si="650"/>
        <v>0</v>
      </c>
      <c r="AB302" s="1104">
        <f t="shared" si="650"/>
        <v>0</v>
      </c>
      <c r="AC302" s="1104">
        <f t="shared" si="650"/>
        <v>0</v>
      </c>
      <c r="AD302" s="1104">
        <f t="shared" si="650"/>
        <v>0</v>
      </c>
      <c r="AE302" s="1211">
        <f t="shared" si="650"/>
        <v>0</v>
      </c>
      <c r="AF302" s="1211">
        <f t="shared" si="650"/>
        <v>0</v>
      </c>
      <c r="AG302" s="1104">
        <f t="shared" si="650"/>
        <v>0</v>
      </c>
      <c r="AH302" s="1104">
        <f t="shared" si="650"/>
        <v>0</v>
      </c>
      <c r="AI302" s="1335">
        <f>SUM(AI296+AI298+AI299)/AI301</f>
        <v>0</v>
      </c>
      <c r="AJ302" s="104">
        <f>SUM(E302:AI302)</f>
        <v>0</v>
      </c>
      <c r="AK302" s="104"/>
      <c r="AL302" s="83"/>
      <c r="AM302" s="1068">
        <f t="shared" si="580"/>
        <v>0</v>
      </c>
      <c r="AN302" s="31"/>
      <c r="AO302" s="622"/>
      <c r="AP302" s="23"/>
      <c r="AQ302" s="23"/>
      <c r="AR302" s="23"/>
      <c r="AS302" s="23"/>
      <c r="AT302" s="23"/>
      <c r="AU302" s="23"/>
      <c r="AV302" s="23"/>
    </row>
    <row r="303" spans="1:48" ht="25.15" hidden="1" customHeight="1">
      <c r="A303" s="103"/>
      <c r="B303" s="59"/>
      <c r="C303" s="84">
        <f>+C301*0.8</f>
        <v>240000</v>
      </c>
      <c r="D303" s="85" t="s">
        <v>110</v>
      </c>
      <c r="E303" s="1105"/>
      <c r="F303" s="1106"/>
      <c r="G303" s="1211"/>
      <c r="H303" s="1104"/>
      <c r="I303" s="1104"/>
      <c r="J303" s="1211"/>
      <c r="K303" s="1211"/>
      <c r="L303" s="1104"/>
      <c r="M303" s="1104"/>
      <c r="N303" s="1104"/>
      <c r="O303" s="1107"/>
      <c r="P303" s="1104"/>
      <c r="Q303" s="1211"/>
      <c r="R303" s="1211"/>
      <c r="S303" s="1104"/>
      <c r="T303" s="1104"/>
      <c r="U303" s="1104"/>
      <c r="V303" s="1104"/>
      <c r="W303" s="1104"/>
      <c r="X303" s="1211"/>
      <c r="Y303" s="1211"/>
      <c r="Z303" s="1104"/>
      <c r="AA303" s="1104"/>
      <c r="AB303" s="1104"/>
      <c r="AC303" s="1104"/>
      <c r="AD303" s="1104"/>
      <c r="AE303" s="1211"/>
      <c r="AF303" s="1211"/>
      <c r="AG303" s="1104"/>
      <c r="AH303" s="1104"/>
      <c r="AI303" s="1353"/>
      <c r="AJ303" s="86"/>
      <c r="AK303" s="86"/>
      <c r="AL303" s="690"/>
      <c r="AM303" s="694">
        <f t="shared" si="580"/>
        <v>0</v>
      </c>
      <c r="AN303" s="31"/>
      <c r="AO303" s="622"/>
      <c r="AP303" s="23"/>
      <c r="AQ303" s="23"/>
      <c r="AR303" s="23"/>
      <c r="AS303" s="23"/>
      <c r="AT303" s="23"/>
      <c r="AU303" s="23"/>
      <c r="AV303" s="23"/>
    </row>
    <row r="304" spans="1:48" ht="25.15" hidden="1" customHeight="1">
      <c r="A304" s="103"/>
      <c r="B304" s="105"/>
      <c r="C304" s="77"/>
      <c r="D304" s="88" t="s">
        <v>111</v>
      </c>
      <c r="E304" s="1108">
        <f>IF(E303="O/H",E302,0+E302)</f>
        <v>0</v>
      </c>
      <c r="F304" s="1089">
        <f t="shared" ref="F304:AI304" si="651">IF(F303="O/H",F302,+E304+F302)</f>
        <v>0</v>
      </c>
      <c r="G304" s="44">
        <f t="shared" si="651"/>
        <v>0</v>
      </c>
      <c r="H304" s="1089">
        <f t="shared" si="651"/>
        <v>0</v>
      </c>
      <c r="I304" s="1089">
        <f t="shared" si="651"/>
        <v>0</v>
      </c>
      <c r="J304" s="44">
        <f t="shared" si="651"/>
        <v>0</v>
      </c>
      <c r="K304" s="44">
        <f t="shared" si="651"/>
        <v>0</v>
      </c>
      <c r="L304" s="1089">
        <f t="shared" si="651"/>
        <v>0</v>
      </c>
      <c r="M304" s="1089">
        <f t="shared" si="651"/>
        <v>0</v>
      </c>
      <c r="N304" s="1089">
        <f t="shared" si="651"/>
        <v>0</v>
      </c>
      <c r="O304" s="1089">
        <f t="shared" si="651"/>
        <v>0</v>
      </c>
      <c r="P304" s="1089">
        <f t="shared" si="651"/>
        <v>0</v>
      </c>
      <c r="Q304" s="44">
        <f t="shared" si="651"/>
        <v>0</v>
      </c>
      <c r="R304" s="44">
        <f t="shared" si="651"/>
        <v>0</v>
      </c>
      <c r="S304" s="1089">
        <f t="shared" si="651"/>
        <v>0</v>
      </c>
      <c r="T304" s="1089">
        <f t="shared" si="651"/>
        <v>0</v>
      </c>
      <c r="U304" s="1089">
        <f t="shared" si="651"/>
        <v>0</v>
      </c>
      <c r="V304" s="1089">
        <f t="shared" si="651"/>
        <v>0</v>
      </c>
      <c r="W304" s="1089">
        <f t="shared" si="651"/>
        <v>0</v>
      </c>
      <c r="X304" s="44">
        <f t="shared" si="651"/>
        <v>0</v>
      </c>
      <c r="Y304" s="44">
        <f t="shared" si="651"/>
        <v>0</v>
      </c>
      <c r="Z304" s="1089">
        <f t="shared" si="651"/>
        <v>0</v>
      </c>
      <c r="AA304" s="1089">
        <f t="shared" si="651"/>
        <v>0</v>
      </c>
      <c r="AB304" s="1089">
        <f t="shared" si="651"/>
        <v>0</v>
      </c>
      <c r="AC304" s="1089">
        <f t="shared" si="651"/>
        <v>0</v>
      </c>
      <c r="AD304" s="1089">
        <f t="shared" si="651"/>
        <v>0</v>
      </c>
      <c r="AE304" s="44">
        <f t="shared" si="651"/>
        <v>0</v>
      </c>
      <c r="AF304" s="44">
        <f t="shared" si="651"/>
        <v>0</v>
      </c>
      <c r="AG304" s="1089">
        <f t="shared" si="651"/>
        <v>0</v>
      </c>
      <c r="AH304" s="1089">
        <f t="shared" si="651"/>
        <v>0</v>
      </c>
      <c r="AI304" s="1326">
        <f t="shared" si="651"/>
        <v>0</v>
      </c>
      <c r="AJ304" s="79"/>
      <c r="AK304" s="86"/>
      <c r="AL304" s="689"/>
      <c r="AM304" s="694">
        <f t="shared" si="580"/>
        <v>0</v>
      </c>
      <c r="AN304" s="31"/>
      <c r="AO304" s="622"/>
      <c r="AP304" s="23"/>
      <c r="AQ304" s="23"/>
      <c r="AR304" s="23"/>
      <c r="AS304" s="23"/>
      <c r="AT304" s="23"/>
      <c r="AU304" s="23"/>
      <c r="AV304" s="23"/>
    </row>
    <row r="305" spans="1:48" ht="25.15" hidden="1" customHeight="1">
      <c r="A305" s="103"/>
      <c r="B305" s="89"/>
      <c r="C305" s="89"/>
      <c r="D305" s="90" t="s">
        <v>104</v>
      </c>
      <c r="E305" s="1108"/>
      <c r="F305" s="1089"/>
      <c r="G305" s="44"/>
      <c r="H305" s="1089"/>
      <c r="I305" s="1089"/>
      <c r="J305" s="44"/>
      <c r="K305" s="44"/>
      <c r="L305" s="1089"/>
      <c r="M305" s="1089"/>
      <c r="N305" s="1089"/>
      <c r="O305" s="1089"/>
      <c r="P305" s="1089"/>
      <c r="Q305" s="44"/>
      <c r="R305" s="44"/>
      <c r="S305" s="1089"/>
      <c r="T305" s="1089"/>
      <c r="U305" s="1089"/>
      <c r="V305" s="1089"/>
      <c r="W305" s="1089"/>
      <c r="X305" s="44"/>
      <c r="Y305" s="44"/>
      <c r="Z305" s="1089"/>
      <c r="AA305" s="1089"/>
      <c r="AB305" s="1089"/>
      <c r="AC305" s="1089"/>
      <c r="AD305" s="1089"/>
      <c r="AE305" s="44"/>
      <c r="AF305" s="44"/>
      <c r="AG305" s="1089"/>
      <c r="AH305" s="1089"/>
      <c r="AI305" s="1326"/>
      <c r="AJ305" s="79"/>
      <c r="AK305" s="79"/>
      <c r="AL305" s="63"/>
      <c r="AM305" s="1068">
        <f t="shared" si="580"/>
        <v>0</v>
      </c>
      <c r="AN305" s="64"/>
      <c r="AO305" s="624"/>
      <c r="AP305" s="23"/>
      <c r="AQ305" s="23"/>
      <c r="AR305" s="23"/>
      <c r="AS305" s="23"/>
      <c r="AT305" s="23"/>
      <c r="AU305" s="23"/>
      <c r="AV305" s="23"/>
    </row>
    <row r="306" spans="1:48" ht="25.15" hidden="1" customHeight="1" thickBot="1">
      <c r="A306" s="106"/>
      <c r="B306" s="93"/>
      <c r="C306" s="559"/>
      <c r="D306" s="95" t="s">
        <v>111</v>
      </c>
      <c r="E306" s="1109">
        <f>IF(E305="O/H",E302,0+E302)</f>
        <v>0</v>
      </c>
      <c r="F306" s="1110">
        <f t="shared" ref="F306:AI306" si="652">IF(F305="O/H",F302,+E306+F302)</f>
        <v>0</v>
      </c>
      <c r="G306" s="1212">
        <f t="shared" si="652"/>
        <v>0</v>
      </c>
      <c r="H306" s="1110">
        <f t="shared" si="652"/>
        <v>0</v>
      </c>
      <c r="I306" s="1110">
        <f t="shared" si="652"/>
        <v>0</v>
      </c>
      <c r="J306" s="1212">
        <f t="shared" si="652"/>
        <v>0</v>
      </c>
      <c r="K306" s="1212">
        <f t="shared" si="652"/>
        <v>0</v>
      </c>
      <c r="L306" s="1110">
        <f t="shared" si="652"/>
        <v>0</v>
      </c>
      <c r="M306" s="1110">
        <f t="shared" si="652"/>
        <v>0</v>
      </c>
      <c r="N306" s="1110">
        <f t="shared" si="652"/>
        <v>0</v>
      </c>
      <c r="O306" s="1110">
        <f t="shared" si="652"/>
        <v>0</v>
      </c>
      <c r="P306" s="1110">
        <f t="shared" si="652"/>
        <v>0</v>
      </c>
      <c r="Q306" s="1212">
        <f t="shared" si="652"/>
        <v>0</v>
      </c>
      <c r="R306" s="1212">
        <f t="shared" si="652"/>
        <v>0</v>
      </c>
      <c r="S306" s="1110">
        <f t="shared" si="652"/>
        <v>0</v>
      </c>
      <c r="T306" s="1110">
        <f t="shared" si="652"/>
        <v>0</v>
      </c>
      <c r="U306" s="1110">
        <f t="shared" si="652"/>
        <v>0</v>
      </c>
      <c r="V306" s="1110">
        <f t="shared" si="652"/>
        <v>0</v>
      </c>
      <c r="W306" s="1110">
        <f t="shared" si="652"/>
        <v>0</v>
      </c>
      <c r="X306" s="1212">
        <f t="shared" si="652"/>
        <v>0</v>
      </c>
      <c r="Y306" s="1212">
        <f t="shared" si="652"/>
        <v>0</v>
      </c>
      <c r="Z306" s="1110">
        <f t="shared" si="652"/>
        <v>0</v>
      </c>
      <c r="AA306" s="1110"/>
      <c r="AB306" s="1110">
        <f t="shared" si="652"/>
        <v>0</v>
      </c>
      <c r="AC306" s="1110">
        <f t="shared" si="652"/>
        <v>0</v>
      </c>
      <c r="AD306" s="1110">
        <f t="shared" si="652"/>
        <v>0</v>
      </c>
      <c r="AE306" s="1212">
        <f t="shared" si="652"/>
        <v>0</v>
      </c>
      <c r="AF306" s="1212">
        <f t="shared" si="652"/>
        <v>0</v>
      </c>
      <c r="AG306" s="1110">
        <f t="shared" si="652"/>
        <v>0</v>
      </c>
      <c r="AH306" s="1110">
        <f t="shared" si="652"/>
        <v>0</v>
      </c>
      <c r="AI306" s="1340">
        <f t="shared" si="652"/>
        <v>0</v>
      </c>
      <c r="AJ306" s="96"/>
      <c r="AK306" s="96"/>
      <c r="AL306" s="97"/>
      <c r="AM306" s="1071">
        <f t="shared" si="580"/>
        <v>0</v>
      </c>
      <c r="AN306" s="98"/>
      <c r="AO306" s="625"/>
      <c r="AP306" s="23"/>
      <c r="AQ306" s="23"/>
      <c r="AR306" s="23"/>
      <c r="AS306" s="23"/>
      <c r="AT306" s="23"/>
      <c r="AU306" s="23"/>
      <c r="AV306" s="23"/>
    </row>
    <row r="307" spans="1:48" ht="25.15" hidden="1" customHeight="1" thickTop="1">
      <c r="A307" s="99"/>
      <c r="B307" s="26" t="s">
        <v>153</v>
      </c>
      <c r="C307" s="27"/>
      <c r="D307" s="28" t="s">
        <v>82</v>
      </c>
      <c r="E307" s="1111"/>
      <c r="F307" s="1111"/>
      <c r="G307" s="1201"/>
      <c r="H307" s="1111"/>
      <c r="I307" s="1111"/>
      <c r="J307" s="1201"/>
      <c r="K307" s="1201"/>
      <c r="L307" s="1111"/>
      <c r="M307" s="1111"/>
      <c r="N307" s="1111"/>
      <c r="O307" s="1111"/>
      <c r="P307" s="1111"/>
      <c r="Q307" s="1201"/>
      <c r="R307" s="1201"/>
      <c r="S307" s="1111"/>
      <c r="T307" s="1111"/>
      <c r="U307" s="1111"/>
      <c r="V307" s="1111"/>
      <c r="W307" s="1111"/>
      <c r="X307" s="1201"/>
      <c r="Y307" s="1201"/>
      <c r="Z307" s="1111"/>
      <c r="AA307" s="1119"/>
      <c r="AB307" s="1111"/>
      <c r="AC307" s="1111"/>
      <c r="AD307" s="1111"/>
      <c r="AE307" s="1201"/>
      <c r="AF307" s="1201"/>
      <c r="AG307" s="1111"/>
      <c r="AH307" s="1111"/>
      <c r="AI307" s="1412"/>
      <c r="AJ307" s="100">
        <f>SUM(Table75[[#This Row],[June''2026]:[Column27]])</f>
        <v>0</v>
      </c>
      <c r="AK307" s="100">
        <f t="shared" si="579"/>
        <v>0</v>
      </c>
      <c r="AL307" s="101">
        <f>+AJ307*AN307</f>
        <v>0</v>
      </c>
      <c r="AM307" s="1072">
        <f t="shared" si="580"/>
        <v>0</v>
      </c>
      <c r="AN307" s="102"/>
      <c r="AO307" s="622" t="e">
        <f>Table5[[#This Row],[Total]]*B311/1000</f>
        <v>#VALUE!</v>
      </c>
      <c r="AP307" s="32" t="s">
        <v>134</v>
      </c>
      <c r="AQ307" s="33" t="s">
        <v>84</v>
      </c>
      <c r="AR307" s="33" t="s">
        <v>85</v>
      </c>
      <c r="AS307" s="33" t="s">
        <v>86</v>
      </c>
      <c r="AT307" s="33" t="s">
        <v>87</v>
      </c>
      <c r="AU307" s="33" t="s">
        <v>88</v>
      </c>
      <c r="AV307" s="34" t="s">
        <v>68</v>
      </c>
    </row>
    <row r="308" spans="1:48" ht="25.15" hidden="1" customHeight="1">
      <c r="A308" s="103"/>
      <c r="B308" s="35" t="s">
        <v>154</v>
      </c>
      <c r="C308" s="36"/>
      <c r="D308" s="37" t="s">
        <v>90</v>
      </c>
      <c r="E308" s="1373">
        <f>IF(E307="",0,+ E307/E314)</f>
        <v>0</v>
      </c>
      <c r="F308" s="1096">
        <f t="shared" ref="F308:AI308" si="653">IF(F307="",0, E308+F307/F314)</f>
        <v>0</v>
      </c>
      <c r="G308" s="1207">
        <f t="shared" si="653"/>
        <v>0</v>
      </c>
      <c r="H308" s="1096">
        <f t="shared" si="653"/>
        <v>0</v>
      </c>
      <c r="I308" s="1096">
        <f t="shared" si="653"/>
        <v>0</v>
      </c>
      <c r="J308" s="1207">
        <f t="shared" si="653"/>
        <v>0</v>
      </c>
      <c r="K308" s="1207">
        <f t="shared" si="653"/>
        <v>0</v>
      </c>
      <c r="L308" s="1096">
        <f t="shared" si="653"/>
        <v>0</v>
      </c>
      <c r="M308" s="1096">
        <f t="shared" si="653"/>
        <v>0</v>
      </c>
      <c r="N308" s="1096">
        <f t="shared" si="653"/>
        <v>0</v>
      </c>
      <c r="O308" s="1096">
        <f t="shared" si="653"/>
        <v>0</v>
      </c>
      <c r="P308" s="1096">
        <f t="shared" si="653"/>
        <v>0</v>
      </c>
      <c r="Q308" s="1207">
        <f t="shared" si="653"/>
        <v>0</v>
      </c>
      <c r="R308" s="1207">
        <f t="shared" si="653"/>
        <v>0</v>
      </c>
      <c r="S308" s="1096">
        <f t="shared" si="653"/>
        <v>0</v>
      </c>
      <c r="T308" s="1096">
        <f t="shared" si="653"/>
        <v>0</v>
      </c>
      <c r="U308" s="1096">
        <f t="shared" si="653"/>
        <v>0</v>
      </c>
      <c r="V308" s="1096">
        <f t="shared" si="653"/>
        <v>0</v>
      </c>
      <c r="W308" s="1096">
        <f t="shared" si="653"/>
        <v>0</v>
      </c>
      <c r="X308" s="1207">
        <f t="shared" si="653"/>
        <v>0</v>
      </c>
      <c r="Y308" s="1207">
        <f t="shared" si="653"/>
        <v>0</v>
      </c>
      <c r="Z308" s="1096">
        <f t="shared" si="653"/>
        <v>0</v>
      </c>
      <c r="AA308" s="1089"/>
      <c r="AB308" s="1096">
        <f t="shared" si="653"/>
        <v>0</v>
      </c>
      <c r="AC308" s="1096">
        <f t="shared" si="653"/>
        <v>0</v>
      </c>
      <c r="AD308" s="1096">
        <f t="shared" si="653"/>
        <v>0</v>
      </c>
      <c r="AE308" s="1207">
        <f t="shared" si="653"/>
        <v>0</v>
      </c>
      <c r="AF308" s="1207">
        <f t="shared" si="653"/>
        <v>0</v>
      </c>
      <c r="AG308" s="1096">
        <f t="shared" si="653"/>
        <v>0</v>
      </c>
      <c r="AH308" s="1096">
        <f t="shared" si="653"/>
        <v>0</v>
      </c>
      <c r="AI308" s="1324">
        <f t="shared" si="653"/>
        <v>0</v>
      </c>
      <c r="AJ308" s="38"/>
      <c r="AK308" s="29"/>
      <c r="AL308" s="30"/>
      <c r="AM308" s="694">
        <f t="shared" si="580"/>
        <v>0</v>
      </c>
      <c r="AN308" s="31"/>
      <c r="AO308" s="630"/>
      <c r="AP308" s="39" t="s">
        <v>91</v>
      </c>
      <c r="AQ308" s="40">
        <f>SUM(E307:I307)</f>
        <v>0</v>
      </c>
      <c r="AR308" s="41">
        <f>SUM(J307:P307)</f>
        <v>0</v>
      </c>
      <c r="AS308" s="41">
        <f>SUM(Q307:W307)</f>
        <v>0</v>
      </c>
      <c r="AT308" s="41">
        <f>SUM(X307:AD307)</f>
        <v>0</v>
      </c>
      <c r="AU308" s="41">
        <f>SUM(AE307:AI307)</f>
        <v>0</v>
      </c>
      <c r="AV308" s="34">
        <f t="shared" ref="AV308:AV313" si="654">SUM(AQ308:AU308)</f>
        <v>0</v>
      </c>
    </row>
    <row r="309" spans="1:48" ht="25.15" hidden="1" customHeight="1">
      <c r="A309" s="103"/>
      <c r="B309" s="26" t="s">
        <v>92</v>
      </c>
      <c r="C309" s="42"/>
      <c r="D309" s="43" t="s">
        <v>93</v>
      </c>
      <c r="E309" s="1325"/>
      <c r="F309" s="1089"/>
      <c r="G309" s="44"/>
      <c r="H309" s="1089"/>
      <c r="I309" s="1089"/>
      <c r="J309" s="44"/>
      <c r="K309" s="44"/>
      <c r="L309" s="1089"/>
      <c r="M309" s="1089"/>
      <c r="N309" s="1089"/>
      <c r="O309" s="1089"/>
      <c r="P309" s="1089"/>
      <c r="Q309" s="44"/>
      <c r="R309" s="44"/>
      <c r="S309" s="1089"/>
      <c r="T309" s="1089"/>
      <c r="U309" s="1089"/>
      <c r="V309" s="1089"/>
      <c r="W309" s="1089"/>
      <c r="X309" s="44"/>
      <c r="Y309" s="44"/>
      <c r="Z309" s="1089"/>
      <c r="AA309" s="1089"/>
      <c r="AB309" s="1089"/>
      <c r="AC309" s="1089"/>
      <c r="AD309" s="1089"/>
      <c r="AE309" s="44"/>
      <c r="AF309" s="44"/>
      <c r="AG309" s="1089"/>
      <c r="AH309" s="1089"/>
      <c r="AI309" s="1326"/>
      <c r="AJ309" s="45">
        <f>SUM(E309:AI309)</f>
        <v>0</v>
      </c>
      <c r="AK309" s="45"/>
      <c r="AL309" s="46">
        <f>+AJ309*AN307</f>
        <v>0</v>
      </c>
      <c r="AM309" s="1066">
        <f t="shared" si="580"/>
        <v>0</v>
      </c>
      <c r="AN309" s="31"/>
      <c r="AO309" s="632">
        <f>(AJ309+AJ311+AJ312+AJ313)*B311/1000</f>
        <v>0</v>
      </c>
      <c r="AP309" s="47" t="s">
        <v>94</v>
      </c>
      <c r="AQ309" s="48">
        <f>SUM(E309:I309)</f>
        <v>0</v>
      </c>
      <c r="AR309" s="49">
        <f>SUM(J309:P309)</f>
        <v>0</v>
      </c>
      <c r="AS309" s="49">
        <f>SUM(Q309:W309)</f>
        <v>0</v>
      </c>
      <c r="AT309" s="49">
        <f>SUM(X309:AD309)</f>
        <v>0</v>
      </c>
      <c r="AU309" s="49">
        <f>SUM(AE309:AI309)</f>
        <v>0</v>
      </c>
      <c r="AV309" s="50">
        <f t="shared" si="654"/>
        <v>0</v>
      </c>
    </row>
    <row r="310" spans="1:48" ht="25.15" hidden="1" customHeight="1">
      <c r="A310" s="103"/>
      <c r="B310" s="51"/>
      <c r="C310" s="52" t="s">
        <v>95</v>
      </c>
      <c r="D310" s="53" t="s">
        <v>96</v>
      </c>
      <c r="E310" s="1327">
        <f t="shared" ref="E310:AJ310" si="655">+E309-E307</f>
        <v>0</v>
      </c>
      <c r="F310" s="1097">
        <f t="shared" si="655"/>
        <v>0</v>
      </c>
      <c r="G310" s="1205">
        <f t="shared" si="655"/>
        <v>0</v>
      </c>
      <c r="H310" s="1097">
        <f t="shared" si="655"/>
        <v>0</v>
      </c>
      <c r="I310" s="1097">
        <f t="shared" si="655"/>
        <v>0</v>
      </c>
      <c r="J310" s="1205">
        <f t="shared" si="655"/>
        <v>0</v>
      </c>
      <c r="K310" s="1205">
        <f t="shared" si="655"/>
        <v>0</v>
      </c>
      <c r="L310" s="1097">
        <f t="shared" si="655"/>
        <v>0</v>
      </c>
      <c r="M310" s="1097">
        <f t="shared" si="655"/>
        <v>0</v>
      </c>
      <c r="N310" s="1097">
        <f t="shared" si="655"/>
        <v>0</v>
      </c>
      <c r="O310" s="1097">
        <f t="shared" si="655"/>
        <v>0</v>
      </c>
      <c r="P310" s="1097">
        <f t="shared" si="655"/>
        <v>0</v>
      </c>
      <c r="Q310" s="1205">
        <f t="shared" si="655"/>
        <v>0</v>
      </c>
      <c r="R310" s="1205">
        <f t="shared" si="655"/>
        <v>0</v>
      </c>
      <c r="S310" s="1097">
        <f t="shared" si="655"/>
        <v>0</v>
      </c>
      <c r="T310" s="1097">
        <f t="shared" si="655"/>
        <v>0</v>
      </c>
      <c r="U310" s="1097">
        <f t="shared" si="655"/>
        <v>0</v>
      </c>
      <c r="V310" s="1097">
        <f t="shared" si="655"/>
        <v>0</v>
      </c>
      <c r="W310" s="1097">
        <f t="shared" si="655"/>
        <v>0</v>
      </c>
      <c r="X310" s="1205">
        <f t="shared" si="655"/>
        <v>0</v>
      </c>
      <c r="Y310" s="1205">
        <f t="shared" si="655"/>
        <v>0</v>
      </c>
      <c r="Z310" s="1097">
        <f t="shared" si="655"/>
        <v>0</v>
      </c>
      <c r="AA310" s="1097">
        <f t="shared" ref="AA310" si="656">+AA309-AA307</f>
        <v>0</v>
      </c>
      <c r="AB310" s="1097">
        <f t="shared" si="655"/>
        <v>0</v>
      </c>
      <c r="AC310" s="1097">
        <f t="shared" si="655"/>
        <v>0</v>
      </c>
      <c r="AD310" s="1097">
        <f t="shared" si="655"/>
        <v>0</v>
      </c>
      <c r="AE310" s="1205">
        <f t="shared" si="655"/>
        <v>0</v>
      </c>
      <c r="AF310" s="1205">
        <f t="shared" si="655"/>
        <v>0</v>
      </c>
      <c r="AG310" s="1097">
        <f t="shared" si="655"/>
        <v>0</v>
      </c>
      <c r="AH310" s="1097">
        <f t="shared" si="655"/>
        <v>0</v>
      </c>
      <c r="AI310" s="1328">
        <f t="shared" si="655"/>
        <v>0</v>
      </c>
      <c r="AJ310" s="54">
        <f t="shared" si="655"/>
        <v>0</v>
      </c>
      <c r="AK310" s="54"/>
      <c r="AL310" s="55">
        <f>+AJ310*AN307</f>
        <v>0</v>
      </c>
      <c r="AM310" s="1067">
        <f t="shared" si="580"/>
        <v>0</v>
      </c>
      <c r="AN310" s="31" t="s">
        <v>97</v>
      </c>
      <c r="AO310" s="622"/>
      <c r="AP310" s="39" t="s">
        <v>98</v>
      </c>
      <c r="AQ310" s="56">
        <f>AQ309-AQ308</f>
        <v>0</v>
      </c>
      <c r="AR310" s="70">
        <f>AR309-AR308</f>
        <v>0</v>
      </c>
      <c r="AS310" s="70">
        <f>AS309-AS308</f>
        <v>0</v>
      </c>
      <c r="AT310" s="70">
        <f>AT309-AT308</f>
        <v>0</v>
      </c>
      <c r="AU310" s="70">
        <f>AU309-AU308</f>
        <v>0</v>
      </c>
      <c r="AV310" s="57">
        <f t="shared" si="654"/>
        <v>0</v>
      </c>
    </row>
    <row r="311" spans="1:48" ht="25.15" hidden="1" customHeight="1">
      <c r="A311" s="58"/>
      <c r="B311" s="59"/>
      <c r="C311" s="60" t="s">
        <v>100</v>
      </c>
      <c r="D311" s="61" t="s">
        <v>101</v>
      </c>
      <c r="E311" s="1329"/>
      <c r="F311" s="1099"/>
      <c r="G311" s="1208"/>
      <c r="H311" s="1099"/>
      <c r="I311" s="1099"/>
      <c r="J311" s="1208"/>
      <c r="K311" s="1208"/>
      <c r="L311" s="1099"/>
      <c r="M311" s="1099"/>
      <c r="N311" s="1099"/>
      <c r="O311" s="1099"/>
      <c r="P311" s="1099"/>
      <c r="Q311" s="1208"/>
      <c r="R311" s="1208"/>
      <c r="S311" s="1099"/>
      <c r="T311" s="1099"/>
      <c r="U311" s="1099"/>
      <c r="V311" s="1099"/>
      <c r="W311" s="1099"/>
      <c r="X311" s="1208"/>
      <c r="Y311" s="1208"/>
      <c r="Z311" s="1099"/>
      <c r="AA311" s="1099"/>
      <c r="AB311" s="1099"/>
      <c r="AC311" s="1099"/>
      <c r="AD311" s="1099"/>
      <c r="AE311" s="1208"/>
      <c r="AF311" s="1208"/>
      <c r="AG311" s="1099"/>
      <c r="AH311" s="1099"/>
      <c r="AI311" s="1330"/>
      <c r="AJ311" s="62">
        <f>SUM(E311:AI311)</f>
        <v>0</v>
      </c>
      <c r="AK311" s="62"/>
      <c r="AL311" s="63">
        <f>+AJ311*AN307</f>
        <v>0</v>
      </c>
      <c r="AM311" s="1068">
        <f t="shared" si="580"/>
        <v>0</v>
      </c>
      <c r="AN311" s="64" t="e">
        <f>+AJ311/AJ309*100</f>
        <v>#DIV/0!</v>
      </c>
      <c r="AO311" s="635" t="e">
        <f>AO309/AO307</f>
        <v>#VALUE!</v>
      </c>
      <c r="AP311" s="39" t="s">
        <v>102</v>
      </c>
      <c r="AQ311" s="56">
        <f>SUM(E311:I311)</f>
        <v>0</v>
      </c>
      <c r="AR311" s="70">
        <f>SUM(J311:P311)</f>
        <v>0</v>
      </c>
      <c r="AS311" s="70">
        <f>SUM(Q311:W311)</f>
        <v>0</v>
      </c>
      <c r="AT311" s="70">
        <f>SUM(X311:AD311)</f>
        <v>0</v>
      </c>
      <c r="AU311" s="70">
        <f>SUM(AE311:AI311)</f>
        <v>0</v>
      </c>
      <c r="AV311" s="57">
        <f t="shared" si="654"/>
        <v>0</v>
      </c>
    </row>
    <row r="312" spans="1:48" ht="25.15" hidden="1" customHeight="1">
      <c r="A312" s="58" t="s">
        <v>135</v>
      </c>
      <c r="B312" s="65"/>
      <c r="C312" s="66"/>
      <c r="D312" s="67" t="s">
        <v>103</v>
      </c>
      <c r="E312" s="1331"/>
      <c r="F312" s="1101"/>
      <c r="G312" s="1209"/>
      <c r="H312" s="1101"/>
      <c r="I312" s="1101"/>
      <c r="J312" s="1209"/>
      <c r="K312" s="1209"/>
      <c r="L312" s="1101"/>
      <c r="M312" s="1101"/>
      <c r="N312" s="1101"/>
      <c r="O312" s="1101"/>
      <c r="P312" s="1101"/>
      <c r="Q312" s="1209"/>
      <c r="R312" s="1209"/>
      <c r="S312" s="1101"/>
      <c r="T312" s="1101"/>
      <c r="U312" s="1101"/>
      <c r="V312" s="1101"/>
      <c r="W312" s="1101"/>
      <c r="X312" s="1209"/>
      <c r="Y312" s="1209"/>
      <c r="Z312" s="1101"/>
      <c r="AA312" s="1101"/>
      <c r="AB312" s="1101"/>
      <c r="AC312" s="1101"/>
      <c r="AD312" s="1101"/>
      <c r="AE312" s="1209"/>
      <c r="AF312" s="1209"/>
      <c r="AG312" s="1101"/>
      <c r="AH312" s="1101"/>
      <c r="AI312" s="1332"/>
      <c r="AJ312" s="68">
        <f>SUM(E312:AI312)</f>
        <v>0</v>
      </c>
      <c r="AK312" s="68"/>
      <c r="AL312" s="69">
        <f>+AJ312*AN307</f>
        <v>0</v>
      </c>
      <c r="AM312" s="1069">
        <f t="shared" si="580"/>
        <v>0</v>
      </c>
      <c r="AN312" s="31"/>
      <c r="AO312" s="622"/>
      <c r="AP312" s="39" t="s">
        <v>19</v>
      </c>
      <c r="AQ312" s="56">
        <f>AQ311*AN307</f>
        <v>0</v>
      </c>
      <c r="AR312" s="56">
        <f>AR311*AN307</f>
        <v>0</v>
      </c>
      <c r="AS312" s="56">
        <f>AS311*AN307</f>
        <v>0</v>
      </c>
      <c r="AT312" s="56">
        <f>AT311*AN307</f>
        <v>0</v>
      </c>
      <c r="AU312" s="56">
        <f>AU311*AN307</f>
        <v>0</v>
      </c>
      <c r="AV312" s="57">
        <f t="shared" si="654"/>
        <v>0</v>
      </c>
    </row>
    <row r="313" spans="1:48" ht="25.15" hidden="1" customHeight="1">
      <c r="A313" s="103"/>
      <c r="B313" s="65"/>
      <c r="C313" s="72" t="s">
        <v>104</v>
      </c>
      <c r="D313" s="73" t="s">
        <v>105</v>
      </c>
      <c r="E313" s="1378"/>
      <c r="F313" s="1103"/>
      <c r="G313" s="1210"/>
      <c r="H313" s="1103"/>
      <c r="I313" s="1103"/>
      <c r="J313" s="1210"/>
      <c r="K313" s="1210"/>
      <c r="L313" s="1103"/>
      <c r="M313" s="1103"/>
      <c r="N313" s="1103"/>
      <c r="O313" s="1103"/>
      <c r="P313" s="1103"/>
      <c r="Q313" s="1210"/>
      <c r="R313" s="1210"/>
      <c r="S313" s="1103"/>
      <c r="T313" s="1103"/>
      <c r="U313" s="1103"/>
      <c r="V313" s="1103"/>
      <c r="W313" s="1103"/>
      <c r="X313" s="1210"/>
      <c r="Y313" s="1210"/>
      <c r="Z313" s="1103"/>
      <c r="AA313" s="1103"/>
      <c r="AB313" s="1103"/>
      <c r="AC313" s="1103"/>
      <c r="AD313" s="1103"/>
      <c r="AE313" s="1210"/>
      <c r="AF313" s="1210"/>
      <c r="AG313" s="1103"/>
      <c r="AH313" s="1103"/>
      <c r="AI313" s="1352"/>
      <c r="AJ313" s="74">
        <f>SUM(E313:AI313)</f>
        <v>0</v>
      </c>
      <c r="AK313" s="74"/>
      <c r="AL313" s="75">
        <f>+AJ313*AN307</f>
        <v>0</v>
      </c>
      <c r="AM313" s="1070">
        <f t="shared" si="580"/>
        <v>0</v>
      </c>
      <c r="AN313" s="76"/>
      <c r="AO313" s="636"/>
      <c r="AP313" s="47" t="s">
        <v>106</v>
      </c>
      <c r="AQ313" s="48">
        <f>AQ309*AN307</f>
        <v>0</v>
      </c>
      <c r="AR313" s="48">
        <f>AR309*AN307</f>
        <v>0</v>
      </c>
      <c r="AS313" s="48">
        <f>AS309*AN307</f>
        <v>0</v>
      </c>
      <c r="AT313" s="48">
        <f>AT309*AN307</f>
        <v>0</v>
      </c>
      <c r="AU313" s="48">
        <f>AU309*AN307</f>
        <v>0</v>
      </c>
      <c r="AV313" s="50">
        <f t="shared" si="654"/>
        <v>0</v>
      </c>
    </row>
    <row r="314" spans="1:48" ht="25.15" hidden="1" customHeight="1">
      <c r="A314" s="103"/>
      <c r="B314" s="65"/>
      <c r="C314" s="77">
        <v>300000</v>
      </c>
      <c r="D314" s="78" t="s">
        <v>107</v>
      </c>
      <c r="E314" s="1327">
        <v>1</v>
      </c>
      <c r="F314" s="1097">
        <v>1</v>
      </c>
      <c r="G314" s="1205">
        <v>1</v>
      </c>
      <c r="H314" s="1097">
        <v>1</v>
      </c>
      <c r="I314" s="1097">
        <v>1</v>
      </c>
      <c r="J314" s="1205">
        <v>1</v>
      </c>
      <c r="K314" s="1205">
        <v>1</v>
      </c>
      <c r="L314" s="1097">
        <v>1</v>
      </c>
      <c r="M314" s="1097">
        <v>1</v>
      </c>
      <c r="N314" s="1097">
        <v>1</v>
      </c>
      <c r="O314" s="1097">
        <v>1</v>
      </c>
      <c r="P314" s="1097">
        <v>1</v>
      </c>
      <c r="Q314" s="1205">
        <v>1</v>
      </c>
      <c r="R314" s="1205">
        <v>1</v>
      </c>
      <c r="S314" s="1097">
        <v>1</v>
      </c>
      <c r="T314" s="1097">
        <v>1</v>
      </c>
      <c r="U314" s="1097">
        <v>1</v>
      </c>
      <c r="V314" s="1097">
        <v>1</v>
      </c>
      <c r="W314" s="1097">
        <v>1</v>
      </c>
      <c r="X314" s="1205">
        <v>1</v>
      </c>
      <c r="Y314" s="1205">
        <v>1</v>
      </c>
      <c r="Z314" s="1097">
        <v>1</v>
      </c>
      <c r="AA314" s="1097">
        <v>1</v>
      </c>
      <c r="AB314" s="1097">
        <v>1</v>
      </c>
      <c r="AC314" s="1097">
        <v>1</v>
      </c>
      <c r="AD314" s="1097">
        <v>1</v>
      </c>
      <c r="AE314" s="1205">
        <v>1</v>
      </c>
      <c r="AF314" s="1205">
        <v>1</v>
      </c>
      <c r="AG314" s="1097">
        <v>1</v>
      </c>
      <c r="AH314" s="1097">
        <v>1</v>
      </c>
      <c r="AI314" s="1328">
        <v>1</v>
      </c>
      <c r="AJ314" s="79"/>
      <c r="AK314" s="79"/>
      <c r="AL314" s="55"/>
      <c r="AM314" s="1067">
        <f t="shared" si="580"/>
        <v>0</v>
      </c>
      <c r="AN314" s="31"/>
      <c r="AO314" s="622"/>
      <c r="AP314" s="23"/>
      <c r="AQ314" s="23"/>
      <c r="AR314" s="23"/>
      <c r="AS314" s="23"/>
      <c r="AT314" s="23"/>
      <c r="AU314" s="23"/>
      <c r="AV314" s="23"/>
    </row>
    <row r="315" spans="1:48" ht="25.15" hidden="1" customHeight="1">
      <c r="A315" s="103"/>
      <c r="B315" s="65"/>
      <c r="C315" s="80" t="s">
        <v>108</v>
      </c>
      <c r="D315" s="81" t="s">
        <v>109</v>
      </c>
      <c r="E315" s="1374">
        <f>SUM(E309+E311+E312+E313)/E314</f>
        <v>0</v>
      </c>
      <c r="F315" s="1104">
        <f>SUM(F309+F311+F312+F313)/F314</f>
        <v>0</v>
      </c>
      <c r="G315" s="1211">
        <f>SUM(G309+G311+G312+G313)/G314</f>
        <v>0</v>
      </c>
      <c r="H315" s="1104">
        <f t="shared" ref="H315:AH315" si="657">SUM(H309+H311+H312+H313)/H314</f>
        <v>0</v>
      </c>
      <c r="I315" s="1104">
        <f t="shared" si="657"/>
        <v>0</v>
      </c>
      <c r="J315" s="1211">
        <f t="shared" si="657"/>
        <v>0</v>
      </c>
      <c r="K315" s="1211">
        <f t="shared" si="657"/>
        <v>0</v>
      </c>
      <c r="L315" s="1104">
        <f t="shared" si="657"/>
        <v>0</v>
      </c>
      <c r="M315" s="1104">
        <f t="shared" si="657"/>
        <v>0</v>
      </c>
      <c r="N315" s="1104">
        <f t="shared" si="657"/>
        <v>0</v>
      </c>
      <c r="O315" s="1104">
        <f t="shared" si="657"/>
        <v>0</v>
      </c>
      <c r="P315" s="1104">
        <f t="shared" si="657"/>
        <v>0</v>
      </c>
      <c r="Q315" s="1211">
        <f t="shared" si="657"/>
        <v>0</v>
      </c>
      <c r="R315" s="1211">
        <f t="shared" si="657"/>
        <v>0</v>
      </c>
      <c r="S315" s="1104">
        <f t="shared" si="657"/>
        <v>0</v>
      </c>
      <c r="T315" s="1104">
        <f t="shared" si="657"/>
        <v>0</v>
      </c>
      <c r="U315" s="1104">
        <f t="shared" si="657"/>
        <v>0</v>
      </c>
      <c r="V315" s="1104">
        <f t="shared" si="657"/>
        <v>0</v>
      </c>
      <c r="W315" s="1104">
        <f t="shared" si="657"/>
        <v>0</v>
      </c>
      <c r="X315" s="1211">
        <f t="shared" si="657"/>
        <v>0</v>
      </c>
      <c r="Y315" s="1211">
        <f t="shared" si="657"/>
        <v>0</v>
      </c>
      <c r="Z315" s="1104">
        <f t="shared" si="657"/>
        <v>0</v>
      </c>
      <c r="AA315" s="1104">
        <f t="shared" ref="AA315" si="658">SUM(AA309+AA311+AA312+AA313)/AA314</f>
        <v>0</v>
      </c>
      <c r="AB315" s="1104">
        <f t="shared" si="657"/>
        <v>0</v>
      </c>
      <c r="AC315" s="1104">
        <f t="shared" si="657"/>
        <v>0</v>
      </c>
      <c r="AD315" s="1104">
        <f t="shared" si="657"/>
        <v>0</v>
      </c>
      <c r="AE315" s="1211">
        <f t="shared" si="657"/>
        <v>0</v>
      </c>
      <c r="AF315" s="1211">
        <f t="shared" si="657"/>
        <v>0</v>
      </c>
      <c r="AG315" s="1104">
        <f t="shared" si="657"/>
        <v>0</v>
      </c>
      <c r="AH315" s="1104">
        <f t="shared" si="657"/>
        <v>0</v>
      </c>
      <c r="AI315" s="1335">
        <f>SUM(AI309+AI311+AI312)/AI314</f>
        <v>0</v>
      </c>
      <c r="AJ315" s="104">
        <f>SUM(E315:AI315)</f>
        <v>0</v>
      </c>
      <c r="AK315" s="104"/>
      <c r="AL315" s="83"/>
      <c r="AM315" s="1068">
        <f t="shared" si="580"/>
        <v>0</v>
      </c>
      <c r="AN315" s="31"/>
      <c r="AO315" s="622"/>
      <c r="AP315" s="23"/>
      <c r="AQ315" s="23"/>
      <c r="AR315" s="23"/>
      <c r="AS315" s="23"/>
      <c r="AT315" s="23"/>
      <c r="AU315" s="23"/>
      <c r="AV315" s="23"/>
    </row>
    <row r="316" spans="1:48" ht="25.15" hidden="1" customHeight="1">
      <c r="A316" s="103"/>
      <c r="B316" s="59"/>
      <c r="C316" s="84">
        <f>+C314*0.8</f>
        <v>240000</v>
      </c>
      <c r="D316" s="85" t="s">
        <v>110</v>
      </c>
      <c r="E316" s="1105"/>
      <c r="F316" s="1106"/>
      <c r="G316" s="1211"/>
      <c r="H316" s="1104"/>
      <c r="I316" s="1104"/>
      <c r="J316" s="1211"/>
      <c r="K316" s="1211"/>
      <c r="L316" s="1104"/>
      <c r="M316" s="1104"/>
      <c r="N316" s="1104"/>
      <c r="O316" s="1107"/>
      <c r="P316" s="1104"/>
      <c r="Q316" s="1211"/>
      <c r="R316" s="1211"/>
      <c r="S316" s="1104"/>
      <c r="T316" s="1104"/>
      <c r="U316" s="1104"/>
      <c r="V316" s="1104"/>
      <c r="W316" s="1104"/>
      <c r="X316" s="1211"/>
      <c r="Y316" s="1211"/>
      <c r="Z316" s="1104"/>
      <c r="AA316" s="1104"/>
      <c r="AB316" s="1104"/>
      <c r="AC316" s="1104"/>
      <c r="AD316" s="1104"/>
      <c r="AE316" s="1211"/>
      <c r="AF316" s="1211"/>
      <c r="AG316" s="1104"/>
      <c r="AH316" s="1104"/>
      <c r="AI316" s="1353"/>
      <c r="AJ316" s="86"/>
      <c r="AK316" s="86"/>
      <c r="AL316" s="690"/>
      <c r="AM316" s="694">
        <f t="shared" si="580"/>
        <v>0</v>
      </c>
      <c r="AN316" s="31"/>
      <c r="AO316" s="622"/>
      <c r="AP316" s="23"/>
      <c r="AQ316" s="23"/>
      <c r="AR316" s="23"/>
      <c r="AS316" s="23"/>
      <c r="AT316" s="23"/>
      <c r="AU316" s="23"/>
      <c r="AV316" s="23"/>
    </row>
    <row r="317" spans="1:48" ht="25.15" hidden="1" customHeight="1">
      <c r="A317" s="103"/>
      <c r="B317" s="105"/>
      <c r="C317" s="77"/>
      <c r="D317" s="88" t="s">
        <v>111</v>
      </c>
      <c r="E317" s="1108">
        <f>IF(E316="O/H",E315,0+E315)</f>
        <v>0</v>
      </c>
      <c r="F317" s="1089">
        <f t="shared" ref="F317:AI317" si="659">IF(F316="O/H",F315,+E317+F315)</f>
        <v>0</v>
      </c>
      <c r="G317" s="44">
        <f t="shared" si="659"/>
        <v>0</v>
      </c>
      <c r="H317" s="1089">
        <f t="shared" si="659"/>
        <v>0</v>
      </c>
      <c r="I317" s="1089">
        <f t="shared" si="659"/>
        <v>0</v>
      </c>
      <c r="J317" s="44">
        <f t="shared" si="659"/>
        <v>0</v>
      </c>
      <c r="K317" s="44">
        <f t="shared" si="659"/>
        <v>0</v>
      </c>
      <c r="L317" s="1089">
        <f t="shared" si="659"/>
        <v>0</v>
      </c>
      <c r="M317" s="1089">
        <f t="shared" si="659"/>
        <v>0</v>
      </c>
      <c r="N317" s="1089">
        <f t="shared" si="659"/>
        <v>0</v>
      </c>
      <c r="O317" s="1089">
        <f t="shared" si="659"/>
        <v>0</v>
      </c>
      <c r="P317" s="1089">
        <f t="shared" si="659"/>
        <v>0</v>
      </c>
      <c r="Q317" s="44">
        <f t="shared" si="659"/>
        <v>0</v>
      </c>
      <c r="R317" s="44">
        <f t="shared" si="659"/>
        <v>0</v>
      </c>
      <c r="S317" s="1089">
        <f t="shared" si="659"/>
        <v>0</v>
      </c>
      <c r="T317" s="1089">
        <f t="shared" si="659"/>
        <v>0</v>
      </c>
      <c r="U317" s="1089">
        <f t="shared" si="659"/>
        <v>0</v>
      </c>
      <c r="V317" s="1089">
        <f t="shared" si="659"/>
        <v>0</v>
      </c>
      <c r="W317" s="1089">
        <f t="shared" si="659"/>
        <v>0</v>
      </c>
      <c r="X317" s="44">
        <f t="shared" si="659"/>
        <v>0</v>
      </c>
      <c r="Y317" s="44">
        <f t="shared" si="659"/>
        <v>0</v>
      </c>
      <c r="Z317" s="1089">
        <f t="shared" si="659"/>
        <v>0</v>
      </c>
      <c r="AA317" s="1089">
        <f t="shared" si="659"/>
        <v>0</v>
      </c>
      <c r="AB317" s="1089">
        <f t="shared" si="659"/>
        <v>0</v>
      </c>
      <c r="AC317" s="1089">
        <f t="shared" si="659"/>
        <v>0</v>
      </c>
      <c r="AD317" s="1089">
        <f t="shared" si="659"/>
        <v>0</v>
      </c>
      <c r="AE317" s="44">
        <f t="shared" si="659"/>
        <v>0</v>
      </c>
      <c r="AF317" s="44">
        <f t="shared" si="659"/>
        <v>0</v>
      </c>
      <c r="AG317" s="1089">
        <f t="shared" si="659"/>
        <v>0</v>
      </c>
      <c r="AH317" s="1089">
        <f t="shared" si="659"/>
        <v>0</v>
      </c>
      <c r="AI317" s="1326">
        <f t="shared" si="659"/>
        <v>0</v>
      </c>
      <c r="AJ317" s="79"/>
      <c r="AK317" s="86"/>
      <c r="AL317" s="689"/>
      <c r="AM317" s="694">
        <f t="shared" si="580"/>
        <v>0</v>
      </c>
      <c r="AN317" s="31"/>
      <c r="AO317" s="622"/>
      <c r="AP317" s="23"/>
      <c r="AQ317" s="23"/>
      <c r="AR317" s="23"/>
      <c r="AS317" s="23"/>
      <c r="AT317" s="23"/>
      <c r="AU317" s="23"/>
      <c r="AV317" s="23"/>
    </row>
    <row r="318" spans="1:48" s="23" customFormat="1" ht="20.65" hidden="1" customHeight="1">
      <c r="A318" s="274"/>
      <c r="B318" s="312"/>
      <c r="C318" s="308"/>
      <c r="D318" s="795" t="s">
        <v>112</v>
      </c>
      <c r="E318" s="1108" t="b">
        <f>IF(AND(ISNUMBER(E309)),169616+E315)</f>
        <v>0</v>
      </c>
      <c r="F318" s="1089" t="str">
        <f>IF(AND(ISNUMBER(F309)),E318+F315,"")</f>
        <v/>
      </c>
      <c r="G318" s="44" t="str">
        <f t="shared" ref="G318" si="660">IF(AND(ISNUMBER(G309)),F318+G315,"")</f>
        <v/>
      </c>
      <c r="H318" s="1089" t="str">
        <f t="shared" ref="H318" si="661">IF(AND(ISNUMBER(H309)),G318+H315,"")</f>
        <v/>
      </c>
      <c r="I318" s="1089" t="str">
        <f>IF(AND(ISNUMBER(I309)),H318+I315,"")</f>
        <v/>
      </c>
      <c r="J318" s="44" t="str">
        <f>IF(AND(ISNUMBER(J309)),I318+J315,"")</f>
        <v/>
      </c>
      <c r="K318" s="44" t="str">
        <f>IF(AND(ISNUMBER(K309)),J318+K315,"")</f>
        <v/>
      </c>
      <c r="L318" s="1089" t="str">
        <f t="shared" ref="L318" si="662">IF(AND(ISNUMBER(L309)),K318+L315,"")</f>
        <v/>
      </c>
      <c r="M318" s="1089" t="str">
        <f t="shared" ref="M318" si="663">IF(AND(ISNUMBER(M309)),L318+M315,"")</f>
        <v/>
      </c>
      <c r="N318" s="1089" t="str">
        <f t="shared" ref="N318" si="664">IF(AND(ISNUMBER(N309)),M318+N315,"")</f>
        <v/>
      </c>
      <c r="O318" s="1089" t="str">
        <f t="shared" ref="O318" si="665">IF(AND(ISNUMBER(O309)),N318+O315,"")</f>
        <v/>
      </c>
      <c r="P318" s="1089" t="str">
        <f t="shared" ref="P318" si="666">IF(AND(ISNUMBER(P309)),O318+P315,"")</f>
        <v/>
      </c>
      <c r="Q318" s="44" t="str">
        <f t="shared" ref="Q318" si="667">IF(AND(ISNUMBER(Q309)),P318+Q315,"")</f>
        <v/>
      </c>
      <c r="R318" s="44" t="str">
        <f t="shared" ref="R318" si="668">IF(AND(ISNUMBER(R309)),Q318+R315,"")</f>
        <v/>
      </c>
      <c r="S318" s="1089" t="str">
        <f t="shared" ref="S318" si="669">IF(AND(ISNUMBER(S309)),R318+S315,"")</f>
        <v/>
      </c>
      <c r="T318" s="1089" t="str">
        <f t="shared" ref="T318" si="670">IF(AND(ISNUMBER(T309)),S318+T315,"")</f>
        <v/>
      </c>
      <c r="U318" s="1089" t="str">
        <f t="shared" ref="U318" si="671">IF(AND(ISNUMBER(U309)),T318+U315,"")</f>
        <v/>
      </c>
      <c r="V318" s="1089" t="str">
        <f t="shared" ref="V318" si="672">IF(AND(ISNUMBER(V309)),U318+V315,"")</f>
        <v/>
      </c>
      <c r="W318" s="1089" t="str">
        <f t="shared" ref="W318" si="673">IF(AND(ISNUMBER(W309)),V318+W315,"")</f>
        <v/>
      </c>
      <c r="X318" s="44" t="str">
        <f t="shared" ref="X318" si="674">IF(AND(ISNUMBER(X309)),W318+X315,"")</f>
        <v/>
      </c>
      <c r="Y318" s="44" t="str">
        <f t="shared" ref="Y318" si="675">IF(AND(ISNUMBER(Y309)),X318+Y315,"")</f>
        <v/>
      </c>
      <c r="Z318" s="1089" t="str">
        <f t="shared" ref="Z318" si="676">IF(AND(ISNUMBER(Z309)),Y318+Z315,"")</f>
        <v/>
      </c>
      <c r="AA318" s="1089" t="str">
        <f t="shared" ref="AA318" si="677">IF(AND(ISNUMBER(AA309)),Z318+AA315,"")</f>
        <v/>
      </c>
      <c r="AB318" s="1089" t="str">
        <f t="shared" ref="AB318" si="678">IF(AND(ISNUMBER(AB309)),AA318+AB315,"")</f>
        <v/>
      </c>
      <c r="AC318" s="1089" t="str">
        <f t="shared" ref="AC318" si="679">IF(AND(ISNUMBER(AC309)),AB318+AC315,"")</f>
        <v/>
      </c>
      <c r="AD318" s="1089" t="str">
        <f t="shared" ref="AD318" si="680">IF(AND(ISNUMBER(AD309)),AC318+AD315,"")</f>
        <v/>
      </c>
      <c r="AE318" s="44" t="str">
        <f t="shared" ref="AE318" si="681">IF(AND(ISNUMBER(AE309)),AD318+AE315,"")</f>
        <v/>
      </c>
      <c r="AF318" s="44" t="str">
        <f t="shared" ref="AF318" si="682">IF(AND(ISNUMBER(AF309)),AE318+AF315,"")</f>
        <v/>
      </c>
      <c r="AG318" s="1089" t="str">
        <f t="shared" ref="AG318" si="683">IF(AND(ISNUMBER(AG309)),AF318+AG315,"")</f>
        <v/>
      </c>
      <c r="AH318" s="1089" t="str">
        <f t="shared" ref="AH318" si="684">IF(AND(ISNUMBER(AH309)),AG318+AH315,"")</f>
        <v/>
      </c>
      <c r="AI318" s="1089" t="str">
        <f t="shared" ref="AI318" si="685">IF(AND(ISNUMBER(AI309)),AH318+AI315,"")</f>
        <v/>
      </c>
      <c r="AJ318" s="793"/>
      <c r="AK318" s="793"/>
      <c r="AL318" s="909"/>
      <c r="AM318" s="890">
        <f t="shared" si="580"/>
        <v>0</v>
      </c>
      <c r="AN318" s="76"/>
      <c r="AO318" s="624"/>
      <c r="AP318" s="285"/>
      <c r="AQ318" s="285"/>
      <c r="AR318" s="285"/>
      <c r="AS318" s="285"/>
      <c r="AT318" s="286"/>
      <c r="AU318" s="285"/>
      <c r="AV318" s="287"/>
    </row>
    <row r="319" spans="1:48" ht="25.15" hidden="1" customHeight="1">
      <c r="A319" s="103"/>
      <c r="B319" s="89"/>
      <c r="C319" s="80"/>
      <c r="D319" s="90" t="s">
        <v>104</v>
      </c>
      <c r="E319" s="1108"/>
      <c r="F319" s="1089"/>
      <c r="G319" s="44"/>
      <c r="H319" s="1089"/>
      <c r="I319" s="1089"/>
      <c r="J319" s="44"/>
      <c r="K319" s="44"/>
      <c r="L319" s="1089"/>
      <c r="M319" s="1089"/>
      <c r="N319" s="1089"/>
      <c r="O319" s="1089"/>
      <c r="P319" s="1089"/>
      <c r="Q319" s="44"/>
      <c r="R319" s="44"/>
      <c r="S319" s="1089"/>
      <c r="T319" s="1089"/>
      <c r="U319" s="1089"/>
      <c r="V319" s="1089"/>
      <c r="W319" s="1089"/>
      <c r="X319" s="44"/>
      <c r="Y319" s="44"/>
      <c r="Z319" s="1089"/>
      <c r="AA319" s="1089"/>
      <c r="AB319" s="1089"/>
      <c r="AC319" s="1089"/>
      <c r="AD319" s="1089"/>
      <c r="AE319" s="44"/>
      <c r="AF319" s="44"/>
      <c r="AG319" s="1089"/>
      <c r="AH319" s="1089"/>
      <c r="AI319" s="1326"/>
      <c r="AJ319" s="79"/>
      <c r="AK319" s="79"/>
      <c r="AL319" s="63"/>
      <c r="AM319" s="1068">
        <f t="shared" si="580"/>
        <v>0</v>
      </c>
      <c r="AN319" s="64"/>
      <c r="AO319" s="624"/>
      <c r="AP319" s="23"/>
      <c r="AQ319" s="23"/>
      <c r="AR319" s="23"/>
      <c r="AS319" s="23"/>
      <c r="AT319" s="23"/>
      <c r="AU319" s="23"/>
      <c r="AV319" s="23"/>
    </row>
    <row r="320" spans="1:48" ht="25.15" hidden="1" customHeight="1" thickBot="1">
      <c r="A320" s="106"/>
      <c r="B320" s="93"/>
      <c r="C320" s="94"/>
      <c r="D320" s="95" t="s">
        <v>111</v>
      </c>
      <c r="E320" s="1109">
        <f>IF(E319="O/H",E315,0+E315)</f>
        <v>0</v>
      </c>
      <c r="F320" s="1110">
        <f t="shared" ref="F320:AI320" si="686">IF(F319="O/H",F315,+E320+F315)</f>
        <v>0</v>
      </c>
      <c r="G320" s="1212">
        <f t="shared" si="686"/>
        <v>0</v>
      </c>
      <c r="H320" s="1110">
        <f t="shared" si="686"/>
        <v>0</v>
      </c>
      <c r="I320" s="1110">
        <f t="shared" si="686"/>
        <v>0</v>
      </c>
      <c r="J320" s="1212">
        <f t="shared" si="686"/>
        <v>0</v>
      </c>
      <c r="K320" s="1212">
        <f t="shared" si="686"/>
        <v>0</v>
      </c>
      <c r="L320" s="1110">
        <f t="shared" si="686"/>
        <v>0</v>
      </c>
      <c r="M320" s="1110">
        <f t="shared" si="686"/>
        <v>0</v>
      </c>
      <c r="N320" s="1110">
        <f t="shared" si="686"/>
        <v>0</v>
      </c>
      <c r="O320" s="1110">
        <f t="shared" si="686"/>
        <v>0</v>
      </c>
      <c r="P320" s="1110">
        <f t="shared" si="686"/>
        <v>0</v>
      </c>
      <c r="Q320" s="1212">
        <f t="shared" si="686"/>
        <v>0</v>
      </c>
      <c r="R320" s="1212">
        <f t="shared" si="686"/>
        <v>0</v>
      </c>
      <c r="S320" s="1110">
        <f t="shared" si="686"/>
        <v>0</v>
      </c>
      <c r="T320" s="1110">
        <f t="shared" si="686"/>
        <v>0</v>
      </c>
      <c r="U320" s="1110">
        <f t="shared" si="686"/>
        <v>0</v>
      </c>
      <c r="V320" s="1110">
        <f t="shared" si="686"/>
        <v>0</v>
      </c>
      <c r="W320" s="1110">
        <f t="shared" si="686"/>
        <v>0</v>
      </c>
      <c r="X320" s="1212">
        <f t="shared" si="686"/>
        <v>0</v>
      </c>
      <c r="Y320" s="1212">
        <f t="shared" si="686"/>
        <v>0</v>
      </c>
      <c r="Z320" s="1110">
        <f t="shared" si="686"/>
        <v>0</v>
      </c>
      <c r="AA320" s="1110">
        <f t="shared" si="686"/>
        <v>0</v>
      </c>
      <c r="AB320" s="1110">
        <f t="shared" si="686"/>
        <v>0</v>
      </c>
      <c r="AC320" s="1110">
        <f t="shared" si="686"/>
        <v>0</v>
      </c>
      <c r="AD320" s="1110">
        <f t="shared" si="686"/>
        <v>0</v>
      </c>
      <c r="AE320" s="1212">
        <f t="shared" si="686"/>
        <v>0</v>
      </c>
      <c r="AF320" s="1212">
        <f t="shared" si="686"/>
        <v>0</v>
      </c>
      <c r="AG320" s="1110">
        <f t="shared" si="686"/>
        <v>0</v>
      </c>
      <c r="AH320" s="1110">
        <f t="shared" si="686"/>
        <v>0</v>
      </c>
      <c r="AI320" s="1340">
        <f t="shared" si="686"/>
        <v>0</v>
      </c>
      <c r="AJ320" s="96"/>
      <c r="AK320" s="96"/>
      <c r="AL320" s="97"/>
      <c r="AM320" s="1071">
        <f t="shared" si="580"/>
        <v>0</v>
      </c>
      <c r="AN320" s="98"/>
      <c r="AO320" s="625"/>
      <c r="AP320" s="23"/>
      <c r="AQ320" s="23"/>
      <c r="AR320" s="23"/>
      <c r="AS320" s="23"/>
      <c r="AT320" s="23"/>
      <c r="AU320" s="23"/>
      <c r="AV320" s="23"/>
    </row>
    <row r="321" spans="1:48" ht="25.15" hidden="1" customHeight="1" thickTop="1">
      <c r="A321" s="99"/>
      <c r="B321" s="26" t="s">
        <v>155</v>
      </c>
      <c r="C321" s="27"/>
      <c r="D321" s="28" t="s">
        <v>82</v>
      </c>
      <c r="E321" s="1111"/>
      <c r="F321" s="1111"/>
      <c r="G321" s="1201"/>
      <c r="H321" s="1111"/>
      <c r="I321" s="1111"/>
      <c r="J321" s="1201"/>
      <c r="K321" s="1201"/>
      <c r="L321" s="1111"/>
      <c r="M321" s="1111"/>
      <c r="N321" s="1111"/>
      <c r="O321" s="1111"/>
      <c r="P321" s="1111"/>
      <c r="Q321" s="1201"/>
      <c r="R321" s="1201"/>
      <c r="S321" s="1111"/>
      <c r="T321" s="1111"/>
      <c r="U321" s="1111"/>
      <c r="V321" s="1111"/>
      <c r="W321" s="1111"/>
      <c r="X321" s="1201"/>
      <c r="Y321" s="1201"/>
      <c r="Z321" s="1111"/>
      <c r="AA321" s="1089"/>
      <c r="AB321" s="1111"/>
      <c r="AC321" s="1111"/>
      <c r="AD321" s="1111"/>
      <c r="AE321" s="1201"/>
      <c r="AF321" s="1201"/>
      <c r="AG321" s="1111"/>
      <c r="AH321" s="1111"/>
      <c r="AI321" s="1412"/>
      <c r="AJ321" s="100">
        <f>SUM(Table75[[#This Row],[June''2026]:[Column27]])</f>
        <v>0</v>
      </c>
      <c r="AK321" s="100">
        <f t="shared" si="579"/>
        <v>0</v>
      </c>
      <c r="AL321" s="101">
        <f>+AJ321*AN321</f>
        <v>0</v>
      </c>
      <c r="AM321" s="1072">
        <f t="shared" si="580"/>
        <v>0</v>
      </c>
      <c r="AN321" s="102"/>
      <c r="AO321" s="622" t="e">
        <f>Table5[[#This Row],[Total]]*B325/1000</f>
        <v>#VALUE!</v>
      </c>
      <c r="AP321" s="32" t="s">
        <v>134</v>
      </c>
      <c r="AQ321" s="33" t="s">
        <v>84</v>
      </c>
      <c r="AR321" s="33" t="s">
        <v>85</v>
      </c>
      <c r="AS321" s="33" t="s">
        <v>86</v>
      </c>
      <c r="AT321" s="33" t="s">
        <v>87</v>
      </c>
      <c r="AU321" s="33" t="s">
        <v>88</v>
      </c>
      <c r="AV321" s="34" t="s">
        <v>68</v>
      </c>
    </row>
    <row r="322" spans="1:48" ht="25.15" hidden="1" customHeight="1">
      <c r="A322" s="103"/>
      <c r="B322" s="35"/>
      <c r="C322" s="36"/>
      <c r="D322" s="37" t="s">
        <v>90</v>
      </c>
      <c r="E322" s="1373">
        <f>IF(E321="",0,+ E321/E328)</f>
        <v>0</v>
      </c>
      <c r="F322" s="1096">
        <f t="shared" ref="F322:AI322" si="687">IF(F321="",0, E322+F321/F328)</f>
        <v>0</v>
      </c>
      <c r="G322" s="1207">
        <f t="shared" si="687"/>
        <v>0</v>
      </c>
      <c r="H322" s="1096">
        <f t="shared" si="687"/>
        <v>0</v>
      </c>
      <c r="I322" s="1096">
        <f t="shared" si="687"/>
        <v>0</v>
      </c>
      <c r="J322" s="1207">
        <f t="shared" si="687"/>
        <v>0</v>
      </c>
      <c r="K322" s="1207">
        <f t="shared" si="687"/>
        <v>0</v>
      </c>
      <c r="L322" s="1096">
        <f t="shared" si="687"/>
        <v>0</v>
      </c>
      <c r="M322" s="1096">
        <f t="shared" si="687"/>
        <v>0</v>
      </c>
      <c r="N322" s="1096">
        <f t="shared" si="687"/>
        <v>0</v>
      </c>
      <c r="O322" s="1096">
        <f t="shared" si="687"/>
        <v>0</v>
      </c>
      <c r="P322" s="1096">
        <f t="shared" si="687"/>
        <v>0</v>
      </c>
      <c r="Q322" s="1207">
        <f t="shared" si="687"/>
        <v>0</v>
      </c>
      <c r="R322" s="1207">
        <f t="shared" si="687"/>
        <v>0</v>
      </c>
      <c r="S322" s="1096">
        <f t="shared" si="687"/>
        <v>0</v>
      </c>
      <c r="T322" s="1096">
        <f t="shared" si="687"/>
        <v>0</v>
      </c>
      <c r="U322" s="1096">
        <f t="shared" si="687"/>
        <v>0</v>
      </c>
      <c r="V322" s="1096">
        <f t="shared" si="687"/>
        <v>0</v>
      </c>
      <c r="W322" s="1096">
        <f t="shared" si="687"/>
        <v>0</v>
      </c>
      <c r="X322" s="1207">
        <f t="shared" si="687"/>
        <v>0</v>
      </c>
      <c r="Y322" s="1207">
        <f t="shared" si="687"/>
        <v>0</v>
      </c>
      <c r="Z322" s="1096">
        <f t="shared" si="687"/>
        <v>0</v>
      </c>
      <c r="AA322" s="1089"/>
      <c r="AB322" s="1096">
        <f t="shared" si="687"/>
        <v>0</v>
      </c>
      <c r="AC322" s="1096">
        <f t="shared" si="687"/>
        <v>0</v>
      </c>
      <c r="AD322" s="1096">
        <f t="shared" si="687"/>
        <v>0</v>
      </c>
      <c r="AE322" s="1207">
        <f t="shared" si="687"/>
        <v>0</v>
      </c>
      <c r="AF322" s="1207">
        <f t="shared" si="687"/>
        <v>0</v>
      </c>
      <c r="AG322" s="1096">
        <f t="shared" si="687"/>
        <v>0</v>
      </c>
      <c r="AH322" s="1096">
        <f t="shared" si="687"/>
        <v>0</v>
      </c>
      <c r="AI322" s="1324">
        <f t="shared" si="687"/>
        <v>0</v>
      </c>
      <c r="AJ322" s="38"/>
      <c r="AK322" s="29"/>
      <c r="AL322" s="30"/>
      <c r="AM322" s="694">
        <f t="shared" si="580"/>
        <v>0</v>
      </c>
      <c r="AN322" s="31"/>
      <c r="AO322" s="630"/>
      <c r="AP322" s="39" t="s">
        <v>91</v>
      </c>
      <c r="AQ322" s="40">
        <f>SUM(E321:I321)</f>
        <v>0</v>
      </c>
      <c r="AR322" s="41">
        <f>SUM(J321:P321)</f>
        <v>0</v>
      </c>
      <c r="AS322" s="41">
        <f>SUM(Q321:W321)</f>
        <v>0</v>
      </c>
      <c r="AT322" s="41">
        <f>SUM(X321:AD321)</f>
        <v>0</v>
      </c>
      <c r="AU322" s="41">
        <f>SUM(AE321:AI321)</f>
        <v>0</v>
      </c>
      <c r="AV322" s="34">
        <f t="shared" ref="AV322:AV327" si="688">SUM(AQ322:AU322)</f>
        <v>0</v>
      </c>
    </row>
    <row r="323" spans="1:48" ht="25.15" hidden="1" customHeight="1">
      <c r="A323" s="103"/>
      <c r="B323" s="26" t="s">
        <v>92</v>
      </c>
      <c r="C323" s="42"/>
      <c r="D323" s="43" t="s">
        <v>93</v>
      </c>
      <c r="E323" s="1325"/>
      <c r="F323" s="1089"/>
      <c r="G323" s="44"/>
      <c r="H323" s="1089"/>
      <c r="I323" s="1089"/>
      <c r="J323" s="44"/>
      <c r="K323" s="44"/>
      <c r="L323" s="1089"/>
      <c r="M323" s="1089"/>
      <c r="N323" s="1089"/>
      <c r="O323" s="1089"/>
      <c r="P323" s="1089"/>
      <c r="Q323" s="44"/>
      <c r="R323" s="44"/>
      <c r="S323" s="1089"/>
      <c r="T323" s="1089"/>
      <c r="U323" s="1089"/>
      <c r="V323" s="1089"/>
      <c r="W323" s="1089"/>
      <c r="X323" s="44"/>
      <c r="Y323" s="44"/>
      <c r="Z323" s="1089"/>
      <c r="AA323" s="1089"/>
      <c r="AB323" s="1089"/>
      <c r="AC323" s="1089"/>
      <c r="AD323" s="1089"/>
      <c r="AE323" s="44"/>
      <c r="AF323" s="44"/>
      <c r="AG323" s="1089"/>
      <c r="AH323" s="1089"/>
      <c r="AI323" s="1326"/>
      <c r="AJ323" s="45">
        <f>SUM(E323:AI323)</f>
        <v>0</v>
      </c>
      <c r="AK323" s="45"/>
      <c r="AL323" s="46">
        <f>+AJ323*AN321</f>
        <v>0</v>
      </c>
      <c r="AM323" s="1066">
        <f t="shared" si="580"/>
        <v>0</v>
      </c>
      <c r="AN323" s="31"/>
      <c r="AO323" s="632">
        <f>(AJ323+AJ325+AJ326+AJ327)*B325/1000</f>
        <v>0</v>
      </c>
      <c r="AP323" s="47" t="s">
        <v>94</v>
      </c>
      <c r="AQ323" s="48">
        <f>SUM(E323:I323)</f>
        <v>0</v>
      </c>
      <c r="AR323" s="49">
        <f>SUM(J323:P323)</f>
        <v>0</v>
      </c>
      <c r="AS323" s="49">
        <f>SUM(Q323:W323)</f>
        <v>0</v>
      </c>
      <c r="AT323" s="49">
        <f>SUM(X323:AD323)</f>
        <v>0</v>
      </c>
      <c r="AU323" s="49">
        <f>SUM(AE323:AI323)</f>
        <v>0</v>
      </c>
      <c r="AV323" s="50">
        <f t="shared" si="688"/>
        <v>0</v>
      </c>
    </row>
    <row r="324" spans="1:48" ht="25.15" hidden="1" customHeight="1">
      <c r="A324" s="103"/>
      <c r="B324" s="51"/>
      <c r="C324" s="52" t="s">
        <v>95</v>
      </c>
      <c r="D324" s="53" t="s">
        <v>96</v>
      </c>
      <c r="E324" s="1327">
        <f t="shared" ref="E324:AJ324" si="689">+E323-E321</f>
        <v>0</v>
      </c>
      <c r="F324" s="1097">
        <f t="shared" si="689"/>
        <v>0</v>
      </c>
      <c r="G324" s="1205">
        <f t="shared" si="689"/>
        <v>0</v>
      </c>
      <c r="H324" s="1097">
        <f t="shared" si="689"/>
        <v>0</v>
      </c>
      <c r="I324" s="1097">
        <f t="shared" si="689"/>
        <v>0</v>
      </c>
      <c r="J324" s="1205">
        <f t="shared" si="689"/>
        <v>0</v>
      </c>
      <c r="K324" s="1205">
        <f t="shared" si="689"/>
        <v>0</v>
      </c>
      <c r="L324" s="1097">
        <f t="shared" si="689"/>
        <v>0</v>
      </c>
      <c r="M324" s="1097">
        <f t="shared" si="689"/>
        <v>0</v>
      </c>
      <c r="N324" s="1097">
        <f t="shared" si="689"/>
        <v>0</v>
      </c>
      <c r="O324" s="1097">
        <f t="shared" si="689"/>
        <v>0</v>
      </c>
      <c r="P324" s="1097">
        <f t="shared" si="689"/>
        <v>0</v>
      </c>
      <c r="Q324" s="1205">
        <f t="shared" si="689"/>
        <v>0</v>
      </c>
      <c r="R324" s="1205">
        <f t="shared" si="689"/>
        <v>0</v>
      </c>
      <c r="S324" s="1097">
        <f t="shared" si="689"/>
        <v>0</v>
      </c>
      <c r="T324" s="1097">
        <f t="shared" si="689"/>
        <v>0</v>
      </c>
      <c r="U324" s="1097">
        <f t="shared" si="689"/>
        <v>0</v>
      </c>
      <c r="V324" s="1097">
        <f t="shared" si="689"/>
        <v>0</v>
      </c>
      <c r="W324" s="1097">
        <f t="shared" si="689"/>
        <v>0</v>
      </c>
      <c r="X324" s="1205">
        <f t="shared" si="689"/>
        <v>0</v>
      </c>
      <c r="Y324" s="1205">
        <f t="shared" si="689"/>
        <v>0</v>
      </c>
      <c r="Z324" s="1097">
        <f t="shared" si="689"/>
        <v>0</v>
      </c>
      <c r="AA324" s="1097">
        <f t="shared" ref="AA324" si="690">+AA323-AA321</f>
        <v>0</v>
      </c>
      <c r="AB324" s="1097">
        <f t="shared" si="689"/>
        <v>0</v>
      </c>
      <c r="AC324" s="1097">
        <f t="shared" si="689"/>
        <v>0</v>
      </c>
      <c r="AD324" s="1097">
        <f t="shared" si="689"/>
        <v>0</v>
      </c>
      <c r="AE324" s="1205">
        <f t="shared" si="689"/>
        <v>0</v>
      </c>
      <c r="AF324" s="1205">
        <f t="shared" si="689"/>
        <v>0</v>
      </c>
      <c r="AG324" s="1097">
        <f t="shared" si="689"/>
        <v>0</v>
      </c>
      <c r="AH324" s="1097">
        <f t="shared" si="689"/>
        <v>0</v>
      </c>
      <c r="AI324" s="1328">
        <f t="shared" si="689"/>
        <v>0</v>
      </c>
      <c r="AJ324" s="54">
        <f t="shared" si="689"/>
        <v>0</v>
      </c>
      <c r="AK324" s="54"/>
      <c r="AL324" s="55">
        <f>+AJ324*AN321</f>
        <v>0</v>
      </c>
      <c r="AM324" s="1067">
        <f t="shared" si="580"/>
        <v>0</v>
      </c>
      <c r="AN324" s="31" t="s">
        <v>97</v>
      </c>
      <c r="AO324" s="622"/>
      <c r="AP324" s="39" t="s">
        <v>98</v>
      </c>
      <c r="AQ324" s="56">
        <f>AQ323-AQ322</f>
        <v>0</v>
      </c>
      <c r="AR324" s="70">
        <f>AR323-AR322</f>
        <v>0</v>
      </c>
      <c r="AS324" s="70">
        <f>AS323-AS322</f>
        <v>0</v>
      </c>
      <c r="AT324" s="70">
        <f>AT323-AT322</f>
        <v>0</v>
      </c>
      <c r="AU324" s="70">
        <f>AU323-AU322</f>
        <v>0</v>
      </c>
      <c r="AV324" s="57">
        <f t="shared" si="688"/>
        <v>0</v>
      </c>
    </row>
    <row r="325" spans="1:48" ht="25.15" hidden="1" customHeight="1">
      <c r="A325" s="58"/>
      <c r="B325" s="59"/>
      <c r="C325" s="60" t="s">
        <v>100</v>
      </c>
      <c r="D325" s="61" t="s">
        <v>101</v>
      </c>
      <c r="E325" s="1329"/>
      <c r="F325" s="1099"/>
      <c r="G325" s="1208"/>
      <c r="H325" s="1099"/>
      <c r="I325" s="1099"/>
      <c r="J325" s="1208"/>
      <c r="K325" s="1208"/>
      <c r="L325" s="1099"/>
      <c r="M325" s="1099"/>
      <c r="N325" s="1099"/>
      <c r="O325" s="1099"/>
      <c r="P325" s="1099"/>
      <c r="Q325" s="1208"/>
      <c r="R325" s="1208"/>
      <c r="S325" s="1099"/>
      <c r="T325" s="1099"/>
      <c r="U325" s="1099"/>
      <c r="V325" s="1099"/>
      <c r="W325" s="1099"/>
      <c r="X325" s="1208"/>
      <c r="Y325" s="1208"/>
      <c r="Z325" s="1099"/>
      <c r="AA325" s="1099"/>
      <c r="AB325" s="1099"/>
      <c r="AC325" s="1099"/>
      <c r="AD325" s="1099"/>
      <c r="AE325" s="1208"/>
      <c r="AF325" s="1208"/>
      <c r="AG325" s="1099"/>
      <c r="AH325" s="1099"/>
      <c r="AI325" s="1330"/>
      <c r="AJ325" s="62">
        <f>SUM(E325:AI325)</f>
        <v>0</v>
      </c>
      <c r="AK325" s="62"/>
      <c r="AL325" s="63">
        <f>+AJ325*AN321</f>
        <v>0</v>
      </c>
      <c r="AM325" s="1068">
        <f t="shared" si="580"/>
        <v>0</v>
      </c>
      <c r="AN325" s="64" t="e">
        <f>+AJ325/AJ323*100</f>
        <v>#DIV/0!</v>
      </c>
      <c r="AO325" s="635" t="e">
        <f>AO323/AO321</f>
        <v>#VALUE!</v>
      </c>
      <c r="AP325" s="39" t="s">
        <v>102</v>
      </c>
      <c r="AQ325" s="56">
        <f>SUM(E325:I325)</f>
        <v>0</v>
      </c>
      <c r="AR325" s="70">
        <f>SUM(J325:P325)</f>
        <v>0</v>
      </c>
      <c r="AS325" s="70">
        <f>SUM(Q325:W325)</f>
        <v>0</v>
      </c>
      <c r="AT325" s="70">
        <f>SUM(X325:AD325)</f>
        <v>0</v>
      </c>
      <c r="AU325" s="70">
        <f>SUM(AE325:AI325)</f>
        <v>0</v>
      </c>
      <c r="AV325" s="57">
        <f t="shared" si="688"/>
        <v>0</v>
      </c>
    </row>
    <row r="326" spans="1:48" ht="25.15" hidden="1" customHeight="1">
      <c r="A326" s="58" t="s">
        <v>135</v>
      </c>
      <c r="B326" s="65"/>
      <c r="C326" s="66"/>
      <c r="D326" s="67" t="s">
        <v>103</v>
      </c>
      <c r="E326" s="1331"/>
      <c r="F326" s="1101"/>
      <c r="G326" s="1209"/>
      <c r="H326" s="1101"/>
      <c r="I326" s="1101"/>
      <c r="J326" s="1209"/>
      <c r="K326" s="1209"/>
      <c r="L326" s="1101"/>
      <c r="M326" s="1101"/>
      <c r="N326" s="1101"/>
      <c r="O326" s="1101"/>
      <c r="P326" s="1101"/>
      <c r="Q326" s="1209"/>
      <c r="R326" s="1209"/>
      <c r="S326" s="1101"/>
      <c r="T326" s="1101"/>
      <c r="U326" s="1101"/>
      <c r="V326" s="1101"/>
      <c r="W326" s="1101"/>
      <c r="X326" s="1209"/>
      <c r="Y326" s="1209"/>
      <c r="Z326" s="1101"/>
      <c r="AA326" s="1101"/>
      <c r="AB326" s="1101"/>
      <c r="AC326" s="1101"/>
      <c r="AD326" s="1101"/>
      <c r="AE326" s="1209"/>
      <c r="AF326" s="1209"/>
      <c r="AG326" s="1101"/>
      <c r="AH326" s="1101"/>
      <c r="AI326" s="1332"/>
      <c r="AJ326" s="68">
        <f>SUM(E326:AI326)</f>
        <v>0</v>
      </c>
      <c r="AK326" s="68"/>
      <c r="AL326" s="69">
        <f>+AJ326*AN321</f>
        <v>0</v>
      </c>
      <c r="AM326" s="1069">
        <f t="shared" si="580"/>
        <v>0</v>
      </c>
      <c r="AN326" s="31"/>
      <c r="AO326" s="622"/>
      <c r="AP326" s="39" t="s">
        <v>19</v>
      </c>
      <c r="AQ326" s="56">
        <f>AQ325*AN321</f>
        <v>0</v>
      </c>
      <c r="AR326" s="56">
        <f>AR325*AN321</f>
        <v>0</v>
      </c>
      <c r="AS326" s="56">
        <f>AS325*AN321</f>
        <v>0</v>
      </c>
      <c r="AT326" s="56">
        <f>AT325*AN321</f>
        <v>0</v>
      </c>
      <c r="AU326" s="56">
        <f>AU325*AN321</f>
        <v>0</v>
      </c>
      <c r="AV326" s="57">
        <f t="shared" si="688"/>
        <v>0</v>
      </c>
    </row>
    <row r="327" spans="1:48" ht="25.15" hidden="1" customHeight="1">
      <c r="A327" s="103"/>
      <c r="B327" s="65"/>
      <c r="C327" s="72" t="s">
        <v>104</v>
      </c>
      <c r="D327" s="73" t="s">
        <v>105</v>
      </c>
      <c r="E327" s="1378"/>
      <c r="F327" s="1103"/>
      <c r="G327" s="1210"/>
      <c r="H327" s="1103"/>
      <c r="I327" s="1103"/>
      <c r="J327" s="1210"/>
      <c r="K327" s="1210"/>
      <c r="L327" s="1103"/>
      <c r="M327" s="1103"/>
      <c r="N327" s="1103"/>
      <c r="O327" s="1103"/>
      <c r="P327" s="1103"/>
      <c r="Q327" s="1210"/>
      <c r="R327" s="1210"/>
      <c r="S327" s="1103"/>
      <c r="T327" s="1103"/>
      <c r="U327" s="1103"/>
      <c r="V327" s="1103"/>
      <c r="W327" s="1103"/>
      <c r="X327" s="1210"/>
      <c r="Y327" s="1210"/>
      <c r="Z327" s="1103"/>
      <c r="AA327" s="1103"/>
      <c r="AB327" s="1103"/>
      <c r="AC327" s="1103"/>
      <c r="AD327" s="1103"/>
      <c r="AE327" s="1210"/>
      <c r="AF327" s="1210"/>
      <c r="AG327" s="1103"/>
      <c r="AH327" s="1103"/>
      <c r="AI327" s="1352"/>
      <c r="AJ327" s="74">
        <f>SUM(E327:AI327)</f>
        <v>0</v>
      </c>
      <c r="AK327" s="74"/>
      <c r="AL327" s="75">
        <f>+AJ327*AN321</f>
        <v>0</v>
      </c>
      <c r="AM327" s="1070">
        <f t="shared" ref="AM327:AM390" si="691">AL329</f>
        <v>0</v>
      </c>
      <c r="AN327" s="76"/>
      <c r="AO327" s="636"/>
      <c r="AP327" s="47" t="s">
        <v>106</v>
      </c>
      <c r="AQ327" s="48">
        <f>AQ323*AN321</f>
        <v>0</v>
      </c>
      <c r="AR327" s="48">
        <f>AR323*AN321</f>
        <v>0</v>
      </c>
      <c r="AS327" s="48">
        <f>AS323*AN321</f>
        <v>0</v>
      </c>
      <c r="AT327" s="48">
        <f>AT323*AN321</f>
        <v>0</v>
      </c>
      <c r="AU327" s="48">
        <f>AU323*AN321</f>
        <v>0</v>
      </c>
      <c r="AV327" s="50">
        <f t="shared" si="688"/>
        <v>0</v>
      </c>
    </row>
    <row r="328" spans="1:48" ht="25.15" hidden="1" customHeight="1">
      <c r="A328" s="103"/>
      <c r="B328" s="65"/>
      <c r="C328" s="77">
        <v>300000</v>
      </c>
      <c r="D328" s="78" t="s">
        <v>107</v>
      </c>
      <c r="E328" s="1327">
        <v>1</v>
      </c>
      <c r="F328" s="1097">
        <v>1</v>
      </c>
      <c r="G328" s="1205">
        <v>1</v>
      </c>
      <c r="H328" s="1097">
        <v>1</v>
      </c>
      <c r="I328" s="1097">
        <v>1</v>
      </c>
      <c r="J328" s="1205">
        <v>1</v>
      </c>
      <c r="K328" s="1205">
        <v>1</v>
      </c>
      <c r="L328" s="1097">
        <v>1</v>
      </c>
      <c r="M328" s="1097">
        <v>1</v>
      </c>
      <c r="N328" s="1097">
        <v>1</v>
      </c>
      <c r="O328" s="1097">
        <v>1</v>
      </c>
      <c r="P328" s="1097">
        <v>1</v>
      </c>
      <c r="Q328" s="1205">
        <v>1</v>
      </c>
      <c r="R328" s="1205">
        <v>1</v>
      </c>
      <c r="S328" s="1097">
        <v>1</v>
      </c>
      <c r="T328" s="1097">
        <v>1</v>
      </c>
      <c r="U328" s="1097">
        <v>1</v>
      </c>
      <c r="V328" s="1097">
        <v>1</v>
      </c>
      <c r="W328" s="1097">
        <v>1</v>
      </c>
      <c r="X328" s="1205">
        <v>1</v>
      </c>
      <c r="Y328" s="1205">
        <v>1</v>
      </c>
      <c r="Z328" s="1097">
        <v>1</v>
      </c>
      <c r="AA328" s="1097">
        <v>1</v>
      </c>
      <c r="AB328" s="1097">
        <v>1</v>
      </c>
      <c r="AC328" s="1097">
        <v>1</v>
      </c>
      <c r="AD328" s="1097">
        <v>1</v>
      </c>
      <c r="AE328" s="1205">
        <v>1</v>
      </c>
      <c r="AF328" s="1205">
        <v>1</v>
      </c>
      <c r="AG328" s="1097">
        <v>1</v>
      </c>
      <c r="AH328" s="1097">
        <v>1</v>
      </c>
      <c r="AI328" s="1328">
        <v>1</v>
      </c>
      <c r="AJ328" s="79"/>
      <c r="AK328" s="79"/>
      <c r="AL328" s="55"/>
      <c r="AM328" s="1067">
        <f t="shared" si="691"/>
        <v>0</v>
      </c>
      <c r="AN328" s="31"/>
      <c r="AO328" s="622"/>
      <c r="AP328" s="23"/>
      <c r="AQ328" s="23"/>
      <c r="AR328" s="23"/>
      <c r="AS328" s="23"/>
      <c r="AT328" s="23"/>
      <c r="AU328" s="23"/>
      <c r="AV328" s="23"/>
    </row>
    <row r="329" spans="1:48" ht="25.15" hidden="1" customHeight="1">
      <c r="A329" s="103"/>
      <c r="B329" s="65"/>
      <c r="C329" s="80" t="s">
        <v>108</v>
      </c>
      <c r="D329" s="81" t="s">
        <v>109</v>
      </c>
      <c r="E329" s="1374">
        <f>SUM(E323+E325+E326+E327)/E328</f>
        <v>0</v>
      </c>
      <c r="F329" s="1104">
        <f>SUM(F323+F325+F326+F327)/F328</f>
        <v>0</v>
      </c>
      <c r="G329" s="1211">
        <f>SUM(G323+G325+G326+G327)/G328</f>
        <v>0</v>
      </c>
      <c r="H329" s="1104">
        <f t="shared" ref="H329:AH329" si="692">SUM(H323+H325+H326+H327)/H328</f>
        <v>0</v>
      </c>
      <c r="I329" s="1104">
        <f t="shared" si="692"/>
        <v>0</v>
      </c>
      <c r="J329" s="1211">
        <f t="shared" si="692"/>
        <v>0</v>
      </c>
      <c r="K329" s="1211">
        <f t="shared" si="692"/>
        <v>0</v>
      </c>
      <c r="L329" s="1104">
        <f t="shared" si="692"/>
        <v>0</v>
      </c>
      <c r="M329" s="1104">
        <f t="shared" si="692"/>
        <v>0</v>
      </c>
      <c r="N329" s="1104">
        <f t="shared" si="692"/>
        <v>0</v>
      </c>
      <c r="O329" s="1104">
        <f t="shared" si="692"/>
        <v>0</v>
      </c>
      <c r="P329" s="1104">
        <f t="shared" si="692"/>
        <v>0</v>
      </c>
      <c r="Q329" s="1211">
        <f t="shared" si="692"/>
        <v>0</v>
      </c>
      <c r="R329" s="1211">
        <f t="shared" si="692"/>
        <v>0</v>
      </c>
      <c r="S329" s="1104">
        <f t="shared" si="692"/>
        <v>0</v>
      </c>
      <c r="T329" s="1104">
        <f t="shared" si="692"/>
        <v>0</v>
      </c>
      <c r="U329" s="1104">
        <f t="shared" si="692"/>
        <v>0</v>
      </c>
      <c r="V329" s="1104">
        <f t="shared" si="692"/>
        <v>0</v>
      </c>
      <c r="W329" s="1104">
        <f t="shared" si="692"/>
        <v>0</v>
      </c>
      <c r="X329" s="1211">
        <f t="shared" si="692"/>
        <v>0</v>
      </c>
      <c r="Y329" s="1211">
        <f t="shared" si="692"/>
        <v>0</v>
      </c>
      <c r="Z329" s="1104">
        <f t="shared" si="692"/>
        <v>0</v>
      </c>
      <c r="AA329" s="1104">
        <f t="shared" ref="AA329" si="693">SUM(AA323+AA325+AA326+AA327)/AA328</f>
        <v>0</v>
      </c>
      <c r="AB329" s="1104">
        <f t="shared" si="692"/>
        <v>0</v>
      </c>
      <c r="AC329" s="1104">
        <f t="shared" si="692"/>
        <v>0</v>
      </c>
      <c r="AD329" s="1104">
        <f t="shared" si="692"/>
        <v>0</v>
      </c>
      <c r="AE329" s="1211">
        <f t="shared" si="692"/>
        <v>0</v>
      </c>
      <c r="AF329" s="1211">
        <f t="shared" si="692"/>
        <v>0</v>
      </c>
      <c r="AG329" s="1104">
        <f t="shared" si="692"/>
        <v>0</v>
      </c>
      <c r="AH329" s="1104">
        <f t="shared" si="692"/>
        <v>0</v>
      </c>
      <c r="AI329" s="1335">
        <f>SUM(AI323+AI325+AI326)/AI328</f>
        <v>0</v>
      </c>
      <c r="AJ329" s="104">
        <f>SUM(E329:AI329)</f>
        <v>0</v>
      </c>
      <c r="AK329" s="104"/>
      <c r="AL329" s="83"/>
      <c r="AM329" s="1068">
        <f t="shared" si="691"/>
        <v>0</v>
      </c>
      <c r="AN329" s="31"/>
      <c r="AO329" s="622"/>
      <c r="AP329" s="23"/>
      <c r="AQ329" s="23"/>
      <c r="AR329" s="23"/>
      <c r="AS329" s="23"/>
      <c r="AT329" s="23"/>
      <c r="AU329" s="23"/>
      <c r="AV329" s="23"/>
    </row>
    <row r="330" spans="1:48" ht="25.15" hidden="1" customHeight="1">
      <c r="A330" s="103"/>
      <c r="B330" s="59"/>
      <c r="C330" s="84">
        <f>+C328*0.8</f>
        <v>240000</v>
      </c>
      <c r="D330" s="85" t="s">
        <v>110</v>
      </c>
      <c r="E330" s="1105"/>
      <c r="F330" s="1106"/>
      <c r="G330" s="1211"/>
      <c r="H330" s="1104"/>
      <c r="I330" s="1104"/>
      <c r="J330" s="1211"/>
      <c r="K330" s="1211"/>
      <c r="L330" s="1104"/>
      <c r="M330" s="1104"/>
      <c r="N330" s="1104"/>
      <c r="O330" s="1107"/>
      <c r="P330" s="1104"/>
      <c r="Q330" s="1211"/>
      <c r="R330" s="1211"/>
      <c r="S330" s="1104"/>
      <c r="T330" s="1104"/>
      <c r="U330" s="1104"/>
      <c r="V330" s="1104"/>
      <c r="W330" s="1104"/>
      <c r="X330" s="1211"/>
      <c r="Y330" s="1211"/>
      <c r="Z330" s="1104"/>
      <c r="AA330" s="1104"/>
      <c r="AB330" s="1104"/>
      <c r="AC330" s="1104"/>
      <c r="AD330" s="1104"/>
      <c r="AE330" s="1211"/>
      <c r="AF330" s="1211"/>
      <c r="AG330" s="1104"/>
      <c r="AH330" s="1104"/>
      <c r="AI330" s="1353"/>
      <c r="AJ330" s="86"/>
      <c r="AK330" s="86"/>
      <c r="AL330" s="690"/>
      <c r="AM330" s="694">
        <f t="shared" si="691"/>
        <v>0</v>
      </c>
      <c r="AN330" s="31"/>
      <c r="AO330" s="622"/>
      <c r="AP330" s="23"/>
      <c r="AQ330" s="23"/>
      <c r="AR330" s="23"/>
      <c r="AS330" s="23"/>
      <c r="AT330" s="23"/>
      <c r="AU330" s="23"/>
      <c r="AV330" s="23"/>
    </row>
    <row r="331" spans="1:48" ht="25.15" hidden="1" customHeight="1">
      <c r="A331" s="103"/>
      <c r="B331" s="105"/>
      <c r="C331" s="77"/>
      <c r="D331" s="88" t="s">
        <v>111</v>
      </c>
      <c r="E331" s="1108">
        <f>IF(E330="O/H",E329,0+E329)</f>
        <v>0</v>
      </c>
      <c r="F331" s="1089">
        <f t="shared" ref="F331:AI331" si="694">IF(F330="O/H",F329,+E331+F329)</f>
        <v>0</v>
      </c>
      <c r="G331" s="44">
        <f t="shared" si="694"/>
        <v>0</v>
      </c>
      <c r="H331" s="1089">
        <f t="shared" si="694"/>
        <v>0</v>
      </c>
      <c r="I331" s="1089">
        <f t="shared" si="694"/>
        <v>0</v>
      </c>
      <c r="J331" s="44">
        <f t="shared" si="694"/>
        <v>0</v>
      </c>
      <c r="K331" s="44">
        <f t="shared" si="694"/>
        <v>0</v>
      </c>
      <c r="L331" s="1089">
        <f t="shared" si="694"/>
        <v>0</v>
      </c>
      <c r="M331" s="1089">
        <f t="shared" si="694"/>
        <v>0</v>
      </c>
      <c r="N331" s="1089">
        <f t="shared" si="694"/>
        <v>0</v>
      </c>
      <c r="O331" s="1089">
        <f t="shared" si="694"/>
        <v>0</v>
      </c>
      <c r="P331" s="1089">
        <f t="shared" si="694"/>
        <v>0</v>
      </c>
      <c r="Q331" s="44">
        <f t="shared" si="694"/>
        <v>0</v>
      </c>
      <c r="R331" s="44">
        <f t="shared" si="694"/>
        <v>0</v>
      </c>
      <c r="S331" s="1089">
        <f t="shared" si="694"/>
        <v>0</v>
      </c>
      <c r="T331" s="1089">
        <f t="shared" si="694"/>
        <v>0</v>
      </c>
      <c r="U331" s="1089">
        <f t="shared" si="694"/>
        <v>0</v>
      </c>
      <c r="V331" s="1089">
        <f t="shared" si="694"/>
        <v>0</v>
      </c>
      <c r="W331" s="1089">
        <f t="shared" si="694"/>
        <v>0</v>
      </c>
      <c r="X331" s="44">
        <f t="shared" si="694"/>
        <v>0</v>
      </c>
      <c r="Y331" s="44">
        <f t="shared" si="694"/>
        <v>0</v>
      </c>
      <c r="Z331" s="1089">
        <f t="shared" si="694"/>
        <v>0</v>
      </c>
      <c r="AA331" s="1089">
        <f t="shared" si="694"/>
        <v>0</v>
      </c>
      <c r="AB331" s="1089">
        <f t="shared" si="694"/>
        <v>0</v>
      </c>
      <c r="AC331" s="1089">
        <f t="shared" si="694"/>
        <v>0</v>
      </c>
      <c r="AD331" s="1089">
        <f t="shared" si="694"/>
        <v>0</v>
      </c>
      <c r="AE331" s="44">
        <f t="shared" si="694"/>
        <v>0</v>
      </c>
      <c r="AF331" s="44">
        <f t="shared" si="694"/>
        <v>0</v>
      </c>
      <c r="AG331" s="1089">
        <f t="shared" si="694"/>
        <v>0</v>
      </c>
      <c r="AH331" s="1089">
        <f t="shared" si="694"/>
        <v>0</v>
      </c>
      <c r="AI331" s="1326">
        <f t="shared" si="694"/>
        <v>0</v>
      </c>
      <c r="AJ331" s="79"/>
      <c r="AK331" s="86"/>
      <c r="AL331" s="689"/>
      <c r="AM331" s="694">
        <f t="shared" si="691"/>
        <v>0</v>
      </c>
      <c r="AN331" s="31"/>
      <c r="AO331" s="622"/>
      <c r="AP331" s="23"/>
      <c r="AQ331" s="23"/>
      <c r="AR331" s="23"/>
      <c r="AS331" s="23"/>
      <c r="AT331" s="23"/>
      <c r="AU331" s="23"/>
      <c r="AV331" s="23"/>
    </row>
    <row r="332" spans="1:48" s="23" customFormat="1" ht="20.65" hidden="1" customHeight="1">
      <c r="A332" s="274"/>
      <c r="B332" s="312"/>
      <c r="C332" s="308"/>
      <c r="D332" s="795" t="s">
        <v>112</v>
      </c>
      <c r="E332" s="1108" t="b">
        <f>IF(AND(ISNUMBER(E323)),169616+E329)</f>
        <v>0</v>
      </c>
      <c r="F332" s="1089" t="str">
        <f>IF(AND(ISNUMBER(F323)),E332+F329,"")</f>
        <v/>
      </c>
      <c r="G332" s="44" t="str">
        <f t="shared" ref="G332" si="695">IF(AND(ISNUMBER(G323)),F332+G329,"")</f>
        <v/>
      </c>
      <c r="H332" s="1089" t="str">
        <f t="shared" ref="H332" si="696">IF(AND(ISNUMBER(H323)),G332+H329,"")</f>
        <v/>
      </c>
      <c r="I332" s="1089" t="str">
        <f>IF(AND(ISNUMBER(I323)),H332+I329,"")</f>
        <v/>
      </c>
      <c r="J332" s="44" t="str">
        <f>IF(AND(ISNUMBER(J323)),I332+J329,"")</f>
        <v/>
      </c>
      <c r="K332" s="44" t="str">
        <f>IF(AND(ISNUMBER(K323)),J332+K329,"")</f>
        <v/>
      </c>
      <c r="L332" s="1089" t="str">
        <f t="shared" ref="L332" si="697">IF(AND(ISNUMBER(L323)),K332+L329,"")</f>
        <v/>
      </c>
      <c r="M332" s="1089" t="str">
        <f t="shared" ref="M332" si="698">IF(AND(ISNUMBER(M323)),L332+M329,"")</f>
        <v/>
      </c>
      <c r="N332" s="1089" t="str">
        <f t="shared" ref="N332" si="699">IF(AND(ISNUMBER(N323)),M332+N329,"")</f>
        <v/>
      </c>
      <c r="O332" s="1089" t="str">
        <f t="shared" ref="O332" si="700">IF(AND(ISNUMBER(O323)),N332+O329,"")</f>
        <v/>
      </c>
      <c r="P332" s="1089" t="str">
        <f t="shared" ref="P332" si="701">IF(AND(ISNUMBER(P323)),O332+P329,"")</f>
        <v/>
      </c>
      <c r="Q332" s="44" t="str">
        <f t="shared" ref="Q332" si="702">IF(AND(ISNUMBER(Q323)),P332+Q329,"")</f>
        <v/>
      </c>
      <c r="R332" s="44" t="str">
        <f t="shared" ref="R332" si="703">IF(AND(ISNUMBER(R323)),Q332+R329,"")</f>
        <v/>
      </c>
      <c r="S332" s="1089" t="str">
        <f t="shared" ref="S332" si="704">IF(AND(ISNUMBER(S323)),R332+S329,"")</f>
        <v/>
      </c>
      <c r="T332" s="1089" t="str">
        <f t="shared" ref="T332" si="705">IF(AND(ISNUMBER(T323)),S332+T329,"")</f>
        <v/>
      </c>
      <c r="U332" s="1089" t="str">
        <f t="shared" ref="U332" si="706">IF(AND(ISNUMBER(U323)),T332+U329,"")</f>
        <v/>
      </c>
      <c r="V332" s="1089" t="str">
        <f t="shared" ref="V332" si="707">IF(AND(ISNUMBER(V323)),U332+V329,"")</f>
        <v/>
      </c>
      <c r="W332" s="1089" t="str">
        <f t="shared" ref="W332" si="708">IF(AND(ISNUMBER(W323)),V332+W329,"")</f>
        <v/>
      </c>
      <c r="X332" s="44" t="str">
        <f t="shared" ref="X332" si="709">IF(AND(ISNUMBER(X323)),W332+X329,"")</f>
        <v/>
      </c>
      <c r="Y332" s="44" t="str">
        <f t="shared" ref="Y332" si="710">IF(AND(ISNUMBER(Y323)),X332+Y329,"")</f>
        <v/>
      </c>
      <c r="Z332" s="1089" t="str">
        <f t="shared" ref="Z332" si="711">IF(AND(ISNUMBER(Z323)),Y332+Z329,"")</f>
        <v/>
      </c>
      <c r="AA332" s="1089" t="str">
        <f t="shared" ref="AA332" si="712">IF(AND(ISNUMBER(AA323)),Z332+AA329,"")</f>
        <v/>
      </c>
      <c r="AB332" s="1089" t="str">
        <f t="shared" ref="AB332" si="713">IF(AND(ISNUMBER(AB323)),AA332+AB329,"")</f>
        <v/>
      </c>
      <c r="AC332" s="1089" t="str">
        <f t="shared" ref="AC332" si="714">IF(AND(ISNUMBER(AC323)),AB332+AC329,"")</f>
        <v/>
      </c>
      <c r="AD332" s="1089" t="str">
        <f t="shared" ref="AD332" si="715">IF(AND(ISNUMBER(AD323)),AC332+AD329,"")</f>
        <v/>
      </c>
      <c r="AE332" s="44" t="str">
        <f t="shared" ref="AE332" si="716">IF(AND(ISNUMBER(AE323)),AD332+AE329,"")</f>
        <v/>
      </c>
      <c r="AF332" s="44" t="str">
        <f t="shared" ref="AF332" si="717">IF(AND(ISNUMBER(AF323)),AE332+AF329,"")</f>
        <v/>
      </c>
      <c r="AG332" s="1089" t="str">
        <f t="shared" ref="AG332" si="718">IF(AND(ISNUMBER(AG323)),AF332+AG329,"")</f>
        <v/>
      </c>
      <c r="AH332" s="1089" t="str">
        <f t="shared" ref="AH332" si="719">IF(AND(ISNUMBER(AH323)),AG332+AH329,"")</f>
        <v/>
      </c>
      <c r="AI332" s="1089" t="str">
        <f t="shared" ref="AI332" si="720">IF(AND(ISNUMBER(AI323)),AH332+AI329,"")</f>
        <v/>
      </c>
      <c r="AJ332" s="793"/>
      <c r="AK332" s="793"/>
      <c r="AL332" s="909"/>
      <c r="AM332" s="890">
        <f t="shared" si="691"/>
        <v>0</v>
      </c>
      <c r="AN332" s="76"/>
      <c r="AO332" s="624"/>
      <c r="AP332" s="285"/>
      <c r="AQ332" s="285"/>
      <c r="AR332" s="285"/>
      <c r="AS332" s="285"/>
      <c r="AT332" s="286"/>
      <c r="AU332" s="285"/>
      <c r="AV332" s="287"/>
    </row>
    <row r="333" spans="1:48" ht="25.15" hidden="1" customHeight="1">
      <c r="A333" s="103"/>
      <c r="B333" s="89"/>
      <c r="C333" s="80"/>
      <c r="D333" s="90" t="s">
        <v>104</v>
      </c>
      <c r="E333" s="1108"/>
      <c r="F333" s="1089"/>
      <c r="G333" s="44"/>
      <c r="H333" s="1089"/>
      <c r="I333" s="1089"/>
      <c r="J333" s="44"/>
      <c r="K333" s="44"/>
      <c r="L333" s="1089"/>
      <c r="M333" s="1089"/>
      <c r="N333" s="1089"/>
      <c r="O333" s="1089"/>
      <c r="P333" s="1089"/>
      <c r="Q333" s="44"/>
      <c r="R333" s="44"/>
      <c r="S333" s="1089"/>
      <c r="T333" s="1089"/>
      <c r="U333" s="1089"/>
      <c r="V333" s="1089"/>
      <c r="W333" s="1089"/>
      <c r="X333" s="44"/>
      <c r="Y333" s="44"/>
      <c r="Z333" s="1089"/>
      <c r="AA333" s="1089"/>
      <c r="AB333" s="1089"/>
      <c r="AC333" s="1089"/>
      <c r="AD333" s="1089"/>
      <c r="AE333" s="44"/>
      <c r="AF333" s="44"/>
      <c r="AG333" s="1089"/>
      <c r="AH333" s="1089"/>
      <c r="AI333" s="1326"/>
      <c r="AJ333" s="79"/>
      <c r="AK333" s="79"/>
      <c r="AL333" s="63"/>
      <c r="AM333" s="1068">
        <f t="shared" si="691"/>
        <v>0</v>
      </c>
      <c r="AN333" s="64"/>
      <c r="AO333" s="624"/>
      <c r="AP333" s="23"/>
      <c r="AQ333" s="23"/>
      <c r="AR333" s="23"/>
      <c r="AS333" s="23"/>
      <c r="AT333" s="23"/>
      <c r="AU333" s="23"/>
      <c r="AV333" s="23"/>
    </row>
    <row r="334" spans="1:48" ht="25.15" hidden="1" customHeight="1" thickBot="1">
      <c r="A334" s="106"/>
      <c r="B334" s="93"/>
      <c r="C334" s="94"/>
      <c r="D334" s="95" t="s">
        <v>111</v>
      </c>
      <c r="E334" s="1109">
        <f>IF(E333="O/H",E329,0+E329)</f>
        <v>0</v>
      </c>
      <c r="F334" s="1110">
        <f t="shared" ref="F334:AI334" si="721">IF(F333="O/H",F329,+E334+F329)</f>
        <v>0</v>
      </c>
      <c r="G334" s="1212">
        <f t="shared" si="721"/>
        <v>0</v>
      </c>
      <c r="H334" s="1110">
        <f t="shared" si="721"/>
        <v>0</v>
      </c>
      <c r="I334" s="1110">
        <f t="shared" si="721"/>
        <v>0</v>
      </c>
      <c r="J334" s="1212">
        <f t="shared" si="721"/>
        <v>0</v>
      </c>
      <c r="K334" s="1212">
        <f t="shared" si="721"/>
        <v>0</v>
      </c>
      <c r="L334" s="1110">
        <f t="shared" si="721"/>
        <v>0</v>
      </c>
      <c r="M334" s="1110">
        <f t="shared" si="721"/>
        <v>0</v>
      </c>
      <c r="N334" s="1110">
        <f t="shared" si="721"/>
        <v>0</v>
      </c>
      <c r="O334" s="1110">
        <f t="shared" si="721"/>
        <v>0</v>
      </c>
      <c r="P334" s="1110">
        <f t="shared" si="721"/>
        <v>0</v>
      </c>
      <c r="Q334" s="1212">
        <f t="shared" si="721"/>
        <v>0</v>
      </c>
      <c r="R334" s="1212">
        <f t="shared" si="721"/>
        <v>0</v>
      </c>
      <c r="S334" s="1110">
        <f t="shared" si="721"/>
        <v>0</v>
      </c>
      <c r="T334" s="1110">
        <f t="shared" si="721"/>
        <v>0</v>
      </c>
      <c r="U334" s="1110">
        <f t="shared" si="721"/>
        <v>0</v>
      </c>
      <c r="V334" s="1110">
        <f t="shared" si="721"/>
        <v>0</v>
      </c>
      <c r="W334" s="1110">
        <f t="shared" si="721"/>
        <v>0</v>
      </c>
      <c r="X334" s="1212">
        <f t="shared" si="721"/>
        <v>0</v>
      </c>
      <c r="Y334" s="1212">
        <f t="shared" si="721"/>
        <v>0</v>
      </c>
      <c r="Z334" s="1110">
        <f t="shared" si="721"/>
        <v>0</v>
      </c>
      <c r="AA334" s="1110">
        <f t="shared" si="721"/>
        <v>0</v>
      </c>
      <c r="AB334" s="1110">
        <f t="shared" si="721"/>
        <v>0</v>
      </c>
      <c r="AC334" s="1110">
        <f t="shared" si="721"/>
        <v>0</v>
      </c>
      <c r="AD334" s="1110">
        <f t="shared" si="721"/>
        <v>0</v>
      </c>
      <c r="AE334" s="1212">
        <f t="shared" si="721"/>
        <v>0</v>
      </c>
      <c r="AF334" s="1212">
        <f t="shared" si="721"/>
        <v>0</v>
      </c>
      <c r="AG334" s="1110">
        <f t="shared" si="721"/>
        <v>0</v>
      </c>
      <c r="AH334" s="1110">
        <f t="shared" si="721"/>
        <v>0</v>
      </c>
      <c r="AI334" s="1340">
        <f t="shared" si="721"/>
        <v>0</v>
      </c>
      <c r="AJ334" s="96"/>
      <c r="AK334" s="96"/>
      <c r="AL334" s="97"/>
      <c r="AM334" s="1071">
        <f t="shared" si="691"/>
        <v>0</v>
      </c>
      <c r="AN334" s="98"/>
      <c r="AO334" s="625"/>
      <c r="AP334" s="23"/>
      <c r="AQ334" s="23"/>
      <c r="AR334" s="23"/>
      <c r="AS334" s="23"/>
      <c r="AT334" s="23"/>
      <c r="AU334" s="23"/>
      <c r="AV334" s="23"/>
    </row>
    <row r="335" spans="1:48" ht="25.15" hidden="1" customHeight="1" thickTop="1">
      <c r="A335" s="99"/>
      <c r="B335" s="26" t="s">
        <v>156</v>
      </c>
      <c r="C335" s="27"/>
      <c r="D335" s="28" t="s">
        <v>82</v>
      </c>
      <c r="E335" s="1111"/>
      <c r="F335" s="1111"/>
      <c r="G335" s="1201"/>
      <c r="H335" s="1111"/>
      <c r="I335" s="1111"/>
      <c r="J335" s="1201"/>
      <c r="K335" s="1201"/>
      <c r="L335" s="1111"/>
      <c r="M335" s="1111"/>
      <c r="N335" s="1111"/>
      <c r="O335" s="1111"/>
      <c r="P335" s="1111"/>
      <c r="Q335" s="1201"/>
      <c r="R335" s="1201"/>
      <c r="S335" s="1111"/>
      <c r="T335" s="1111"/>
      <c r="U335" s="1111"/>
      <c r="V335" s="1111"/>
      <c r="W335" s="1111"/>
      <c r="X335" s="1201"/>
      <c r="Y335" s="1201"/>
      <c r="Z335" s="1111"/>
      <c r="AA335" s="1089"/>
      <c r="AB335" s="1111"/>
      <c r="AC335" s="1111"/>
      <c r="AD335" s="1111"/>
      <c r="AE335" s="1201"/>
      <c r="AF335" s="1201"/>
      <c r="AG335" s="1111"/>
      <c r="AH335" s="1111"/>
      <c r="AI335" s="1412"/>
      <c r="AJ335" s="100">
        <f>SUM(Table75[[#This Row],[June''2026]:[Column27]])</f>
        <v>0</v>
      </c>
      <c r="AK335" s="1078">
        <f t="shared" ref="AK335:AK389" si="722">AJ337</f>
        <v>0</v>
      </c>
      <c r="AL335" s="101">
        <f>+AJ335*AN335</f>
        <v>0</v>
      </c>
      <c r="AM335" s="1079">
        <f t="shared" si="691"/>
        <v>0</v>
      </c>
      <c r="AN335" s="102"/>
      <c r="AO335" s="622" t="e">
        <f>Table5[[#This Row],[Total]]*B339/1000</f>
        <v>#VALUE!</v>
      </c>
      <c r="AP335" s="32" t="s">
        <v>134</v>
      </c>
      <c r="AQ335" s="33" t="s">
        <v>84</v>
      </c>
      <c r="AR335" s="33" t="s">
        <v>85</v>
      </c>
      <c r="AS335" s="33" t="s">
        <v>86</v>
      </c>
      <c r="AT335" s="33" t="s">
        <v>87</v>
      </c>
      <c r="AU335" s="33" t="s">
        <v>88</v>
      </c>
      <c r="AV335" s="34" t="s">
        <v>68</v>
      </c>
    </row>
    <row r="336" spans="1:48" ht="25.15" hidden="1" customHeight="1">
      <c r="A336" s="103"/>
      <c r="B336" s="35"/>
      <c r="C336" s="36"/>
      <c r="D336" s="37" t="s">
        <v>90</v>
      </c>
      <c r="E336" s="1373">
        <f>IF(E335="",0,+ E335/E342)</f>
        <v>0</v>
      </c>
      <c r="F336" s="1096">
        <f t="shared" ref="F336:AI336" si="723">IF(F335="",0, E336+F335/F342)</f>
        <v>0</v>
      </c>
      <c r="G336" s="1207">
        <f t="shared" si="723"/>
        <v>0</v>
      </c>
      <c r="H336" s="1096">
        <f t="shared" si="723"/>
        <v>0</v>
      </c>
      <c r="I336" s="1096">
        <f t="shared" si="723"/>
        <v>0</v>
      </c>
      <c r="J336" s="1207">
        <f t="shared" si="723"/>
        <v>0</v>
      </c>
      <c r="K336" s="1207">
        <f t="shared" si="723"/>
        <v>0</v>
      </c>
      <c r="L336" s="1096">
        <f t="shared" si="723"/>
        <v>0</v>
      </c>
      <c r="M336" s="1096">
        <f t="shared" si="723"/>
        <v>0</v>
      </c>
      <c r="N336" s="1096">
        <f t="shared" si="723"/>
        <v>0</v>
      </c>
      <c r="O336" s="1096">
        <f t="shared" si="723"/>
        <v>0</v>
      </c>
      <c r="P336" s="1096">
        <f t="shared" si="723"/>
        <v>0</v>
      </c>
      <c r="Q336" s="1207">
        <f t="shared" si="723"/>
        <v>0</v>
      </c>
      <c r="R336" s="1207">
        <f t="shared" si="723"/>
        <v>0</v>
      </c>
      <c r="S336" s="1096">
        <f t="shared" si="723"/>
        <v>0</v>
      </c>
      <c r="T336" s="1096">
        <f t="shared" si="723"/>
        <v>0</v>
      </c>
      <c r="U336" s="1096">
        <f t="shared" si="723"/>
        <v>0</v>
      </c>
      <c r="V336" s="1096">
        <f t="shared" si="723"/>
        <v>0</v>
      </c>
      <c r="W336" s="1096">
        <f t="shared" si="723"/>
        <v>0</v>
      </c>
      <c r="X336" s="1207">
        <f t="shared" si="723"/>
        <v>0</v>
      </c>
      <c r="Y336" s="1207">
        <f t="shared" si="723"/>
        <v>0</v>
      </c>
      <c r="Z336" s="1096">
        <f t="shared" si="723"/>
        <v>0</v>
      </c>
      <c r="AA336" s="1089"/>
      <c r="AB336" s="1096">
        <f t="shared" si="723"/>
        <v>0</v>
      </c>
      <c r="AC336" s="1096">
        <f t="shared" si="723"/>
        <v>0</v>
      </c>
      <c r="AD336" s="1096">
        <f t="shared" si="723"/>
        <v>0</v>
      </c>
      <c r="AE336" s="1207">
        <f t="shared" si="723"/>
        <v>0</v>
      </c>
      <c r="AF336" s="1207">
        <f t="shared" si="723"/>
        <v>0</v>
      </c>
      <c r="AG336" s="1096">
        <f t="shared" si="723"/>
        <v>0</v>
      </c>
      <c r="AH336" s="1096">
        <f t="shared" si="723"/>
        <v>0</v>
      </c>
      <c r="AI336" s="1324">
        <f t="shared" si="723"/>
        <v>0</v>
      </c>
      <c r="AJ336" s="38"/>
      <c r="AK336" s="29"/>
      <c r="AL336" s="30"/>
      <c r="AM336" s="694"/>
      <c r="AN336" s="31"/>
      <c r="AO336" s="630"/>
      <c r="AP336" s="39" t="s">
        <v>91</v>
      </c>
      <c r="AQ336" s="40">
        <f>SUM(E335:I335)</f>
        <v>0</v>
      </c>
      <c r="AR336" s="41">
        <f>SUM(J335:P335)</f>
        <v>0</v>
      </c>
      <c r="AS336" s="41">
        <f>SUM(Q335:W335)</f>
        <v>0</v>
      </c>
      <c r="AT336" s="41">
        <f>SUM(X335:AD335)</f>
        <v>0</v>
      </c>
      <c r="AU336" s="41">
        <f>SUM(AE335:AI335)</f>
        <v>0</v>
      </c>
      <c r="AV336" s="34">
        <f t="shared" ref="AV336:AV341" si="724">SUM(AQ336:AU336)</f>
        <v>0</v>
      </c>
    </row>
    <row r="337" spans="1:48" ht="25.15" hidden="1" customHeight="1">
      <c r="A337" s="103"/>
      <c r="B337" s="26" t="s">
        <v>92</v>
      </c>
      <c r="C337" s="42"/>
      <c r="D337" s="43" t="s">
        <v>93</v>
      </c>
      <c r="E337" s="1325"/>
      <c r="F337" s="1089"/>
      <c r="G337" s="44"/>
      <c r="H337" s="1089"/>
      <c r="I337" s="1089"/>
      <c r="J337" s="44"/>
      <c r="K337" s="44"/>
      <c r="L337" s="1089"/>
      <c r="M337" s="1089"/>
      <c r="N337" s="1089"/>
      <c r="O337" s="1089"/>
      <c r="P337" s="1089"/>
      <c r="Q337" s="44"/>
      <c r="R337" s="44"/>
      <c r="S337" s="1089"/>
      <c r="T337" s="1089"/>
      <c r="U337" s="1089"/>
      <c r="V337" s="1089"/>
      <c r="W337" s="1089"/>
      <c r="X337" s="44"/>
      <c r="Y337" s="44"/>
      <c r="Z337" s="1089"/>
      <c r="AA337" s="1089"/>
      <c r="AB337" s="1089"/>
      <c r="AC337" s="1089"/>
      <c r="AD337" s="1089"/>
      <c r="AE337" s="44"/>
      <c r="AF337" s="44"/>
      <c r="AG337" s="1089"/>
      <c r="AH337" s="1089"/>
      <c r="AI337" s="1326"/>
      <c r="AJ337" s="45">
        <f>SUM(E337:AI337)</f>
        <v>0</v>
      </c>
      <c r="AK337" s="45"/>
      <c r="AL337" s="46">
        <f>+AJ337*AN335</f>
        <v>0</v>
      </c>
      <c r="AM337" s="1066"/>
      <c r="AN337" s="31"/>
      <c r="AO337" s="632">
        <f>(AJ337+AJ339+AJ340+AJ341)*B339/1000</f>
        <v>0</v>
      </c>
      <c r="AP337" s="47" t="s">
        <v>94</v>
      </c>
      <c r="AQ337" s="48">
        <f>SUM(E337:I337)</f>
        <v>0</v>
      </c>
      <c r="AR337" s="49">
        <f>SUM(J337:P337)</f>
        <v>0</v>
      </c>
      <c r="AS337" s="49">
        <f>SUM(Q337:W337)</f>
        <v>0</v>
      </c>
      <c r="AT337" s="49">
        <f>SUM(X337:AD337)</f>
        <v>0</v>
      </c>
      <c r="AU337" s="49">
        <f>SUM(AE337:AI337)</f>
        <v>0</v>
      </c>
      <c r="AV337" s="50">
        <f t="shared" si="724"/>
        <v>0</v>
      </c>
    </row>
    <row r="338" spans="1:48" ht="25.15" hidden="1" customHeight="1">
      <c r="A338" s="103"/>
      <c r="B338" s="51"/>
      <c r="C338" s="52" t="s">
        <v>95</v>
      </c>
      <c r="D338" s="53" t="s">
        <v>96</v>
      </c>
      <c r="E338" s="1327">
        <f t="shared" ref="E338:AJ338" si="725">+E337-E335</f>
        <v>0</v>
      </c>
      <c r="F338" s="1097">
        <f t="shared" si="725"/>
        <v>0</v>
      </c>
      <c r="G338" s="1205">
        <f t="shared" si="725"/>
        <v>0</v>
      </c>
      <c r="H338" s="1097">
        <f t="shared" si="725"/>
        <v>0</v>
      </c>
      <c r="I338" s="1097">
        <f t="shared" si="725"/>
        <v>0</v>
      </c>
      <c r="J338" s="1205">
        <f t="shared" si="725"/>
        <v>0</v>
      </c>
      <c r="K338" s="1205">
        <f t="shared" si="725"/>
        <v>0</v>
      </c>
      <c r="L338" s="1097">
        <f t="shared" si="725"/>
        <v>0</v>
      </c>
      <c r="M338" s="1097">
        <f t="shared" si="725"/>
        <v>0</v>
      </c>
      <c r="N338" s="1097">
        <f t="shared" si="725"/>
        <v>0</v>
      </c>
      <c r="O338" s="1097">
        <f t="shared" si="725"/>
        <v>0</v>
      </c>
      <c r="P338" s="1097">
        <f t="shared" si="725"/>
        <v>0</v>
      </c>
      <c r="Q338" s="1205">
        <f t="shared" si="725"/>
        <v>0</v>
      </c>
      <c r="R338" s="1205">
        <f t="shared" si="725"/>
        <v>0</v>
      </c>
      <c r="S338" s="1097">
        <f t="shared" si="725"/>
        <v>0</v>
      </c>
      <c r="T338" s="1097">
        <f t="shared" si="725"/>
        <v>0</v>
      </c>
      <c r="U338" s="1097">
        <f>+U337-U335</f>
        <v>0</v>
      </c>
      <c r="V338" s="1097">
        <f t="shared" si="725"/>
        <v>0</v>
      </c>
      <c r="W338" s="1097">
        <f t="shared" si="725"/>
        <v>0</v>
      </c>
      <c r="X338" s="1205">
        <f t="shared" si="725"/>
        <v>0</v>
      </c>
      <c r="Y338" s="1205">
        <f t="shared" si="725"/>
        <v>0</v>
      </c>
      <c r="Z338" s="1097">
        <f t="shared" si="725"/>
        <v>0</v>
      </c>
      <c r="AA338" s="1097">
        <f t="shared" ref="AA338:AB338" si="726">+AA337-AA335</f>
        <v>0</v>
      </c>
      <c r="AB338" s="1097">
        <f t="shared" si="726"/>
        <v>0</v>
      </c>
      <c r="AC338" s="1097">
        <f t="shared" si="725"/>
        <v>0</v>
      </c>
      <c r="AD338" s="1097">
        <f t="shared" si="725"/>
        <v>0</v>
      </c>
      <c r="AE338" s="1205">
        <f t="shared" si="725"/>
        <v>0</v>
      </c>
      <c r="AF338" s="1205">
        <f t="shared" si="725"/>
        <v>0</v>
      </c>
      <c r="AG338" s="1097">
        <f t="shared" si="725"/>
        <v>0</v>
      </c>
      <c r="AH338" s="1097">
        <f t="shared" si="725"/>
        <v>0</v>
      </c>
      <c r="AI338" s="1328">
        <f t="shared" si="725"/>
        <v>0</v>
      </c>
      <c r="AJ338" s="54">
        <f t="shared" si="725"/>
        <v>0</v>
      </c>
      <c r="AK338" s="54"/>
      <c r="AL338" s="55">
        <f>+AJ338*AN335</f>
        <v>0</v>
      </c>
      <c r="AM338" s="1067"/>
      <c r="AN338" s="31" t="s">
        <v>97</v>
      </c>
      <c r="AO338" s="622"/>
      <c r="AP338" s="39" t="s">
        <v>98</v>
      </c>
      <c r="AQ338" s="56">
        <f>AQ337-AQ336</f>
        <v>0</v>
      </c>
      <c r="AR338" s="70">
        <f>AR337-AR336</f>
        <v>0</v>
      </c>
      <c r="AS338" s="70">
        <f>AS337-AS336</f>
        <v>0</v>
      </c>
      <c r="AT338" s="70">
        <f>AT337-AT336</f>
        <v>0</v>
      </c>
      <c r="AU338" s="70">
        <f>AU337-AU336</f>
        <v>0</v>
      </c>
      <c r="AV338" s="57">
        <f t="shared" si="724"/>
        <v>0</v>
      </c>
    </row>
    <row r="339" spans="1:48" ht="25.15" hidden="1" customHeight="1">
      <c r="A339" s="58"/>
      <c r="B339" s="59"/>
      <c r="C339" s="60" t="s">
        <v>100</v>
      </c>
      <c r="D339" s="61" t="s">
        <v>101</v>
      </c>
      <c r="E339" s="1329"/>
      <c r="F339" s="1099"/>
      <c r="G339" s="1208"/>
      <c r="H339" s="1099"/>
      <c r="I339" s="1099"/>
      <c r="J339" s="1208"/>
      <c r="K339" s="1208"/>
      <c r="L339" s="1099"/>
      <c r="M339" s="1099"/>
      <c r="N339" s="1099"/>
      <c r="O339" s="1099"/>
      <c r="P339" s="1099"/>
      <c r="Q339" s="1208"/>
      <c r="R339" s="1208"/>
      <c r="S339" s="1099"/>
      <c r="T339" s="1099"/>
      <c r="U339" s="1099"/>
      <c r="V339" s="1099"/>
      <c r="W339" s="1099"/>
      <c r="X339" s="1208"/>
      <c r="Y339" s="1208"/>
      <c r="Z339" s="1099"/>
      <c r="AA339" s="1099"/>
      <c r="AB339" s="1099"/>
      <c r="AC339" s="1099"/>
      <c r="AD339" s="1099"/>
      <c r="AE339" s="1208"/>
      <c r="AF339" s="1208"/>
      <c r="AG339" s="1099"/>
      <c r="AH339" s="1099"/>
      <c r="AI339" s="1330"/>
      <c r="AJ339" s="62">
        <f>SUM(E339:AI339)</f>
        <v>0</v>
      </c>
      <c r="AK339" s="62"/>
      <c r="AL339" s="63">
        <f>+AJ339*AN335</f>
        <v>0</v>
      </c>
      <c r="AM339" s="1068"/>
      <c r="AN339" s="64" t="e">
        <f>+AJ339/AJ337*100</f>
        <v>#DIV/0!</v>
      </c>
      <c r="AO339" s="635" t="e">
        <f>AO337/AO335</f>
        <v>#VALUE!</v>
      </c>
      <c r="AP339" s="39" t="s">
        <v>102</v>
      </c>
      <c r="AQ339" s="56">
        <f>SUM(E339:I339)</f>
        <v>0</v>
      </c>
      <c r="AR339" s="70">
        <f>SUM(J339:P339)</f>
        <v>0</v>
      </c>
      <c r="AS339" s="70">
        <f>SUM(Q339:W339)</f>
        <v>0</v>
      </c>
      <c r="AT339" s="70">
        <f>SUM(X339:AD339)</f>
        <v>0</v>
      </c>
      <c r="AU339" s="70">
        <f>SUM(AE339:AI339)</f>
        <v>0</v>
      </c>
      <c r="AV339" s="57">
        <f t="shared" si="724"/>
        <v>0</v>
      </c>
    </row>
    <row r="340" spans="1:48" ht="25.15" hidden="1" customHeight="1">
      <c r="A340" s="58" t="s">
        <v>135</v>
      </c>
      <c r="B340" s="65"/>
      <c r="C340" s="66"/>
      <c r="D340" s="67" t="s">
        <v>103</v>
      </c>
      <c r="E340" s="1331"/>
      <c r="F340" s="1101"/>
      <c r="G340" s="1209"/>
      <c r="H340" s="1101"/>
      <c r="I340" s="1101"/>
      <c r="J340" s="1209"/>
      <c r="K340" s="1209"/>
      <c r="L340" s="1101"/>
      <c r="M340" s="1101"/>
      <c r="N340" s="1101"/>
      <c r="O340" s="1101"/>
      <c r="P340" s="1101"/>
      <c r="Q340" s="1209"/>
      <c r="R340" s="1209"/>
      <c r="S340" s="1101"/>
      <c r="T340" s="1101"/>
      <c r="U340" s="1101"/>
      <c r="V340" s="1101"/>
      <c r="W340" s="1101"/>
      <c r="X340" s="1209"/>
      <c r="Y340" s="1209"/>
      <c r="Z340" s="1101"/>
      <c r="AA340" s="1101"/>
      <c r="AB340" s="1101"/>
      <c r="AC340" s="1101"/>
      <c r="AD340" s="1101"/>
      <c r="AE340" s="1209"/>
      <c r="AF340" s="1209"/>
      <c r="AG340" s="1101"/>
      <c r="AH340" s="1101"/>
      <c r="AI340" s="1332"/>
      <c r="AJ340" s="68">
        <f>SUM(E340:AI340)</f>
        <v>0</v>
      </c>
      <c r="AK340" s="68"/>
      <c r="AL340" s="69">
        <f>+AJ340*AN335</f>
        <v>0</v>
      </c>
      <c r="AM340" s="1069"/>
      <c r="AN340" s="31"/>
      <c r="AO340" s="622"/>
      <c r="AP340" s="39" t="s">
        <v>19</v>
      </c>
      <c r="AQ340" s="56">
        <f>AQ339*AN335</f>
        <v>0</v>
      </c>
      <c r="AR340" s="56">
        <f>AR339*AN335</f>
        <v>0</v>
      </c>
      <c r="AS340" s="56">
        <f>AS339*AN335</f>
        <v>0</v>
      </c>
      <c r="AT340" s="56">
        <f>AT339*AN335</f>
        <v>0</v>
      </c>
      <c r="AU340" s="56">
        <f>AU339*AN335</f>
        <v>0</v>
      </c>
      <c r="AV340" s="57">
        <f t="shared" si="724"/>
        <v>0</v>
      </c>
    </row>
    <row r="341" spans="1:48" ht="25.15" hidden="1" customHeight="1">
      <c r="A341" s="103"/>
      <c r="B341" s="65"/>
      <c r="C341" s="72" t="s">
        <v>104</v>
      </c>
      <c r="D341" s="73" t="s">
        <v>105</v>
      </c>
      <c r="E341" s="1378"/>
      <c r="F341" s="1103"/>
      <c r="G341" s="1210"/>
      <c r="H341" s="1103"/>
      <c r="I341" s="1103"/>
      <c r="J341" s="1210"/>
      <c r="K341" s="1210"/>
      <c r="L341" s="1103"/>
      <c r="M341" s="1103"/>
      <c r="N341" s="1103"/>
      <c r="O341" s="1103"/>
      <c r="P341" s="1103"/>
      <c r="Q341" s="1210"/>
      <c r="R341" s="1210"/>
      <c r="S341" s="1103"/>
      <c r="T341" s="1103"/>
      <c r="U341" s="1103"/>
      <c r="V341" s="1103"/>
      <c r="W341" s="1103"/>
      <c r="X341" s="1210"/>
      <c r="Y341" s="1210"/>
      <c r="Z341" s="1103"/>
      <c r="AA341" s="1103"/>
      <c r="AB341" s="1103"/>
      <c r="AC341" s="1103"/>
      <c r="AD341" s="1103"/>
      <c r="AE341" s="1210"/>
      <c r="AF341" s="1210"/>
      <c r="AG341" s="1103"/>
      <c r="AH341" s="1103"/>
      <c r="AI341" s="1352"/>
      <c r="AJ341" s="74">
        <f>SUM(E341:AI341)</f>
        <v>0</v>
      </c>
      <c r="AK341" s="74"/>
      <c r="AL341" s="75">
        <f>+AJ341*AN335</f>
        <v>0</v>
      </c>
      <c r="AM341" s="1070"/>
      <c r="AN341" s="76"/>
      <c r="AO341" s="636"/>
      <c r="AP341" s="47" t="s">
        <v>106</v>
      </c>
      <c r="AQ341" s="48">
        <f>AQ337*AN335</f>
        <v>0</v>
      </c>
      <c r="AR341" s="48">
        <f>AR337*AN335</f>
        <v>0</v>
      </c>
      <c r="AS341" s="48">
        <f>AS337*AN335</f>
        <v>0</v>
      </c>
      <c r="AT341" s="48">
        <f>AT337*AN335</f>
        <v>0</v>
      </c>
      <c r="AU341" s="48">
        <f>AU337*AN335</f>
        <v>0</v>
      </c>
      <c r="AV341" s="50">
        <f t="shared" si="724"/>
        <v>0</v>
      </c>
    </row>
    <row r="342" spans="1:48" ht="25.15" hidden="1" customHeight="1">
      <c r="A342" s="103"/>
      <c r="B342" s="65"/>
      <c r="C342" s="77">
        <v>300000</v>
      </c>
      <c r="D342" s="78" t="s">
        <v>107</v>
      </c>
      <c r="E342" s="1327">
        <v>1</v>
      </c>
      <c r="F342" s="1097">
        <v>1</v>
      </c>
      <c r="G342" s="1205">
        <v>1</v>
      </c>
      <c r="H342" s="1097">
        <v>1</v>
      </c>
      <c r="I342" s="1097">
        <v>1</v>
      </c>
      <c r="J342" s="1205">
        <v>1</v>
      </c>
      <c r="K342" s="1205">
        <v>1</v>
      </c>
      <c r="L342" s="1097">
        <v>1</v>
      </c>
      <c r="M342" s="1097">
        <v>1</v>
      </c>
      <c r="N342" s="1097">
        <v>1</v>
      </c>
      <c r="O342" s="1097">
        <v>1</v>
      </c>
      <c r="P342" s="1097">
        <v>1</v>
      </c>
      <c r="Q342" s="1205">
        <v>1</v>
      </c>
      <c r="R342" s="1205">
        <v>1</v>
      </c>
      <c r="S342" s="1097">
        <v>1</v>
      </c>
      <c r="T342" s="1097">
        <v>1</v>
      </c>
      <c r="U342" s="1097">
        <v>1</v>
      </c>
      <c r="V342" s="1097">
        <v>1</v>
      </c>
      <c r="W342" s="1097">
        <v>1</v>
      </c>
      <c r="X342" s="1205">
        <v>1</v>
      </c>
      <c r="Y342" s="1205">
        <v>1</v>
      </c>
      <c r="Z342" s="1097">
        <v>1</v>
      </c>
      <c r="AA342" s="1097">
        <v>1</v>
      </c>
      <c r="AB342" s="1097">
        <v>1</v>
      </c>
      <c r="AC342" s="1097">
        <v>1</v>
      </c>
      <c r="AD342" s="1097">
        <v>1</v>
      </c>
      <c r="AE342" s="1205">
        <v>1</v>
      </c>
      <c r="AF342" s="1205">
        <v>1</v>
      </c>
      <c r="AG342" s="1097">
        <v>1</v>
      </c>
      <c r="AH342" s="1097">
        <v>1</v>
      </c>
      <c r="AI342" s="1328">
        <v>1</v>
      </c>
      <c r="AJ342" s="79"/>
      <c r="AK342" s="79"/>
      <c r="AL342" s="55"/>
      <c r="AM342" s="1067"/>
      <c r="AN342" s="31"/>
      <c r="AO342" s="622"/>
      <c r="AP342" s="23"/>
      <c r="AQ342" s="23"/>
      <c r="AR342" s="23"/>
      <c r="AS342" s="23"/>
      <c r="AT342" s="23"/>
      <c r="AU342" s="23"/>
      <c r="AV342" s="23"/>
    </row>
    <row r="343" spans="1:48" ht="25.15" hidden="1" customHeight="1">
      <c r="A343" s="103"/>
      <c r="B343" s="65"/>
      <c r="C343" s="80" t="s">
        <v>108</v>
      </c>
      <c r="D343" s="81" t="s">
        <v>109</v>
      </c>
      <c r="E343" s="1374">
        <f>SUM(E337+E339+E340+E341)/E342</f>
        <v>0</v>
      </c>
      <c r="F343" s="1104">
        <f>SUM(F337+F339+F340+F341)/F342</f>
        <v>0</v>
      </c>
      <c r="G343" s="1211">
        <f>SUM(G337+G339+G340+G341)/G342</f>
        <v>0</v>
      </c>
      <c r="H343" s="1104">
        <f t="shared" ref="H343:AH343" si="727">SUM(H337+H339+H340+H341)/H342</f>
        <v>0</v>
      </c>
      <c r="I343" s="1104">
        <f t="shared" si="727"/>
        <v>0</v>
      </c>
      <c r="J343" s="1211">
        <f t="shared" si="727"/>
        <v>0</v>
      </c>
      <c r="K343" s="1211">
        <f t="shared" si="727"/>
        <v>0</v>
      </c>
      <c r="L343" s="1104">
        <f t="shared" si="727"/>
        <v>0</v>
      </c>
      <c r="M343" s="1104">
        <f t="shared" si="727"/>
        <v>0</v>
      </c>
      <c r="N343" s="1104">
        <f t="shared" si="727"/>
        <v>0</v>
      </c>
      <c r="O343" s="1104">
        <f t="shared" si="727"/>
        <v>0</v>
      </c>
      <c r="P343" s="1104">
        <f t="shared" si="727"/>
        <v>0</v>
      </c>
      <c r="Q343" s="1211">
        <f t="shared" si="727"/>
        <v>0</v>
      </c>
      <c r="R343" s="1211">
        <f t="shared" si="727"/>
        <v>0</v>
      </c>
      <c r="S343" s="1104">
        <f t="shared" si="727"/>
        <v>0</v>
      </c>
      <c r="T343" s="1104">
        <f t="shared" si="727"/>
        <v>0</v>
      </c>
      <c r="U343" s="1104">
        <f t="shared" si="727"/>
        <v>0</v>
      </c>
      <c r="V343" s="1104">
        <f t="shared" si="727"/>
        <v>0</v>
      </c>
      <c r="W343" s="1104">
        <f t="shared" si="727"/>
        <v>0</v>
      </c>
      <c r="X343" s="1211">
        <f t="shared" si="727"/>
        <v>0</v>
      </c>
      <c r="Y343" s="1211">
        <f t="shared" si="727"/>
        <v>0</v>
      </c>
      <c r="Z343" s="1104">
        <f t="shared" si="727"/>
        <v>0</v>
      </c>
      <c r="AA343" s="1104">
        <f t="shared" ref="AA343" si="728">SUM(AA337+AA339+AA340+AA341)/AA342</f>
        <v>0</v>
      </c>
      <c r="AB343" s="1104">
        <f t="shared" si="727"/>
        <v>0</v>
      </c>
      <c r="AC343" s="1104">
        <f t="shared" si="727"/>
        <v>0</v>
      </c>
      <c r="AD343" s="1104">
        <f t="shared" si="727"/>
        <v>0</v>
      </c>
      <c r="AE343" s="1211">
        <f t="shared" si="727"/>
        <v>0</v>
      </c>
      <c r="AF343" s="1211">
        <f t="shared" si="727"/>
        <v>0</v>
      </c>
      <c r="AG343" s="1104">
        <f t="shared" si="727"/>
        <v>0</v>
      </c>
      <c r="AH343" s="1104">
        <f t="shared" si="727"/>
        <v>0</v>
      </c>
      <c r="AI343" s="1335">
        <f>SUM(AI337+AI339+AI340)/AI342</f>
        <v>0</v>
      </c>
      <c r="AJ343" s="104">
        <f>SUM(E343:AI343)</f>
        <v>0</v>
      </c>
      <c r="AK343" s="104"/>
      <c r="AL343" s="83"/>
      <c r="AM343" s="1068"/>
      <c r="AN343" s="31"/>
      <c r="AO343" s="622"/>
      <c r="AP343" s="23"/>
      <c r="AQ343" s="23"/>
      <c r="AR343" s="23"/>
      <c r="AS343" s="23"/>
      <c r="AT343" s="23"/>
      <c r="AU343" s="23"/>
      <c r="AV343" s="23"/>
    </row>
    <row r="344" spans="1:48" ht="25.15" hidden="1" customHeight="1">
      <c r="A344" s="103"/>
      <c r="B344" s="59"/>
      <c r="C344" s="84">
        <f>+C342*0.8</f>
        <v>240000</v>
      </c>
      <c r="D344" s="85" t="s">
        <v>110</v>
      </c>
      <c r="E344" s="1105"/>
      <c r="F344" s="1106"/>
      <c r="G344" s="1211"/>
      <c r="H344" s="1104"/>
      <c r="I344" s="1104"/>
      <c r="J344" s="1211"/>
      <c r="K344" s="1211"/>
      <c r="L344" s="1104"/>
      <c r="M344" s="1104"/>
      <c r="N344" s="1104"/>
      <c r="O344" s="1107"/>
      <c r="P344" s="1104"/>
      <c r="Q344" s="1211"/>
      <c r="R344" s="1211"/>
      <c r="S344" s="1104"/>
      <c r="T344" s="1104"/>
      <c r="U344" s="1104"/>
      <c r="V344" s="1104"/>
      <c r="W344" s="1104"/>
      <c r="X344" s="1211"/>
      <c r="Y344" s="1211"/>
      <c r="Z344" s="1104"/>
      <c r="AA344" s="1104"/>
      <c r="AB344" s="1104"/>
      <c r="AC344" s="1104"/>
      <c r="AD344" s="1104"/>
      <c r="AE344" s="1211"/>
      <c r="AF344" s="1211"/>
      <c r="AG344" s="1104"/>
      <c r="AH344" s="1104"/>
      <c r="AI344" s="1353"/>
      <c r="AJ344" s="86"/>
      <c r="AK344" s="86"/>
      <c r="AL344" s="690"/>
      <c r="AM344" s="694"/>
      <c r="AN344" s="31"/>
      <c r="AO344" s="622"/>
      <c r="AP344" s="23"/>
      <c r="AQ344" s="23"/>
      <c r="AR344" s="23"/>
      <c r="AS344" s="23"/>
      <c r="AT344" s="23"/>
      <c r="AU344" s="23"/>
      <c r="AV344" s="23"/>
    </row>
    <row r="345" spans="1:48" ht="25.15" hidden="1" customHeight="1">
      <c r="A345" s="103"/>
      <c r="B345" s="105"/>
      <c r="C345" s="77"/>
      <c r="D345" s="88" t="s">
        <v>111</v>
      </c>
      <c r="E345" s="1117"/>
      <c r="F345" s="1118"/>
      <c r="G345" s="1216"/>
      <c r="H345" s="1118"/>
      <c r="I345" s="1118"/>
      <c r="J345" s="1216"/>
      <c r="K345" s="1216"/>
      <c r="L345" s="1118"/>
      <c r="M345" s="1118"/>
      <c r="N345" s="1118"/>
      <c r="O345" s="1118"/>
      <c r="P345" s="1118"/>
      <c r="Q345" s="1216"/>
      <c r="R345" s="1216"/>
      <c r="S345" s="1118"/>
      <c r="T345" s="1118"/>
      <c r="U345" s="1118"/>
      <c r="V345" s="1118"/>
      <c r="W345" s="1118"/>
      <c r="X345" s="1216"/>
      <c r="Y345" s="1216"/>
      <c r="Z345" s="1118"/>
      <c r="AA345" s="1118"/>
      <c r="AB345" s="1118"/>
      <c r="AC345" s="1118"/>
      <c r="AD345" s="1118"/>
      <c r="AE345" s="1216"/>
      <c r="AF345" s="1216"/>
      <c r="AG345" s="1118"/>
      <c r="AH345" s="1118"/>
      <c r="AI345" s="1463"/>
      <c r="AJ345" s="79"/>
      <c r="AK345" s="86"/>
      <c r="AL345" s="689"/>
      <c r="AM345" s="694"/>
      <c r="AN345" s="31"/>
      <c r="AO345" s="622"/>
      <c r="AP345" s="23"/>
      <c r="AQ345" s="23"/>
      <c r="AR345" s="23"/>
      <c r="AS345" s="23"/>
      <c r="AT345" s="23"/>
      <c r="AU345" s="23"/>
      <c r="AV345" s="23"/>
    </row>
    <row r="346" spans="1:48" ht="25.15" hidden="1" customHeight="1">
      <c r="A346" s="103"/>
      <c r="B346" s="89"/>
      <c r="C346" s="80"/>
      <c r="D346" s="90" t="s">
        <v>104</v>
      </c>
      <c r="E346" s="1108"/>
      <c r="F346" s="1089"/>
      <c r="G346" s="44"/>
      <c r="H346" s="1089"/>
      <c r="I346" s="1089"/>
      <c r="J346" s="44"/>
      <c r="K346" s="44"/>
      <c r="L346" s="1089"/>
      <c r="M346" s="1089"/>
      <c r="N346" s="1089"/>
      <c r="O346" s="1089"/>
      <c r="P346" s="1089"/>
      <c r="Q346" s="44"/>
      <c r="R346" s="44"/>
      <c r="S346" s="1089"/>
      <c r="T346" s="1089"/>
      <c r="U346" s="1089"/>
      <c r="V346" s="1089"/>
      <c r="W346" s="1089"/>
      <c r="X346" s="44"/>
      <c r="Y346" s="44"/>
      <c r="Z346" s="1089"/>
      <c r="AA346" s="1089"/>
      <c r="AB346" s="1089"/>
      <c r="AC346" s="1089"/>
      <c r="AD346" s="1089"/>
      <c r="AE346" s="44"/>
      <c r="AF346" s="44"/>
      <c r="AG346" s="1089"/>
      <c r="AH346" s="1089"/>
      <c r="AI346" s="1326"/>
      <c r="AJ346" s="79"/>
      <c r="AK346" s="79"/>
      <c r="AL346" s="63"/>
      <c r="AM346" s="1068"/>
      <c r="AN346" s="64"/>
      <c r="AO346" s="624"/>
      <c r="AP346" s="23"/>
      <c r="AQ346" s="23"/>
      <c r="AR346" s="23"/>
      <c r="AS346" s="23"/>
      <c r="AT346" s="23"/>
      <c r="AU346" s="23"/>
      <c r="AV346" s="23"/>
    </row>
    <row r="347" spans="1:48" ht="25.15" hidden="1" customHeight="1" thickBot="1">
      <c r="A347" s="106"/>
      <c r="B347" s="93"/>
      <c r="C347" s="94"/>
      <c r="D347" s="95" t="s">
        <v>111</v>
      </c>
      <c r="E347" s="1109">
        <f>IF(E346="O/H",E343,0+E343)</f>
        <v>0</v>
      </c>
      <c r="F347" s="1110">
        <f t="shared" ref="F347:AI347" si="729">IF(F346="O/H",F343,+E347+F343)</f>
        <v>0</v>
      </c>
      <c r="G347" s="1212">
        <f t="shared" si="729"/>
        <v>0</v>
      </c>
      <c r="H347" s="1110">
        <f t="shared" si="729"/>
        <v>0</v>
      </c>
      <c r="I347" s="1110">
        <f t="shared" si="729"/>
        <v>0</v>
      </c>
      <c r="J347" s="1212">
        <f t="shared" si="729"/>
        <v>0</v>
      </c>
      <c r="K347" s="1212">
        <f t="shared" si="729"/>
        <v>0</v>
      </c>
      <c r="L347" s="1110">
        <f t="shared" si="729"/>
        <v>0</v>
      </c>
      <c r="M347" s="1110">
        <f t="shared" si="729"/>
        <v>0</v>
      </c>
      <c r="N347" s="1110">
        <f t="shared" si="729"/>
        <v>0</v>
      </c>
      <c r="O347" s="1110">
        <f t="shared" si="729"/>
        <v>0</v>
      </c>
      <c r="P347" s="1110">
        <f t="shared" si="729"/>
        <v>0</v>
      </c>
      <c r="Q347" s="1212">
        <f t="shared" si="729"/>
        <v>0</v>
      </c>
      <c r="R347" s="1212">
        <f t="shared" si="729"/>
        <v>0</v>
      </c>
      <c r="S347" s="1110">
        <f t="shared" si="729"/>
        <v>0</v>
      </c>
      <c r="T347" s="1110">
        <f t="shared" si="729"/>
        <v>0</v>
      </c>
      <c r="U347" s="1110">
        <f t="shared" si="729"/>
        <v>0</v>
      </c>
      <c r="V347" s="1110">
        <f t="shared" si="729"/>
        <v>0</v>
      </c>
      <c r="W347" s="1110">
        <f t="shared" si="729"/>
        <v>0</v>
      </c>
      <c r="X347" s="1212">
        <f t="shared" si="729"/>
        <v>0</v>
      </c>
      <c r="Y347" s="1212">
        <f t="shared" si="729"/>
        <v>0</v>
      </c>
      <c r="Z347" s="1110">
        <f t="shared" si="729"/>
        <v>0</v>
      </c>
      <c r="AA347" s="1110">
        <f t="shared" ref="AA347" si="730">IF(AA346="O/H",AA343,+Z347+AA343)</f>
        <v>0</v>
      </c>
      <c r="AB347" s="1110">
        <f t="shared" ref="AB347" si="731">IF(AB346="O/H",AB343,+AA347+AB343)</f>
        <v>0</v>
      </c>
      <c r="AC347" s="1110">
        <f t="shared" ref="AC347" si="732">IF(AC346="O/H",AC343,+AB347+AC343)</f>
        <v>0</v>
      </c>
      <c r="AD347" s="1110">
        <f t="shared" si="729"/>
        <v>0</v>
      </c>
      <c r="AE347" s="1212">
        <f t="shared" si="729"/>
        <v>0</v>
      </c>
      <c r="AF347" s="1212">
        <f t="shared" si="729"/>
        <v>0</v>
      </c>
      <c r="AG347" s="1110">
        <f t="shared" si="729"/>
        <v>0</v>
      </c>
      <c r="AH347" s="1110">
        <f t="shared" si="729"/>
        <v>0</v>
      </c>
      <c r="AI347" s="1340">
        <f t="shared" si="729"/>
        <v>0</v>
      </c>
      <c r="AJ347" s="96"/>
      <c r="AK347" s="96"/>
      <c r="AL347" s="97"/>
      <c r="AM347" s="1071"/>
      <c r="AN347" s="98"/>
      <c r="AO347" s="625"/>
      <c r="AP347" s="23"/>
      <c r="AQ347" s="23"/>
      <c r="AR347" s="23"/>
      <c r="AS347" s="23"/>
      <c r="AT347" s="23"/>
      <c r="AU347" s="23"/>
      <c r="AV347" s="23"/>
    </row>
    <row r="348" spans="1:48" ht="25.15" hidden="1" customHeight="1" thickTop="1">
      <c r="A348" s="99"/>
      <c r="B348" s="26" t="s">
        <v>157</v>
      </c>
      <c r="C348" s="27"/>
      <c r="D348" s="28" t="s">
        <v>82</v>
      </c>
      <c r="E348" s="1111"/>
      <c r="F348" s="1111"/>
      <c r="G348" s="1201"/>
      <c r="H348" s="1111"/>
      <c r="I348" s="1111"/>
      <c r="J348" s="1201"/>
      <c r="K348" s="1201"/>
      <c r="L348" s="1111"/>
      <c r="M348" s="1111"/>
      <c r="N348" s="1111"/>
      <c r="O348" s="1111"/>
      <c r="P348" s="1111"/>
      <c r="Q348" s="1201"/>
      <c r="R348" s="1201"/>
      <c r="S348" s="1111"/>
      <c r="T348" s="1111"/>
      <c r="U348" s="1111"/>
      <c r="V348" s="1111"/>
      <c r="W348" s="1111"/>
      <c r="X348" s="1201"/>
      <c r="Y348" s="1201"/>
      <c r="Z348" s="1111"/>
      <c r="AA348" s="1089"/>
      <c r="AB348" s="1111"/>
      <c r="AC348" s="1111"/>
      <c r="AD348" s="1111"/>
      <c r="AE348" s="1201"/>
      <c r="AF348" s="1201"/>
      <c r="AG348" s="1111"/>
      <c r="AH348" s="1111"/>
      <c r="AI348" s="1412"/>
      <c r="AJ348" s="100">
        <f>SUM(Table75[[#This Row],[June''2026]:[Column27]])</f>
        <v>0</v>
      </c>
      <c r="AK348" s="1078">
        <f t="shared" si="722"/>
        <v>0</v>
      </c>
      <c r="AL348" s="101">
        <f>+AJ348*AN348</f>
        <v>0</v>
      </c>
      <c r="AM348" s="1079">
        <f t="shared" si="691"/>
        <v>0</v>
      </c>
      <c r="AN348" s="102"/>
      <c r="AO348" s="622" t="e">
        <f>Table5[[#This Row],[Total]]*B352/1000</f>
        <v>#VALUE!</v>
      </c>
      <c r="AP348" s="32" t="s">
        <v>134</v>
      </c>
      <c r="AQ348" s="33" t="s">
        <v>84</v>
      </c>
      <c r="AR348" s="33" t="s">
        <v>85</v>
      </c>
      <c r="AS348" s="33" t="s">
        <v>86</v>
      </c>
      <c r="AT348" s="33" t="s">
        <v>87</v>
      </c>
      <c r="AU348" s="33" t="s">
        <v>88</v>
      </c>
      <c r="AV348" s="34" t="s">
        <v>68</v>
      </c>
    </row>
    <row r="349" spans="1:48" ht="25.15" hidden="1" customHeight="1">
      <c r="A349" s="103"/>
      <c r="B349" s="35"/>
      <c r="C349" s="36"/>
      <c r="D349" s="37" t="s">
        <v>90</v>
      </c>
      <c r="E349" s="1373">
        <f>IF(E348="",0,+ E348/E355)</f>
        <v>0</v>
      </c>
      <c r="F349" s="1096">
        <f t="shared" ref="F349:AI349" si="733">IF(F348="",0, E349+F348/F355)</f>
        <v>0</v>
      </c>
      <c r="G349" s="1207">
        <f t="shared" si="733"/>
        <v>0</v>
      </c>
      <c r="H349" s="1096">
        <f t="shared" si="733"/>
        <v>0</v>
      </c>
      <c r="I349" s="1096">
        <f t="shared" si="733"/>
        <v>0</v>
      </c>
      <c r="J349" s="1207">
        <f t="shared" si="733"/>
        <v>0</v>
      </c>
      <c r="K349" s="1207">
        <f t="shared" si="733"/>
        <v>0</v>
      </c>
      <c r="L349" s="1096">
        <f t="shared" si="733"/>
        <v>0</v>
      </c>
      <c r="M349" s="1096">
        <f t="shared" si="733"/>
        <v>0</v>
      </c>
      <c r="N349" s="1096">
        <f t="shared" si="733"/>
        <v>0</v>
      </c>
      <c r="O349" s="1096">
        <f t="shared" si="733"/>
        <v>0</v>
      </c>
      <c r="P349" s="1096">
        <f t="shared" si="733"/>
        <v>0</v>
      </c>
      <c r="Q349" s="1207">
        <f t="shared" si="733"/>
        <v>0</v>
      </c>
      <c r="R349" s="1207">
        <f t="shared" si="733"/>
        <v>0</v>
      </c>
      <c r="S349" s="1096">
        <f t="shared" si="733"/>
        <v>0</v>
      </c>
      <c r="T349" s="1096">
        <f t="shared" si="733"/>
        <v>0</v>
      </c>
      <c r="U349" s="1096">
        <f t="shared" si="733"/>
        <v>0</v>
      </c>
      <c r="V349" s="1096">
        <f t="shared" si="733"/>
        <v>0</v>
      </c>
      <c r="W349" s="1096">
        <f t="shared" si="733"/>
        <v>0</v>
      </c>
      <c r="X349" s="1207">
        <f t="shared" si="733"/>
        <v>0</v>
      </c>
      <c r="Y349" s="1207">
        <f t="shared" si="733"/>
        <v>0</v>
      </c>
      <c r="Z349" s="1096">
        <f t="shared" si="733"/>
        <v>0</v>
      </c>
      <c r="AA349" s="1089"/>
      <c r="AB349" s="1096">
        <f t="shared" si="733"/>
        <v>0</v>
      </c>
      <c r="AC349" s="1096">
        <f t="shared" si="733"/>
        <v>0</v>
      </c>
      <c r="AD349" s="1096">
        <f t="shared" si="733"/>
        <v>0</v>
      </c>
      <c r="AE349" s="1207">
        <f t="shared" si="733"/>
        <v>0</v>
      </c>
      <c r="AF349" s="1207">
        <f t="shared" si="733"/>
        <v>0</v>
      </c>
      <c r="AG349" s="1096">
        <f t="shared" si="733"/>
        <v>0</v>
      </c>
      <c r="AH349" s="1096">
        <f t="shared" si="733"/>
        <v>0</v>
      </c>
      <c r="AI349" s="1324">
        <f t="shared" si="733"/>
        <v>0</v>
      </c>
      <c r="AJ349" s="38"/>
      <c r="AK349" s="29"/>
      <c r="AL349" s="30"/>
      <c r="AM349" s="694"/>
      <c r="AN349" s="31"/>
      <c r="AO349" s="630"/>
      <c r="AP349" s="39" t="s">
        <v>91</v>
      </c>
      <c r="AQ349" s="40">
        <f>SUM(E348:I348)</f>
        <v>0</v>
      </c>
      <c r="AR349" s="41">
        <f>SUM(J348:P348)</f>
        <v>0</v>
      </c>
      <c r="AS349" s="41">
        <f>SUM(Q348:W348)</f>
        <v>0</v>
      </c>
      <c r="AT349" s="41">
        <f>SUM(X348:AD348)</f>
        <v>0</v>
      </c>
      <c r="AU349" s="41">
        <f>SUM(AE348:AI348)</f>
        <v>0</v>
      </c>
      <c r="AV349" s="34">
        <f t="shared" ref="AV349:AV354" si="734">SUM(AQ349:AU349)</f>
        <v>0</v>
      </c>
    </row>
    <row r="350" spans="1:48" ht="25.15" hidden="1" customHeight="1">
      <c r="A350" s="103"/>
      <c r="B350" s="26" t="s">
        <v>92</v>
      </c>
      <c r="C350" s="42"/>
      <c r="D350" s="43" t="s">
        <v>93</v>
      </c>
      <c r="E350" s="1325"/>
      <c r="F350" s="1089"/>
      <c r="G350" s="44"/>
      <c r="H350" s="1089"/>
      <c r="I350" s="1089"/>
      <c r="J350" s="44"/>
      <c r="K350" s="44"/>
      <c r="L350" s="1089"/>
      <c r="M350" s="1089"/>
      <c r="N350" s="1089"/>
      <c r="O350" s="1089"/>
      <c r="P350" s="1089"/>
      <c r="Q350" s="44"/>
      <c r="R350" s="44"/>
      <c r="S350" s="1089"/>
      <c r="T350" s="1089"/>
      <c r="U350" s="1089"/>
      <c r="V350" s="1089"/>
      <c r="W350" s="1089"/>
      <c r="X350" s="44"/>
      <c r="Y350" s="44"/>
      <c r="Z350" s="1089"/>
      <c r="AA350" s="1089"/>
      <c r="AB350" s="1089"/>
      <c r="AC350" s="1089"/>
      <c r="AD350" s="1089"/>
      <c r="AE350" s="44"/>
      <c r="AF350" s="44"/>
      <c r="AG350" s="1089"/>
      <c r="AH350" s="1089"/>
      <c r="AI350" s="1326"/>
      <c r="AJ350" s="45">
        <f>SUM(E350:AI350)</f>
        <v>0</v>
      </c>
      <c r="AK350" s="45"/>
      <c r="AL350" s="46">
        <f>+AJ350*AN348</f>
        <v>0</v>
      </c>
      <c r="AM350" s="1066"/>
      <c r="AN350" s="31"/>
      <c r="AO350" s="632">
        <f>(AJ350+AJ352+AJ353+AJ354)*B352/1000</f>
        <v>0</v>
      </c>
      <c r="AP350" s="47" t="s">
        <v>94</v>
      </c>
      <c r="AQ350" s="48">
        <f>SUM(E350:I350)</f>
        <v>0</v>
      </c>
      <c r="AR350" s="49">
        <f>SUM(J350:P350)</f>
        <v>0</v>
      </c>
      <c r="AS350" s="49">
        <f>SUM(Q350:W350)</f>
        <v>0</v>
      </c>
      <c r="AT350" s="49">
        <f>SUM(X350:AD350)</f>
        <v>0</v>
      </c>
      <c r="AU350" s="49">
        <f>SUM(AE350:AI350)</f>
        <v>0</v>
      </c>
      <c r="AV350" s="50">
        <f t="shared" si="734"/>
        <v>0</v>
      </c>
    </row>
    <row r="351" spans="1:48" ht="25.15" hidden="1" customHeight="1">
      <c r="A351" s="103"/>
      <c r="B351" s="51"/>
      <c r="C351" s="52" t="s">
        <v>95</v>
      </c>
      <c r="D351" s="53" t="s">
        <v>96</v>
      </c>
      <c r="E351" s="1327">
        <f t="shared" ref="E351:AJ351" si="735">+E350-E348</f>
        <v>0</v>
      </c>
      <c r="F351" s="1097">
        <f t="shared" si="735"/>
        <v>0</v>
      </c>
      <c r="G351" s="1205">
        <f t="shared" si="735"/>
        <v>0</v>
      </c>
      <c r="H351" s="1097">
        <f t="shared" si="735"/>
        <v>0</v>
      </c>
      <c r="I351" s="1097">
        <f t="shared" si="735"/>
        <v>0</v>
      </c>
      <c r="J351" s="1205">
        <f t="shared" si="735"/>
        <v>0</v>
      </c>
      <c r="K351" s="1205">
        <f t="shared" si="735"/>
        <v>0</v>
      </c>
      <c r="L351" s="1097">
        <f t="shared" si="735"/>
        <v>0</v>
      </c>
      <c r="M351" s="1097">
        <f t="shared" si="735"/>
        <v>0</v>
      </c>
      <c r="N351" s="1097">
        <f t="shared" si="735"/>
        <v>0</v>
      </c>
      <c r="O351" s="1097">
        <f t="shared" si="735"/>
        <v>0</v>
      </c>
      <c r="P351" s="1097">
        <f t="shared" si="735"/>
        <v>0</v>
      </c>
      <c r="Q351" s="1205">
        <f t="shared" si="735"/>
        <v>0</v>
      </c>
      <c r="R351" s="1205">
        <f t="shared" si="735"/>
        <v>0</v>
      </c>
      <c r="S351" s="1097">
        <f t="shared" si="735"/>
        <v>0</v>
      </c>
      <c r="T351" s="1097">
        <v>0</v>
      </c>
      <c r="U351" s="1097">
        <f>+U350-U348</f>
        <v>0</v>
      </c>
      <c r="V351" s="1097">
        <f t="shared" si="735"/>
        <v>0</v>
      </c>
      <c r="W351" s="1097">
        <f t="shared" si="735"/>
        <v>0</v>
      </c>
      <c r="X351" s="1205">
        <f t="shared" si="735"/>
        <v>0</v>
      </c>
      <c r="Y351" s="1205">
        <f t="shared" si="735"/>
        <v>0</v>
      </c>
      <c r="Z351" s="1097">
        <f t="shared" si="735"/>
        <v>0</v>
      </c>
      <c r="AA351" s="1097">
        <f t="shared" ref="AA351:AB351" si="736">+AA350-AA348</f>
        <v>0</v>
      </c>
      <c r="AB351" s="1097">
        <f t="shared" si="736"/>
        <v>0</v>
      </c>
      <c r="AC351" s="1097">
        <f t="shared" si="735"/>
        <v>0</v>
      </c>
      <c r="AD351" s="1097">
        <f t="shared" si="735"/>
        <v>0</v>
      </c>
      <c r="AE351" s="1205">
        <f t="shared" si="735"/>
        <v>0</v>
      </c>
      <c r="AF351" s="1205">
        <f t="shared" si="735"/>
        <v>0</v>
      </c>
      <c r="AG351" s="1097">
        <f t="shared" si="735"/>
        <v>0</v>
      </c>
      <c r="AH351" s="1097">
        <f t="shared" si="735"/>
        <v>0</v>
      </c>
      <c r="AI351" s="1328">
        <f t="shared" si="735"/>
        <v>0</v>
      </c>
      <c r="AJ351" s="54">
        <f t="shared" si="735"/>
        <v>0</v>
      </c>
      <c r="AK351" s="54"/>
      <c r="AL351" s="55">
        <f>+AJ351*AN348</f>
        <v>0</v>
      </c>
      <c r="AM351" s="1067"/>
      <c r="AN351" s="31" t="s">
        <v>97</v>
      </c>
      <c r="AO351" s="622"/>
      <c r="AP351" s="39" t="s">
        <v>98</v>
      </c>
      <c r="AQ351" s="56">
        <f>AQ350-AQ349</f>
        <v>0</v>
      </c>
      <c r="AR351" s="70">
        <f>AR350-AR349</f>
        <v>0</v>
      </c>
      <c r="AS351" s="70">
        <f>AS350-AS349</f>
        <v>0</v>
      </c>
      <c r="AT351" s="70">
        <f>AT350-AT349</f>
        <v>0</v>
      </c>
      <c r="AU351" s="70">
        <f>AU350-AU349</f>
        <v>0</v>
      </c>
      <c r="AV351" s="57">
        <f t="shared" si="734"/>
        <v>0</v>
      </c>
    </row>
    <row r="352" spans="1:48" ht="25.15" hidden="1" customHeight="1">
      <c r="A352" s="58"/>
      <c r="B352" s="59"/>
      <c r="C352" s="60" t="s">
        <v>100</v>
      </c>
      <c r="D352" s="61" t="s">
        <v>101</v>
      </c>
      <c r="E352" s="1329"/>
      <c r="F352" s="1099"/>
      <c r="G352" s="1208"/>
      <c r="H352" s="1099"/>
      <c r="I352" s="1099"/>
      <c r="J352" s="1208"/>
      <c r="K352" s="1208"/>
      <c r="L352" s="1099"/>
      <c r="M352" s="1099"/>
      <c r="N352" s="1099"/>
      <c r="O352" s="1099"/>
      <c r="P352" s="1099"/>
      <c r="Q352" s="1208"/>
      <c r="R352" s="1208"/>
      <c r="S352" s="1099"/>
      <c r="T352" s="1099"/>
      <c r="U352" s="1099"/>
      <c r="V352" s="1099"/>
      <c r="W352" s="1099"/>
      <c r="X352" s="1208"/>
      <c r="Y352" s="1208"/>
      <c r="Z352" s="1099"/>
      <c r="AA352" s="1099"/>
      <c r="AB352" s="1099"/>
      <c r="AC352" s="1099"/>
      <c r="AD352" s="1099"/>
      <c r="AE352" s="1208"/>
      <c r="AF352" s="1208"/>
      <c r="AG352" s="1099"/>
      <c r="AH352" s="1099"/>
      <c r="AI352" s="1330"/>
      <c r="AJ352" s="62">
        <f>SUM(E352:AI352)</f>
        <v>0</v>
      </c>
      <c r="AK352" s="62"/>
      <c r="AL352" s="63">
        <f>+AJ352*AN348</f>
        <v>0</v>
      </c>
      <c r="AM352" s="1068"/>
      <c r="AN352" s="64" t="e">
        <f>+AJ352/AJ350*100</f>
        <v>#DIV/0!</v>
      </c>
      <c r="AO352" s="635" t="e">
        <f>AO350/AO348</f>
        <v>#VALUE!</v>
      </c>
      <c r="AP352" s="39" t="s">
        <v>102</v>
      </c>
      <c r="AQ352" s="56">
        <f>SUM(E352:I352)</f>
        <v>0</v>
      </c>
      <c r="AR352" s="70">
        <f>SUM(J352:P352)</f>
        <v>0</v>
      </c>
      <c r="AS352" s="70">
        <f>SUM(Q352:W352)</f>
        <v>0</v>
      </c>
      <c r="AT352" s="70">
        <f>SUM(X352:AD352)</f>
        <v>0</v>
      </c>
      <c r="AU352" s="70">
        <f>SUM(AE352:AI352)</f>
        <v>0</v>
      </c>
      <c r="AV352" s="57">
        <f t="shared" si="734"/>
        <v>0</v>
      </c>
    </row>
    <row r="353" spans="1:48" ht="25.15" hidden="1" customHeight="1">
      <c r="A353" s="58" t="s">
        <v>135</v>
      </c>
      <c r="B353" s="65"/>
      <c r="C353" s="66"/>
      <c r="D353" s="67" t="s">
        <v>103</v>
      </c>
      <c r="E353" s="1331"/>
      <c r="F353" s="1101"/>
      <c r="G353" s="1209"/>
      <c r="H353" s="1101"/>
      <c r="I353" s="1101"/>
      <c r="J353" s="1209"/>
      <c r="K353" s="1209"/>
      <c r="L353" s="1101"/>
      <c r="M353" s="1101"/>
      <c r="N353" s="1101"/>
      <c r="O353" s="1101"/>
      <c r="P353" s="1101"/>
      <c r="Q353" s="1209"/>
      <c r="R353" s="1209"/>
      <c r="S353" s="1101"/>
      <c r="T353" s="1101"/>
      <c r="U353" s="1101"/>
      <c r="V353" s="1101"/>
      <c r="W353" s="1101"/>
      <c r="X353" s="1209"/>
      <c r="Y353" s="1209"/>
      <c r="Z353" s="1101"/>
      <c r="AA353" s="1101"/>
      <c r="AB353" s="1101"/>
      <c r="AC353" s="1101"/>
      <c r="AD353" s="1101"/>
      <c r="AE353" s="1209"/>
      <c r="AF353" s="1209"/>
      <c r="AG353" s="1101"/>
      <c r="AH353" s="1101"/>
      <c r="AI353" s="1332"/>
      <c r="AJ353" s="68">
        <f>SUM(E353:AI353)</f>
        <v>0</v>
      </c>
      <c r="AK353" s="68"/>
      <c r="AL353" s="69">
        <f>+AJ353*AN348</f>
        <v>0</v>
      </c>
      <c r="AM353" s="1069"/>
      <c r="AN353" s="31"/>
      <c r="AO353" s="622"/>
      <c r="AP353" s="39" t="s">
        <v>19</v>
      </c>
      <c r="AQ353" s="56">
        <f>AQ352*AN348</f>
        <v>0</v>
      </c>
      <c r="AR353" s="56">
        <f>AR352*AN348</f>
        <v>0</v>
      </c>
      <c r="AS353" s="56">
        <f>AS352*AN348</f>
        <v>0</v>
      </c>
      <c r="AT353" s="56">
        <f>AT352*AN348</f>
        <v>0</v>
      </c>
      <c r="AU353" s="56">
        <f>AU352*AN348</f>
        <v>0</v>
      </c>
      <c r="AV353" s="57">
        <f t="shared" si="734"/>
        <v>0</v>
      </c>
    </row>
    <row r="354" spans="1:48" ht="25.15" hidden="1" customHeight="1">
      <c r="A354" s="103"/>
      <c r="B354" s="65"/>
      <c r="C354" s="72" t="s">
        <v>104</v>
      </c>
      <c r="D354" s="73" t="s">
        <v>105</v>
      </c>
      <c r="E354" s="1378"/>
      <c r="F354" s="1103"/>
      <c r="G354" s="1210"/>
      <c r="H354" s="1103"/>
      <c r="I354" s="1103"/>
      <c r="J354" s="1210"/>
      <c r="K354" s="1210"/>
      <c r="L354" s="1103"/>
      <c r="M354" s="1103"/>
      <c r="N354" s="1103"/>
      <c r="O354" s="1103"/>
      <c r="P354" s="1103"/>
      <c r="Q354" s="1210"/>
      <c r="R354" s="1210"/>
      <c r="S354" s="1103"/>
      <c r="T354" s="1103"/>
      <c r="U354" s="1103"/>
      <c r="V354" s="1103"/>
      <c r="W354" s="1103"/>
      <c r="X354" s="1210"/>
      <c r="Y354" s="1210"/>
      <c r="Z354" s="1103"/>
      <c r="AA354" s="1103"/>
      <c r="AB354" s="1103"/>
      <c r="AC354" s="1103"/>
      <c r="AD354" s="1103"/>
      <c r="AE354" s="1210"/>
      <c r="AF354" s="1210"/>
      <c r="AG354" s="1103"/>
      <c r="AH354" s="1103"/>
      <c r="AI354" s="1352"/>
      <c r="AJ354" s="74">
        <f>SUM(E354:AI354)</f>
        <v>0</v>
      </c>
      <c r="AK354" s="74"/>
      <c r="AL354" s="75">
        <f>+AJ354*AN348</f>
        <v>0</v>
      </c>
      <c r="AM354" s="1070"/>
      <c r="AN354" s="76"/>
      <c r="AO354" s="636"/>
      <c r="AP354" s="47" t="s">
        <v>106</v>
      </c>
      <c r="AQ354" s="48">
        <f>AQ350*AN348</f>
        <v>0</v>
      </c>
      <c r="AR354" s="48">
        <f>AR350*AN348</f>
        <v>0</v>
      </c>
      <c r="AS354" s="48">
        <f>AS350*AN348</f>
        <v>0</v>
      </c>
      <c r="AT354" s="48">
        <f>AT350*AN348</f>
        <v>0</v>
      </c>
      <c r="AU354" s="48">
        <f>AU350*AN348</f>
        <v>0</v>
      </c>
      <c r="AV354" s="50">
        <f t="shared" si="734"/>
        <v>0</v>
      </c>
    </row>
    <row r="355" spans="1:48" ht="25.15" hidden="1" customHeight="1">
      <c r="A355" s="103"/>
      <c r="B355" s="65"/>
      <c r="C355" s="77">
        <v>300000</v>
      </c>
      <c r="D355" s="78" t="s">
        <v>107</v>
      </c>
      <c r="E355" s="1327">
        <v>1</v>
      </c>
      <c r="F355" s="1097">
        <v>1</v>
      </c>
      <c r="G355" s="1205">
        <v>1</v>
      </c>
      <c r="H355" s="1097">
        <v>1</v>
      </c>
      <c r="I355" s="1097">
        <v>1</v>
      </c>
      <c r="J355" s="1205">
        <v>1</v>
      </c>
      <c r="K355" s="1205">
        <v>1</v>
      </c>
      <c r="L355" s="1097">
        <v>1</v>
      </c>
      <c r="M355" s="1097">
        <v>1</v>
      </c>
      <c r="N355" s="1097">
        <v>1</v>
      </c>
      <c r="O355" s="1097">
        <v>1</v>
      </c>
      <c r="P355" s="1097">
        <v>1</v>
      </c>
      <c r="Q355" s="1205">
        <v>1</v>
      </c>
      <c r="R355" s="1205">
        <v>1</v>
      </c>
      <c r="S355" s="1097">
        <v>1</v>
      </c>
      <c r="T355" s="1097">
        <v>1</v>
      </c>
      <c r="U355" s="1097">
        <v>1</v>
      </c>
      <c r="V355" s="1097">
        <v>1</v>
      </c>
      <c r="W355" s="1097">
        <v>1</v>
      </c>
      <c r="X355" s="1205">
        <v>1</v>
      </c>
      <c r="Y355" s="1205">
        <v>1</v>
      </c>
      <c r="Z355" s="1097">
        <v>1</v>
      </c>
      <c r="AA355" s="1097">
        <v>1</v>
      </c>
      <c r="AB355" s="1097">
        <v>1</v>
      </c>
      <c r="AC355" s="1097">
        <v>1</v>
      </c>
      <c r="AD355" s="1097">
        <v>1</v>
      </c>
      <c r="AE355" s="1205">
        <v>1</v>
      </c>
      <c r="AF355" s="1205">
        <v>1</v>
      </c>
      <c r="AG355" s="1097">
        <v>1</v>
      </c>
      <c r="AH355" s="1097">
        <v>1</v>
      </c>
      <c r="AI355" s="1328">
        <v>1</v>
      </c>
      <c r="AJ355" s="79"/>
      <c r="AK355" s="79"/>
      <c r="AL355" s="55"/>
      <c r="AM355" s="1067"/>
      <c r="AN355" s="31"/>
      <c r="AO355" s="622"/>
      <c r="AP355" s="23"/>
      <c r="AQ355" s="23"/>
      <c r="AR355" s="23"/>
      <c r="AS355" s="23"/>
      <c r="AT355" s="23"/>
      <c r="AU355" s="23"/>
      <c r="AV355" s="23"/>
    </row>
    <row r="356" spans="1:48" ht="25.15" hidden="1" customHeight="1">
      <c r="A356" s="103"/>
      <c r="B356" s="65"/>
      <c r="C356" s="80" t="s">
        <v>108</v>
      </c>
      <c r="D356" s="81" t="s">
        <v>109</v>
      </c>
      <c r="E356" s="1374">
        <f>SUM(E350+E352+E353+E354)/E355</f>
        <v>0</v>
      </c>
      <c r="F356" s="1104">
        <f>SUM(F350+F352+F353+F354)/F355</f>
        <v>0</v>
      </c>
      <c r="G356" s="1211">
        <f>SUM(G350+G352+G353+G354)/G355</f>
        <v>0</v>
      </c>
      <c r="H356" s="1104">
        <f t="shared" ref="H356:AH356" si="737">SUM(H350+H352+H353+H354)/H355</f>
        <v>0</v>
      </c>
      <c r="I356" s="1104">
        <f t="shared" si="737"/>
        <v>0</v>
      </c>
      <c r="J356" s="1211">
        <f t="shared" si="737"/>
        <v>0</v>
      </c>
      <c r="K356" s="1211">
        <f t="shared" si="737"/>
        <v>0</v>
      </c>
      <c r="L356" s="1104">
        <f t="shared" si="737"/>
        <v>0</v>
      </c>
      <c r="M356" s="1104">
        <f t="shared" si="737"/>
        <v>0</v>
      </c>
      <c r="N356" s="1104">
        <f t="shared" si="737"/>
        <v>0</v>
      </c>
      <c r="O356" s="1104">
        <f t="shared" si="737"/>
        <v>0</v>
      </c>
      <c r="P356" s="1104">
        <f t="shared" si="737"/>
        <v>0</v>
      </c>
      <c r="Q356" s="1211">
        <f t="shared" si="737"/>
        <v>0</v>
      </c>
      <c r="R356" s="1211">
        <f t="shared" si="737"/>
        <v>0</v>
      </c>
      <c r="S356" s="1104">
        <f t="shared" si="737"/>
        <v>0</v>
      </c>
      <c r="T356" s="1104">
        <f t="shared" si="737"/>
        <v>0</v>
      </c>
      <c r="U356" s="1104">
        <f t="shared" si="737"/>
        <v>0</v>
      </c>
      <c r="V356" s="1104">
        <f t="shared" si="737"/>
        <v>0</v>
      </c>
      <c r="W356" s="1104">
        <f t="shared" si="737"/>
        <v>0</v>
      </c>
      <c r="X356" s="1211">
        <f t="shared" si="737"/>
        <v>0</v>
      </c>
      <c r="Y356" s="1211">
        <f t="shared" si="737"/>
        <v>0</v>
      </c>
      <c r="Z356" s="1104">
        <f t="shared" si="737"/>
        <v>0</v>
      </c>
      <c r="AA356" s="1104">
        <f t="shared" ref="AA356" si="738">SUM(AA350+AA352+AA353+AA354)/AA355</f>
        <v>0</v>
      </c>
      <c r="AB356" s="1104">
        <f t="shared" si="737"/>
        <v>0</v>
      </c>
      <c r="AC356" s="1104">
        <f t="shared" si="737"/>
        <v>0</v>
      </c>
      <c r="AD356" s="1104">
        <f t="shared" si="737"/>
        <v>0</v>
      </c>
      <c r="AE356" s="1211">
        <f t="shared" si="737"/>
        <v>0</v>
      </c>
      <c r="AF356" s="1211">
        <f t="shared" si="737"/>
        <v>0</v>
      </c>
      <c r="AG356" s="1104">
        <f t="shared" si="737"/>
        <v>0</v>
      </c>
      <c r="AH356" s="1104">
        <f t="shared" si="737"/>
        <v>0</v>
      </c>
      <c r="AI356" s="1335">
        <f>SUM(AI350+AI352+AI353)/AI355</f>
        <v>0</v>
      </c>
      <c r="AJ356" s="104">
        <f>SUM(E356:AI356)</f>
        <v>0</v>
      </c>
      <c r="AK356" s="104"/>
      <c r="AL356" s="83"/>
      <c r="AM356" s="1068"/>
      <c r="AN356" s="31"/>
      <c r="AO356" s="622"/>
      <c r="AP356" s="23"/>
      <c r="AQ356" s="23"/>
      <c r="AR356" s="23"/>
      <c r="AS356" s="23"/>
      <c r="AT356" s="23"/>
      <c r="AU356" s="23"/>
      <c r="AV356" s="23"/>
    </row>
    <row r="357" spans="1:48" ht="25.15" hidden="1" customHeight="1">
      <c r="A357" s="103"/>
      <c r="B357" s="59"/>
      <c r="C357" s="84">
        <f>+C355*0.8</f>
        <v>240000</v>
      </c>
      <c r="D357" s="85" t="s">
        <v>110</v>
      </c>
      <c r="E357" s="1105"/>
      <c r="F357" s="1106"/>
      <c r="G357" s="1211"/>
      <c r="H357" s="1104"/>
      <c r="I357" s="1104"/>
      <c r="J357" s="1211"/>
      <c r="K357" s="1211"/>
      <c r="L357" s="1104"/>
      <c r="M357" s="1104"/>
      <c r="N357" s="1104"/>
      <c r="O357" s="1107"/>
      <c r="P357" s="1104"/>
      <c r="Q357" s="1211"/>
      <c r="R357" s="1211"/>
      <c r="S357" s="1104"/>
      <c r="T357" s="1104"/>
      <c r="U357" s="1104"/>
      <c r="V357" s="1104"/>
      <c r="W357" s="1104"/>
      <c r="X357" s="1211"/>
      <c r="Y357" s="1211"/>
      <c r="Z357" s="1104"/>
      <c r="AA357" s="1104"/>
      <c r="AB357" s="1104"/>
      <c r="AC357" s="1104"/>
      <c r="AD357" s="1104"/>
      <c r="AE357" s="1211"/>
      <c r="AF357" s="1211"/>
      <c r="AG357" s="1104"/>
      <c r="AH357" s="1104"/>
      <c r="AI357" s="1353"/>
      <c r="AJ357" s="86"/>
      <c r="AK357" s="86"/>
      <c r="AL357" s="690"/>
      <c r="AM357" s="694"/>
      <c r="AN357" s="31"/>
      <c r="AO357" s="622"/>
      <c r="AP357" s="23"/>
      <c r="AQ357" s="23"/>
      <c r="AR357" s="23"/>
      <c r="AS357" s="23"/>
      <c r="AT357" s="23"/>
      <c r="AU357" s="23"/>
      <c r="AV357" s="23"/>
    </row>
    <row r="358" spans="1:48" ht="25.15" hidden="1" customHeight="1">
      <c r="A358" s="103"/>
      <c r="B358" s="105"/>
      <c r="C358" s="77"/>
      <c r="D358" s="88" t="s">
        <v>111</v>
      </c>
      <c r="E358" s="1108">
        <f>IF(E357="O/H",E356,0+E356)</f>
        <v>0</v>
      </c>
      <c r="F358" s="1089">
        <f t="shared" ref="F358:AI358" si="739">IF(F357="O/H",F356,+E358+F356)</f>
        <v>0</v>
      </c>
      <c r="G358" s="44">
        <f t="shared" si="739"/>
        <v>0</v>
      </c>
      <c r="H358" s="1089">
        <f t="shared" si="739"/>
        <v>0</v>
      </c>
      <c r="I358" s="1089">
        <f t="shared" si="739"/>
        <v>0</v>
      </c>
      <c r="J358" s="44">
        <f t="shared" si="739"/>
        <v>0</v>
      </c>
      <c r="K358" s="44">
        <f t="shared" si="739"/>
        <v>0</v>
      </c>
      <c r="L358" s="1089">
        <f t="shared" si="739"/>
        <v>0</v>
      </c>
      <c r="M358" s="1089">
        <f t="shared" si="739"/>
        <v>0</v>
      </c>
      <c r="N358" s="1089">
        <f t="shared" si="739"/>
        <v>0</v>
      </c>
      <c r="O358" s="1089">
        <f t="shared" si="739"/>
        <v>0</v>
      </c>
      <c r="P358" s="1089">
        <f t="shared" si="739"/>
        <v>0</v>
      </c>
      <c r="Q358" s="44">
        <f t="shared" si="739"/>
        <v>0</v>
      </c>
      <c r="R358" s="44">
        <f t="shared" si="739"/>
        <v>0</v>
      </c>
      <c r="S358" s="1089">
        <f t="shared" si="739"/>
        <v>0</v>
      </c>
      <c r="T358" s="1089">
        <f t="shared" si="739"/>
        <v>0</v>
      </c>
      <c r="U358" s="1089">
        <f t="shared" si="739"/>
        <v>0</v>
      </c>
      <c r="V358" s="1089">
        <f t="shared" si="739"/>
        <v>0</v>
      </c>
      <c r="W358" s="1089">
        <f t="shared" si="739"/>
        <v>0</v>
      </c>
      <c r="X358" s="44">
        <f t="shared" si="739"/>
        <v>0</v>
      </c>
      <c r="Y358" s="44">
        <f t="shared" si="739"/>
        <v>0</v>
      </c>
      <c r="Z358" s="1089">
        <f t="shared" si="739"/>
        <v>0</v>
      </c>
      <c r="AA358" s="1089">
        <f t="shared" si="739"/>
        <v>0</v>
      </c>
      <c r="AB358" s="1089">
        <f t="shared" si="739"/>
        <v>0</v>
      </c>
      <c r="AC358" s="1089">
        <f t="shared" si="739"/>
        <v>0</v>
      </c>
      <c r="AD358" s="1089">
        <f t="shared" si="739"/>
        <v>0</v>
      </c>
      <c r="AE358" s="44">
        <f t="shared" si="739"/>
        <v>0</v>
      </c>
      <c r="AF358" s="44">
        <f t="shared" si="739"/>
        <v>0</v>
      </c>
      <c r="AG358" s="1089">
        <f t="shared" si="739"/>
        <v>0</v>
      </c>
      <c r="AH358" s="1089">
        <f t="shared" si="739"/>
        <v>0</v>
      </c>
      <c r="AI358" s="1326">
        <f t="shared" si="739"/>
        <v>0</v>
      </c>
      <c r="AJ358" s="79"/>
      <c r="AK358" s="86"/>
      <c r="AL358" s="689"/>
      <c r="AM358" s="694"/>
      <c r="AN358" s="31"/>
      <c r="AO358" s="622"/>
      <c r="AP358" s="23"/>
      <c r="AQ358" s="23"/>
      <c r="AR358" s="23"/>
      <c r="AS358" s="23"/>
      <c r="AT358" s="23"/>
      <c r="AU358" s="23"/>
      <c r="AV358" s="23"/>
    </row>
    <row r="359" spans="1:48" s="23" customFormat="1" ht="20.65" hidden="1" customHeight="1">
      <c r="A359" s="274"/>
      <c r="B359" s="312"/>
      <c r="C359" s="308"/>
      <c r="D359" s="795" t="s">
        <v>112</v>
      </c>
      <c r="E359" s="1117" t="b">
        <f>IF(AND(ISNUMBER(E350)),135482+E356)</f>
        <v>0</v>
      </c>
      <c r="F359" s="1117" t="b">
        <f t="shared" ref="F359:V359" si="740">IF(AND(ISNUMBER(F350)),151431+F356)</f>
        <v>0</v>
      </c>
      <c r="G359" s="1204" t="b">
        <f t="shared" si="740"/>
        <v>0</v>
      </c>
      <c r="H359" s="1117" t="b">
        <f t="shared" si="740"/>
        <v>0</v>
      </c>
      <c r="I359" s="1117" t="b">
        <f t="shared" si="740"/>
        <v>0</v>
      </c>
      <c r="J359" s="1204" t="b">
        <f t="shared" si="740"/>
        <v>0</v>
      </c>
      <c r="K359" s="1204" t="b">
        <f t="shared" si="740"/>
        <v>0</v>
      </c>
      <c r="L359" s="1117" t="b">
        <f t="shared" si="740"/>
        <v>0</v>
      </c>
      <c r="M359" s="1117" t="b">
        <f t="shared" si="740"/>
        <v>0</v>
      </c>
      <c r="N359" s="1117" t="b">
        <f t="shared" si="740"/>
        <v>0</v>
      </c>
      <c r="O359" s="1117" t="b">
        <f t="shared" si="740"/>
        <v>0</v>
      </c>
      <c r="P359" s="1117" t="b">
        <f t="shared" si="740"/>
        <v>0</v>
      </c>
      <c r="Q359" s="1204" t="b">
        <f t="shared" si="740"/>
        <v>0</v>
      </c>
      <c r="R359" s="1204" t="b">
        <f t="shared" si="740"/>
        <v>0</v>
      </c>
      <c r="S359" s="1117" t="b">
        <f t="shared" si="740"/>
        <v>0</v>
      </c>
      <c r="T359" s="1117" t="b">
        <f t="shared" si="740"/>
        <v>0</v>
      </c>
      <c r="U359" s="1117" t="b">
        <f t="shared" si="740"/>
        <v>0</v>
      </c>
      <c r="V359" s="1117" t="b">
        <f t="shared" si="740"/>
        <v>0</v>
      </c>
      <c r="W359" s="1118" t="str">
        <f t="shared" ref="W359" si="741">IF(AND(ISNUMBER(W350)),V359+W356,"")</f>
        <v/>
      </c>
      <c r="X359" s="1216" t="str">
        <f t="shared" ref="X359" si="742">IF(AND(ISNUMBER(X350)),W359+X356,"")</f>
        <v/>
      </c>
      <c r="Y359" s="1216" t="str">
        <f t="shared" ref="Y359" si="743">IF(AND(ISNUMBER(Y350)),X359+Y356,"")</f>
        <v/>
      </c>
      <c r="Z359" s="1118" t="str">
        <f t="shared" ref="Z359" si="744">IF(AND(ISNUMBER(Z350)),Y359+Z356,"")</f>
        <v/>
      </c>
      <c r="AA359" s="1118" t="str">
        <f t="shared" ref="AA359" si="745">IF(AND(ISNUMBER(AA350)),Z359+AA356,"")</f>
        <v/>
      </c>
      <c r="AB359" s="1118" t="str">
        <f t="shared" ref="AB359" si="746">IF(AND(ISNUMBER(AB350)),AA359+AB356,"")</f>
        <v/>
      </c>
      <c r="AC359" s="1118" t="str">
        <f t="shared" ref="AC359" si="747">IF(AND(ISNUMBER(AC350)),AB359+AC356,"")</f>
        <v/>
      </c>
      <c r="AD359" s="1118" t="str">
        <f t="shared" ref="AD359" si="748">IF(AND(ISNUMBER(AD350)),AC359+AD356,"")</f>
        <v/>
      </c>
      <c r="AE359" s="1216" t="str">
        <f t="shared" ref="AE359" si="749">IF(AND(ISNUMBER(AE350)),AD359+AE356,"")</f>
        <v/>
      </c>
      <c r="AF359" s="1216" t="str">
        <f t="shared" ref="AF359" si="750">IF(AND(ISNUMBER(AF350)),AE359+AF356,"")</f>
        <v/>
      </c>
      <c r="AG359" s="1118" t="str">
        <f t="shared" ref="AG359" si="751">IF(AND(ISNUMBER(AG350)),AF359+AG356,"")</f>
        <v/>
      </c>
      <c r="AH359" s="1118" t="str">
        <f t="shared" ref="AH359" si="752">IF(AND(ISNUMBER(AH350)),AG359+AH356,"")</f>
        <v/>
      </c>
      <c r="AI359" s="1118" t="str">
        <f t="shared" ref="AI359" si="753">IF(AND(ISNUMBER(AI350)),AH359+AI356,"")</f>
        <v/>
      </c>
      <c r="AJ359" s="793"/>
      <c r="AK359" s="793"/>
      <c r="AL359" s="909"/>
      <c r="AM359" s="890"/>
      <c r="AN359" s="76"/>
      <c r="AO359" s="624"/>
      <c r="AP359" s="285"/>
      <c r="AQ359" s="285"/>
      <c r="AR359" s="285"/>
      <c r="AS359" s="285"/>
      <c r="AT359" s="286"/>
      <c r="AU359" s="285"/>
      <c r="AV359" s="287"/>
    </row>
    <row r="360" spans="1:48" ht="25.15" hidden="1" customHeight="1">
      <c r="A360" s="103"/>
      <c r="B360" s="89"/>
      <c r="C360" s="80"/>
      <c r="D360" s="90" t="s">
        <v>104</v>
      </c>
      <c r="E360" s="1108"/>
      <c r="F360" s="1089"/>
      <c r="G360" s="44"/>
      <c r="H360" s="1089"/>
      <c r="I360" s="1089"/>
      <c r="J360" s="44"/>
      <c r="K360" s="44"/>
      <c r="L360" s="1089"/>
      <c r="M360" s="1089"/>
      <c r="N360" s="1089"/>
      <c r="O360" s="1089"/>
      <c r="P360" s="1089"/>
      <c r="Q360" s="44"/>
      <c r="R360" s="44"/>
      <c r="S360" s="1089"/>
      <c r="T360" s="1089"/>
      <c r="U360" s="1089"/>
      <c r="V360" s="1089"/>
      <c r="W360" s="1089"/>
      <c r="X360" s="44"/>
      <c r="Y360" s="44"/>
      <c r="Z360" s="1089"/>
      <c r="AA360" s="1089"/>
      <c r="AB360" s="1089"/>
      <c r="AC360" s="1089"/>
      <c r="AD360" s="1089"/>
      <c r="AE360" s="44"/>
      <c r="AF360" s="44"/>
      <c r="AG360" s="1089"/>
      <c r="AH360" s="1089"/>
      <c r="AI360" s="1326"/>
      <c r="AJ360" s="79"/>
      <c r="AK360" s="79"/>
      <c r="AL360" s="63"/>
      <c r="AM360" s="1068"/>
      <c r="AN360" s="64"/>
      <c r="AO360" s="624"/>
      <c r="AP360" s="23"/>
      <c r="AQ360" s="23"/>
      <c r="AR360" s="23"/>
      <c r="AS360" s="23"/>
      <c r="AT360" s="23"/>
      <c r="AU360" s="23"/>
      <c r="AV360" s="23"/>
    </row>
    <row r="361" spans="1:48" ht="25.15" hidden="1" customHeight="1" thickBot="1">
      <c r="A361" s="106"/>
      <c r="B361" s="93"/>
      <c r="C361" s="94"/>
      <c r="D361" s="95" t="s">
        <v>111</v>
      </c>
      <c r="E361" s="1109">
        <f>IF(E360="O/H",E356,0+E356)</f>
        <v>0</v>
      </c>
      <c r="F361" s="1110">
        <f t="shared" ref="F361:AI361" si="754">IF(F360="O/H",F356,+E361+F356)</f>
        <v>0</v>
      </c>
      <c r="G361" s="1212">
        <f t="shared" si="754"/>
        <v>0</v>
      </c>
      <c r="H361" s="1110">
        <f t="shared" si="754"/>
        <v>0</v>
      </c>
      <c r="I361" s="1110">
        <f t="shared" si="754"/>
        <v>0</v>
      </c>
      <c r="J361" s="1212">
        <f t="shared" si="754"/>
        <v>0</v>
      </c>
      <c r="K361" s="1212">
        <f t="shared" si="754"/>
        <v>0</v>
      </c>
      <c r="L361" s="1110">
        <f t="shared" si="754"/>
        <v>0</v>
      </c>
      <c r="M361" s="1110">
        <f t="shared" si="754"/>
        <v>0</v>
      </c>
      <c r="N361" s="1110">
        <f t="shared" si="754"/>
        <v>0</v>
      </c>
      <c r="O361" s="1110">
        <f t="shared" si="754"/>
        <v>0</v>
      </c>
      <c r="P361" s="1110">
        <f t="shared" si="754"/>
        <v>0</v>
      </c>
      <c r="Q361" s="1212">
        <f t="shared" si="754"/>
        <v>0</v>
      </c>
      <c r="R361" s="1212">
        <f t="shared" si="754"/>
        <v>0</v>
      </c>
      <c r="S361" s="1110">
        <f t="shared" si="754"/>
        <v>0</v>
      </c>
      <c r="T361" s="1110">
        <f t="shared" si="754"/>
        <v>0</v>
      </c>
      <c r="U361" s="1110">
        <f t="shared" si="754"/>
        <v>0</v>
      </c>
      <c r="V361" s="1110">
        <f t="shared" si="754"/>
        <v>0</v>
      </c>
      <c r="W361" s="1110">
        <f t="shared" si="754"/>
        <v>0</v>
      </c>
      <c r="X361" s="1212">
        <f t="shared" si="754"/>
        <v>0</v>
      </c>
      <c r="Y361" s="1212">
        <f t="shared" si="754"/>
        <v>0</v>
      </c>
      <c r="Z361" s="1110">
        <f t="shared" si="754"/>
        <v>0</v>
      </c>
      <c r="AA361" s="1110">
        <f t="shared" ref="AA361" si="755">IF(AA360="O/H",AA356,+Z361+AA356)</f>
        <v>0</v>
      </c>
      <c r="AB361" s="1110">
        <f t="shared" ref="AB361" si="756">IF(AB360="O/H",AB356,+AA361+AB356)</f>
        <v>0</v>
      </c>
      <c r="AC361" s="1110">
        <f t="shared" ref="AC361" si="757">IF(AC360="O/H",AC356,+AB361+AC356)</f>
        <v>0</v>
      </c>
      <c r="AD361" s="1110">
        <f t="shared" ref="AD361" si="758">IF(AD360="O/H",AD356,+AC361+AD356)</f>
        <v>0</v>
      </c>
      <c r="AE361" s="1212">
        <f t="shared" si="754"/>
        <v>0</v>
      </c>
      <c r="AF361" s="1212">
        <f t="shared" si="754"/>
        <v>0</v>
      </c>
      <c r="AG361" s="1110">
        <f t="shared" si="754"/>
        <v>0</v>
      </c>
      <c r="AH361" s="1110">
        <f t="shared" si="754"/>
        <v>0</v>
      </c>
      <c r="AI361" s="1340">
        <f t="shared" si="754"/>
        <v>0</v>
      </c>
      <c r="AJ361" s="96"/>
      <c r="AK361" s="96"/>
      <c r="AL361" s="97"/>
      <c r="AM361" s="1071"/>
      <c r="AN361" s="98"/>
      <c r="AO361" s="625"/>
      <c r="AP361" s="23"/>
      <c r="AQ361" s="23"/>
      <c r="AR361" s="23"/>
      <c r="AS361" s="23"/>
      <c r="AT361" s="23"/>
      <c r="AU361" s="23"/>
      <c r="AV361" s="23"/>
    </row>
    <row r="362" spans="1:48" ht="25.15" hidden="1" customHeight="1" thickTop="1">
      <c r="A362" s="99"/>
      <c r="B362" s="26" t="s">
        <v>158</v>
      </c>
      <c r="C362" s="27"/>
      <c r="D362" s="28" t="s">
        <v>82</v>
      </c>
      <c r="E362" s="1111"/>
      <c r="F362" s="1111"/>
      <c r="G362" s="1201"/>
      <c r="H362" s="1111"/>
      <c r="I362" s="1111"/>
      <c r="J362" s="1201"/>
      <c r="K362" s="1201"/>
      <c r="L362" s="1111"/>
      <c r="M362" s="1111"/>
      <c r="N362" s="1111"/>
      <c r="O362" s="1111"/>
      <c r="P362" s="1111"/>
      <c r="Q362" s="1201"/>
      <c r="R362" s="1201"/>
      <c r="S362" s="1111"/>
      <c r="T362" s="1111"/>
      <c r="U362" s="1111"/>
      <c r="V362" s="1111"/>
      <c r="W362" s="1111"/>
      <c r="X362" s="1201"/>
      <c r="Y362" s="1201"/>
      <c r="Z362" s="1111"/>
      <c r="AA362" s="1089"/>
      <c r="AB362" s="1111"/>
      <c r="AC362" s="1111"/>
      <c r="AD362" s="1111"/>
      <c r="AE362" s="1201"/>
      <c r="AF362" s="1201"/>
      <c r="AG362" s="1111"/>
      <c r="AH362" s="1111"/>
      <c r="AI362" s="1412"/>
      <c r="AJ362" s="100">
        <f>SUM(Table75[[#This Row],[June''2026]:[Column27]])</f>
        <v>0</v>
      </c>
      <c r="AK362" s="100">
        <f t="shared" si="722"/>
        <v>0</v>
      </c>
      <c r="AL362" s="101">
        <f>+AJ362*AN362</f>
        <v>0</v>
      </c>
      <c r="AM362" s="1072">
        <f t="shared" si="691"/>
        <v>0</v>
      </c>
      <c r="AN362" s="102"/>
      <c r="AO362" s="622" t="e">
        <f>Table5[[#This Row],[Total]]*B366/1000</f>
        <v>#VALUE!</v>
      </c>
      <c r="AP362" s="32" t="s">
        <v>134</v>
      </c>
      <c r="AQ362" s="33" t="s">
        <v>84</v>
      </c>
      <c r="AR362" s="33" t="s">
        <v>85</v>
      </c>
      <c r="AS362" s="33" t="s">
        <v>86</v>
      </c>
      <c r="AT362" s="33" t="s">
        <v>87</v>
      </c>
      <c r="AU362" s="33" t="s">
        <v>88</v>
      </c>
      <c r="AV362" s="34" t="s">
        <v>68</v>
      </c>
    </row>
    <row r="363" spans="1:48" ht="25.15" hidden="1" customHeight="1">
      <c r="A363" s="103"/>
      <c r="B363" s="35" t="s">
        <v>159</v>
      </c>
      <c r="C363" s="36"/>
      <c r="D363" s="37" t="s">
        <v>90</v>
      </c>
      <c r="E363" s="1373">
        <f>IF(E362="",0,+ E362/E369)</f>
        <v>0</v>
      </c>
      <c r="F363" s="1096">
        <f t="shared" ref="F363:AI363" si="759">IF(F362="",0, E363+F362/F369)</f>
        <v>0</v>
      </c>
      <c r="G363" s="1207">
        <f t="shared" si="759"/>
        <v>0</v>
      </c>
      <c r="H363" s="1096">
        <f t="shared" si="759"/>
        <v>0</v>
      </c>
      <c r="I363" s="1096">
        <f t="shared" si="759"/>
        <v>0</v>
      </c>
      <c r="J363" s="1207">
        <f t="shared" si="759"/>
        <v>0</v>
      </c>
      <c r="K363" s="1207">
        <f t="shared" si="759"/>
        <v>0</v>
      </c>
      <c r="L363" s="1096">
        <f t="shared" si="759"/>
        <v>0</v>
      </c>
      <c r="M363" s="1096">
        <f t="shared" si="759"/>
        <v>0</v>
      </c>
      <c r="N363" s="1096">
        <f t="shared" si="759"/>
        <v>0</v>
      </c>
      <c r="O363" s="1096">
        <f t="shared" si="759"/>
        <v>0</v>
      </c>
      <c r="P363" s="1096">
        <f t="shared" si="759"/>
        <v>0</v>
      </c>
      <c r="Q363" s="1207">
        <f t="shared" si="759"/>
        <v>0</v>
      </c>
      <c r="R363" s="1207">
        <f t="shared" si="759"/>
        <v>0</v>
      </c>
      <c r="S363" s="1096">
        <f t="shared" si="759"/>
        <v>0</v>
      </c>
      <c r="T363" s="1096">
        <f t="shared" si="759"/>
        <v>0</v>
      </c>
      <c r="U363" s="1096">
        <f t="shared" si="759"/>
        <v>0</v>
      </c>
      <c r="V363" s="1096">
        <f t="shared" si="759"/>
        <v>0</v>
      </c>
      <c r="W363" s="1096">
        <f t="shared" si="759"/>
        <v>0</v>
      </c>
      <c r="X363" s="1207">
        <f t="shared" si="759"/>
        <v>0</v>
      </c>
      <c r="Y363" s="1207">
        <f t="shared" si="759"/>
        <v>0</v>
      </c>
      <c r="Z363" s="1096">
        <f t="shared" si="759"/>
        <v>0</v>
      </c>
      <c r="AA363" s="1089"/>
      <c r="AB363" s="1096">
        <f t="shared" si="759"/>
        <v>0</v>
      </c>
      <c r="AC363" s="1096">
        <f t="shared" si="759"/>
        <v>0</v>
      </c>
      <c r="AD363" s="1096">
        <f t="shared" si="759"/>
        <v>0</v>
      </c>
      <c r="AE363" s="1207">
        <f t="shared" si="759"/>
        <v>0</v>
      </c>
      <c r="AF363" s="1207">
        <f t="shared" si="759"/>
        <v>0</v>
      </c>
      <c r="AG363" s="1096">
        <f t="shared" si="759"/>
        <v>0</v>
      </c>
      <c r="AH363" s="1096">
        <f t="shared" si="759"/>
        <v>0</v>
      </c>
      <c r="AI363" s="1324">
        <f t="shared" si="759"/>
        <v>0</v>
      </c>
      <c r="AJ363" s="38"/>
      <c r="AK363" s="29"/>
      <c r="AL363" s="30"/>
      <c r="AM363" s="694">
        <f t="shared" si="691"/>
        <v>0</v>
      </c>
      <c r="AN363" s="31"/>
      <c r="AO363" s="630"/>
      <c r="AP363" s="39" t="s">
        <v>91</v>
      </c>
      <c r="AQ363" s="40">
        <f>SUM(E362:I362)</f>
        <v>0</v>
      </c>
      <c r="AR363" s="41">
        <f>SUM(J362:P362)</f>
        <v>0</v>
      </c>
      <c r="AS363" s="41">
        <f>SUM(Q362:W362)</f>
        <v>0</v>
      </c>
      <c r="AT363" s="41">
        <f>SUM(X362:AD362)</f>
        <v>0</v>
      </c>
      <c r="AU363" s="41">
        <f>SUM(AE362:AI362)</f>
        <v>0</v>
      </c>
      <c r="AV363" s="34">
        <f t="shared" ref="AV363:AV368" si="760">SUM(AQ363:AU363)</f>
        <v>0</v>
      </c>
    </row>
    <row r="364" spans="1:48" ht="25.15" hidden="1" customHeight="1">
      <c r="A364" s="103"/>
      <c r="B364" s="26" t="s">
        <v>92</v>
      </c>
      <c r="C364" s="42"/>
      <c r="D364" s="43" t="s">
        <v>93</v>
      </c>
      <c r="E364" s="1325"/>
      <c r="F364" s="1089"/>
      <c r="G364" s="44"/>
      <c r="H364" s="1089"/>
      <c r="I364" s="1089"/>
      <c r="J364" s="44"/>
      <c r="K364" s="44"/>
      <c r="L364" s="1089"/>
      <c r="M364" s="1089"/>
      <c r="N364" s="1089"/>
      <c r="O364" s="1089"/>
      <c r="P364" s="1089"/>
      <c r="Q364" s="44"/>
      <c r="R364" s="44"/>
      <c r="S364" s="1089"/>
      <c r="T364" s="1089"/>
      <c r="U364" s="1089"/>
      <c r="V364" s="1089"/>
      <c r="W364" s="1089"/>
      <c r="X364" s="44"/>
      <c r="Y364" s="44"/>
      <c r="Z364" s="1089"/>
      <c r="AA364" s="1089"/>
      <c r="AB364" s="1089"/>
      <c r="AC364" s="1089"/>
      <c r="AD364" s="1089"/>
      <c r="AE364" s="44"/>
      <c r="AF364" s="44"/>
      <c r="AG364" s="1089"/>
      <c r="AH364" s="1089"/>
      <c r="AI364" s="1326"/>
      <c r="AJ364" s="45">
        <f>SUM(E364:AI364)</f>
        <v>0</v>
      </c>
      <c r="AK364" s="45"/>
      <c r="AL364" s="46">
        <f>+AJ364*AN362</f>
        <v>0</v>
      </c>
      <c r="AM364" s="1066">
        <f t="shared" si="691"/>
        <v>0</v>
      </c>
      <c r="AN364" s="31"/>
      <c r="AO364" s="632">
        <f>(AJ364+AJ366+AJ367+AJ368)*B366/1000</f>
        <v>0</v>
      </c>
      <c r="AP364" s="47" t="s">
        <v>94</v>
      </c>
      <c r="AQ364" s="48">
        <f>SUM(E364:I364)</f>
        <v>0</v>
      </c>
      <c r="AR364" s="49">
        <f>SUM(J364:P364)</f>
        <v>0</v>
      </c>
      <c r="AS364" s="49">
        <f>SUM(Q364:W364)</f>
        <v>0</v>
      </c>
      <c r="AT364" s="49">
        <f>SUM(X364:AD364)</f>
        <v>0</v>
      </c>
      <c r="AU364" s="49">
        <f>SUM(AE364:AI364)</f>
        <v>0</v>
      </c>
      <c r="AV364" s="50">
        <f t="shared" si="760"/>
        <v>0</v>
      </c>
    </row>
    <row r="365" spans="1:48" ht="25.15" hidden="1" customHeight="1">
      <c r="A365" s="103"/>
      <c r="B365" s="51"/>
      <c r="C365" s="52" t="s">
        <v>95</v>
      </c>
      <c r="D365" s="53" t="s">
        <v>96</v>
      </c>
      <c r="E365" s="1327">
        <f t="shared" ref="E365:AJ365" si="761">+E364-E362</f>
        <v>0</v>
      </c>
      <c r="F365" s="1097">
        <f t="shared" si="761"/>
        <v>0</v>
      </c>
      <c r="G365" s="1205">
        <f t="shared" si="761"/>
        <v>0</v>
      </c>
      <c r="H365" s="1097">
        <f t="shared" si="761"/>
        <v>0</v>
      </c>
      <c r="I365" s="1097">
        <f t="shared" si="761"/>
        <v>0</v>
      </c>
      <c r="J365" s="1205">
        <f t="shared" si="761"/>
        <v>0</v>
      </c>
      <c r="K365" s="1205">
        <f t="shared" si="761"/>
        <v>0</v>
      </c>
      <c r="L365" s="1097">
        <f t="shared" si="761"/>
        <v>0</v>
      </c>
      <c r="M365" s="1097">
        <f t="shared" si="761"/>
        <v>0</v>
      </c>
      <c r="N365" s="1097">
        <f t="shared" si="761"/>
        <v>0</v>
      </c>
      <c r="O365" s="1097">
        <f t="shared" si="761"/>
        <v>0</v>
      </c>
      <c r="P365" s="1097">
        <f t="shared" si="761"/>
        <v>0</v>
      </c>
      <c r="Q365" s="1205">
        <f t="shared" si="761"/>
        <v>0</v>
      </c>
      <c r="R365" s="1205">
        <f t="shared" si="761"/>
        <v>0</v>
      </c>
      <c r="S365" s="1097">
        <f t="shared" si="761"/>
        <v>0</v>
      </c>
      <c r="T365" s="1097">
        <f t="shared" si="761"/>
        <v>0</v>
      </c>
      <c r="U365" s="1097">
        <f t="shared" si="761"/>
        <v>0</v>
      </c>
      <c r="V365" s="1097">
        <f t="shared" si="761"/>
        <v>0</v>
      </c>
      <c r="W365" s="1097">
        <f t="shared" si="761"/>
        <v>0</v>
      </c>
      <c r="X365" s="1205">
        <f t="shared" si="761"/>
        <v>0</v>
      </c>
      <c r="Y365" s="1205">
        <f t="shared" si="761"/>
        <v>0</v>
      </c>
      <c r="Z365" s="1097">
        <f t="shared" si="761"/>
        <v>0</v>
      </c>
      <c r="AA365" s="1097">
        <f t="shared" ref="AA365" si="762">+AA364-AA362</f>
        <v>0</v>
      </c>
      <c r="AB365" s="1097">
        <f t="shared" si="761"/>
        <v>0</v>
      </c>
      <c r="AC365" s="1097">
        <f t="shared" si="761"/>
        <v>0</v>
      </c>
      <c r="AD365" s="1097">
        <f t="shared" si="761"/>
        <v>0</v>
      </c>
      <c r="AE365" s="1205">
        <f t="shared" si="761"/>
        <v>0</v>
      </c>
      <c r="AF365" s="1205">
        <f t="shared" si="761"/>
        <v>0</v>
      </c>
      <c r="AG365" s="1097">
        <f t="shared" si="761"/>
        <v>0</v>
      </c>
      <c r="AH365" s="1097">
        <f t="shared" si="761"/>
        <v>0</v>
      </c>
      <c r="AI365" s="1328">
        <f t="shared" si="761"/>
        <v>0</v>
      </c>
      <c r="AJ365" s="54">
        <f t="shared" si="761"/>
        <v>0</v>
      </c>
      <c r="AK365" s="54"/>
      <c r="AL365" s="55">
        <f>+AJ365*AN362</f>
        <v>0</v>
      </c>
      <c r="AM365" s="1067">
        <f t="shared" si="691"/>
        <v>0</v>
      </c>
      <c r="AN365" s="31" t="s">
        <v>97</v>
      </c>
      <c r="AO365" s="622"/>
      <c r="AP365" s="39" t="s">
        <v>98</v>
      </c>
      <c r="AQ365" s="56">
        <f>AQ364-AQ363</f>
        <v>0</v>
      </c>
      <c r="AR365" s="70">
        <f>AR364-AR363</f>
        <v>0</v>
      </c>
      <c r="AS365" s="70">
        <f>AS364-AS363</f>
        <v>0</v>
      </c>
      <c r="AT365" s="70">
        <f>AT364-AT363</f>
        <v>0</v>
      </c>
      <c r="AU365" s="70">
        <f>AU364-AU363</f>
        <v>0</v>
      </c>
      <c r="AV365" s="57">
        <f t="shared" si="760"/>
        <v>0</v>
      </c>
    </row>
    <row r="366" spans="1:48" ht="25.15" hidden="1" customHeight="1">
      <c r="A366" s="58"/>
      <c r="B366" s="59"/>
      <c r="C366" s="60" t="s">
        <v>100</v>
      </c>
      <c r="D366" s="61" t="s">
        <v>101</v>
      </c>
      <c r="E366" s="1329"/>
      <c r="F366" s="1099"/>
      <c r="G366" s="1208"/>
      <c r="H366" s="1099"/>
      <c r="I366" s="1099"/>
      <c r="J366" s="1208"/>
      <c r="K366" s="1208"/>
      <c r="L366" s="1099"/>
      <c r="M366" s="1099"/>
      <c r="N366" s="1099"/>
      <c r="O366" s="1099"/>
      <c r="P366" s="1099"/>
      <c r="Q366" s="1208"/>
      <c r="R366" s="1208"/>
      <c r="S366" s="1099"/>
      <c r="T366" s="1099"/>
      <c r="U366" s="1099"/>
      <c r="V366" s="1099"/>
      <c r="W366" s="1099"/>
      <c r="X366" s="1208"/>
      <c r="Y366" s="1208"/>
      <c r="Z366" s="1099"/>
      <c r="AA366" s="1099"/>
      <c r="AB366" s="1099"/>
      <c r="AC366" s="1099"/>
      <c r="AD366" s="1099"/>
      <c r="AE366" s="1208"/>
      <c r="AF366" s="1208"/>
      <c r="AG366" s="1099"/>
      <c r="AH366" s="1099"/>
      <c r="AI366" s="1330"/>
      <c r="AJ366" s="62">
        <f>SUM(E366:AI366)</f>
        <v>0</v>
      </c>
      <c r="AK366" s="62"/>
      <c r="AL366" s="63">
        <f>+AJ366*AN362</f>
        <v>0</v>
      </c>
      <c r="AM366" s="1068">
        <f t="shared" si="691"/>
        <v>0</v>
      </c>
      <c r="AN366" s="64" t="e">
        <f>+AJ366/AJ364*100</f>
        <v>#DIV/0!</v>
      </c>
      <c r="AO366" s="635" t="e">
        <f>AO364/AO362</f>
        <v>#VALUE!</v>
      </c>
      <c r="AP366" s="39" t="s">
        <v>102</v>
      </c>
      <c r="AQ366" s="56">
        <f>SUM(E366:I366)</f>
        <v>0</v>
      </c>
      <c r="AR366" s="70">
        <f>SUM(J366:P366)</f>
        <v>0</v>
      </c>
      <c r="AS366" s="70">
        <f>SUM(Q366:W366)</f>
        <v>0</v>
      </c>
      <c r="AT366" s="70">
        <f>SUM(X366:AD366)</f>
        <v>0</v>
      </c>
      <c r="AU366" s="70">
        <f>SUM(AE366:AI366)</f>
        <v>0</v>
      </c>
      <c r="AV366" s="57">
        <f t="shared" si="760"/>
        <v>0</v>
      </c>
    </row>
    <row r="367" spans="1:48" ht="25.15" hidden="1" customHeight="1">
      <c r="A367" s="58" t="s">
        <v>135</v>
      </c>
      <c r="B367" s="65"/>
      <c r="C367" s="66"/>
      <c r="D367" s="67" t="s">
        <v>103</v>
      </c>
      <c r="E367" s="1331"/>
      <c r="F367" s="1101"/>
      <c r="G367" s="1209"/>
      <c r="H367" s="1101"/>
      <c r="I367" s="1101"/>
      <c r="J367" s="1209"/>
      <c r="K367" s="1209"/>
      <c r="L367" s="1101"/>
      <c r="M367" s="1101"/>
      <c r="N367" s="1101"/>
      <c r="O367" s="1101"/>
      <c r="P367" s="1101"/>
      <c r="Q367" s="1209"/>
      <c r="R367" s="1209"/>
      <c r="S367" s="1101"/>
      <c r="T367" s="1101"/>
      <c r="U367" s="1101"/>
      <c r="V367" s="1101"/>
      <c r="W367" s="1101"/>
      <c r="X367" s="1209"/>
      <c r="Y367" s="1209"/>
      <c r="Z367" s="1101"/>
      <c r="AA367" s="1101"/>
      <c r="AB367" s="1101"/>
      <c r="AC367" s="1101"/>
      <c r="AD367" s="1101"/>
      <c r="AE367" s="1209"/>
      <c r="AF367" s="1209"/>
      <c r="AG367" s="1101"/>
      <c r="AH367" s="1101"/>
      <c r="AI367" s="1332"/>
      <c r="AJ367" s="68">
        <f>SUM(E367:AI367)</f>
        <v>0</v>
      </c>
      <c r="AK367" s="68"/>
      <c r="AL367" s="69">
        <f>+AJ367*AN362</f>
        <v>0</v>
      </c>
      <c r="AM367" s="1069">
        <f t="shared" si="691"/>
        <v>0</v>
      </c>
      <c r="AN367" s="31"/>
      <c r="AO367" s="622"/>
      <c r="AP367" s="39" t="s">
        <v>19</v>
      </c>
      <c r="AQ367" s="56">
        <f>AQ366*AN362</f>
        <v>0</v>
      </c>
      <c r="AR367" s="56">
        <f>AR366*AN362</f>
        <v>0</v>
      </c>
      <c r="AS367" s="56">
        <f>AS366*AN362</f>
        <v>0</v>
      </c>
      <c r="AT367" s="56">
        <f>AT366*AN362</f>
        <v>0</v>
      </c>
      <c r="AU367" s="56">
        <f>AU366*AN362</f>
        <v>0</v>
      </c>
      <c r="AV367" s="57">
        <f t="shared" si="760"/>
        <v>0</v>
      </c>
    </row>
    <row r="368" spans="1:48" ht="25.15" hidden="1" customHeight="1">
      <c r="A368" s="103"/>
      <c r="B368" s="65"/>
      <c r="C368" s="72" t="s">
        <v>104</v>
      </c>
      <c r="D368" s="73" t="s">
        <v>105</v>
      </c>
      <c r="E368" s="1378"/>
      <c r="F368" s="1103"/>
      <c r="G368" s="1210"/>
      <c r="H368" s="1103"/>
      <c r="I368" s="1103"/>
      <c r="J368" s="1210"/>
      <c r="K368" s="1210"/>
      <c r="L368" s="1103"/>
      <c r="M368" s="1103"/>
      <c r="N368" s="1103"/>
      <c r="O368" s="1103"/>
      <c r="P368" s="1103"/>
      <c r="Q368" s="1210"/>
      <c r="R368" s="1210"/>
      <c r="S368" s="1103"/>
      <c r="T368" s="1103"/>
      <c r="U368" s="1103"/>
      <c r="V368" s="1103"/>
      <c r="W368" s="1103"/>
      <c r="X368" s="1210"/>
      <c r="Y368" s="1210"/>
      <c r="Z368" s="1103"/>
      <c r="AA368" s="1103"/>
      <c r="AB368" s="1103"/>
      <c r="AC368" s="1103"/>
      <c r="AD368" s="1103"/>
      <c r="AE368" s="1210"/>
      <c r="AF368" s="1210"/>
      <c r="AG368" s="1103"/>
      <c r="AH368" s="1103"/>
      <c r="AI368" s="1352"/>
      <c r="AJ368" s="74">
        <f>SUM(E368:AI368)</f>
        <v>0</v>
      </c>
      <c r="AK368" s="74"/>
      <c r="AL368" s="75">
        <f>+AJ368*AN362</f>
        <v>0</v>
      </c>
      <c r="AM368" s="1070">
        <f t="shared" si="691"/>
        <v>0</v>
      </c>
      <c r="AN368" s="76"/>
      <c r="AO368" s="636"/>
      <c r="AP368" s="47" t="s">
        <v>106</v>
      </c>
      <c r="AQ368" s="48">
        <f>AQ364*AN362</f>
        <v>0</v>
      </c>
      <c r="AR368" s="48">
        <f>AR364*AN362</f>
        <v>0</v>
      </c>
      <c r="AS368" s="48">
        <f>AS364*AN362</f>
        <v>0</v>
      </c>
      <c r="AT368" s="48">
        <f>AT364*AN362</f>
        <v>0</v>
      </c>
      <c r="AU368" s="48">
        <f>AU364*AN362</f>
        <v>0</v>
      </c>
      <c r="AV368" s="50">
        <f t="shared" si="760"/>
        <v>0</v>
      </c>
    </row>
    <row r="369" spans="1:48" ht="25.15" hidden="1" customHeight="1">
      <c r="A369" s="103"/>
      <c r="B369" s="65"/>
      <c r="C369" s="77">
        <v>300000</v>
      </c>
      <c r="D369" s="78" t="s">
        <v>107</v>
      </c>
      <c r="E369" s="1327">
        <v>1</v>
      </c>
      <c r="F369" s="1097">
        <v>1</v>
      </c>
      <c r="G369" s="1205">
        <v>1</v>
      </c>
      <c r="H369" s="1097">
        <v>1</v>
      </c>
      <c r="I369" s="1097">
        <v>1</v>
      </c>
      <c r="J369" s="1205">
        <v>1</v>
      </c>
      <c r="K369" s="1205">
        <v>1</v>
      </c>
      <c r="L369" s="1097">
        <v>1</v>
      </c>
      <c r="M369" s="1097">
        <v>1</v>
      </c>
      <c r="N369" s="1097">
        <v>1</v>
      </c>
      <c r="O369" s="1097">
        <v>1</v>
      </c>
      <c r="P369" s="1097">
        <v>1</v>
      </c>
      <c r="Q369" s="1205">
        <v>1</v>
      </c>
      <c r="R369" s="1205">
        <v>1</v>
      </c>
      <c r="S369" s="1097">
        <v>1</v>
      </c>
      <c r="T369" s="1097">
        <v>1</v>
      </c>
      <c r="U369" s="1097">
        <v>1</v>
      </c>
      <c r="V369" s="1097">
        <v>1</v>
      </c>
      <c r="W369" s="1097">
        <v>1</v>
      </c>
      <c r="X369" s="1205">
        <v>1</v>
      </c>
      <c r="Y369" s="1205">
        <v>1</v>
      </c>
      <c r="Z369" s="1097">
        <v>1</v>
      </c>
      <c r="AA369" s="1097">
        <v>1</v>
      </c>
      <c r="AB369" s="1097">
        <v>1</v>
      </c>
      <c r="AC369" s="1097">
        <v>1</v>
      </c>
      <c r="AD369" s="1097">
        <v>1</v>
      </c>
      <c r="AE369" s="1205">
        <v>1</v>
      </c>
      <c r="AF369" s="1205">
        <v>1</v>
      </c>
      <c r="AG369" s="1097">
        <v>1</v>
      </c>
      <c r="AH369" s="1097">
        <v>1</v>
      </c>
      <c r="AI369" s="1328">
        <v>1</v>
      </c>
      <c r="AJ369" s="79"/>
      <c r="AK369" s="79"/>
      <c r="AL369" s="55"/>
      <c r="AM369" s="1067">
        <f t="shared" si="691"/>
        <v>0</v>
      </c>
      <c r="AN369" s="31"/>
      <c r="AO369" s="622"/>
      <c r="AP369" s="23"/>
      <c r="AQ369" s="23"/>
      <c r="AR369" s="23"/>
      <c r="AS369" s="23"/>
      <c r="AT369" s="23"/>
      <c r="AU369" s="23"/>
      <c r="AV369" s="23"/>
    </row>
    <row r="370" spans="1:48" ht="25.15" hidden="1" customHeight="1">
      <c r="A370" s="103"/>
      <c r="B370" s="65"/>
      <c r="C370" s="80" t="s">
        <v>108</v>
      </c>
      <c r="D370" s="81" t="s">
        <v>109</v>
      </c>
      <c r="E370" s="1374">
        <f>SUM(E364+E366+E367+E368)/E369</f>
        <v>0</v>
      </c>
      <c r="F370" s="1104">
        <f>SUM(F364+F366+F367+F368)/F369</f>
        <v>0</v>
      </c>
      <c r="G370" s="1211">
        <f>SUM(G364+G366+G367+G368)/G369</f>
        <v>0</v>
      </c>
      <c r="H370" s="1104">
        <f t="shared" ref="H370:AH370" si="763">SUM(H364+H366+H367+H368)/H369</f>
        <v>0</v>
      </c>
      <c r="I370" s="1104">
        <f t="shared" si="763"/>
        <v>0</v>
      </c>
      <c r="J370" s="1211">
        <f t="shared" si="763"/>
        <v>0</v>
      </c>
      <c r="K370" s="1211">
        <f t="shared" si="763"/>
        <v>0</v>
      </c>
      <c r="L370" s="1104">
        <f t="shared" si="763"/>
        <v>0</v>
      </c>
      <c r="M370" s="1104">
        <f t="shared" si="763"/>
        <v>0</v>
      </c>
      <c r="N370" s="1104">
        <f t="shared" si="763"/>
        <v>0</v>
      </c>
      <c r="O370" s="1104">
        <f t="shared" si="763"/>
        <v>0</v>
      </c>
      <c r="P370" s="1104">
        <f t="shared" si="763"/>
        <v>0</v>
      </c>
      <c r="Q370" s="1211">
        <f t="shared" si="763"/>
        <v>0</v>
      </c>
      <c r="R370" s="1211">
        <f t="shared" si="763"/>
        <v>0</v>
      </c>
      <c r="S370" s="1104">
        <f t="shared" si="763"/>
        <v>0</v>
      </c>
      <c r="T370" s="1104">
        <f t="shared" si="763"/>
        <v>0</v>
      </c>
      <c r="U370" s="1104">
        <f t="shared" si="763"/>
        <v>0</v>
      </c>
      <c r="V370" s="1104">
        <f t="shared" si="763"/>
        <v>0</v>
      </c>
      <c r="W370" s="1104">
        <f t="shared" si="763"/>
        <v>0</v>
      </c>
      <c r="X370" s="1211">
        <f t="shared" si="763"/>
        <v>0</v>
      </c>
      <c r="Y370" s="1211">
        <f t="shared" si="763"/>
        <v>0</v>
      </c>
      <c r="Z370" s="1104">
        <f t="shared" si="763"/>
        <v>0</v>
      </c>
      <c r="AA370" s="1104">
        <f t="shared" ref="AA370" si="764">SUM(AA364+AA366+AA367+AA368)/AA369</f>
        <v>0</v>
      </c>
      <c r="AB370" s="1104">
        <f t="shared" si="763"/>
        <v>0</v>
      </c>
      <c r="AC370" s="1104">
        <f t="shared" si="763"/>
        <v>0</v>
      </c>
      <c r="AD370" s="1104">
        <f t="shared" si="763"/>
        <v>0</v>
      </c>
      <c r="AE370" s="1211">
        <f t="shared" si="763"/>
        <v>0</v>
      </c>
      <c r="AF370" s="1211">
        <f t="shared" si="763"/>
        <v>0</v>
      </c>
      <c r="AG370" s="1104">
        <f t="shared" si="763"/>
        <v>0</v>
      </c>
      <c r="AH370" s="1104">
        <f t="shared" si="763"/>
        <v>0</v>
      </c>
      <c r="AI370" s="1335">
        <f>SUM(AI364+AI366+AI367)/AI369</f>
        <v>0</v>
      </c>
      <c r="AJ370" s="104"/>
      <c r="AK370" s="104"/>
      <c r="AL370" s="83"/>
      <c r="AM370" s="1068">
        <f t="shared" si="691"/>
        <v>0</v>
      </c>
      <c r="AN370" s="31"/>
      <c r="AO370" s="622"/>
      <c r="AP370" s="23"/>
      <c r="AQ370" s="23"/>
      <c r="AR370" s="23"/>
      <c r="AS370" s="23"/>
      <c r="AT370" s="23"/>
      <c r="AU370" s="23"/>
      <c r="AV370" s="23"/>
    </row>
    <row r="371" spans="1:48" ht="25.15" hidden="1" customHeight="1">
      <c r="A371" s="103"/>
      <c r="B371" s="59"/>
      <c r="C371" s="84">
        <f>+C369*0.8</f>
        <v>240000</v>
      </c>
      <c r="D371" s="85" t="s">
        <v>110</v>
      </c>
      <c r="E371" s="1105"/>
      <c r="F371" s="1106"/>
      <c r="G371" s="1211"/>
      <c r="H371" s="1104"/>
      <c r="I371" s="1104"/>
      <c r="J371" s="1211"/>
      <c r="K371" s="1211"/>
      <c r="L371" s="1104"/>
      <c r="M371" s="1104"/>
      <c r="N371" s="1104"/>
      <c r="O371" s="1107"/>
      <c r="P371" s="1104"/>
      <c r="Q371" s="1211"/>
      <c r="R371" s="1211"/>
      <c r="S371" s="1104"/>
      <c r="T371" s="1104"/>
      <c r="U371" s="1104"/>
      <c r="V371" s="1104"/>
      <c r="W371" s="1104"/>
      <c r="X371" s="1211"/>
      <c r="Y371" s="1211"/>
      <c r="Z371" s="1104"/>
      <c r="AA371" s="1104"/>
      <c r="AB371" s="1104"/>
      <c r="AC371" s="1104"/>
      <c r="AD371" s="1104"/>
      <c r="AE371" s="1211"/>
      <c r="AF371" s="1211"/>
      <c r="AG371" s="1104"/>
      <c r="AH371" s="1104"/>
      <c r="AI371" s="1353"/>
      <c r="AJ371" s="86"/>
      <c r="AK371" s="86"/>
      <c r="AL371" s="690"/>
      <c r="AM371" s="694">
        <f t="shared" si="691"/>
        <v>0</v>
      </c>
      <c r="AN371" s="31"/>
      <c r="AO371" s="622"/>
      <c r="AP371" s="23"/>
      <c r="AQ371" s="23"/>
      <c r="AR371" s="23"/>
      <c r="AS371" s="23"/>
      <c r="AT371" s="23"/>
      <c r="AU371" s="23"/>
      <c r="AV371" s="23"/>
    </row>
    <row r="372" spans="1:48" ht="25.15" hidden="1" customHeight="1">
      <c r="A372" s="103"/>
      <c r="B372" s="105"/>
      <c r="C372" s="77"/>
      <c r="D372" s="88" t="s">
        <v>111</v>
      </c>
      <c r="E372" s="1108">
        <f>IF(E371="O/H",E370,0+E370)</f>
        <v>0</v>
      </c>
      <c r="F372" s="1089">
        <f t="shared" ref="F372:AI372" si="765">IF(F371="O/H",F370,+E372+F370)</f>
        <v>0</v>
      </c>
      <c r="G372" s="44">
        <f t="shared" si="765"/>
        <v>0</v>
      </c>
      <c r="H372" s="1089">
        <f t="shared" si="765"/>
        <v>0</v>
      </c>
      <c r="I372" s="1089">
        <f t="shared" si="765"/>
        <v>0</v>
      </c>
      <c r="J372" s="44">
        <f t="shared" si="765"/>
        <v>0</v>
      </c>
      <c r="K372" s="44">
        <f t="shared" si="765"/>
        <v>0</v>
      </c>
      <c r="L372" s="1089">
        <f t="shared" si="765"/>
        <v>0</v>
      </c>
      <c r="M372" s="1089">
        <f t="shared" si="765"/>
        <v>0</v>
      </c>
      <c r="N372" s="1089">
        <f t="shared" si="765"/>
        <v>0</v>
      </c>
      <c r="O372" s="1089">
        <f t="shared" si="765"/>
        <v>0</v>
      </c>
      <c r="P372" s="1089">
        <f t="shared" si="765"/>
        <v>0</v>
      </c>
      <c r="Q372" s="44">
        <f t="shared" si="765"/>
        <v>0</v>
      </c>
      <c r="R372" s="44">
        <f t="shared" si="765"/>
        <v>0</v>
      </c>
      <c r="S372" s="1089">
        <f t="shared" si="765"/>
        <v>0</v>
      </c>
      <c r="T372" s="1089">
        <f t="shared" si="765"/>
        <v>0</v>
      </c>
      <c r="U372" s="1089">
        <f t="shared" si="765"/>
        <v>0</v>
      </c>
      <c r="V372" s="1089">
        <f t="shared" si="765"/>
        <v>0</v>
      </c>
      <c r="W372" s="1089">
        <f t="shared" si="765"/>
        <v>0</v>
      </c>
      <c r="X372" s="44">
        <f t="shared" si="765"/>
        <v>0</v>
      </c>
      <c r="Y372" s="44">
        <f t="shared" si="765"/>
        <v>0</v>
      </c>
      <c r="Z372" s="1089">
        <f t="shared" si="765"/>
        <v>0</v>
      </c>
      <c r="AA372" s="1089">
        <f t="shared" si="765"/>
        <v>0</v>
      </c>
      <c r="AB372" s="1089">
        <f t="shared" si="765"/>
        <v>0</v>
      </c>
      <c r="AC372" s="1089">
        <f t="shared" si="765"/>
        <v>0</v>
      </c>
      <c r="AD372" s="1089">
        <f t="shared" si="765"/>
        <v>0</v>
      </c>
      <c r="AE372" s="44">
        <f t="shared" si="765"/>
        <v>0</v>
      </c>
      <c r="AF372" s="44">
        <f t="shared" si="765"/>
        <v>0</v>
      </c>
      <c r="AG372" s="1089">
        <f t="shared" si="765"/>
        <v>0</v>
      </c>
      <c r="AH372" s="1089">
        <f t="shared" si="765"/>
        <v>0</v>
      </c>
      <c r="AI372" s="1326">
        <f t="shared" si="765"/>
        <v>0</v>
      </c>
      <c r="AJ372" s="79"/>
      <c r="AK372" s="86"/>
      <c r="AL372" s="689"/>
      <c r="AM372" s="694">
        <f t="shared" si="691"/>
        <v>0</v>
      </c>
      <c r="AN372" s="31"/>
      <c r="AO372" s="622"/>
      <c r="AP372" s="23"/>
      <c r="AQ372" s="23"/>
      <c r="AR372" s="23"/>
      <c r="AS372" s="23"/>
      <c r="AT372" s="23"/>
      <c r="AU372" s="23"/>
      <c r="AV372" s="23"/>
    </row>
    <row r="373" spans="1:48" s="23" customFormat="1" ht="20.65" hidden="1" customHeight="1">
      <c r="A373" s="274"/>
      <c r="B373" s="312"/>
      <c r="C373" s="308"/>
      <c r="D373" s="795" t="s">
        <v>112</v>
      </c>
      <c r="E373" s="1108" t="b">
        <f>IF(AND(ISNUMBER(E364)),151431+E370)</f>
        <v>0</v>
      </c>
      <c r="F373" s="1089" t="str">
        <f>IF(AND(ISNUMBER(F364)),E373+F370,"")</f>
        <v/>
      </c>
      <c r="G373" s="44" t="str">
        <f t="shared" ref="G373" si="766">IF(AND(ISNUMBER(G364)),F373+G370,"")</f>
        <v/>
      </c>
      <c r="H373" s="1089" t="str">
        <f t="shared" ref="H373" si="767">IF(AND(ISNUMBER(H364)),G373+H370,"")</f>
        <v/>
      </c>
      <c r="I373" s="1089" t="str">
        <f>IF(AND(ISNUMBER(I364)),H373+I370,"")</f>
        <v/>
      </c>
      <c r="J373" s="44" t="str">
        <f>IF(AND(ISNUMBER(J364)),I373+J370,"")</f>
        <v/>
      </c>
      <c r="K373" s="44" t="str">
        <f>IF(AND(ISNUMBER(K364)),J373+K370,"")</f>
        <v/>
      </c>
      <c r="L373" s="1089" t="str">
        <f t="shared" ref="L373" si="768">IF(AND(ISNUMBER(L364)),K373+L370,"")</f>
        <v/>
      </c>
      <c r="M373" s="1089" t="str">
        <f t="shared" ref="M373" si="769">IF(AND(ISNUMBER(M364)),L373+M370,"")</f>
        <v/>
      </c>
      <c r="N373" s="1089" t="str">
        <f t="shared" ref="N373" si="770">IF(AND(ISNUMBER(N364)),M373+N370,"")</f>
        <v/>
      </c>
      <c r="O373" s="1089" t="str">
        <f t="shared" ref="O373" si="771">IF(AND(ISNUMBER(O364)),N373+O370,"")</f>
        <v/>
      </c>
      <c r="P373" s="1089" t="str">
        <f t="shared" ref="P373" si="772">IF(AND(ISNUMBER(P364)),O373+P370,"")</f>
        <v/>
      </c>
      <c r="Q373" s="44" t="str">
        <f t="shared" ref="Q373" si="773">IF(AND(ISNUMBER(Q364)),P373+Q370,"")</f>
        <v/>
      </c>
      <c r="R373" s="44" t="str">
        <f t="shared" ref="R373" si="774">IF(AND(ISNUMBER(R364)),Q373+R370,"")</f>
        <v/>
      </c>
      <c r="S373" s="1089" t="str">
        <f t="shared" ref="S373" si="775">IF(AND(ISNUMBER(S364)),R373+S370,"")</f>
        <v/>
      </c>
      <c r="T373" s="1089" t="str">
        <f t="shared" ref="T373" si="776">IF(AND(ISNUMBER(T364)),S373+T370,"")</f>
        <v/>
      </c>
      <c r="U373" s="1089" t="str">
        <f t="shared" ref="U373" si="777">IF(AND(ISNUMBER(U364)),T373+U370,"")</f>
        <v/>
      </c>
      <c r="V373" s="1089" t="str">
        <f t="shared" ref="V373" si="778">IF(AND(ISNUMBER(V364)),U373+V370,"")</f>
        <v/>
      </c>
      <c r="W373" s="1089" t="str">
        <f t="shared" ref="W373" si="779">IF(AND(ISNUMBER(W364)),V373+W370,"")</f>
        <v/>
      </c>
      <c r="X373" s="44" t="str">
        <f t="shared" ref="X373" si="780">IF(AND(ISNUMBER(X364)),W373+X370,"")</f>
        <v/>
      </c>
      <c r="Y373" s="44" t="str">
        <f t="shared" ref="Y373" si="781">IF(AND(ISNUMBER(Y364)),X373+Y370,"")</f>
        <v/>
      </c>
      <c r="Z373" s="1089" t="str">
        <f t="shared" ref="Z373" si="782">IF(AND(ISNUMBER(Z364)),Y373+Z370,"")</f>
        <v/>
      </c>
      <c r="AA373" s="1089" t="str">
        <f t="shared" ref="AA373" si="783">IF(AND(ISNUMBER(AA364)),Z373+AA370,"")</f>
        <v/>
      </c>
      <c r="AB373" s="1089" t="str">
        <f t="shared" ref="AB373" si="784">IF(AND(ISNUMBER(AB364)),AA373+AB370,"")</f>
        <v/>
      </c>
      <c r="AC373" s="1089" t="str">
        <f t="shared" ref="AC373" si="785">IF(AND(ISNUMBER(AC364)),AB373+AC370,"")</f>
        <v/>
      </c>
      <c r="AD373" s="1089" t="str">
        <f t="shared" ref="AD373" si="786">IF(AND(ISNUMBER(AD364)),AC373+AD370,"")</f>
        <v/>
      </c>
      <c r="AE373" s="44" t="str">
        <f t="shared" ref="AE373" si="787">IF(AND(ISNUMBER(AE364)),AD373+AE370,"")</f>
        <v/>
      </c>
      <c r="AF373" s="44" t="str">
        <f t="shared" ref="AF373" si="788">IF(AND(ISNUMBER(AF364)),AE373+AF370,"")</f>
        <v/>
      </c>
      <c r="AG373" s="1089" t="str">
        <f t="shared" ref="AG373" si="789">IF(AND(ISNUMBER(AG364)),AF373+AG370,"")</f>
        <v/>
      </c>
      <c r="AH373" s="1089" t="str">
        <f t="shared" ref="AH373" si="790">IF(AND(ISNUMBER(AH364)),AG373+AH370,"")</f>
        <v/>
      </c>
      <c r="AI373" s="1089" t="str">
        <f t="shared" ref="AI373" si="791">IF(AND(ISNUMBER(AI364)),AH373+AI370,"")</f>
        <v/>
      </c>
      <c r="AJ373" s="793"/>
      <c r="AK373" s="793"/>
      <c r="AL373" s="909"/>
      <c r="AM373" s="890">
        <f t="shared" si="691"/>
        <v>0</v>
      </c>
      <c r="AN373" s="76"/>
      <c r="AO373" s="624"/>
      <c r="AP373" s="285"/>
      <c r="AQ373" s="285"/>
      <c r="AR373" s="285"/>
      <c r="AS373" s="285"/>
      <c r="AT373" s="286"/>
      <c r="AU373" s="285"/>
      <c r="AV373" s="287"/>
    </row>
    <row r="374" spans="1:48" ht="25.15" hidden="1" customHeight="1">
      <c r="A374" s="103"/>
      <c r="B374" s="89"/>
      <c r="C374" s="80"/>
      <c r="D374" s="90" t="s">
        <v>104</v>
      </c>
      <c r="E374" s="1108"/>
      <c r="F374" s="1089"/>
      <c r="G374" s="44"/>
      <c r="H374" s="1089"/>
      <c r="I374" s="1089"/>
      <c r="J374" s="44"/>
      <c r="K374" s="44"/>
      <c r="L374" s="1089"/>
      <c r="M374" s="1089"/>
      <c r="N374" s="1089"/>
      <c r="O374" s="1089"/>
      <c r="P374" s="1089"/>
      <c r="Q374" s="44"/>
      <c r="R374" s="44"/>
      <c r="S374" s="1089"/>
      <c r="T374" s="1089"/>
      <c r="U374" s="1089"/>
      <c r="V374" s="1089"/>
      <c r="W374" s="1089"/>
      <c r="X374" s="44"/>
      <c r="Y374" s="44"/>
      <c r="Z374" s="1089"/>
      <c r="AA374" s="1089"/>
      <c r="AB374" s="1089"/>
      <c r="AC374" s="1089"/>
      <c r="AD374" s="1089"/>
      <c r="AE374" s="44"/>
      <c r="AF374" s="44"/>
      <c r="AG374" s="1089"/>
      <c r="AH374" s="1089"/>
      <c r="AI374" s="1326"/>
      <c r="AJ374" s="79"/>
      <c r="AK374" s="79"/>
      <c r="AL374" s="63"/>
      <c r="AM374" s="1068">
        <f t="shared" si="691"/>
        <v>0</v>
      </c>
      <c r="AN374" s="64"/>
      <c r="AO374" s="624"/>
      <c r="AP374" s="23"/>
      <c r="AQ374" s="23"/>
      <c r="AR374" s="23"/>
      <c r="AS374" s="23"/>
      <c r="AT374" s="23"/>
      <c r="AU374" s="23"/>
      <c r="AV374" s="23"/>
    </row>
    <row r="375" spans="1:48" ht="25.15" hidden="1" customHeight="1" thickBot="1">
      <c r="A375" s="106"/>
      <c r="B375" s="93"/>
      <c r="C375" s="94"/>
      <c r="D375" s="95" t="s">
        <v>111</v>
      </c>
      <c r="E375" s="1109">
        <f>IF(E374="O/H",E370,0+E370)</f>
        <v>0</v>
      </c>
      <c r="F375" s="1110">
        <f t="shared" ref="F375:AI375" si="792">IF(F374="O/H",F370,+E375+F370)</f>
        <v>0</v>
      </c>
      <c r="G375" s="1212">
        <f t="shared" si="792"/>
        <v>0</v>
      </c>
      <c r="H375" s="1110">
        <f t="shared" si="792"/>
        <v>0</v>
      </c>
      <c r="I375" s="1110">
        <f t="shared" si="792"/>
        <v>0</v>
      </c>
      <c r="J375" s="1212">
        <f t="shared" si="792"/>
        <v>0</v>
      </c>
      <c r="K375" s="1212">
        <f t="shared" si="792"/>
        <v>0</v>
      </c>
      <c r="L375" s="1110">
        <f t="shared" si="792"/>
        <v>0</v>
      </c>
      <c r="M375" s="1110">
        <f t="shared" si="792"/>
        <v>0</v>
      </c>
      <c r="N375" s="1110">
        <f t="shared" si="792"/>
        <v>0</v>
      </c>
      <c r="O375" s="1110">
        <f t="shared" si="792"/>
        <v>0</v>
      </c>
      <c r="P375" s="1110">
        <f t="shared" si="792"/>
        <v>0</v>
      </c>
      <c r="Q375" s="1212">
        <f t="shared" si="792"/>
        <v>0</v>
      </c>
      <c r="R375" s="1212">
        <f t="shared" si="792"/>
        <v>0</v>
      </c>
      <c r="S375" s="1110">
        <f t="shared" si="792"/>
        <v>0</v>
      </c>
      <c r="T375" s="1110">
        <f t="shared" si="792"/>
        <v>0</v>
      </c>
      <c r="U375" s="1110">
        <f t="shared" si="792"/>
        <v>0</v>
      </c>
      <c r="V375" s="1110">
        <f t="shared" si="792"/>
        <v>0</v>
      </c>
      <c r="W375" s="1110">
        <f t="shared" si="792"/>
        <v>0</v>
      </c>
      <c r="X375" s="1212">
        <f t="shared" si="792"/>
        <v>0</v>
      </c>
      <c r="Y375" s="1212">
        <f t="shared" si="792"/>
        <v>0</v>
      </c>
      <c r="Z375" s="1110">
        <f t="shared" si="792"/>
        <v>0</v>
      </c>
      <c r="AA375" s="1110">
        <f t="shared" si="792"/>
        <v>0</v>
      </c>
      <c r="AB375" s="1110">
        <f t="shared" si="792"/>
        <v>0</v>
      </c>
      <c r="AC375" s="1110">
        <f t="shared" si="792"/>
        <v>0</v>
      </c>
      <c r="AD375" s="1110">
        <f t="shared" si="792"/>
        <v>0</v>
      </c>
      <c r="AE375" s="1212">
        <f t="shared" si="792"/>
        <v>0</v>
      </c>
      <c r="AF375" s="1212">
        <f t="shared" si="792"/>
        <v>0</v>
      </c>
      <c r="AG375" s="1110">
        <f t="shared" si="792"/>
        <v>0</v>
      </c>
      <c r="AH375" s="1110">
        <f t="shared" si="792"/>
        <v>0</v>
      </c>
      <c r="AI375" s="1340">
        <f t="shared" si="792"/>
        <v>0</v>
      </c>
      <c r="AJ375" s="96"/>
      <c r="AK375" s="96"/>
      <c r="AL375" s="97"/>
      <c r="AM375" s="1071">
        <f t="shared" si="691"/>
        <v>0</v>
      </c>
      <c r="AN375" s="98"/>
      <c r="AO375" s="625"/>
      <c r="AP375" s="23"/>
      <c r="AQ375" s="23"/>
      <c r="AR375" s="23"/>
      <c r="AS375" s="23"/>
      <c r="AT375" s="23"/>
      <c r="AU375" s="23"/>
      <c r="AV375" s="23"/>
    </row>
    <row r="376" spans="1:48" ht="25.15" hidden="1" customHeight="1" thickTop="1">
      <c r="A376" s="99"/>
      <c r="B376" s="26" t="s">
        <v>160</v>
      </c>
      <c r="C376" s="27"/>
      <c r="D376" s="28" t="s">
        <v>82</v>
      </c>
      <c r="E376" s="1111"/>
      <c r="F376" s="1111"/>
      <c r="G376" s="1201"/>
      <c r="H376" s="1111"/>
      <c r="I376" s="1111"/>
      <c r="J376" s="1201"/>
      <c r="K376" s="1201"/>
      <c r="L376" s="1111"/>
      <c r="M376" s="1111"/>
      <c r="N376" s="1111"/>
      <c r="O376" s="1111"/>
      <c r="P376" s="1111"/>
      <c r="Q376" s="1201"/>
      <c r="R376" s="1201"/>
      <c r="S376" s="1111"/>
      <c r="T376" s="1111"/>
      <c r="U376" s="1111"/>
      <c r="V376" s="1111"/>
      <c r="W376" s="1111"/>
      <c r="X376" s="1201"/>
      <c r="Y376" s="1201"/>
      <c r="Z376" s="1111"/>
      <c r="AA376" s="1089"/>
      <c r="AB376" s="1111"/>
      <c r="AC376" s="1111"/>
      <c r="AD376" s="1111"/>
      <c r="AE376" s="1201"/>
      <c r="AF376" s="1201"/>
      <c r="AG376" s="1111"/>
      <c r="AH376" s="1111"/>
      <c r="AI376" s="1412"/>
      <c r="AJ376" s="100">
        <f>SUM(Table75[[#This Row],[June''2026]:[Column27]])</f>
        <v>0</v>
      </c>
      <c r="AK376" s="100">
        <f t="shared" si="722"/>
        <v>0</v>
      </c>
      <c r="AL376" s="101">
        <f>+AJ376*AN376</f>
        <v>0</v>
      </c>
      <c r="AM376" s="1072">
        <f t="shared" si="691"/>
        <v>0</v>
      </c>
      <c r="AN376" s="102"/>
      <c r="AO376" s="622" t="e">
        <f>Table5[[#This Row],[Total]]*B380/1000</f>
        <v>#VALUE!</v>
      </c>
      <c r="AP376" s="32" t="s">
        <v>134</v>
      </c>
      <c r="AQ376" s="33" t="s">
        <v>84</v>
      </c>
      <c r="AR376" s="33" t="s">
        <v>85</v>
      </c>
      <c r="AS376" s="33" t="s">
        <v>86</v>
      </c>
      <c r="AT376" s="33" t="s">
        <v>87</v>
      </c>
      <c r="AU376" s="33" t="s">
        <v>88</v>
      </c>
      <c r="AV376" s="34" t="s">
        <v>68</v>
      </c>
    </row>
    <row r="377" spans="1:48" ht="25.15" hidden="1" customHeight="1">
      <c r="A377" s="103"/>
      <c r="B377" s="35" t="s">
        <v>161</v>
      </c>
      <c r="C377" s="36"/>
      <c r="D377" s="37" t="s">
        <v>90</v>
      </c>
      <c r="E377" s="1373">
        <f>IF(E376="",0,+ E376/E383)</f>
        <v>0</v>
      </c>
      <c r="F377" s="1096">
        <f t="shared" ref="F377:AI377" si="793">IF(F376="",0, E377+F376/F383)</f>
        <v>0</v>
      </c>
      <c r="G377" s="1207">
        <f t="shared" si="793"/>
        <v>0</v>
      </c>
      <c r="H377" s="1096">
        <f t="shared" si="793"/>
        <v>0</v>
      </c>
      <c r="I377" s="1096">
        <f t="shared" si="793"/>
        <v>0</v>
      </c>
      <c r="J377" s="1207">
        <f t="shared" si="793"/>
        <v>0</v>
      </c>
      <c r="K377" s="1207">
        <f t="shared" si="793"/>
        <v>0</v>
      </c>
      <c r="L377" s="1096">
        <f t="shared" si="793"/>
        <v>0</v>
      </c>
      <c r="M377" s="1096">
        <f t="shared" si="793"/>
        <v>0</v>
      </c>
      <c r="N377" s="1096">
        <f t="shared" si="793"/>
        <v>0</v>
      </c>
      <c r="O377" s="1096">
        <f t="shared" si="793"/>
        <v>0</v>
      </c>
      <c r="P377" s="1096">
        <f t="shared" si="793"/>
        <v>0</v>
      </c>
      <c r="Q377" s="1207">
        <f t="shared" si="793"/>
        <v>0</v>
      </c>
      <c r="R377" s="1207">
        <f t="shared" si="793"/>
        <v>0</v>
      </c>
      <c r="S377" s="1096">
        <f t="shared" si="793"/>
        <v>0</v>
      </c>
      <c r="T377" s="1096">
        <f t="shared" si="793"/>
        <v>0</v>
      </c>
      <c r="U377" s="1096">
        <f t="shared" si="793"/>
        <v>0</v>
      </c>
      <c r="V377" s="1096">
        <f t="shared" si="793"/>
        <v>0</v>
      </c>
      <c r="W377" s="1096">
        <f t="shared" si="793"/>
        <v>0</v>
      </c>
      <c r="X377" s="1207">
        <f t="shared" si="793"/>
        <v>0</v>
      </c>
      <c r="Y377" s="1207">
        <f t="shared" si="793"/>
        <v>0</v>
      </c>
      <c r="Z377" s="1096">
        <f t="shared" si="793"/>
        <v>0</v>
      </c>
      <c r="AA377" s="1089"/>
      <c r="AB377" s="1096">
        <f t="shared" si="793"/>
        <v>0</v>
      </c>
      <c r="AC377" s="1096">
        <f t="shared" si="793"/>
        <v>0</v>
      </c>
      <c r="AD377" s="1096">
        <f t="shared" si="793"/>
        <v>0</v>
      </c>
      <c r="AE377" s="1207">
        <f t="shared" si="793"/>
        <v>0</v>
      </c>
      <c r="AF377" s="1207">
        <f t="shared" si="793"/>
        <v>0</v>
      </c>
      <c r="AG377" s="1096">
        <f t="shared" si="793"/>
        <v>0</v>
      </c>
      <c r="AH377" s="1096">
        <f t="shared" si="793"/>
        <v>0</v>
      </c>
      <c r="AI377" s="1324">
        <f t="shared" si="793"/>
        <v>0</v>
      </c>
      <c r="AJ377" s="38"/>
      <c r="AK377" s="29">
        <f t="shared" si="722"/>
        <v>0</v>
      </c>
      <c r="AL377" s="30"/>
      <c r="AM377" s="694">
        <f t="shared" si="691"/>
        <v>0</v>
      </c>
      <c r="AN377" s="31"/>
      <c r="AO377" s="630"/>
      <c r="AP377" s="39" t="s">
        <v>91</v>
      </c>
      <c r="AQ377" s="40">
        <f>SUM(E376:I376)</f>
        <v>0</v>
      </c>
      <c r="AR377" s="41">
        <f>SUM(J376:P376)</f>
        <v>0</v>
      </c>
      <c r="AS377" s="41">
        <f>SUM(Q376:W376)</f>
        <v>0</v>
      </c>
      <c r="AT377" s="41">
        <f>SUM(X376:AD376)</f>
        <v>0</v>
      </c>
      <c r="AU377" s="41">
        <f>SUM(AE376:AI376)</f>
        <v>0</v>
      </c>
      <c r="AV377" s="34">
        <f t="shared" ref="AV377:AV382" si="794">SUM(AQ377:AU377)</f>
        <v>0</v>
      </c>
    </row>
    <row r="378" spans="1:48" ht="25.15" hidden="1" customHeight="1">
      <c r="A378" s="103"/>
      <c r="B378" s="26" t="s">
        <v>92</v>
      </c>
      <c r="C378" s="42"/>
      <c r="D378" s="43" t="s">
        <v>93</v>
      </c>
      <c r="E378" s="1325"/>
      <c r="F378" s="1089"/>
      <c r="G378" s="44"/>
      <c r="H378" s="1089"/>
      <c r="I378" s="1089"/>
      <c r="J378" s="44"/>
      <c r="K378" s="44"/>
      <c r="L378" s="1089"/>
      <c r="M378" s="1089"/>
      <c r="N378" s="1089"/>
      <c r="O378" s="1089"/>
      <c r="P378" s="1089"/>
      <c r="Q378" s="44"/>
      <c r="R378" s="44"/>
      <c r="S378" s="1089"/>
      <c r="T378" s="1089"/>
      <c r="U378" s="1089"/>
      <c r="V378" s="1089"/>
      <c r="W378" s="1089"/>
      <c r="X378" s="44"/>
      <c r="Y378" s="44"/>
      <c r="Z378" s="1089"/>
      <c r="AA378" s="1089"/>
      <c r="AB378" s="1089"/>
      <c r="AC378" s="1089"/>
      <c r="AD378" s="1089"/>
      <c r="AE378" s="44"/>
      <c r="AF378" s="44"/>
      <c r="AG378" s="1089"/>
      <c r="AH378" s="1089"/>
      <c r="AI378" s="1326"/>
      <c r="AJ378" s="45">
        <f>SUM(E378:AI378)</f>
        <v>0</v>
      </c>
      <c r="AK378" s="45"/>
      <c r="AL378" s="46">
        <f>+AJ378*AN376</f>
        <v>0</v>
      </c>
      <c r="AM378" s="1066">
        <f t="shared" si="691"/>
        <v>0</v>
      </c>
      <c r="AN378" s="31"/>
      <c r="AO378" s="632">
        <f>(AJ378+AJ380+AJ381+AJ382)*B380/1000</f>
        <v>0</v>
      </c>
      <c r="AP378" s="47" t="s">
        <v>94</v>
      </c>
      <c r="AQ378" s="48">
        <f>SUM(E378:I378)</f>
        <v>0</v>
      </c>
      <c r="AR378" s="49">
        <f>SUM(J378:P378)</f>
        <v>0</v>
      </c>
      <c r="AS378" s="49">
        <f>SUM(Q378:W378)</f>
        <v>0</v>
      </c>
      <c r="AT378" s="49">
        <f>SUM(X378:AD378)</f>
        <v>0</v>
      </c>
      <c r="AU378" s="49">
        <f>SUM(AE378:AI378)</f>
        <v>0</v>
      </c>
      <c r="AV378" s="50">
        <f t="shared" si="794"/>
        <v>0</v>
      </c>
    </row>
    <row r="379" spans="1:48" ht="25.15" hidden="1" customHeight="1">
      <c r="A379" s="103"/>
      <c r="B379" s="51"/>
      <c r="C379" s="52" t="s">
        <v>95</v>
      </c>
      <c r="D379" s="53" t="s">
        <v>96</v>
      </c>
      <c r="E379" s="1327">
        <f t="shared" ref="E379:AJ379" si="795">+E378-E376</f>
        <v>0</v>
      </c>
      <c r="F379" s="1097">
        <f t="shared" si="795"/>
        <v>0</v>
      </c>
      <c r="G379" s="1205">
        <f t="shared" si="795"/>
        <v>0</v>
      </c>
      <c r="H379" s="1097">
        <f t="shared" si="795"/>
        <v>0</v>
      </c>
      <c r="I379" s="1097">
        <f t="shared" si="795"/>
        <v>0</v>
      </c>
      <c r="J379" s="1205">
        <f t="shared" si="795"/>
        <v>0</v>
      </c>
      <c r="K379" s="1205">
        <f t="shared" si="795"/>
        <v>0</v>
      </c>
      <c r="L379" s="1097">
        <f t="shared" si="795"/>
        <v>0</v>
      </c>
      <c r="M379" s="1097">
        <f t="shared" si="795"/>
        <v>0</v>
      </c>
      <c r="N379" s="1097">
        <f t="shared" si="795"/>
        <v>0</v>
      </c>
      <c r="O379" s="1097">
        <f t="shared" si="795"/>
        <v>0</v>
      </c>
      <c r="P379" s="1097">
        <f t="shared" si="795"/>
        <v>0</v>
      </c>
      <c r="Q379" s="1205">
        <f t="shared" si="795"/>
        <v>0</v>
      </c>
      <c r="R379" s="1205">
        <f t="shared" si="795"/>
        <v>0</v>
      </c>
      <c r="S379" s="1097">
        <f t="shared" si="795"/>
        <v>0</v>
      </c>
      <c r="T379" s="1097">
        <f t="shared" si="795"/>
        <v>0</v>
      </c>
      <c r="U379" s="1097">
        <f t="shared" si="795"/>
        <v>0</v>
      </c>
      <c r="V379" s="1097">
        <f t="shared" si="795"/>
        <v>0</v>
      </c>
      <c r="W379" s="1097">
        <f t="shared" si="795"/>
        <v>0</v>
      </c>
      <c r="X379" s="1205">
        <f t="shared" si="795"/>
        <v>0</v>
      </c>
      <c r="Y379" s="1205">
        <f t="shared" si="795"/>
        <v>0</v>
      </c>
      <c r="Z379" s="1097">
        <f t="shared" si="795"/>
        <v>0</v>
      </c>
      <c r="AA379" s="1089"/>
      <c r="AB379" s="1097">
        <f t="shared" si="795"/>
        <v>0</v>
      </c>
      <c r="AC379" s="1097">
        <f t="shared" si="795"/>
        <v>0</v>
      </c>
      <c r="AD379" s="1097">
        <f t="shared" si="795"/>
        <v>0</v>
      </c>
      <c r="AE379" s="1205">
        <f t="shared" si="795"/>
        <v>0</v>
      </c>
      <c r="AF379" s="1205">
        <f t="shared" si="795"/>
        <v>0</v>
      </c>
      <c r="AG379" s="1097">
        <f t="shared" si="795"/>
        <v>0</v>
      </c>
      <c r="AH379" s="1097">
        <f t="shared" si="795"/>
        <v>0</v>
      </c>
      <c r="AI379" s="1328">
        <f t="shared" si="795"/>
        <v>0</v>
      </c>
      <c r="AJ379" s="54">
        <f t="shared" si="795"/>
        <v>0</v>
      </c>
      <c r="AK379" s="54"/>
      <c r="AL379" s="55">
        <f>+AJ379*AN376</f>
        <v>0</v>
      </c>
      <c r="AM379" s="1067">
        <f t="shared" si="691"/>
        <v>0</v>
      </c>
      <c r="AN379" s="31" t="s">
        <v>97</v>
      </c>
      <c r="AO379" s="622"/>
      <c r="AP379" s="39" t="s">
        <v>98</v>
      </c>
      <c r="AQ379" s="56">
        <f>AQ378-AQ377</f>
        <v>0</v>
      </c>
      <c r="AR379" s="70">
        <f>AR378-AR377</f>
        <v>0</v>
      </c>
      <c r="AS379" s="70">
        <f>AS378-AS377</f>
        <v>0</v>
      </c>
      <c r="AT379" s="70">
        <f>AT378-AT377</f>
        <v>0</v>
      </c>
      <c r="AU379" s="70">
        <f>AU378-AU377</f>
        <v>0</v>
      </c>
      <c r="AV379" s="57">
        <f t="shared" si="794"/>
        <v>0</v>
      </c>
    </row>
    <row r="380" spans="1:48" ht="25.15" hidden="1" customHeight="1">
      <c r="A380" s="58"/>
      <c r="B380" s="59"/>
      <c r="C380" s="60" t="s">
        <v>100</v>
      </c>
      <c r="D380" s="61" t="s">
        <v>101</v>
      </c>
      <c r="E380" s="1329"/>
      <c r="F380" s="1099"/>
      <c r="G380" s="1208"/>
      <c r="H380" s="1099"/>
      <c r="I380" s="1099"/>
      <c r="J380" s="1208"/>
      <c r="K380" s="1208"/>
      <c r="L380" s="1099"/>
      <c r="M380" s="1099"/>
      <c r="N380" s="1099"/>
      <c r="O380" s="1099"/>
      <c r="P380" s="1099"/>
      <c r="Q380" s="1208"/>
      <c r="R380" s="1208"/>
      <c r="S380" s="1099"/>
      <c r="T380" s="1099"/>
      <c r="U380" s="1099"/>
      <c r="V380" s="1099"/>
      <c r="W380" s="1099"/>
      <c r="X380" s="1208"/>
      <c r="Y380" s="1208"/>
      <c r="Z380" s="1099"/>
      <c r="AA380" s="1089"/>
      <c r="AB380" s="1099"/>
      <c r="AC380" s="1099"/>
      <c r="AD380" s="1099"/>
      <c r="AE380" s="1208"/>
      <c r="AF380" s="1208"/>
      <c r="AG380" s="1099"/>
      <c r="AH380" s="1099"/>
      <c r="AI380" s="1330"/>
      <c r="AJ380" s="62">
        <f>SUM(E380:AI380)</f>
        <v>0</v>
      </c>
      <c r="AK380" s="62"/>
      <c r="AL380" s="63">
        <f>+AJ380*AN376</f>
        <v>0</v>
      </c>
      <c r="AM380" s="1068">
        <f t="shared" si="691"/>
        <v>0</v>
      </c>
      <c r="AN380" s="64" t="e">
        <f>+AJ380/AJ378*100</f>
        <v>#DIV/0!</v>
      </c>
      <c r="AO380" s="635" t="e">
        <f>AO378/AO376</f>
        <v>#VALUE!</v>
      </c>
      <c r="AP380" s="39" t="s">
        <v>102</v>
      </c>
      <c r="AQ380" s="56">
        <f>SUM(E380:I380)</f>
        <v>0</v>
      </c>
      <c r="AR380" s="70">
        <f>SUM(J380:P380)</f>
        <v>0</v>
      </c>
      <c r="AS380" s="70">
        <f>SUM(Q380:W380)</f>
        <v>0</v>
      </c>
      <c r="AT380" s="70">
        <f>SUM(X380:AD380)</f>
        <v>0</v>
      </c>
      <c r="AU380" s="70">
        <f>SUM(AE380:AI380)</f>
        <v>0</v>
      </c>
      <c r="AV380" s="57">
        <f t="shared" si="794"/>
        <v>0</v>
      </c>
    </row>
    <row r="381" spans="1:48" ht="25.15" hidden="1" customHeight="1">
      <c r="A381" s="58" t="s">
        <v>135</v>
      </c>
      <c r="B381" s="65"/>
      <c r="C381" s="66"/>
      <c r="D381" s="67" t="s">
        <v>103</v>
      </c>
      <c r="E381" s="1331"/>
      <c r="F381" s="1101"/>
      <c r="G381" s="1209"/>
      <c r="H381" s="1101"/>
      <c r="I381" s="1101"/>
      <c r="J381" s="1209"/>
      <c r="K381" s="1209"/>
      <c r="L381" s="1101"/>
      <c r="M381" s="1101"/>
      <c r="N381" s="1101"/>
      <c r="O381" s="1101"/>
      <c r="P381" s="1101"/>
      <c r="Q381" s="1209"/>
      <c r="R381" s="1209"/>
      <c r="S381" s="1101"/>
      <c r="T381" s="1101"/>
      <c r="U381" s="1101"/>
      <c r="V381" s="1101"/>
      <c r="W381" s="1101"/>
      <c r="X381" s="1209"/>
      <c r="Y381" s="1209"/>
      <c r="Z381" s="1101"/>
      <c r="AA381" s="1089"/>
      <c r="AB381" s="1101"/>
      <c r="AC381" s="1101"/>
      <c r="AD381" s="1101"/>
      <c r="AE381" s="1209"/>
      <c r="AF381" s="1209"/>
      <c r="AG381" s="1101"/>
      <c r="AH381" s="1101"/>
      <c r="AI381" s="1332"/>
      <c r="AJ381" s="68">
        <f>SUM(E381:AI381)</f>
        <v>0</v>
      </c>
      <c r="AK381" s="68"/>
      <c r="AL381" s="69">
        <f>+AJ381*AN376</f>
        <v>0</v>
      </c>
      <c r="AM381" s="1069">
        <f t="shared" si="691"/>
        <v>0</v>
      </c>
      <c r="AN381" s="31"/>
      <c r="AO381" s="622"/>
      <c r="AP381" s="39" t="s">
        <v>19</v>
      </c>
      <c r="AQ381" s="56">
        <f>AQ380*AN376</f>
        <v>0</v>
      </c>
      <c r="AR381" s="56">
        <f>AR380*AN376</f>
        <v>0</v>
      </c>
      <c r="AS381" s="56">
        <f>AS380*AN376</f>
        <v>0</v>
      </c>
      <c r="AT381" s="56">
        <f>AT380*AN376</f>
        <v>0</v>
      </c>
      <c r="AU381" s="56">
        <f>AU380*AN376</f>
        <v>0</v>
      </c>
      <c r="AV381" s="57">
        <f t="shared" si="794"/>
        <v>0</v>
      </c>
    </row>
    <row r="382" spans="1:48" ht="25.15" hidden="1" customHeight="1">
      <c r="A382" s="103"/>
      <c r="B382" s="65"/>
      <c r="C382" s="72" t="s">
        <v>104</v>
      </c>
      <c r="D382" s="73" t="s">
        <v>105</v>
      </c>
      <c r="E382" s="1378"/>
      <c r="F382" s="1103"/>
      <c r="G382" s="1210"/>
      <c r="H382" s="1103"/>
      <c r="I382" s="1103"/>
      <c r="J382" s="1210"/>
      <c r="K382" s="1210"/>
      <c r="L382" s="1103"/>
      <c r="M382" s="1103"/>
      <c r="N382" s="1103"/>
      <c r="O382" s="1103"/>
      <c r="P382" s="1103"/>
      <c r="Q382" s="1210"/>
      <c r="R382" s="1210"/>
      <c r="S382" s="1103"/>
      <c r="T382" s="1103"/>
      <c r="U382" s="1103"/>
      <c r="V382" s="1103"/>
      <c r="W382" s="1103"/>
      <c r="X382" s="1210"/>
      <c r="Y382" s="1210"/>
      <c r="Z382" s="1103"/>
      <c r="AA382" s="1089"/>
      <c r="AB382" s="1103"/>
      <c r="AC382" s="1103"/>
      <c r="AD382" s="1103"/>
      <c r="AE382" s="1210"/>
      <c r="AF382" s="1210"/>
      <c r="AG382" s="1103"/>
      <c r="AH382" s="1103"/>
      <c r="AI382" s="1352"/>
      <c r="AJ382" s="74">
        <f>SUM(E382:AI382)</f>
        <v>0</v>
      </c>
      <c r="AK382" s="74"/>
      <c r="AL382" s="75">
        <f>+AJ382*AN376</f>
        <v>0</v>
      </c>
      <c r="AM382" s="1070">
        <f t="shared" si="691"/>
        <v>0</v>
      </c>
      <c r="AN382" s="76"/>
      <c r="AO382" s="636"/>
      <c r="AP382" s="47" t="s">
        <v>106</v>
      </c>
      <c r="AQ382" s="48">
        <f>AQ378*AN376</f>
        <v>0</v>
      </c>
      <c r="AR382" s="48">
        <f>AR378*AN376</f>
        <v>0</v>
      </c>
      <c r="AS382" s="48">
        <f>AS378*AN376</f>
        <v>0</v>
      </c>
      <c r="AT382" s="48">
        <f>AT378*AN376</f>
        <v>0</v>
      </c>
      <c r="AU382" s="48">
        <f>AU378*AN376</f>
        <v>0</v>
      </c>
      <c r="AV382" s="50">
        <f t="shared" si="794"/>
        <v>0</v>
      </c>
    </row>
    <row r="383" spans="1:48" ht="25.15" hidden="1" customHeight="1">
      <c r="A383" s="103"/>
      <c r="B383" s="65"/>
      <c r="C383" s="77">
        <v>300000</v>
      </c>
      <c r="D383" s="78" t="s">
        <v>107</v>
      </c>
      <c r="E383" s="1327">
        <v>1</v>
      </c>
      <c r="F383" s="1097">
        <v>1</v>
      </c>
      <c r="G383" s="1205">
        <v>1</v>
      </c>
      <c r="H383" s="1097">
        <v>1</v>
      </c>
      <c r="I383" s="1097">
        <v>1</v>
      </c>
      <c r="J383" s="1205">
        <v>1</v>
      </c>
      <c r="K383" s="1205">
        <v>1</v>
      </c>
      <c r="L383" s="1097">
        <v>1</v>
      </c>
      <c r="M383" s="1097">
        <v>1</v>
      </c>
      <c r="N383" s="1097">
        <v>1</v>
      </c>
      <c r="O383" s="1097">
        <v>1</v>
      </c>
      <c r="P383" s="1097">
        <v>1</v>
      </c>
      <c r="Q383" s="1205">
        <v>1</v>
      </c>
      <c r="R383" s="1205">
        <v>1</v>
      </c>
      <c r="S383" s="1097">
        <v>1</v>
      </c>
      <c r="T383" s="1097">
        <v>1</v>
      </c>
      <c r="U383" s="1097">
        <v>1</v>
      </c>
      <c r="V383" s="1097">
        <v>1</v>
      </c>
      <c r="W383" s="1097">
        <v>1</v>
      </c>
      <c r="X383" s="1205">
        <v>1</v>
      </c>
      <c r="Y383" s="1205">
        <v>1</v>
      </c>
      <c r="Z383" s="1097">
        <v>1</v>
      </c>
      <c r="AA383" s="1097">
        <v>1</v>
      </c>
      <c r="AB383" s="1097">
        <v>1</v>
      </c>
      <c r="AC383" s="1097">
        <v>1</v>
      </c>
      <c r="AD383" s="1097">
        <v>1</v>
      </c>
      <c r="AE383" s="1205">
        <v>1</v>
      </c>
      <c r="AF383" s="1205">
        <v>1</v>
      </c>
      <c r="AG383" s="1097">
        <v>1</v>
      </c>
      <c r="AH383" s="1097">
        <v>1</v>
      </c>
      <c r="AI383" s="1328">
        <v>1</v>
      </c>
      <c r="AJ383" s="79"/>
      <c r="AK383" s="79"/>
      <c r="AL383" s="55"/>
      <c r="AM383" s="1067">
        <f t="shared" si="691"/>
        <v>0</v>
      </c>
      <c r="AN383" s="31"/>
      <c r="AO383" s="622"/>
      <c r="AP383" s="23"/>
      <c r="AQ383" s="23"/>
      <c r="AR383" s="23"/>
      <c r="AS383" s="23"/>
      <c r="AT383" s="23"/>
      <c r="AU383" s="23"/>
      <c r="AV383" s="23"/>
    </row>
    <row r="384" spans="1:48" ht="25.15" hidden="1" customHeight="1">
      <c r="A384" s="103"/>
      <c r="B384" s="65"/>
      <c r="C384" s="80" t="s">
        <v>108</v>
      </c>
      <c r="D384" s="81" t="s">
        <v>109</v>
      </c>
      <c r="E384" s="1374">
        <f>SUM(E378+E380+E381+E382)/E383</f>
        <v>0</v>
      </c>
      <c r="F384" s="1104">
        <f>SUM(F378+F380+F381+F382)/F383</f>
        <v>0</v>
      </c>
      <c r="G384" s="1211">
        <f>SUM(G378+G380+G381+G382)/G383</f>
        <v>0</v>
      </c>
      <c r="H384" s="1104">
        <f t="shared" ref="H384:AH384" si="796">SUM(H378+H380+H381+H382)/H383</f>
        <v>0</v>
      </c>
      <c r="I384" s="1104">
        <f t="shared" si="796"/>
        <v>0</v>
      </c>
      <c r="J384" s="1211">
        <f t="shared" si="796"/>
        <v>0</v>
      </c>
      <c r="K384" s="1211">
        <f t="shared" si="796"/>
        <v>0</v>
      </c>
      <c r="L384" s="1104">
        <f t="shared" si="796"/>
        <v>0</v>
      </c>
      <c r="M384" s="1104">
        <f t="shared" si="796"/>
        <v>0</v>
      </c>
      <c r="N384" s="1104">
        <f t="shared" si="796"/>
        <v>0</v>
      </c>
      <c r="O384" s="1104">
        <f t="shared" si="796"/>
        <v>0</v>
      </c>
      <c r="P384" s="1104">
        <f t="shared" si="796"/>
        <v>0</v>
      </c>
      <c r="Q384" s="1211">
        <f t="shared" si="796"/>
        <v>0</v>
      </c>
      <c r="R384" s="1211">
        <f t="shared" si="796"/>
        <v>0</v>
      </c>
      <c r="S384" s="1104">
        <f t="shared" si="796"/>
        <v>0</v>
      </c>
      <c r="T384" s="1104">
        <f t="shared" si="796"/>
        <v>0</v>
      </c>
      <c r="U384" s="1104">
        <f t="shared" si="796"/>
        <v>0</v>
      </c>
      <c r="V384" s="1104">
        <f t="shared" si="796"/>
        <v>0</v>
      </c>
      <c r="W384" s="1104">
        <f t="shared" si="796"/>
        <v>0</v>
      </c>
      <c r="X384" s="1211">
        <f t="shared" si="796"/>
        <v>0</v>
      </c>
      <c r="Y384" s="1211">
        <f t="shared" si="796"/>
        <v>0</v>
      </c>
      <c r="Z384" s="1104">
        <f t="shared" si="796"/>
        <v>0</v>
      </c>
      <c r="AA384" s="1104">
        <f t="shared" ref="AA384" si="797">SUM(AA378+AA380+AA381+AA382)/AA383</f>
        <v>0</v>
      </c>
      <c r="AB384" s="1104">
        <f t="shared" si="796"/>
        <v>0</v>
      </c>
      <c r="AC384" s="1104">
        <f t="shared" si="796"/>
        <v>0</v>
      </c>
      <c r="AD384" s="1104">
        <f t="shared" si="796"/>
        <v>0</v>
      </c>
      <c r="AE384" s="1211">
        <f t="shared" si="796"/>
        <v>0</v>
      </c>
      <c r="AF384" s="1211">
        <f t="shared" si="796"/>
        <v>0</v>
      </c>
      <c r="AG384" s="1104">
        <f t="shared" si="796"/>
        <v>0</v>
      </c>
      <c r="AH384" s="1104">
        <f t="shared" si="796"/>
        <v>0</v>
      </c>
      <c r="AI384" s="1335">
        <f>SUM(AI378+AI380+AI381)/AI383</f>
        <v>0</v>
      </c>
      <c r="AJ384" s="104">
        <f>SUM(E384:AI384)</f>
        <v>0</v>
      </c>
      <c r="AK384" s="104"/>
      <c r="AL384" s="83"/>
      <c r="AM384" s="1068">
        <f t="shared" si="691"/>
        <v>0</v>
      </c>
      <c r="AN384" s="31"/>
      <c r="AO384" s="622"/>
      <c r="AP384" s="23"/>
      <c r="AQ384" s="23"/>
      <c r="AR384" s="23"/>
      <c r="AS384" s="23"/>
      <c r="AT384" s="23"/>
      <c r="AU384" s="23"/>
      <c r="AV384" s="23"/>
    </row>
    <row r="385" spans="1:48" ht="25.15" hidden="1" customHeight="1">
      <c r="A385" s="103"/>
      <c r="B385" s="59"/>
      <c r="C385" s="84">
        <f>+C383*0.8</f>
        <v>240000</v>
      </c>
      <c r="D385" s="85" t="s">
        <v>110</v>
      </c>
      <c r="E385" s="1105"/>
      <c r="F385" s="1106"/>
      <c r="G385" s="1211"/>
      <c r="H385" s="1104"/>
      <c r="I385" s="1104"/>
      <c r="J385" s="1211"/>
      <c r="K385" s="1211"/>
      <c r="L385" s="1104"/>
      <c r="M385" s="1104"/>
      <c r="N385" s="1104"/>
      <c r="O385" s="1107"/>
      <c r="P385" s="1104"/>
      <c r="Q385" s="1211"/>
      <c r="R385" s="1211"/>
      <c r="S385" s="1104"/>
      <c r="T385" s="1104"/>
      <c r="U385" s="1104"/>
      <c r="V385" s="1104"/>
      <c r="W385" s="1104"/>
      <c r="X385" s="1211"/>
      <c r="Y385" s="1211"/>
      <c r="Z385" s="1104"/>
      <c r="AA385" s="1104"/>
      <c r="AB385" s="1104"/>
      <c r="AC385" s="1104"/>
      <c r="AD385" s="1104"/>
      <c r="AE385" s="1211"/>
      <c r="AF385" s="1211"/>
      <c r="AG385" s="1104"/>
      <c r="AH385" s="1104"/>
      <c r="AI385" s="1353"/>
      <c r="AJ385" s="86"/>
      <c r="AK385" s="86"/>
      <c r="AL385" s="690"/>
      <c r="AM385" s="694">
        <f t="shared" si="691"/>
        <v>0</v>
      </c>
      <c r="AN385" s="31"/>
      <c r="AO385" s="622"/>
      <c r="AP385" s="23"/>
      <c r="AQ385" s="23"/>
      <c r="AR385" s="23"/>
      <c r="AS385" s="23"/>
      <c r="AT385" s="23"/>
      <c r="AU385" s="23"/>
      <c r="AV385" s="23"/>
    </row>
    <row r="386" spans="1:48" ht="25.15" hidden="1" customHeight="1">
      <c r="A386" s="103"/>
      <c r="B386" s="105"/>
      <c r="C386" s="77"/>
      <c r="D386" s="88" t="s">
        <v>111</v>
      </c>
      <c r="E386" s="1108">
        <f>IF(E385="O/H",E384,0+E384)</f>
        <v>0</v>
      </c>
      <c r="F386" s="1089">
        <f t="shared" ref="F386:AI386" si="798">IF(F385="O/H",F384,+E386+F384)</f>
        <v>0</v>
      </c>
      <c r="G386" s="44">
        <f t="shared" si="798"/>
        <v>0</v>
      </c>
      <c r="H386" s="1089">
        <f t="shared" si="798"/>
        <v>0</v>
      </c>
      <c r="I386" s="1089">
        <f t="shared" si="798"/>
        <v>0</v>
      </c>
      <c r="J386" s="44">
        <f t="shared" si="798"/>
        <v>0</v>
      </c>
      <c r="K386" s="44">
        <f t="shared" si="798"/>
        <v>0</v>
      </c>
      <c r="L386" s="1089">
        <f t="shared" si="798"/>
        <v>0</v>
      </c>
      <c r="M386" s="1089">
        <f t="shared" si="798"/>
        <v>0</v>
      </c>
      <c r="N386" s="1089">
        <f t="shared" si="798"/>
        <v>0</v>
      </c>
      <c r="O386" s="1089">
        <f t="shared" si="798"/>
        <v>0</v>
      </c>
      <c r="P386" s="1089">
        <f t="shared" si="798"/>
        <v>0</v>
      </c>
      <c r="Q386" s="44">
        <f t="shared" si="798"/>
        <v>0</v>
      </c>
      <c r="R386" s="44">
        <f t="shared" si="798"/>
        <v>0</v>
      </c>
      <c r="S386" s="1089">
        <f t="shared" si="798"/>
        <v>0</v>
      </c>
      <c r="T386" s="1089">
        <f t="shared" si="798"/>
        <v>0</v>
      </c>
      <c r="U386" s="1089">
        <f t="shared" si="798"/>
        <v>0</v>
      </c>
      <c r="V386" s="1089">
        <f t="shared" si="798"/>
        <v>0</v>
      </c>
      <c r="W386" s="1089">
        <f t="shared" si="798"/>
        <v>0</v>
      </c>
      <c r="X386" s="44">
        <f t="shared" si="798"/>
        <v>0</v>
      </c>
      <c r="Y386" s="44">
        <f t="shared" si="798"/>
        <v>0</v>
      </c>
      <c r="Z386" s="1089">
        <f t="shared" si="798"/>
        <v>0</v>
      </c>
      <c r="AA386" s="1089">
        <f t="shared" si="798"/>
        <v>0</v>
      </c>
      <c r="AB386" s="1089">
        <f t="shared" si="798"/>
        <v>0</v>
      </c>
      <c r="AC386" s="1089">
        <f t="shared" si="798"/>
        <v>0</v>
      </c>
      <c r="AD386" s="1089">
        <f t="shared" si="798"/>
        <v>0</v>
      </c>
      <c r="AE386" s="44">
        <f t="shared" si="798"/>
        <v>0</v>
      </c>
      <c r="AF386" s="44">
        <f t="shared" si="798"/>
        <v>0</v>
      </c>
      <c r="AG386" s="1089">
        <f t="shared" si="798"/>
        <v>0</v>
      </c>
      <c r="AH386" s="1089">
        <f t="shared" si="798"/>
        <v>0</v>
      </c>
      <c r="AI386" s="1326">
        <f t="shared" si="798"/>
        <v>0</v>
      </c>
      <c r="AJ386" s="79"/>
      <c r="AK386" s="86"/>
      <c r="AL386" s="689"/>
      <c r="AM386" s="694">
        <f t="shared" si="691"/>
        <v>0</v>
      </c>
      <c r="AN386" s="31"/>
      <c r="AO386" s="622"/>
      <c r="AP386" s="23"/>
      <c r="AQ386" s="23"/>
      <c r="AR386" s="23"/>
      <c r="AS386" s="23"/>
      <c r="AT386" s="23"/>
      <c r="AU386" s="23"/>
      <c r="AV386" s="23"/>
    </row>
    <row r="387" spans="1:48" ht="25.15" hidden="1" customHeight="1">
      <c r="A387" s="103"/>
      <c r="B387" s="89"/>
      <c r="C387" s="80"/>
      <c r="D387" s="90" t="s">
        <v>104</v>
      </c>
      <c r="E387" s="1108"/>
      <c r="F387" s="1089"/>
      <c r="G387" s="44"/>
      <c r="H387" s="1089"/>
      <c r="I387" s="1089"/>
      <c r="J387" s="44"/>
      <c r="K387" s="44"/>
      <c r="L387" s="1089"/>
      <c r="M387" s="1089"/>
      <c r="N387" s="1089"/>
      <c r="O387" s="1089"/>
      <c r="P387" s="1089"/>
      <c r="Q387" s="44"/>
      <c r="R387" s="44"/>
      <c r="S387" s="1089"/>
      <c r="T387" s="1089"/>
      <c r="U387" s="1089"/>
      <c r="V387" s="1089"/>
      <c r="W387" s="1089"/>
      <c r="X387" s="44"/>
      <c r="Y387" s="44"/>
      <c r="Z387" s="1089"/>
      <c r="AA387" s="1089"/>
      <c r="AB387" s="1089"/>
      <c r="AC387" s="1089"/>
      <c r="AD387" s="1089"/>
      <c r="AE387" s="44"/>
      <c r="AF387" s="44"/>
      <c r="AG387" s="1089"/>
      <c r="AH387" s="1089"/>
      <c r="AI387" s="1326"/>
      <c r="AJ387" s="79"/>
      <c r="AK387" s="79"/>
      <c r="AL387" s="63"/>
      <c r="AM387" s="1068">
        <f t="shared" si="691"/>
        <v>0</v>
      </c>
      <c r="AN387" s="64"/>
      <c r="AO387" s="624"/>
      <c r="AP387" s="23"/>
      <c r="AQ387" s="23"/>
      <c r="AR387" s="23"/>
      <c r="AS387" s="23"/>
      <c r="AT387" s="23"/>
      <c r="AU387" s="23"/>
      <c r="AV387" s="23"/>
    </row>
    <row r="388" spans="1:48" ht="25.15" hidden="1" customHeight="1" thickBot="1">
      <c r="A388" s="106"/>
      <c r="B388" s="93"/>
      <c r="C388" s="94"/>
      <c r="D388" s="95" t="s">
        <v>111</v>
      </c>
      <c r="E388" s="1109">
        <f>IF(E387="O/H",E384,0+E384)</f>
        <v>0</v>
      </c>
      <c r="F388" s="1110">
        <f t="shared" ref="F388:AI388" si="799">IF(F387="O/H",F384,+E388+F384)</f>
        <v>0</v>
      </c>
      <c r="G388" s="1212">
        <f t="shared" si="799"/>
        <v>0</v>
      </c>
      <c r="H388" s="1110">
        <f t="shared" si="799"/>
        <v>0</v>
      </c>
      <c r="I388" s="1110">
        <f t="shared" si="799"/>
        <v>0</v>
      </c>
      <c r="J388" s="1212">
        <f t="shared" si="799"/>
        <v>0</v>
      </c>
      <c r="K388" s="1212">
        <f t="shared" si="799"/>
        <v>0</v>
      </c>
      <c r="L388" s="1110">
        <f t="shared" si="799"/>
        <v>0</v>
      </c>
      <c r="M388" s="1110">
        <f t="shared" si="799"/>
        <v>0</v>
      </c>
      <c r="N388" s="1110">
        <f t="shared" si="799"/>
        <v>0</v>
      </c>
      <c r="O388" s="1110">
        <f t="shared" si="799"/>
        <v>0</v>
      </c>
      <c r="P388" s="1110">
        <f t="shared" si="799"/>
        <v>0</v>
      </c>
      <c r="Q388" s="1212">
        <f t="shared" si="799"/>
        <v>0</v>
      </c>
      <c r="R388" s="1212">
        <f t="shared" si="799"/>
        <v>0</v>
      </c>
      <c r="S388" s="1110">
        <f t="shared" si="799"/>
        <v>0</v>
      </c>
      <c r="T388" s="1110">
        <f t="shared" si="799"/>
        <v>0</v>
      </c>
      <c r="U388" s="1110">
        <f t="shared" si="799"/>
        <v>0</v>
      </c>
      <c r="V388" s="1110">
        <f t="shared" si="799"/>
        <v>0</v>
      </c>
      <c r="W388" s="1110">
        <f t="shared" si="799"/>
        <v>0</v>
      </c>
      <c r="X388" s="1212">
        <f t="shared" si="799"/>
        <v>0</v>
      </c>
      <c r="Y388" s="1212">
        <f t="shared" si="799"/>
        <v>0</v>
      </c>
      <c r="Z388" s="1110">
        <f t="shared" si="799"/>
        <v>0</v>
      </c>
      <c r="AA388" s="1110">
        <f t="shared" si="799"/>
        <v>0</v>
      </c>
      <c r="AB388" s="1110">
        <f t="shared" si="799"/>
        <v>0</v>
      </c>
      <c r="AC388" s="1110">
        <f t="shared" si="799"/>
        <v>0</v>
      </c>
      <c r="AD388" s="1110">
        <f t="shared" si="799"/>
        <v>0</v>
      </c>
      <c r="AE388" s="1212">
        <f t="shared" si="799"/>
        <v>0</v>
      </c>
      <c r="AF388" s="1212">
        <f t="shared" si="799"/>
        <v>0</v>
      </c>
      <c r="AG388" s="1110">
        <f t="shared" si="799"/>
        <v>0</v>
      </c>
      <c r="AH388" s="1110">
        <f t="shared" si="799"/>
        <v>0</v>
      </c>
      <c r="AI388" s="1340">
        <f t="shared" si="799"/>
        <v>0</v>
      </c>
      <c r="AJ388" s="96"/>
      <c r="AK388" s="96"/>
      <c r="AL388" s="97"/>
      <c r="AM388" s="1071">
        <f t="shared" si="691"/>
        <v>0</v>
      </c>
      <c r="AN388" s="98"/>
      <c r="AO388" s="625"/>
      <c r="AP388" s="23"/>
      <c r="AQ388" s="23"/>
      <c r="AR388" s="23"/>
      <c r="AS388" s="23"/>
      <c r="AT388" s="23"/>
      <c r="AU388" s="23"/>
      <c r="AV388" s="23"/>
    </row>
    <row r="389" spans="1:48" ht="25.15" hidden="1" customHeight="1" thickTop="1">
      <c r="A389" s="99"/>
      <c r="B389" s="26" t="s">
        <v>118</v>
      </c>
      <c r="C389" s="27"/>
      <c r="D389" s="28" t="s">
        <v>82</v>
      </c>
      <c r="E389" s="1111"/>
      <c r="F389" s="1111"/>
      <c r="G389" s="1201"/>
      <c r="H389" s="1111"/>
      <c r="I389" s="1111"/>
      <c r="J389" s="1201"/>
      <c r="K389" s="1201"/>
      <c r="L389" s="1111"/>
      <c r="M389" s="1111"/>
      <c r="N389" s="1111"/>
      <c r="O389" s="1111"/>
      <c r="P389" s="1111"/>
      <c r="Q389" s="1201"/>
      <c r="R389" s="1201"/>
      <c r="S389" s="1111"/>
      <c r="T389" s="1111"/>
      <c r="U389" s="1111"/>
      <c r="V389" s="1111"/>
      <c r="W389" s="1111"/>
      <c r="X389" s="1201"/>
      <c r="Y389" s="1201"/>
      <c r="Z389" s="1111"/>
      <c r="AA389" s="1111"/>
      <c r="AB389" s="1111"/>
      <c r="AC389" s="1111"/>
      <c r="AD389" s="1111"/>
      <c r="AE389" s="1201"/>
      <c r="AF389" s="1201"/>
      <c r="AG389" s="1111"/>
      <c r="AH389" s="1111"/>
      <c r="AI389" s="1111"/>
      <c r="AJ389" s="100">
        <f>SUM(Table75[[#This Row],[June''2026]:[Column27]])</f>
        <v>0</v>
      </c>
      <c r="AK389" s="100">
        <f t="shared" si="722"/>
        <v>0</v>
      </c>
      <c r="AL389" s="101">
        <f>+AJ389*AN389</f>
        <v>0</v>
      </c>
      <c r="AM389" s="1072">
        <f t="shared" si="691"/>
        <v>0</v>
      </c>
      <c r="AN389" s="102"/>
      <c r="AO389" s="622" t="e">
        <f>Table5[[#This Row],[Total]]*B393/1000</f>
        <v>#VALUE!</v>
      </c>
      <c r="AP389" s="32" t="s">
        <v>134</v>
      </c>
      <c r="AQ389" s="33" t="s">
        <v>84</v>
      </c>
      <c r="AR389" s="33" t="s">
        <v>85</v>
      </c>
      <c r="AS389" s="33" t="s">
        <v>86</v>
      </c>
      <c r="AT389" s="33" t="s">
        <v>87</v>
      </c>
      <c r="AU389" s="33" t="s">
        <v>88</v>
      </c>
      <c r="AV389" s="34" t="s">
        <v>68</v>
      </c>
    </row>
    <row r="390" spans="1:48" ht="25.15" hidden="1" customHeight="1">
      <c r="A390" s="103"/>
      <c r="B390" s="35" t="s">
        <v>119</v>
      </c>
      <c r="C390" s="36"/>
      <c r="D390" s="37" t="s">
        <v>90</v>
      </c>
      <c r="E390" s="1373">
        <f>IF(E389="",0,+ E389/E396)</f>
        <v>0</v>
      </c>
      <c r="F390" s="1096">
        <f t="shared" ref="F390:AI390" si="800">IF(F389="",0, E390+F389/F396)</f>
        <v>0</v>
      </c>
      <c r="G390" s="1207">
        <f t="shared" si="800"/>
        <v>0</v>
      </c>
      <c r="H390" s="1096">
        <f t="shared" si="800"/>
        <v>0</v>
      </c>
      <c r="I390" s="1096">
        <f t="shared" si="800"/>
        <v>0</v>
      </c>
      <c r="J390" s="1207">
        <f t="shared" si="800"/>
        <v>0</v>
      </c>
      <c r="K390" s="1207">
        <f t="shared" si="800"/>
        <v>0</v>
      </c>
      <c r="L390" s="1096">
        <f t="shared" si="800"/>
        <v>0</v>
      </c>
      <c r="M390" s="1096">
        <f t="shared" si="800"/>
        <v>0</v>
      </c>
      <c r="N390" s="1096">
        <f t="shared" si="800"/>
        <v>0</v>
      </c>
      <c r="O390" s="1096">
        <f t="shared" si="800"/>
        <v>0</v>
      </c>
      <c r="P390" s="1096">
        <f t="shared" si="800"/>
        <v>0</v>
      </c>
      <c r="Q390" s="1207">
        <f t="shared" si="800"/>
        <v>0</v>
      </c>
      <c r="R390" s="1207">
        <f t="shared" si="800"/>
        <v>0</v>
      </c>
      <c r="S390" s="1096">
        <f t="shared" si="800"/>
        <v>0</v>
      </c>
      <c r="T390" s="1096">
        <f t="shared" si="800"/>
        <v>0</v>
      </c>
      <c r="U390" s="1096">
        <f t="shared" si="800"/>
        <v>0</v>
      </c>
      <c r="V390" s="1096">
        <f t="shared" si="800"/>
        <v>0</v>
      </c>
      <c r="W390" s="1096">
        <f t="shared" si="800"/>
        <v>0</v>
      </c>
      <c r="X390" s="1207">
        <f t="shared" si="800"/>
        <v>0</v>
      </c>
      <c r="Y390" s="1207">
        <f t="shared" si="800"/>
        <v>0</v>
      </c>
      <c r="Z390" s="1096">
        <f t="shared" si="800"/>
        <v>0</v>
      </c>
      <c r="AA390" s="1089"/>
      <c r="AB390" s="1096">
        <f t="shared" si="800"/>
        <v>0</v>
      </c>
      <c r="AC390" s="1096">
        <f t="shared" si="800"/>
        <v>0</v>
      </c>
      <c r="AD390" s="1096">
        <f t="shared" si="800"/>
        <v>0</v>
      </c>
      <c r="AE390" s="1207">
        <f t="shared" si="800"/>
        <v>0</v>
      </c>
      <c r="AF390" s="1207">
        <f t="shared" si="800"/>
        <v>0</v>
      </c>
      <c r="AG390" s="1096">
        <f t="shared" si="800"/>
        <v>0</v>
      </c>
      <c r="AH390" s="1096">
        <f t="shared" si="800"/>
        <v>0</v>
      </c>
      <c r="AI390" s="1324">
        <f t="shared" si="800"/>
        <v>0</v>
      </c>
      <c r="AJ390" s="38"/>
      <c r="AK390" s="29"/>
      <c r="AL390" s="30"/>
      <c r="AM390" s="694">
        <f t="shared" si="691"/>
        <v>0</v>
      </c>
      <c r="AN390" s="31"/>
      <c r="AO390" s="630"/>
      <c r="AP390" s="39" t="s">
        <v>91</v>
      </c>
      <c r="AQ390" s="40">
        <f>SUM(E389:I389)</f>
        <v>0</v>
      </c>
      <c r="AR390" s="41">
        <f>SUM(J389:P389)</f>
        <v>0</v>
      </c>
      <c r="AS390" s="41">
        <f>SUM(Q389:W389)</f>
        <v>0</v>
      </c>
      <c r="AT390" s="41">
        <f>SUM(X389:AD389)</f>
        <v>0</v>
      </c>
      <c r="AU390" s="41">
        <f>SUM(AE389:AI389)</f>
        <v>0</v>
      </c>
      <c r="AV390" s="34">
        <f t="shared" ref="AV390:AV395" si="801">SUM(AQ390:AU390)</f>
        <v>0</v>
      </c>
    </row>
    <row r="391" spans="1:48" ht="25.15" hidden="1" customHeight="1">
      <c r="A391" s="103"/>
      <c r="B391" s="26" t="s">
        <v>92</v>
      </c>
      <c r="C391" s="42"/>
      <c r="D391" s="43" t="s">
        <v>93</v>
      </c>
      <c r="E391" s="1325"/>
      <c r="F391" s="1089"/>
      <c r="G391" s="44"/>
      <c r="H391" s="1089"/>
      <c r="I391" s="1089"/>
      <c r="J391" s="44"/>
      <c r="K391" s="44"/>
      <c r="L391" s="1089"/>
      <c r="M391" s="1089"/>
      <c r="N391" s="1089"/>
      <c r="O391" s="1089"/>
      <c r="P391" s="1089"/>
      <c r="Q391" s="44"/>
      <c r="R391" s="44"/>
      <c r="S391" s="1089"/>
      <c r="T391" s="1089"/>
      <c r="U391" s="1089"/>
      <c r="V391" s="1089"/>
      <c r="W391" s="1089"/>
      <c r="X391" s="44"/>
      <c r="Y391" s="44"/>
      <c r="Z391" s="1089"/>
      <c r="AA391" s="1089"/>
      <c r="AB391" s="1089"/>
      <c r="AC391" s="1089"/>
      <c r="AD391" s="1089"/>
      <c r="AE391" s="44"/>
      <c r="AF391" s="44"/>
      <c r="AG391" s="1089"/>
      <c r="AH391" s="1089"/>
      <c r="AI391" s="1326"/>
      <c r="AJ391" s="45">
        <f>SUM(E391:AI391)</f>
        <v>0</v>
      </c>
      <c r="AK391" s="45"/>
      <c r="AL391" s="46">
        <f>+AJ391*AN389</f>
        <v>0</v>
      </c>
      <c r="AM391" s="1066">
        <f t="shared" ref="AM391:AM454" si="802">AL393</f>
        <v>0</v>
      </c>
      <c r="AN391" s="31"/>
      <c r="AO391" s="632">
        <f>(AJ391+AJ393+AJ394+AJ395)*B393/1000</f>
        <v>0</v>
      </c>
      <c r="AP391" s="47" t="s">
        <v>94</v>
      </c>
      <c r="AQ391" s="48">
        <f>SUM(E391:I391)</f>
        <v>0</v>
      </c>
      <c r="AR391" s="49">
        <f>SUM(J391:P391)</f>
        <v>0</v>
      </c>
      <c r="AS391" s="49">
        <f>SUM(Q391:W391)</f>
        <v>0</v>
      </c>
      <c r="AT391" s="49">
        <f>SUM(X391:AD391)</f>
        <v>0</v>
      </c>
      <c r="AU391" s="49">
        <f>SUM(AE391:AI391)</f>
        <v>0</v>
      </c>
      <c r="AV391" s="50">
        <f t="shared" si="801"/>
        <v>0</v>
      </c>
    </row>
    <row r="392" spans="1:48" ht="25.15" hidden="1" customHeight="1">
      <c r="A392" s="103"/>
      <c r="B392" s="51"/>
      <c r="C392" s="52" t="s">
        <v>95</v>
      </c>
      <c r="D392" s="53" t="s">
        <v>96</v>
      </c>
      <c r="E392" s="1327">
        <f t="shared" ref="E392:AJ392" si="803">+E391-E389</f>
        <v>0</v>
      </c>
      <c r="F392" s="1097">
        <f t="shared" si="803"/>
        <v>0</v>
      </c>
      <c r="G392" s="1205">
        <f t="shared" si="803"/>
        <v>0</v>
      </c>
      <c r="H392" s="1097">
        <f t="shared" si="803"/>
        <v>0</v>
      </c>
      <c r="I392" s="1097">
        <f t="shared" si="803"/>
        <v>0</v>
      </c>
      <c r="J392" s="1205">
        <f t="shared" si="803"/>
        <v>0</v>
      </c>
      <c r="K392" s="1205">
        <f t="shared" si="803"/>
        <v>0</v>
      </c>
      <c r="L392" s="1097">
        <f t="shared" si="803"/>
        <v>0</v>
      </c>
      <c r="M392" s="1097">
        <f t="shared" si="803"/>
        <v>0</v>
      </c>
      <c r="N392" s="1097">
        <f t="shared" si="803"/>
        <v>0</v>
      </c>
      <c r="O392" s="1097">
        <f t="shared" si="803"/>
        <v>0</v>
      </c>
      <c r="P392" s="1097">
        <f t="shared" si="803"/>
        <v>0</v>
      </c>
      <c r="Q392" s="1205">
        <f t="shared" si="803"/>
        <v>0</v>
      </c>
      <c r="R392" s="1205">
        <f t="shared" si="803"/>
        <v>0</v>
      </c>
      <c r="S392" s="1097">
        <f t="shared" si="803"/>
        <v>0</v>
      </c>
      <c r="T392" s="1097">
        <f t="shared" si="803"/>
        <v>0</v>
      </c>
      <c r="U392" s="1097">
        <f t="shared" si="803"/>
        <v>0</v>
      </c>
      <c r="V392" s="1097">
        <f t="shared" si="803"/>
        <v>0</v>
      </c>
      <c r="W392" s="1097">
        <f t="shared" si="803"/>
        <v>0</v>
      </c>
      <c r="X392" s="1205">
        <f t="shared" si="803"/>
        <v>0</v>
      </c>
      <c r="Y392" s="1205">
        <f t="shared" si="803"/>
        <v>0</v>
      </c>
      <c r="Z392" s="1097">
        <f t="shared" si="803"/>
        <v>0</v>
      </c>
      <c r="AA392" s="1097">
        <f t="shared" ref="AA392" si="804">+AA391-AA389</f>
        <v>0</v>
      </c>
      <c r="AB392" s="1097">
        <f t="shared" si="803"/>
        <v>0</v>
      </c>
      <c r="AC392" s="1097">
        <f t="shared" si="803"/>
        <v>0</v>
      </c>
      <c r="AD392" s="1097">
        <f t="shared" si="803"/>
        <v>0</v>
      </c>
      <c r="AE392" s="1205">
        <f t="shared" si="803"/>
        <v>0</v>
      </c>
      <c r="AF392" s="1205">
        <f t="shared" si="803"/>
        <v>0</v>
      </c>
      <c r="AG392" s="1097">
        <f t="shared" si="803"/>
        <v>0</v>
      </c>
      <c r="AH392" s="1097">
        <f t="shared" si="803"/>
        <v>0</v>
      </c>
      <c r="AI392" s="1328">
        <f t="shared" si="803"/>
        <v>0</v>
      </c>
      <c r="AJ392" s="54">
        <f t="shared" si="803"/>
        <v>0</v>
      </c>
      <c r="AK392" s="54"/>
      <c r="AL392" s="55">
        <f>+AJ392*AN389</f>
        <v>0</v>
      </c>
      <c r="AM392" s="1067">
        <f t="shared" si="802"/>
        <v>0</v>
      </c>
      <c r="AN392" s="31" t="s">
        <v>97</v>
      </c>
      <c r="AO392" s="622"/>
      <c r="AP392" s="39" t="s">
        <v>98</v>
      </c>
      <c r="AQ392" s="56">
        <f>AQ391-AQ390</f>
        <v>0</v>
      </c>
      <c r="AR392" s="70">
        <f>AR391-AR390</f>
        <v>0</v>
      </c>
      <c r="AS392" s="70">
        <f>AS391-AS390</f>
        <v>0</v>
      </c>
      <c r="AT392" s="70">
        <f>AT391-AT390</f>
        <v>0</v>
      </c>
      <c r="AU392" s="70">
        <f>AU391-AU390</f>
        <v>0</v>
      </c>
      <c r="AV392" s="57">
        <f t="shared" si="801"/>
        <v>0</v>
      </c>
    </row>
    <row r="393" spans="1:48" ht="25.15" hidden="1" customHeight="1">
      <c r="A393" s="58"/>
      <c r="B393" s="59"/>
      <c r="C393" s="60" t="s">
        <v>100</v>
      </c>
      <c r="D393" s="61" t="s">
        <v>101</v>
      </c>
      <c r="E393" s="1329"/>
      <c r="F393" s="1099"/>
      <c r="G393" s="1208"/>
      <c r="H393" s="1099"/>
      <c r="I393" s="1099"/>
      <c r="J393" s="1208"/>
      <c r="K393" s="1208"/>
      <c r="L393" s="1099"/>
      <c r="M393" s="1099"/>
      <c r="N393" s="1099"/>
      <c r="O393" s="1099"/>
      <c r="P393" s="1099"/>
      <c r="Q393" s="1208"/>
      <c r="R393" s="1208"/>
      <c r="S393" s="1099"/>
      <c r="T393" s="1099"/>
      <c r="U393" s="1099"/>
      <c r="V393" s="1099"/>
      <c r="W393" s="1099"/>
      <c r="X393" s="1208"/>
      <c r="Y393" s="1208"/>
      <c r="Z393" s="1099"/>
      <c r="AA393" s="1099"/>
      <c r="AB393" s="1099"/>
      <c r="AC393" s="1099"/>
      <c r="AD393" s="1099"/>
      <c r="AE393" s="1208"/>
      <c r="AF393" s="1208"/>
      <c r="AG393" s="1099"/>
      <c r="AH393" s="1099"/>
      <c r="AI393" s="1330"/>
      <c r="AJ393" s="62">
        <f>SUM(E393:AI393)</f>
        <v>0</v>
      </c>
      <c r="AK393" s="62"/>
      <c r="AL393" s="63">
        <f>+AJ393*AN389</f>
        <v>0</v>
      </c>
      <c r="AM393" s="1068">
        <f t="shared" si="802"/>
        <v>0</v>
      </c>
      <c r="AN393" s="64" t="e">
        <f>+AJ393/AJ391*100</f>
        <v>#DIV/0!</v>
      </c>
      <c r="AO393" s="635" t="e">
        <f>AO391/AO389</f>
        <v>#VALUE!</v>
      </c>
      <c r="AP393" s="39" t="s">
        <v>102</v>
      </c>
      <c r="AQ393" s="56">
        <f>SUM(E393:I393)</f>
        <v>0</v>
      </c>
      <c r="AR393" s="70">
        <f>SUM(J393:P393)</f>
        <v>0</v>
      </c>
      <c r="AS393" s="70">
        <f>SUM(Q393:W393)</f>
        <v>0</v>
      </c>
      <c r="AT393" s="70">
        <f>SUM(X393:AD393)</f>
        <v>0</v>
      </c>
      <c r="AU393" s="70">
        <f>SUM(AE393:AI393)</f>
        <v>0</v>
      </c>
      <c r="AV393" s="57">
        <f t="shared" si="801"/>
        <v>0</v>
      </c>
    </row>
    <row r="394" spans="1:48" ht="25.15" hidden="1" customHeight="1">
      <c r="A394" s="58" t="s">
        <v>135</v>
      </c>
      <c r="B394" s="65"/>
      <c r="C394" s="66"/>
      <c r="D394" s="67" t="s">
        <v>103</v>
      </c>
      <c r="E394" s="1331"/>
      <c r="F394" s="1101"/>
      <c r="G394" s="1209"/>
      <c r="H394" s="1101"/>
      <c r="I394" s="1101"/>
      <c r="J394" s="1209"/>
      <c r="K394" s="1209"/>
      <c r="L394" s="1101"/>
      <c r="M394" s="1101"/>
      <c r="N394" s="1101"/>
      <c r="O394" s="1101"/>
      <c r="P394" s="1101"/>
      <c r="Q394" s="1209"/>
      <c r="R394" s="1209"/>
      <c r="S394" s="1101"/>
      <c r="T394" s="1101"/>
      <c r="U394" s="1101"/>
      <c r="V394" s="1101"/>
      <c r="W394" s="1101"/>
      <c r="X394" s="1209"/>
      <c r="Y394" s="1209"/>
      <c r="Z394" s="1101"/>
      <c r="AA394" s="1101"/>
      <c r="AB394" s="1101"/>
      <c r="AC394" s="1101"/>
      <c r="AD394" s="1101"/>
      <c r="AE394" s="1209"/>
      <c r="AF394" s="1209"/>
      <c r="AG394" s="1101"/>
      <c r="AH394" s="1101"/>
      <c r="AI394" s="1332"/>
      <c r="AJ394" s="68">
        <f>SUM(E394:AI394)</f>
        <v>0</v>
      </c>
      <c r="AK394" s="68"/>
      <c r="AL394" s="69">
        <f>+AJ394*AN389</f>
        <v>0</v>
      </c>
      <c r="AM394" s="1069">
        <f t="shared" si="802"/>
        <v>0</v>
      </c>
      <c r="AN394" s="31"/>
      <c r="AO394" s="622"/>
      <c r="AP394" s="39" t="s">
        <v>19</v>
      </c>
      <c r="AQ394" s="56">
        <f>AQ393*AN389</f>
        <v>0</v>
      </c>
      <c r="AR394" s="56">
        <f>AR393*AN389</f>
        <v>0</v>
      </c>
      <c r="AS394" s="56">
        <f>AS393*AN389</f>
        <v>0</v>
      </c>
      <c r="AT394" s="56">
        <f>AT393*AN389</f>
        <v>0</v>
      </c>
      <c r="AU394" s="56">
        <f>AU393*AN389</f>
        <v>0</v>
      </c>
      <c r="AV394" s="57">
        <f t="shared" si="801"/>
        <v>0</v>
      </c>
    </row>
    <row r="395" spans="1:48" ht="25.15" hidden="1" customHeight="1">
      <c r="A395" s="103"/>
      <c r="B395" s="65"/>
      <c r="C395" s="72" t="s">
        <v>104</v>
      </c>
      <c r="D395" s="73" t="s">
        <v>105</v>
      </c>
      <c r="E395" s="1378"/>
      <c r="F395" s="1103"/>
      <c r="G395" s="1210"/>
      <c r="H395" s="1103"/>
      <c r="I395" s="1103"/>
      <c r="J395" s="1210"/>
      <c r="K395" s="1210"/>
      <c r="L395" s="1103"/>
      <c r="M395" s="1103"/>
      <c r="N395" s="1103"/>
      <c r="O395" s="1103"/>
      <c r="P395" s="1103"/>
      <c r="Q395" s="1210"/>
      <c r="R395" s="1210"/>
      <c r="S395" s="1103"/>
      <c r="T395" s="1103"/>
      <c r="U395" s="1103"/>
      <c r="V395" s="1103"/>
      <c r="W395" s="1103"/>
      <c r="X395" s="1210"/>
      <c r="Y395" s="1210"/>
      <c r="Z395" s="1103"/>
      <c r="AA395" s="1103"/>
      <c r="AB395" s="1103"/>
      <c r="AC395" s="1103"/>
      <c r="AD395" s="1103"/>
      <c r="AE395" s="1210"/>
      <c r="AF395" s="1210"/>
      <c r="AG395" s="1103"/>
      <c r="AH395" s="1103"/>
      <c r="AI395" s="1352"/>
      <c r="AJ395" s="74">
        <f>SUM(E395:AI395)</f>
        <v>0</v>
      </c>
      <c r="AK395" s="74"/>
      <c r="AL395" s="75">
        <f>+AJ395*AN389</f>
        <v>0</v>
      </c>
      <c r="AM395" s="1070">
        <f t="shared" si="802"/>
        <v>0</v>
      </c>
      <c r="AN395" s="76"/>
      <c r="AO395" s="636"/>
      <c r="AP395" s="47" t="s">
        <v>106</v>
      </c>
      <c r="AQ395" s="48">
        <f>AQ391*AN389</f>
        <v>0</v>
      </c>
      <c r="AR395" s="48">
        <f>AR391*AN389</f>
        <v>0</v>
      </c>
      <c r="AS395" s="48">
        <f>AS391*AN389</f>
        <v>0</v>
      </c>
      <c r="AT395" s="48">
        <f>AT391*AN389</f>
        <v>0</v>
      </c>
      <c r="AU395" s="48">
        <f>AU391*AN389</f>
        <v>0</v>
      </c>
      <c r="AV395" s="50">
        <f t="shared" si="801"/>
        <v>0</v>
      </c>
    </row>
    <row r="396" spans="1:48" ht="25.15" hidden="1" customHeight="1">
      <c r="A396" s="103"/>
      <c r="B396" s="65"/>
      <c r="C396" s="77">
        <v>300000</v>
      </c>
      <c r="D396" s="78" t="s">
        <v>107</v>
      </c>
      <c r="E396" s="1327">
        <v>1</v>
      </c>
      <c r="F396" s="1097">
        <v>1</v>
      </c>
      <c r="G396" s="1205">
        <v>1</v>
      </c>
      <c r="H396" s="1097">
        <v>1</v>
      </c>
      <c r="I396" s="1097">
        <v>1</v>
      </c>
      <c r="J396" s="1205">
        <v>1</v>
      </c>
      <c r="K396" s="1205">
        <v>1</v>
      </c>
      <c r="L396" s="1097">
        <v>1</v>
      </c>
      <c r="M396" s="1097">
        <v>1</v>
      </c>
      <c r="N396" s="1097">
        <v>1</v>
      </c>
      <c r="O396" s="1097">
        <v>1</v>
      </c>
      <c r="P396" s="1097">
        <v>1</v>
      </c>
      <c r="Q396" s="1205">
        <v>1</v>
      </c>
      <c r="R396" s="1205">
        <v>1</v>
      </c>
      <c r="S396" s="1097">
        <v>1</v>
      </c>
      <c r="T396" s="1097">
        <v>1</v>
      </c>
      <c r="U396" s="1097">
        <v>1</v>
      </c>
      <c r="V396" s="1097">
        <v>1</v>
      </c>
      <c r="W396" s="1097">
        <v>1</v>
      </c>
      <c r="X396" s="1205">
        <v>1</v>
      </c>
      <c r="Y396" s="1205">
        <v>1</v>
      </c>
      <c r="Z396" s="1097">
        <v>1</v>
      </c>
      <c r="AA396" s="1097">
        <v>1</v>
      </c>
      <c r="AB396" s="1097">
        <v>1</v>
      </c>
      <c r="AC396" s="1097">
        <v>1</v>
      </c>
      <c r="AD396" s="1097">
        <v>1</v>
      </c>
      <c r="AE396" s="1205">
        <v>1</v>
      </c>
      <c r="AF396" s="1205">
        <v>1</v>
      </c>
      <c r="AG396" s="1097">
        <v>1</v>
      </c>
      <c r="AH396" s="1097">
        <v>1</v>
      </c>
      <c r="AI396" s="1328">
        <v>1</v>
      </c>
      <c r="AJ396" s="79"/>
      <c r="AK396" s="79"/>
      <c r="AL396" s="55"/>
      <c r="AM396" s="1067">
        <f t="shared" si="802"/>
        <v>0</v>
      </c>
      <c r="AN396" s="31"/>
      <c r="AO396" s="622"/>
      <c r="AP396" s="23"/>
      <c r="AQ396" s="23"/>
      <c r="AR396" s="23"/>
      <c r="AS396" s="23"/>
      <c r="AT396" s="23"/>
      <c r="AU396" s="23"/>
      <c r="AV396" s="23"/>
    </row>
    <row r="397" spans="1:48" ht="25.15" hidden="1" customHeight="1">
      <c r="A397" s="103"/>
      <c r="B397" s="65"/>
      <c r="C397" s="80" t="s">
        <v>108</v>
      </c>
      <c r="D397" s="81" t="s">
        <v>109</v>
      </c>
      <c r="E397" s="1374">
        <f>SUM(E391+E393+E394+E395)/E396</f>
        <v>0</v>
      </c>
      <c r="F397" s="1104">
        <f>SUM(F391+F393+F394+F395)/F396</f>
        <v>0</v>
      </c>
      <c r="G397" s="1211">
        <f>SUM(G391+G393+G394+G395)/G396</f>
        <v>0</v>
      </c>
      <c r="H397" s="1104">
        <f t="shared" ref="H397:AH397" si="805">SUM(H391+H393+H394+H395)/H396</f>
        <v>0</v>
      </c>
      <c r="I397" s="1104">
        <f t="shared" si="805"/>
        <v>0</v>
      </c>
      <c r="J397" s="1211">
        <f t="shared" si="805"/>
        <v>0</v>
      </c>
      <c r="K397" s="1211">
        <f t="shared" si="805"/>
        <v>0</v>
      </c>
      <c r="L397" s="1104">
        <f t="shared" si="805"/>
        <v>0</v>
      </c>
      <c r="M397" s="1104">
        <f t="shared" si="805"/>
        <v>0</v>
      </c>
      <c r="N397" s="1104">
        <f t="shared" si="805"/>
        <v>0</v>
      </c>
      <c r="O397" s="1104">
        <f t="shared" si="805"/>
        <v>0</v>
      </c>
      <c r="P397" s="1104">
        <f t="shared" si="805"/>
        <v>0</v>
      </c>
      <c r="Q397" s="1211">
        <f t="shared" si="805"/>
        <v>0</v>
      </c>
      <c r="R397" s="1211">
        <f t="shared" si="805"/>
        <v>0</v>
      </c>
      <c r="S397" s="1104">
        <f t="shared" si="805"/>
        <v>0</v>
      </c>
      <c r="T397" s="1104">
        <f t="shared" si="805"/>
        <v>0</v>
      </c>
      <c r="U397" s="1104">
        <f t="shared" si="805"/>
        <v>0</v>
      </c>
      <c r="V397" s="1104">
        <f t="shared" si="805"/>
        <v>0</v>
      </c>
      <c r="W397" s="1104">
        <f t="shared" si="805"/>
        <v>0</v>
      </c>
      <c r="X397" s="1211">
        <f t="shared" si="805"/>
        <v>0</v>
      </c>
      <c r="Y397" s="1211">
        <f t="shared" si="805"/>
        <v>0</v>
      </c>
      <c r="Z397" s="1104">
        <f t="shared" si="805"/>
        <v>0</v>
      </c>
      <c r="AA397" s="1104">
        <f t="shared" ref="AA397" si="806">SUM(AA391+AA393+AA394+AA395)/AA396</f>
        <v>0</v>
      </c>
      <c r="AB397" s="1104">
        <f t="shared" si="805"/>
        <v>0</v>
      </c>
      <c r="AC397" s="1104">
        <f t="shared" si="805"/>
        <v>0</v>
      </c>
      <c r="AD397" s="1104">
        <f t="shared" si="805"/>
        <v>0</v>
      </c>
      <c r="AE397" s="1211">
        <f t="shared" si="805"/>
        <v>0</v>
      </c>
      <c r="AF397" s="1211">
        <f t="shared" si="805"/>
        <v>0</v>
      </c>
      <c r="AG397" s="1104">
        <f t="shared" si="805"/>
        <v>0</v>
      </c>
      <c r="AH397" s="1104">
        <f t="shared" si="805"/>
        <v>0</v>
      </c>
      <c r="AI397" s="1335">
        <f>SUM(AI391+AI393+AI394)/AI396</f>
        <v>0</v>
      </c>
      <c r="AJ397" s="104">
        <f>SUM(E397:AI397)</f>
        <v>0</v>
      </c>
      <c r="AK397" s="104"/>
      <c r="AL397" s="83"/>
      <c r="AM397" s="1068">
        <f t="shared" si="802"/>
        <v>0</v>
      </c>
      <c r="AN397" s="31"/>
      <c r="AO397" s="622"/>
      <c r="AP397" s="23"/>
      <c r="AQ397" s="23"/>
      <c r="AR397" s="23"/>
      <c r="AS397" s="23"/>
      <c r="AT397" s="23"/>
      <c r="AU397" s="23"/>
      <c r="AV397" s="23"/>
    </row>
    <row r="398" spans="1:48" ht="25.15" hidden="1" customHeight="1">
      <c r="A398" s="103"/>
      <c r="B398" s="59"/>
      <c r="C398" s="84">
        <f>+C396*0.8</f>
        <v>240000</v>
      </c>
      <c r="D398" s="85" t="s">
        <v>110</v>
      </c>
      <c r="E398" s="1105"/>
      <c r="F398" s="1106"/>
      <c r="G398" s="1211"/>
      <c r="H398" s="1104"/>
      <c r="I398" s="1104"/>
      <c r="J398" s="1211"/>
      <c r="K398" s="1211"/>
      <c r="L398" s="1104"/>
      <c r="M398" s="1104"/>
      <c r="N398" s="1104"/>
      <c r="O398" s="1107"/>
      <c r="P398" s="1104"/>
      <c r="Q398" s="1211"/>
      <c r="R398" s="1211"/>
      <c r="S398" s="1104"/>
      <c r="T398" s="1104"/>
      <c r="U398" s="1104"/>
      <c r="V398" s="1104"/>
      <c r="W398" s="1104"/>
      <c r="X398" s="1211"/>
      <c r="Y398" s="1211"/>
      <c r="Z398" s="1104"/>
      <c r="AA398" s="1104"/>
      <c r="AB398" s="1104"/>
      <c r="AC398" s="1104"/>
      <c r="AD398" s="1104"/>
      <c r="AE398" s="1211"/>
      <c r="AF398" s="1211"/>
      <c r="AG398" s="1104"/>
      <c r="AH398" s="1104"/>
      <c r="AI398" s="1353"/>
      <c r="AJ398" s="86"/>
      <c r="AK398" s="86"/>
      <c r="AL398" s="690"/>
      <c r="AM398" s="694">
        <f t="shared" si="802"/>
        <v>0</v>
      </c>
      <c r="AN398" s="31"/>
      <c r="AO398" s="622"/>
      <c r="AP398" s="23"/>
      <c r="AQ398" s="23"/>
      <c r="AR398" s="23"/>
      <c r="AS398" s="23"/>
      <c r="AT398" s="23"/>
      <c r="AU398" s="23"/>
      <c r="AV398" s="23"/>
    </row>
    <row r="399" spans="1:48" ht="25.15" hidden="1" customHeight="1">
      <c r="A399" s="103"/>
      <c r="B399" s="105"/>
      <c r="C399" s="77"/>
      <c r="D399" s="88" t="s">
        <v>111</v>
      </c>
      <c r="E399" s="1108">
        <f>IF(E398="O/H",E397,9980+E397)</f>
        <v>9980</v>
      </c>
      <c r="F399" s="1089">
        <f t="shared" ref="F399:AI399" si="807">IF(F398="O/H",F397,+E399+F397)</f>
        <v>9980</v>
      </c>
      <c r="G399" s="44">
        <f t="shared" si="807"/>
        <v>9980</v>
      </c>
      <c r="H399" s="1089">
        <f t="shared" si="807"/>
        <v>9980</v>
      </c>
      <c r="I399" s="1089">
        <f t="shared" si="807"/>
        <v>9980</v>
      </c>
      <c r="J399" s="44">
        <f t="shared" si="807"/>
        <v>9980</v>
      </c>
      <c r="K399" s="44">
        <f t="shared" si="807"/>
        <v>9980</v>
      </c>
      <c r="L399" s="1089">
        <f t="shared" si="807"/>
        <v>9980</v>
      </c>
      <c r="M399" s="1089">
        <f t="shared" si="807"/>
        <v>9980</v>
      </c>
      <c r="N399" s="1089">
        <f t="shared" si="807"/>
        <v>9980</v>
      </c>
      <c r="O399" s="1089">
        <f t="shared" si="807"/>
        <v>9980</v>
      </c>
      <c r="P399" s="1089">
        <f t="shared" si="807"/>
        <v>9980</v>
      </c>
      <c r="Q399" s="44">
        <f t="shared" si="807"/>
        <v>9980</v>
      </c>
      <c r="R399" s="44">
        <f t="shared" si="807"/>
        <v>9980</v>
      </c>
      <c r="S399" s="1089">
        <f t="shared" si="807"/>
        <v>9980</v>
      </c>
      <c r="T399" s="1089">
        <f t="shared" si="807"/>
        <v>9980</v>
      </c>
      <c r="U399" s="1089">
        <f t="shared" si="807"/>
        <v>9980</v>
      </c>
      <c r="V399" s="1089">
        <f t="shared" si="807"/>
        <v>9980</v>
      </c>
      <c r="W399" s="1089">
        <f t="shared" si="807"/>
        <v>9980</v>
      </c>
      <c r="X399" s="44">
        <f t="shared" si="807"/>
        <v>9980</v>
      </c>
      <c r="Y399" s="44">
        <f t="shared" si="807"/>
        <v>9980</v>
      </c>
      <c r="Z399" s="1089">
        <f t="shared" si="807"/>
        <v>9980</v>
      </c>
      <c r="AA399" s="1089">
        <f t="shared" si="807"/>
        <v>9980</v>
      </c>
      <c r="AB399" s="1089">
        <f t="shared" si="807"/>
        <v>9980</v>
      </c>
      <c r="AC399" s="1089">
        <f t="shared" si="807"/>
        <v>9980</v>
      </c>
      <c r="AD399" s="1089">
        <f t="shared" si="807"/>
        <v>9980</v>
      </c>
      <c r="AE399" s="44">
        <f t="shared" si="807"/>
        <v>9980</v>
      </c>
      <c r="AF399" s="44">
        <f t="shared" si="807"/>
        <v>9980</v>
      </c>
      <c r="AG399" s="1089">
        <f t="shared" si="807"/>
        <v>9980</v>
      </c>
      <c r="AH399" s="1089">
        <f t="shared" si="807"/>
        <v>9980</v>
      </c>
      <c r="AI399" s="1326">
        <f t="shared" si="807"/>
        <v>9980</v>
      </c>
      <c r="AJ399" s="79"/>
      <c r="AK399" s="86"/>
      <c r="AL399" s="689"/>
      <c r="AM399" s="694">
        <f t="shared" si="802"/>
        <v>0</v>
      </c>
      <c r="AN399" s="31"/>
      <c r="AO399" s="622"/>
      <c r="AP399" s="23"/>
      <c r="AQ399" s="23"/>
      <c r="AR399" s="23"/>
      <c r="AS399" s="23"/>
      <c r="AT399" s="23"/>
      <c r="AU399" s="23"/>
      <c r="AV399" s="23"/>
    </row>
    <row r="400" spans="1:48" s="23" customFormat="1" ht="20.65" hidden="1" customHeight="1">
      <c r="A400" s="274"/>
      <c r="B400" s="312"/>
      <c r="C400" s="308"/>
      <c r="D400" s="795" t="s">
        <v>112</v>
      </c>
      <c r="E400" s="1108" t="b">
        <f>IF(AND(ISNUMBER(E391)),271652+E397)</f>
        <v>0</v>
      </c>
      <c r="F400" s="1089" t="str">
        <f>IF(AND(ISNUMBER(F391)),E400+F397,"")</f>
        <v/>
      </c>
      <c r="G400" s="44" t="str">
        <f t="shared" ref="G400" si="808">IF(AND(ISNUMBER(G391)),F400+G397,"")</f>
        <v/>
      </c>
      <c r="H400" s="1089" t="str">
        <f t="shared" ref="H400" si="809">IF(AND(ISNUMBER(H391)),G400+H397,"")</f>
        <v/>
      </c>
      <c r="I400" s="1089" t="str">
        <f>IF(AND(ISNUMBER(I391)),H400+I397,"")</f>
        <v/>
      </c>
      <c r="J400" s="44" t="str">
        <f>IF(AND(ISNUMBER(J391)),I400+J397,"")</f>
        <v/>
      </c>
      <c r="K400" s="44" t="str">
        <f>IF(AND(ISNUMBER(K391)),J400+K397,"")</f>
        <v/>
      </c>
      <c r="L400" s="1089" t="str">
        <f t="shared" ref="L400" si="810">IF(AND(ISNUMBER(L391)),K400+L397,"")</f>
        <v/>
      </c>
      <c r="M400" s="1089" t="str">
        <f t="shared" ref="M400" si="811">IF(AND(ISNUMBER(M391)),L400+M397,"")</f>
        <v/>
      </c>
      <c r="N400" s="1089" t="str">
        <f t="shared" ref="N400" si="812">IF(AND(ISNUMBER(N391)),M400+N397,"")</f>
        <v/>
      </c>
      <c r="O400" s="1089" t="str">
        <f t="shared" ref="O400" si="813">IF(AND(ISNUMBER(O391)),N400+O397,"")</f>
        <v/>
      </c>
      <c r="P400" s="1089" t="str">
        <f t="shared" ref="P400" si="814">IF(AND(ISNUMBER(P391)),O400+P397,"")</f>
        <v/>
      </c>
      <c r="Q400" s="44" t="str">
        <f t="shared" ref="Q400" si="815">IF(AND(ISNUMBER(Q391)),P400+Q397,"")</f>
        <v/>
      </c>
      <c r="R400" s="44" t="str">
        <f t="shared" ref="R400" si="816">IF(AND(ISNUMBER(R391)),Q400+R397,"")</f>
        <v/>
      </c>
      <c r="S400" s="1089" t="str">
        <f t="shared" ref="S400" si="817">IF(AND(ISNUMBER(S391)),R400+S397,"")</f>
        <v/>
      </c>
      <c r="T400" s="1089" t="str">
        <f t="shared" ref="T400" si="818">IF(AND(ISNUMBER(T391)),S400+T397,"")</f>
        <v/>
      </c>
      <c r="U400" s="1089" t="str">
        <f t="shared" ref="U400" si="819">IF(AND(ISNUMBER(U391)),T400+U397,"")</f>
        <v/>
      </c>
      <c r="V400" s="1089" t="str">
        <f t="shared" ref="V400" si="820">IF(AND(ISNUMBER(V391)),U400+V397,"")</f>
        <v/>
      </c>
      <c r="W400" s="1089" t="str">
        <f t="shared" ref="W400" si="821">IF(AND(ISNUMBER(W391)),V400+W397,"")</f>
        <v/>
      </c>
      <c r="X400" s="44" t="str">
        <f t="shared" ref="X400" si="822">IF(AND(ISNUMBER(X391)),W400+X397,"")</f>
        <v/>
      </c>
      <c r="Y400" s="44" t="str">
        <f t="shared" ref="Y400" si="823">IF(AND(ISNUMBER(Y391)),X400+Y397,"")</f>
        <v/>
      </c>
      <c r="Z400" s="1089" t="str">
        <f t="shared" ref="Z400" si="824">IF(AND(ISNUMBER(Z391)),Y400+Z397,"")</f>
        <v/>
      </c>
      <c r="AA400" s="1089" t="str">
        <f t="shared" ref="AA400" si="825">IF(AND(ISNUMBER(AA391)),Z400+AA397,"")</f>
        <v/>
      </c>
      <c r="AB400" s="1089" t="str">
        <f t="shared" ref="AB400" si="826">IF(AND(ISNUMBER(AB391)),AA400+AB397,"")</f>
        <v/>
      </c>
      <c r="AC400" s="1089" t="str">
        <f t="shared" ref="AC400" si="827">IF(AND(ISNUMBER(AC391)),AB400+AC397,"")</f>
        <v/>
      </c>
      <c r="AD400" s="1089" t="str">
        <f t="shared" ref="AD400" si="828">IF(AND(ISNUMBER(AD391)),AC400+AD397,"")</f>
        <v/>
      </c>
      <c r="AE400" s="44" t="str">
        <f t="shared" ref="AE400" si="829">IF(AND(ISNUMBER(AE391)),AD400+AE397,"")</f>
        <v/>
      </c>
      <c r="AF400" s="44" t="str">
        <f t="shared" ref="AF400" si="830">IF(AND(ISNUMBER(AF391)),AE400+AF397,"")</f>
        <v/>
      </c>
      <c r="AG400" s="1089" t="str">
        <f t="shared" ref="AG400" si="831">IF(AND(ISNUMBER(AG391)),AF400+AG397,"")</f>
        <v/>
      </c>
      <c r="AH400" s="1089" t="str">
        <f t="shared" ref="AH400" si="832">IF(AND(ISNUMBER(AH391)),AG400+AH397,"")</f>
        <v/>
      </c>
      <c r="AI400" s="1089" t="str">
        <f t="shared" ref="AI400" si="833">IF(AND(ISNUMBER(AI391)),AH400+AI397,"")</f>
        <v/>
      </c>
      <c r="AJ400" s="793"/>
      <c r="AK400" s="793"/>
      <c r="AL400" s="909"/>
      <c r="AM400" s="890">
        <f t="shared" si="802"/>
        <v>0</v>
      </c>
      <c r="AN400" s="76"/>
      <c r="AO400" s="624"/>
      <c r="AP400" s="285"/>
      <c r="AQ400" s="285"/>
      <c r="AR400" s="285"/>
      <c r="AS400" s="285"/>
      <c r="AT400" s="286"/>
      <c r="AU400" s="285"/>
      <c r="AV400" s="287"/>
    </row>
    <row r="401" spans="1:48" ht="25.15" hidden="1" customHeight="1">
      <c r="A401" s="103"/>
      <c r="B401" s="89"/>
      <c r="C401" s="80"/>
      <c r="D401" s="90" t="s">
        <v>104</v>
      </c>
      <c r="E401" s="1108"/>
      <c r="F401" s="1089"/>
      <c r="G401" s="44"/>
      <c r="H401" s="1089"/>
      <c r="I401" s="1089"/>
      <c r="J401" s="44"/>
      <c r="K401" s="44"/>
      <c r="L401" s="1089"/>
      <c r="M401" s="1089"/>
      <c r="N401" s="1089"/>
      <c r="O401" s="1089"/>
      <c r="P401" s="1089"/>
      <c r="Q401" s="44"/>
      <c r="R401" s="44"/>
      <c r="S401" s="1089"/>
      <c r="T401" s="1089"/>
      <c r="U401" s="1089"/>
      <c r="V401" s="1089"/>
      <c r="W401" s="1089"/>
      <c r="X401" s="44"/>
      <c r="Y401" s="44"/>
      <c r="Z401" s="1089"/>
      <c r="AA401" s="1089"/>
      <c r="AB401" s="1089"/>
      <c r="AC401" s="1089"/>
      <c r="AD401" s="1089"/>
      <c r="AE401" s="44"/>
      <c r="AF401" s="44"/>
      <c r="AG401" s="1089"/>
      <c r="AH401" s="1089"/>
      <c r="AI401" s="1326"/>
      <c r="AJ401" s="79"/>
      <c r="AK401" s="79"/>
      <c r="AL401" s="63"/>
      <c r="AM401" s="1068">
        <f t="shared" si="802"/>
        <v>0</v>
      </c>
      <c r="AN401" s="64"/>
      <c r="AO401" s="624"/>
      <c r="AP401" s="23"/>
      <c r="AQ401" s="23"/>
      <c r="AR401" s="23"/>
      <c r="AS401" s="23"/>
      <c r="AT401" s="23"/>
      <c r="AU401" s="23"/>
      <c r="AV401" s="23"/>
    </row>
    <row r="402" spans="1:48" ht="25.15" hidden="1" customHeight="1" thickBot="1">
      <c r="A402" s="106"/>
      <c r="B402" s="93"/>
      <c r="C402" s="94"/>
      <c r="D402" s="95" t="s">
        <v>111</v>
      </c>
      <c r="E402" s="1109">
        <f>IF(E401="O/H",E397,2430+E397)</f>
        <v>2430</v>
      </c>
      <c r="F402" s="1110">
        <f t="shared" ref="F402:AI402" si="834">IF(F401="O/H",F397,+E402+F397)</f>
        <v>2430</v>
      </c>
      <c r="G402" s="1212">
        <f t="shared" si="834"/>
        <v>2430</v>
      </c>
      <c r="H402" s="1110">
        <f t="shared" si="834"/>
        <v>2430</v>
      </c>
      <c r="I402" s="1110">
        <f t="shared" si="834"/>
        <v>2430</v>
      </c>
      <c r="J402" s="1212">
        <f t="shared" si="834"/>
        <v>2430</v>
      </c>
      <c r="K402" s="1212">
        <f t="shared" si="834"/>
        <v>2430</v>
      </c>
      <c r="L402" s="1110">
        <f t="shared" si="834"/>
        <v>2430</v>
      </c>
      <c r="M402" s="1110">
        <f t="shared" si="834"/>
        <v>2430</v>
      </c>
      <c r="N402" s="1110">
        <f t="shared" si="834"/>
        <v>2430</v>
      </c>
      <c r="O402" s="1110">
        <f t="shared" si="834"/>
        <v>2430</v>
      </c>
      <c r="P402" s="1110">
        <f t="shared" si="834"/>
        <v>2430</v>
      </c>
      <c r="Q402" s="1212">
        <f t="shared" si="834"/>
        <v>2430</v>
      </c>
      <c r="R402" s="1212">
        <f t="shared" si="834"/>
        <v>2430</v>
      </c>
      <c r="S402" s="1110">
        <f t="shared" si="834"/>
        <v>2430</v>
      </c>
      <c r="T402" s="1110">
        <f t="shared" si="834"/>
        <v>2430</v>
      </c>
      <c r="U402" s="1110">
        <f t="shared" si="834"/>
        <v>2430</v>
      </c>
      <c r="V402" s="1110">
        <f t="shared" si="834"/>
        <v>2430</v>
      </c>
      <c r="W402" s="1110">
        <f t="shared" si="834"/>
        <v>2430</v>
      </c>
      <c r="X402" s="1212">
        <f t="shared" si="834"/>
        <v>2430</v>
      </c>
      <c r="Y402" s="1212">
        <f t="shared" si="834"/>
        <v>2430</v>
      </c>
      <c r="Z402" s="1110">
        <f t="shared" si="834"/>
        <v>2430</v>
      </c>
      <c r="AA402" s="1110">
        <f t="shared" si="834"/>
        <v>2430</v>
      </c>
      <c r="AB402" s="1110">
        <f t="shared" si="834"/>
        <v>2430</v>
      </c>
      <c r="AC402" s="1110">
        <f t="shared" si="834"/>
        <v>2430</v>
      </c>
      <c r="AD402" s="1110">
        <f t="shared" si="834"/>
        <v>2430</v>
      </c>
      <c r="AE402" s="1212">
        <f t="shared" si="834"/>
        <v>2430</v>
      </c>
      <c r="AF402" s="1212">
        <f t="shared" si="834"/>
        <v>2430</v>
      </c>
      <c r="AG402" s="1110">
        <f t="shared" si="834"/>
        <v>2430</v>
      </c>
      <c r="AH402" s="1110">
        <f t="shared" si="834"/>
        <v>2430</v>
      </c>
      <c r="AI402" s="1340">
        <f t="shared" si="834"/>
        <v>2430</v>
      </c>
      <c r="AJ402" s="96"/>
      <c r="AK402" s="96"/>
      <c r="AL402" s="97"/>
      <c r="AM402" s="1071">
        <f t="shared" si="802"/>
        <v>0</v>
      </c>
      <c r="AN402" s="98"/>
      <c r="AO402" s="625"/>
      <c r="AP402" s="23"/>
      <c r="AQ402" s="23"/>
      <c r="AR402" s="23"/>
      <c r="AS402" s="23"/>
      <c r="AT402" s="23"/>
      <c r="AU402" s="23"/>
      <c r="AV402" s="23"/>
    </row>
    <row r="403" spans="1:48" ht="25.15" hidden="1" customHeight="1" thickTop="1">
      <c r="A403" s="99"/>
      <c r="B403" s="26" t="s">
        <v>120</v>
      </c>
      <c r="C403" s="27"/>
      <c r="D403" s="28" t="s">
        <v>82</v>
      </c>
      <c r="E403" s="1111"/>
      <c r="F403" s="1111"/>
      <c r="G403" s="1201"/>
      <c r="H403" s="1111"/>
      <c r="I403" s="1111"/>
      <c r="J403" s="1201"/>
      <c r="K403" s="1201"/>
      <c r="L403" s="1111"/>
      <c r="M403" s="1111"/>
      <c r="N403" s="1111"/>
      <c r="O403" s="1111"/>
      <c r="P403" s="1111"/>
      <c r="Q403" s="1201"/>
      <c r="R403" s="1201"/>
      <c r="S403" s="1111"/>
      <c r="T403" s="1111"/>
      <c r="U403" s="1111"/>
      <c r="V403" s="1111"/>
      <c r="W403" s="1111"/>
      <c r="X403" s="1201"/>
      <c r="Y403" s="1201"/>
      <c r="Z403" s="1111"/>
      <c r="AA403" s="1120"/>
      <c r="AB403" s="1111"/>
      <c r="AC403" s="1111"/>
      <c r="AD403" s="1111"/>
      <c r="AE403" s="1201"/>
      <c r="AF403" s="1201"/>
      <c r="AG403" s="1111"/>
      <c r="AH403" s="1111"/>
      <c r="AI403" s="1412"/>
      <c r="AJ403" s="100">
        <f>SUM(Table75[[#This Row],[June''2026]:[Column27]])</f>
        <v>0</v>
      </c>
      <c r="AK403" s="100">
        <f t="shared" ref="AK403:AK444" si="835">AJ405</f>
        <v>0</v>
      </c>
      <c r="AL403" s="101">
        <f>+AJ403*AN403</f>
        <v>0</v>
      </c>
      <c r="AM403" s="1072">
        <f t="shared" si="802"/>
        <v>0</v>
      </c>
      <c r="AN403" s="102"/>
      <c r="AO403" s="622" t="e">
        <f>Table5[[#This Row],[Total]]*B407/1000</f>
        <v>#VALUE!</v>
      </c>
      <c r="AP403" s="32" t="s">
        <v>134</v>
      </c>
      <c r="AQ403" s="33" t="s">
        <v>84</v>
      </c>
      <c r="AR403" s="33" t="s">
        <v>85</v>
      </c>
      <c r="AS403" s="33" t="s">
        <v>86</v>
      </c>
      <c r="AT403" s="33" t="s">
        <v>87</v>
      </c>
      <c r="AU403" s="33" t="s">
        <v>88</v>
      </c>
      <c r="AV403" s="34" t="s">
        <v>68</v>
      </c>
    </row>
    <row r="404" spans="1:48" ht="25.15" hidden="1" customHeight="1">
      <c r="A404" s="103"/>
      <c r="B404" s="35" t="s">
        <v>119</v>
      </c>
      <c r="C404" s="36"/>
      <c r="D404" s="37" t="s">
        <v>90</v>
      </c>
      <c r="E404" s="1373">
        <f>IF(E403="",0,+ E403/E410)</f>
        <v>0</v>
      </c>
      <c r="F404" s="1096">
        <f t="shared" ref="F404:AI404" si="836">IF(F403="",0, E404+F403/F410)</f>
        <v>0</v>
      </c>
      <c r="G404" s="1207">
        <f t="shared" si="836"/>
        <v>0</v>
      </c>
      <c r="H404" s="1096">
        <f t="shared" si="836"/>
        <v>0</v>
      </c>
      <c r="I404" s="1096">
        <f t="shared" si="836"/>
        <v>0</v>
      </c>
      <c r="J404" s="1207">
        <f t="shared" si="836"/>
        <v>0</v>
      </c>
      <c r="K404" s="1207">
        <f t="shared" si="836"/>
        <v>0</v>
      </c>
      <c r="L404" s="1096">
        <f t="shared" si="836"/>
        <v>0</v>
      </c>
      <c r="M404" s="1096">
        <f t="shared" si="836"/>
        <v>0</v>
      </c>
      <c r="N404" s="1096">
        <f t="shared" si="836"/>
        <v>0</v>
      </c>
      <c r="O404" s="1096">
        <f t="shared" si="836"/>
        <v>0</v>
      </c>
      <c r="P404" s="1096">
        <f t="shared" si="836"/>
        <v>0</v>
      </c>
      <c r="Q404" s="1207">
        <f t="shared" si="836"/>
        <v>0</v>
      </c>
      <c r="R404" s="1207">
        <f t="shared" si="836"/>
        <v>0</v>
      </c>
      <c r="S404" s="1096">
        <f t="shared" si="836"/>
        <v>0</v>
      </c>
      <c r="T404" s="1096">
        <f t="shared" si="836"/>
        <v>0</v>
      </c>
      <c r="U404" s="1096">
        <f t="shared" si="836"/>
        <v>0</v>
      </c>
      <c r="V404" s="1096">
        <f t="shared" si="836"/>
        <v>0</v>
      </c>
      <c r="W404" s="1096">
        <f t="shared" si="836"/>
        <v>0</v>
      </c>
      <c r="X404" s="1207">
        <f t="shared" si="836"/>
        <v>0</v>
      </c>
      <c r="Y404" s="1207">
        <f t="shared" si="836"/>
        <v>0</v>
      </c>
      <c r="Z404" s="1096">
        <f t="shared" si="836"/>
        <v>0</v>
      </c>
      <c r="AA404" s="1089"/>
      <c r="AB404" s="1096">
        <f t="shared" si="836"/>
        <v>0</v>
      </c>
      <c r="AC404" s="1096">
        <f t="shared" si="836"/>
        <v>0</v>
      </c>
      <c r="AD404" s="1096">
        <f t="shared" si="836"/>
        <v>0</v>
      </c>
      <c r="AE404" s="1207">
        <f t="shared" si="836"/>
        <v>0</v>
      </c>
      <c r="AF404" s="1207">
        <f t="shared" si="836"/>
        <v>0</v>
      </c>
      <c r="AG404" s="1096">
        <f t="shared" si="836"/>
        <v>0</v>
      </c>
      <c r="AH404" s="1096">
        <f t="shared" si="836"/>
        <v>0</v>
      </c>
      <c r="AI404" s="1324">
        <f t="shared" si="836"/>
        <v>0</v>
      </c>
      <c r="AJ404" s="38"/>
      <c r="AK404" s="29"/>
      <c r="AL404" s="30"/>
      <c r="AM404" s="694">
        <f t="shared" si="802"/>
        <v>0</v>
      </c>
      <c r="AN404" s="31"/>
      <c r="AO404" s="630"/>
      <c r="AP404" s="39" t="s">
        <v>91</v>
      </c>
      <c r="AQ404" s="40">
        <f>SUM(E403:I403)</f>
        <v>0</v>
      </c>
      <c r="AR404" s="41">
        <f>SUM(J403:P403)</f>
        <v>0</v>
      </c>
      <c r="AS404" s="41">
        <f>SUM(Q403:W403)</f>
        <v>0</v>
      </c>
      <c r="AT404" s="41">
        <f>SUM(X403:AD403)</f>
        <v>0</v>
      </c>
      <c r="AU404" s="41">
        <f>SUM(AE403:AI403)</f>
        <v>0</v>
      </c>
      <c r="AV404" s="34">
        <f t="shared" ref="AV404:AV409" si="837">SUM(AQ404:AU404)</f>
        <v>0</v>
      </c>
    </row>
    <row r="405" spans="1:48" ht="25.15" hidden="1" customHeight="1">
      <c r="A405" s="103"/>
      <c r="B405" s="26" t="s">
        <v>92</v>
      </c>
      <c r="C405" s="42"/>
      <c r="D405" s="43" t="s">
        <v>93</v>
      </c>
      <c r="E405" s="1325"/>
      <c r="F405" s="1089"/>
      <c r="G405" s="44"/>
      <c r="H405" s="1089"/>
      <c r="I405" s="1089"/>
      <c r="J405" s="44"/>
      <c r="K405" s="44"/>
      <c r="L405" s="1089"/>
      <c r="M405" s="1089"/>
      <c r="N405" s="1089"/>
      <c r="O405" s="1089"/>
      <c r="P405" s="1089"/>
      <c r="Q405" s="44"/>
      <c r="R405" s="44"/>
      <c r="S405" s="1089"/>
      <c r="T405" s="1089"/>
      <c r="U405" s="1089"/>
      <c r="V405" s="1089"/>
      <c r="W405" s="1089"/>
      <c r="X405" s="44"/>
      <c r="Y405" s="44"/>
      <c r="Z405" s="1089"/>
      <c r="AA405" s="1089"/>
      <c r="AB405" s="1089"/>
      <c r="AC405" s="1089"/>
      <c r="AD405" s="1089"/>
      <c r="AE405" s="44"/>
      <c r="AF405" s="44"/>
      <c r="AG405" s="1089"/>
      <c r="AH405" s="1089"/>
      <c r="AI405" s="1326"/>
      <c r="AJ405" s="45">
        <f>SUM(E405:AI405)</f>
        <v>0</v>
      </c>
      <c r="AK405" s="45"/>
      <c r="AL405" s="46">
        <f>+AJ405*AN403</f>
        <v>0</v>
      </c>
      <c r="AM405" s="1066">
        <f t="shared" si="802"/>
        <v>0</v>
      </c>
      <c r="AN405" s="31"/>
      <c r="AO405" s="632">
        <f>(AJ405+AJ407+AJ408+AJ409)*B407/1000</f>
        <v>0</v>
      </c>
      <c r="AP405" s="47" t="s">
        <v>94</v>
      </c>
      <c r="AQ405" s="48">
        <f>SUM(E405:I405)</f>
        <v>0</v>
      </c>
      <c r="AR405" s="49">
        <f>SUM(J405:P405)</f>
        <v>0</v>
      </c>
      <c r="AS405" s="49">
        <f>SUM(Q405:W405)</f>
        <v>0</v>
      </c>
      <c r="AT405" s="49">
        <f>SUM(X405:AD405)</f>
        <v>0</v>
      </c>
      <c r="AU405" s="49">
        <f>SUM(AE405:AI405)</f>
        <v>0</v>
      </c>
      <c r="AV405" s="50">
        <f t="shared" si="837"/>
        <v>0</v>
      </c>
    </row>
    <row r="406" spans="1:48" ht="25.15" hidden="1" customHeight="1">
      <c r="A406" s="103"/>
      <c r="B406" s="51"/>
      <c r="C406" s="52" t="s">
        <v>95</v>
      </c>
      <c r="D406" s="53" t="s">
        <v>96</v>
      </c>
      <c r="E406" s="1327">
        <f t="shared" ref="E406:AJ406" si="838">+E405-E403</f>
        <v>0</v>
      </c>
      <c r="F406" s="1097">
        <f t="shared" si="838"/>
        <v>0</v>
      </c>
      <c r="G406" s="1205">
        <f t="shared" si="838"/>
        <v>0</v>
      </c>
      <c r="H406" s="1097">
        <f t="shared" si="838"/>
        <v>0</v>
      </c>
      <c r="I406" s="1097">
        <f t="shared" si="838"/>
        <v>0</v>
      </c>
      <c r="J406" s="1205">
        <f t="shared" si="838"/>
        <v>0</v>
      </c>
      <c r="K406" s="1205">
        <f t="shared" ref="K406" si="839">+K405-K403</f>
        <v>0</v>
      </c>
      <c r="L406" s="1097">
        <f t="shared" si="838"/>
        <v>0</v>
      </c>
      <c r="M406" s="1097">
        <f t="shared" si="838"/>
        <v>0</v>
      </c>
      <c r="N406" s="1097">
        <f t="shared" si="838"/>
        <v>0</v>
      </c>
      <c r="O406" s="1097">
        <f t="shared" si="838"/>
        <v>0</v>
      </c>
      <c r="P406" s="1097">
        <f t="shared" si="838"/>
        <v>0</v>
      </c>
      <c r="Q406" s="1205">
        <f t="shared" si="838"/>
        <v>0</v>
      </c>
      <c r="R406" s="1205">
        <f t="shared" si="838"/>
        <v>0</v>
      </c>
      <c r="S406" s="1097">
        <f t="shared" si="838"/>
        <v>0</v>
      </c>
      <c r="T406" s="1097">
        <f t="shared" si="838"/>
        <v>0</v>
      </c>
      <c r="U406" s="1097">
        <f t="shared" si="838"/>
        <v>0</v>
      </c>
      <c r="V406" s="1097">
        <f t="shared" si="838"/>
        <v>0</v>
      </c>
      <c r="W406" s="1097">
        <f t="shared" si="838"/>
        <v>0</v>
      </c>
      <c r="X406" s="1205">
        <f t="shared" si="838"/>
        <v>0</v>
      </c>
      <c r="Y406" s="1205">
        <f t="shared" si="838"/>
        <v>0</v>
      </c>
      <c r="Z406" s="1097">
        <f t="shared" si="838"/>
        <v>0</v>
      </c>
      <c r="AA406" s="1097">
        <f t="shared" ref="AA406" si="840">+AA405-AA403</f>
        <v>0</v>
      </c>
      <c r="AB406" s="1097">
        <f t="shared" si="838"/>
        <v>0</v>
      </c>
      <c r="AC406" s="1097">
        <f t="shared" si="838"/>
        <v>0</v>
      </c>
      <c r="AD406" s="1097">
        <f t="shared" si="838"/>
        <v>0</v>
      </c>
      <c r="AE406" s="1205">
        <f t="shared" si="838"/>
        <v>0</v>
      </c>
      <c r="AF406" s="1205">
        <f t="shared" si="838"/>
        <v>0</v>
      </c>
      <c r="AG406" s="1097">
        <f t="shared" si="838"/>
        <v>0</v>
      </c>
      <c r="AH406" s="1097">
        <f t="shared" si="838"/>
        <v>0</v>
      </c>
      <c r="AI406" s="1328">
        <f t="shared" si="838"/>
        <v>0</v>
      </c>
      <c r="AJ406" s="54">
        <f t="shared" si="838"/>
        <v>0</v>
      </c>
      <c r="AK406" s="54"/>
      <c r="AL406" s="55">
        <f>+AJ406*AN403</f>
        <v>0</v>
      </c>
      <c r="AM406" s="1067">
        <f t="shared" si="802"/>
        <v>0</v>
      </c>
      <c r="AN406" s="31" t="s">
        <v>97</v>
      </c>
      <c r="AO406" s="622"/>
      <c r="AP406" s="39" t="s">
        <v>98</v>
      </c>
      <c r="AQ406" s="56">
        <f>AQ405-AQ404</f>
        <v>0</v>
      </c>
      <c r="AR406" s="70">
        <f>AR405-AR404</f>
        <v>0</v>
      </c>
      <c r="AS406" s="70">
        <f>AS405-AS404</f>
        <v>0</v>
      </c>
      <c r="AT406" s="70">
        <f>AT405-AT404</f>
        <v>0</v>
      </c>
      <c r="AU406" s="70">
        <f>AU405-AU404</f>
        <v>0</v>
      </c>
      <c r="AV406" s="57">
        <f t="shared" si="837"/>
        <v>0</v>
      </c>
    </row>
    <row r="407" spans="1:48" ht="25.15" hidden="1" customHeight="1">
      <c r="A407" s="58"/>
      <c r="B407" s="59"/>
      <c r="C407" s="60" t="s">
        <v>100</v>
      </c>
      <c r="D407" s="61" t="s">
        <v>101</v>
      </c>
      <c r="E407" s="1329"/>
      <c r="F407" s="1099"/>
      <c r="G407" s="1208"/>
      <c r="H407" s="1099"/>
      <c r="I407" s="1099"/>
      <c r="J407" s="1208"/>
      <c r="K407" s="1208"/>
      <c r="L407" s="1099"/>
      <c r="M407" s="1099"/>
      <c r="N407" s="1099"/>
      <c r="O407" s="1099"/>
      <c r="P407" s="1099"/>
      <c r="Q407" s="1208"/>
      <c r="R407" s="1208"/>
      <c r="S407" s="1099"/>
      <c r="T407" s="1099"/>
      <c r="U407" s="1099"/>
      <c r="V407" s="1099"/>
      <c r="W407" s="1099"/>
      <c r="X407" s="1208"/>
      <c r="Y407" s="1208"/>
      <c r="Z407" s="1099"/>
      <c r="AA407" s="1099"/>
      <c r="AB407" s="1099"/>
      <c r="AC407" s="1099"/>
      <c r="AD407" s="1099"/>
      <c r="AE407" s="1208"/>
      <c r="AF407" s="1208"/>
      <c r="AG407" s="1099"/>
      <c r="AH407" s="1099"/>
      <c r="AI407" s="1330"/>
      <c r="AJ407" s="62">
        <f>SUM(E407:AI407)</f>
        <v>0</v>
      </c>
      <c r="AK407" s="62"/>
      <c r="AL407" s="63">
        <f>+AJ407*AN403</f>
        <v>0</v>
      </c>
      <c r="AM407" s="1068">
        <f t="shared" si="802"/>
        <v>0</v>
      </c>
      <c r="AN407" s="64" t="e">
        <f>+AJ407/AJ405*100</f>
        <v>#DIV/0!</v>
      </c>
      <c r="AO407" s="635" t="e">
        <f>AO405/AO403</f>
        <v>#VALUE!</v>
      </c>
      <c r="AP407" s="39" t="s">
        <v>102</v>
      </c>
      <c r="AQ407" s="56">
        <f>SUM(E407:I407)</f>
        <v>0</v>
      </c>
      <c r="AR407" s="70">
        <f>SUM(J407:P407)</f>
        <v>0</v>
      </c>
      <c r="AS407" s="70">
        <f>SUM(Q407:W407)</f>
        <v>0</v>
      </c>
      <c r="AT407" s="70">
        <f>SUM(X407:AD407)</f>
        <v>0</v>
      </c>
      <c r="AU407" s="70">
        <f>SUM(AE407:AI407)</f>
        <v>0</v>
      </c>
      <c r="AV407" s="57">
        <f t="shared" si="837"/>
        <v>0</v>
      </c>
    </row>
    <row r="408" spans="1:48" ht="25.15" hidden="1" customHeight="1">
      <c r="A408" s="58" t="s">
        <v>135</v>
      </c>
      <c r="B408" s="65"/>
      <c r="C408" s="66"/>
      <c r="D408" s="67" t="s">
        <v>103</v>
      </c>
      <c r="E408" s="1331"/>
      <c r="F408" s="1101"/>
      <c r="G408" s="1209"/>
      <c r="H408" s="1101"/>
      <c r="I408" s="1101"/>
      <c r="J408" s="1209"/>
      <c r="K408" s="1209"/>
      <c r="L408" s="1101"/>
      <c r="M408" s="1101"/>
      <c r="N408" s="1101"/>
      <c r="O408" s="1101"/>
      <c r="P408" s="1101"/>
      <c r="Q408" s="1209"/>
      <c r="R408" s="1209"/>
      <c r="S408" s="1101"/>
      <c r="T408" s="1101"/>
      <c r="U408" s="1101"/>
      <c r="V408" s="1101"/>
      <c r="W408" s="1101"/>
      <c r="X408" s="1209"/>
      <c r="Y408" s="1209"/>
      <c r="Z408" s="1101"/>
      <c r="AA408" s="1101"/>
      <c r="AB408" s="1101"/>
      <c r="AC408" s="1101"/>
      <c r="AD408" s="1101"/>
      <c r="AE408" s="1209"/>
      <c r="AF408" s="1209"/>
      <c r="AG408" s="1101"/>
      <c r="AH408" s="1101"/>
      <c r="AI408" s="1332"/>
      <c r="AJ408" s="68">
        <f>SUM(E408:AI408)</f>
        <v>0</v>
      </c>
      <c r="AK408" s="68"/>
      <c r="AL408" s="69">
        <f>+AJ408*AN403</f>
        <v>0</v>
      </c>
      <c r="AM408" s="1069">
        <f t="shared" si="802"/>
        <v>0</v>
      </c>
      <c r="AN408" s="31"/>
      <c r="AO408" s="622"/>
      <c r="AP408" s="39" t="s">
        <v>19</v>
      </c>
      <c r="AQ408" s="56">
        <f>AQ407*AN403</f>
        <v>0</v>
      </c>
      <c r="AR408" s="56">
        <f>AR407*AN403</f>
        <v>0</v>
      </c>
      <c r="AS408" s="56">
        <f>AS407*AN403</f>
        <v>0</v>
      </c>
      <c r="AT408" s="56">
        <f>AT407*AN403</f>
        <v>0</v>
      </c>
      <c r="AU408" s="56">
        <f>AU407*AN403</f>
        <v>0</v>
      </c>
      <c r="AV408" s="57">
        <f t="shared" si="837"/>
        <v>0</v>
      </c>
    </row>
    <row r="409" spans="1:48" ht="25.15" hidden="1" customHeight="1">
      <c r="A409" s="103"/>
      <c r="B409" s="65"/>
      <c r="C409" s="72" t="s">
        <v>104</v>
      </c>
      <c r="D409" s="73" t="s">
        <v>105</v>
      </c>
      <c r="E409" s="1378"/>
      <c r="F409" s="1103"/>
      <c r="G409" s="1210"/>
      <c r="H409" s="1103"/>
      <c r="I409" s="1103"/>
      <c r="J409" s="1210"/>
      <c r="K409" s="1210"/>
      <c r="L409" s="1103"/>
      <c r="M409" s="1103"/>
      <c r="N409" s="1103"/>
      <c r="O409" s="1103"/>
      <c r="P409" s="1103"/>
      <c r="Q409" s="1210"/>
      <c r="R409" s="1210"/>
      <c r="S409" s="1103"/>
      <c r="T409" s="1103"/>
      <c r="U409" s="1103"/>
      <c r="V409" s="1103"/>
      <c r="W409" s="1103"/>
      <c r="X409" s="1210"/>
      <c r="Y409" s="1210"/>
      <c r="Z409" s="1103"/>
      <c r="AA409" s="1103"/>
      <c r="AB409" s="1103"/>
      <c r="AC409" s="1103"/>
      <c r="AD409" s="1103"/>
      <c r="AE409" s="1210"/>
      <c r="AF409" s="1210"/>
      <c r="AG409" s="1103"/>
      <c r="AH409" s="1103"/>
      <c r="AI409" s="1352"/>
      <c r="AJ409" s="74">
        <f>SUM(E409:AI409)</f>
        <v>0</v>
      </c>
      <c r="AK409" s="74"/>
      <c r="AL409" s="75">
        <f>+AJ409*AN403</f>
        <v>0</v>
      </c>
      <c r="AM409" s="1070">
        <f t="shared" si="802"/>
        <v>0</v>
      </c>
      <c r="AN409" s="76"/>
      <c r="AO409" s="636"/>
      <c r="AP409" s="47" t="s">
        <v>106</v>
      </c>
      <c r="AQ409" s="48">
        <f>AQ405*AN403</f>
        <v>0</v>
      </c>
      <c r="AR409" s="48">
        <f>AR405*AN403</f>
        <v>0</v>
      </c>
      <c r="AS409" s="48">
        <f>AS405*AN403</f>
        <v>0</v>
      </c>
      <c r="AT409" s="48">
        <f>AT405*AN403</f>
        <v>0</v>
      </c>
      <c r="AU409" s="48">
        <f>AU405*AN403</f>
        <v>0</v>
      </c>
      <c r="AV409" s="50">
        <f t="shared" si="837"/>
        <v>0</v>
      </c>
    </row>
    <row r="410" spans="1:48" ht="25.15" hidden="1" customHeight="1">
      <c r="A410" s="103"/>
      <c r="B410" s="65"/>
      <c r="C410" s="77">
        <v>300000</v>
      </c>
      <c r="D410" s="78" t="s">
        <v>107</v>
      </c>
      <c r="E410" s="1327">
        <v>1</v>
      </c>
      <c r="F410" s="1097">
        <v>1</v>
      </c>
      <c r="G410" s="1205">
        <v>1</v>
      </c>
      <c r="H410" s="1097">
        <v>1</v>
      </c>
      <c r="I410" s="1097">
        <v>1</v>
      </c>
      <c r="J410" s="1205">
        <v>1</v>
      </c>
      <c r="K410" s="1205">
        <v>1</v>
      </c>
      <c r="L410" s="1097">
        <v>1</v>
      </c>
      <c r="M410" s="1097">
        <v>1</v>
      </c>
      <c r="N410" s="1097">
        <v>1</v>
      </c>
      <c r="O410" s="1097">
        <v>1</v>
      </c>
      <c r="P410" s="1097">
        <v>1</v>
      </c>
      <c r="Q410" s="1205">
        <v>1</v>
      </c>
      <c r="R410" s="1205">
        <v>1</v>
      </c>
      <c r="S410" s="1097">
        <v>1</v>
      </c>
      <c r="T410" s="1097">
        <v>1</v>
      </c>
      <c r="U410" s="1097">
        <v>1</v>
      </c>
      <c r="V410" s="1097">
        <v>1</v>
      </c>
      <c r="W410" s="1097">
        <v>1</v>
      </c>
      <c r="X410" s="1205">
        <v>1</v>
      </c>
      <c r="Y410" s="1205">
        <v>1</v>
      </c>
      <c r="Z410" s="1097">
        <v>1</v>
      </c>
      <c r="AA410" s="1097">
        <v>1</v>
      </c>
      <c r="AB410" s="1097">
        <v>1</v>
      </c>
      <c r="AC410" s="1097">
        <v>1</v>
      </c>
      <c r="AD410" s="1097">
        <v>1</v>
      </c>
      <c r="AE410" s="1205">
        <v>1</v>
      </c>
      <c r="AF410" s="1205">
        <v>1</v>
      </c>
      <c r="AG410" s="1097">
        <v>1</v>
      </c>
      <c r="AH410" s="1097">
        <v>1</v>
      </c>
      <c r="AI410" s="1328">
        <v>1</v>
      </c>
      <c r="AJ410" s="79"/>
      <c r="AK410" s="79"/>
      <c r="AL410" s="55"/>
      <c r="AM410" s="1067">
        <f t="shared" si="802"/>
        <v>0</v>
      </c>
      <c r="AN410" s="31"/>
      <c r="AO410" s="622"/>
      <c r="AP410" s="23"/>
      <c r="AQ410" s="23"/>
      <c r="AR410" s="23"/>
      <c r="AS410" s="23"/>
      <c r="AT410" s="23"/>
      <c r="AU410" s="23"/>
      <c r="AV410" s="23"/>
    </row>
    <row r="411" spans="1:48" ht="25.15" hidden="1" customHeight="1">
      <c r="A411" s="103"/>
      <c r="B411" s="65"/>
      <c r="C411" s="80" t="s">
        <v>108</v>
      </c>
      <c r="D411" s="81" t="s">
        <v>109</v>
      </c>
      <c r="E411" s="1374">
        <f>SUM(E405+E407+E408+E409)/E410</f>
        <v>0</v>
      </c>
      <c r="F411" s="1104">
        <f>SUM(F405+F407+F408+F409)/F410</f>
        <v>0</v>
      </c>
      <c r="G411" s="1211">
        <f>SUM(G405+G407+G408+G409)/G410</f>
        <v>0</v>
      </c>
      <c r="H411" s="1104">
        <f t="shared" ref="H411:AH411" si="841">SUM(H405+H407+H408+H409)/H410</f>
        <v>0</v>
      </c>
      <c r="I411" s="1104">
        <f t="shared" si="841"/>
        <v>0</v>
      </c>
      <c r="J411" s="1211">
        <f t="shared" si="841"/>
        <v>0</v>
      </c>
      <c r="K411" s="1211">
        <f t="shared" si="841"/>
        <v>0</v>
      </c>
      <c r="L411" s="1104">
        <f t="shared" si="841"/>
        <v>0</v>
      </c>
      <c r="M411" s="1104">
        <f t="shared" si="841"/>
        <v>0</v>
      </c>
      <c r="N411" s="1104">
        <f t="shared" si="841"/>
        <v>0</v>
      </c>
      <c r="O411" s="1104">
        <f t="shared" si="841"/>
        <v>0</v>
      </c>
      <c r="P411" s="1104">
        <f t="shared" si="841"/>
        <v>0</v>
      </c>
      <c r="Q411" s="1211">
        <f t="shared" si="841"/>
        <v>0</v>
      </c>
      <c r="R411" s="1211">
        <f t="shared" si="841"/>
        <v>0</v>
      </c>
      <c r="S411" s="1104">
        <f t="shared" si="841"/>
        <v>0</v>
      </c>
      <c r="T411" s="1104">
        <f t="shared" si="841"/>
        <v>0</v>
      </c>
      <c r="U411" s="1104">
        <f t="shared" si="841"/>
        <v>0</v>
      </c>
      <c r="V411" s="1104">
        <f t="shared" si="841"/>
        <v>0</v>
      </c>
      <c r="W411" s="1104">
        <f t="shared" si="841"/>
        <v>0</v>
      </c>
      <c r="X411" s="1211">
        <f t="shared" si="841"/>
        <v>0</v>
      </c>
      <c r="Y411" s="1211">
        <f t="shared" si="841"/>
        <v>0</v>
      </c>
      <c r="Z411" s="1104">
        <f t="shared" si="841"/>
        <v>0</v>
      </c>
      <c r="AA411" s="1104">
        <f t="shared" ref="AA411" si="842">SUM(AA405+AA407+AA408+AA409)/AA410</f>
        <v>0</v>
      </c>
      <c r="AB411" s="1104">
        <f t="shared" si="841"/>
        <v>0</v>
      </c>
      <c r="AC411" s="1104">
        <f t="shared" si="841"/>
        <v>0</v>
      </c>
      <c r="AD411" s="1104">
        <f t="shared" si="841"/>
        <v>0</v>
      </c>
      <c r="AE411" s="1211">
        <f t="shared" si="841"/>
        <v>0</v>
      </c>
      <c r="AF411" s="1211">
        <f t="shared" si="841"/>
        <v>0</v>
      </c>
      <c r="AG411" s="1104">
        <f t="shared" si="841"/>
        <v>0</v>
      </c>
      <c r="AH411" s="1104">
        <f t="shared" si="841"/>
        <v>0</v>
      </c>
      <c r="AI411" s="1335">
        <f>SUM(AI405+AI407+AI408)/AI410</f>
        <v>0</v>
      </c>
      <c r="AJ411" s="104">
        <f>SUM(E411:AI411)</f>
        <v>0</v>
      </c>
      <c r="AK411" s="104"/>
      <c r="AL411" s="83"/>
      <c r="AM411" s="1068">
        <f t="shared" si="802"/>
        <v>0</v>
      </c>
      <c r="AN411" s="31"/>
      <c r="AO411" s="622"/>
      <c r="AP411" s="23"/>
      <c r="AQ411" s="23"/>
      <c r="AR411" s="23"/>
      <c r="AS411" s="23"/>
      <c r="AT411" s="23"/>
      <c r="AU411" s="23"/>
      <c r="AV411" s="23"/>
    </row>
    <row r="412" spans="1:48" ht="25.15" hidden="1" customHeight="1">
      <c r="A412" s="103"/>
      <c r="B412" s="59"/>
      <c r="C412" s="84">
        <f>+C410*0.8</f>
        <v>240000</v>
      </c>
      <c r="D412" s="85" t="s">
        <v>110</v>
      </c>
      <c r="E412" s="1105"/>
      <c r="F412" s="1106"/>
      <c r="G412" s="1211"/>
      <c r="H412" s="1104"/>
      <c r="I412" s="1104"/>
      <c r="J412" s="1211"/>
      <c r="K412" s="1211"/>
      <c r="L412" s="1104"/>
      <c r="M412" s="1104"/>
      <c r="N412" s="1104"/>
      <c r="O412" s="1107"/>
      <c r="P412" s="1104"/>
      <c r="Q412" s="1211"/>
      <c r="R412" s="1211"/>
      <c r="S412" s="1104"/>
      <c r="T412" s="1104"/>
      <c r="U412" s="1104"/>
      <c r="V412" s="1104"/>
      <c r="W412" s="1104"/>
      <c r="X412" s="1211"/>
      <c r="Y412" s="1211"/>
      <c r="Z412" s="1104"/>
      <c r="AA412" s="1104"/>
      <c r="AB412" s="1104"/>
      <c r="AC412" s="1104"/>
      <c r="AD412" s="1104"/>
      <c r="AE412" s="1211"/>
      <c r="AF412" s="1211"/>
      <c r="AG412" s="1104"/>
      <c r="AH412" s="1104"/>
      <c r="AI412" s="1353"/>
      <c r="AJ412" s="86"/>
      <c r="AK412" s="86"/>
      <c r="AL412" s="690"/>
      <c r="AM412" s="694">
        <f t="shared" si="802"/>
        <v>0</v>
      </c>
      <c r="AN412" s="31"/>
      <c r="AO412" s="622"/>
      <c r="AP412" s="23"/>
      <c r="AQ412" s="23"/>
      <c r="AR412" s="23"/>
      <c r="AS412" s="23"/>
      <c r="AT412" s="23"/>
      <c r="AU412" s="23"/>
      <c r="AV412" s="23"/>
    </row>
    <row r="413" spans="1:48" ht="25.15" hidden="1" customHeight="1">
      <c r="A413" s="103"/>
      <c r="B413" s="105"/>
      <c r="C413" s="77"/>
      <c r="D413" s="88" t="s">
        <v>111</v>
      </c>
      <c r="E413" s="1108">
        <f>IF(E412="O/H",E411,8570+E411)</f>
        <v>8570</v>
      </c>
      <c r="F413" s="1089">
        <f t="shared" ref="F413:AI413" si="843">IF(F412="O/H",F411,+E413+F411)</f>
        <v>8570</v>
      </c>
      <c r="G413" s="44">
        <f t="shared" si="843"/>
        <v>8570</v>
      </c>
      <c r="H413" s="1089">
        <f t="shared" si="843"/>
        <v>8570</v>
      </c>
      <c r="I413" s="1089">
        <f t="shared" si="843"/>
        <v>8570</v>
      </c>
      <c r="J413" s="44">
        <f t="shared" si="843"/>
        <v>8570</v>
      </c>
      <c r="K413" s="44">
        <f t="shared" si="843"/>
        <v>8570</v>
      </c>
      <c r="L413" s="1089">
        <f t="shared" si="843"/>
        <v>8570</v>
      </c>
      <c r="M413" s="1089">
        <f t="shared" si="843"/>
        <v>8570</v>
      </c>
      <c r="N413" s="1089">
        <f t="shared" si="843"/>
        <v>8570</v>
      </c>
      <c r="O413" s="1089">
        <f t="shared" si="843"/>
        <v>8570</v>
      </c>
      <c r="P413" s="1089">
        <f t="shared" si="843"/>
        <v>8570</v>
      </c>
      <c r="Q413" s="44">
        <f t="shared" si="843"/>
        <v>8570</v>
      </c>
      <c r="R413" s="44">
        <f t="shared" si="843"/>
        <v>8570</v>
      </c>
      <c r="S413" s="1089">
        <f t="shared" si="843"/>
        <v>8570</v>
      </c>
      <c r="T413" s="1089">
        <f t="shared" si="843"/>
        <v>8570</v>
      </c>
      <c r="U413" s="1089">
        <f t="shared" si="843"/>
        <v>8570</v>
      </c>
      <c r="V413" s="1089">
        <f t="shared" si="843"/>
        <v>8570</v>
      </c>
      <c r="W413" s="1089">
        <f t="shared" si="843"/>
        <v>8570</v>
      </c>
      <c r="X413" s="44">
        <f t="shared" si="843"/>
        <v>8570</v>
      </c>
      <c r="Y413" s="44">
        <f t="shared" si="843"/>
        <v>8570</v>
      </c>
      <c r="Z413" s="1089">
        <f t="shared" si="843"/>
        <v>8570</v>
      </c>
      <c r="AA413" s="1089">
        <f t="shared" si="843"/>
        <v>8570</v>
      </c>
      <c r="AB413" s="1089">
        <f t="shared" si="843"/>
        <v>8570</v>
      </c>
      <c r="AC413" s="1089">
        <f t="shared" si="843"/>
        <v>8570</v>
      </c>
      <c r="AD413" s="1089">
        <f t="shared" si="843"/>
        <v>8570</v>
      </c>
      <c r="AE413" s="44">
        <f t="shared" si="843"/>
        <v>8570</v>
      </c>
      <c r="AF413" s="44">
        <f t="shared" si="843"/>
        <v>8570</v>
      </c>
      <c r="AG413" s="1089">
        <f t="shared" si="843"/>
        <v>8570</v>
      </c>
      <c r="AH413" s="1089">
        <f t="shared" si="843"/>
        <v>8570</v>
      </c>
      <c r="AI413" s="1326">
        <f t="shared" si="843"/>
        <v>8570</v>
      </c>
      <c r="AJ413" s="79"/>
      <c r="AK413" s="86"/>
      <c r="AL413" s="689"/>
      <c r="AM413" s="694">
        <f t="shared" si="802"/>
        <v>0</v>
      </c>
      <c r="AN413" s="31"/>
      <c r="AO413" s="622"/>
      <c r="AP413" s="23"/>
      <c r="AQ413" s="23"/>
      <c r="AR413" s="23"/>
      <c r="AS413" s="23"/>
      <c r="AT413" s="23"/>
      <c r="AU413" s="23"/>
      <c r="AV413" s="23"/>
    </row>
    <row r="414" spans="1:48" s="23" customFormat="1" ht="20.65" hidden="1" customHeight="1">
      <c r="A414" s="274"/>
      <c r="B414" s="312"/>
      <c r="C414" s="308"/>
      <c r="D414" s="795" t="s">
        <v>112</v>
      </c>
      <c r="E414" s="1108" t="b">
        <f>IF(AND(ISNUMBER(E405)),271652+E411)</f>
        <v>0</v>
      </c>
      <c r="F414" s="1089" t="str">
        <f>IF(AND(ISNUMBER(F405)),E414+F411,"")</f>
        <v/>
      </c>
      <c r="G414" s="44" t="str">
        <f t="shared" ref="G414" si="844">IF(AND(ISNUMBER(G405)),F414+G411,"")</f>
        <v/>
      </c>
      <c r="H414" s="1089" t="str">
        <f t="shared" ref="H414" si="845">IF(AND(ISNUMBER(H405)),G414+H411,"")</f>
        <v/>
      </c>
      <c r="I414" s="1089" t="str">
        <f>IF(AND(ISNUMBER(I405)),H414+I411,"")</f>
        <v/>
      </c>
      <c r="J414" s="44" t="str">
        <f>IF(AND(ISNUMBER(J405)),I414+J411,"")</f>
        <v/>
      </c>
      <c r="K414" s="44" t="str">
        <f>IF(AND(ISNUMBER(K405)),J414+K411,"")</f>
        <v/>
      </c>
      <c r="L414" s="1089" t="str">
        <f t="shared" ref="L414" si="846">IF(AND(ISNUMBER(L405)),K414+L411,"")</f>
        <v/>
      </c>
      <c r="M414" s="1089" t="str">
        <f t="shared" ref="M414" si="847">IF(AND(ISNUMBER(M405)),L414+M411,"")</f>
        <v/>
      </c>
      <c r="N414" s="1089" t="str">
        <f t="shared" ref="N414" si="848">IF(AND(ISNUMBER(N405)),M414+N411,"")</f>
        <v/>
      </c>
      <c r="O414" s="1089" t="str">
        <f t="shared" ref="O414" si="849">IF(AND(ISNUMBER(O405)),N414+O411,"")</f>
        <v/>
      </c>
      <c r="P414" s="1089" t="str">
        <f t="shared" ref="P414" si="850">IF(AND(ISNUMBER(P405)),O414+P411,"")</f>
        <v/>
      </c>
      <c r="Q414" s="44" t="str">
        <f t="shared" ref="Q414" si="851">IF(AND(ISNUMBER(Q405)),P414+Q411,"")</f>
        <v/>
      </c>
      <c r="R414" s="44" t="str">
        <f t="shared" ref="R414" si="852">IF(AND(ISNUMBER(R405)),Q414+R411,"")</f>
        <v/>
      </c>
      <c r="S414" s="1089" t="str">
        <f t="shared" ref="S414" si="853">IF(AND(ISNUMBER(S405)),R414+S411,"")</f>
        <v/>
      </c>
      <c r="T414" s="1089" t="str">
        <f t="shared" ref="T414" si="854">IF(AND(ISNUMBER(T405)),S414+T411,"")</f>
        <v/>
      </c>
      <c r="U414" s="1089" t="str">
        <f t="shared" ref="U414" si="855">IF(AND(ISNUMBER(U405)),T414+U411,"")</f>
        <v/>
      </c>
      <c r="V414" s="1089" t="str">
        <f t="shared" ref="V414" si="856">IF(AND(ISNUMBER(V405)),U414+V411,"")</f>
        <v/>
      </c>
      <c r="W414" s="1089" t="str">
        <f t="shared" ref="W414" si="857">IF(AND(ISNUMBER(W405)),V414+W411,"")</f>
        <v/>
      </c>
      <c r="X414" s="44" t="str">
        <f t="shared" ref="X414" si="858">IF(AND(ISNUMBER(X405)),W414+X411,"")</f>
        <v/>
      </c>
      <c r="Y414" s="44" t="str">
        <f t="shared" ref="Y414" si="859">IF(AND(ISNUMBER(Y405)),X414+Y411,"")</f>
        <v/>
      </c>
      <c r="Z414" s="1089" t="str">
        <f t="shared" ref="Z414" si="860">IF(AND(ISNUMBER(Z405)),Y414+Z411,"")</f>
        <v/>
      </c>
      <c r="AA414" s="1089" t="str">
        <f t="shared" ref="AA414" si="861">IF(AND(ISNUMBER(AA405)),Z414+AA411,"")</f>
        <v/>
      </c>
      <c r="AB414" s="1089" t="str">
        <f t="shared" ref="AB414" si="862">IF(AND(ISNUMBER(AB405)),AA414+AB411,"")</f>
        <v/>
      </c>
      <c r="AC414" s="1089" t="str">
        <f t="shared" ref="AC414" si="863">IF(AND(ISNUMBER(AC405)),AB414+AC411,"")</f>
        <v/>
      </c>
      <c r="AD414" s="1089" t="str">
        <f t="shared" ref="AD414" si="864">IF(AND(ISNUMBER(AD405)),AC414+AD411,"")</f>
        <v/>
      </c>
      <c r="AE414" s="44" t="str">
        <f t="shared" ref="AE414" si="865">IF(AND(ISNUMBER(AE405)),AD414+AE411,"")</f>
        <v/>
      </c>
      <c r="AF414" s="44" t="str">
        <f t="shared" ref="AF414" si="866">IF(AND(ISNUMBER(AF405)),AE414+AF411,"")</f>
        <v/>
      </c>
      <c r="AG414" s="1089" t="str">
        <f t="shared" ref="AG414" si="867">IF(AND(ISNUMBER(AG405)),AF414+AG411,"")</f>
        <v/>
      </c>
      <c r="AH414" s="1089" t="str">
        <f t="shared" ref="AH414" si="868">IF(AND(ISNUMBER(AH405)),AG414+AH411,"")</f>
        <v/>
      </c>
      <c r="AI414" s="1089" t="str">
        <f t="shared" ref="AI414" si="869">IF(AND(ISNUMBER(AI405)),AH414+AI411,"")</f>
        <v/>
      </c>
      <c r="AJ414" s="793"/>
      <c r="AK414" s="793"/>
      <c r="AL414" s="909"/>
      <c r="AM414" s="890">
        <f t="shared" si="802"/>
        <v>0</v>
      </c>
      <c r="AN414" s="76"/>
      <c r="AO414" s="624"/>
      <c r="AP414" s="285"/>
      <c r="AQ414" s="285"/>
      <c r="AR414" s="285"/>
      <c r="AS414" s="285"/>
      <c r="AT414" s="286"/>
      <c r="AU414" s="285"/>
      <c r="AV414" s="287"/>
    </row>
    <row r="415" spans="1:48" ht="25.15" hidden="1" customHeight="1">
      <c r="A415" s="103"/>
      <c r="B415" s="89"/>
      <c r="C415" s="80"/>
      <c r="D415" s="90" t="s">
        <v>104</v>
      </c>
      <c r="E415" s="1108"/>
      <c r="F415" s="1089"/>
      <c r="G415" s="44"/>
      <c r="H415" s="1089"/>
      <c r="I415" s="1089"/>
      <c r="J415" s="44"/>
      <c r="K415" s="44"/>
      <c r="L415" s="1089"/>
      <c r="M415" s="1089"/>
      <c r="N415" s="1089"/>
      <c r="O415" s="1089"/>
      <c r="P415" s="1089"/>
      <c r="Q415" s="44"/>
      <c r="R415" s="44"/>
      <c r="S415" s="1089"/>
      <c r="T415" s="1089"/>
      <c r="U415" s="1089"/>
      <c r="V415" s="1089"/>
      <c r="W415" s="1089"/>
      <c r="X415" s="44"/>
      <c r="Y415" s="44"/>
      <c r="Z415" s="1089"/>
      <c r="AA415" s="1089"/>
      <c r="AB415" s="1089"/>
      <c r="AC415" s="1089"/>
      <c r="AD415" s="1089"/>
      <c r="AE415" s="44"/>
      <c r="AF415" s="44"/>
      <c r="AG415" s="1089"/>
      <c r="AH415" s="1089"/>
      <c r="AI415" s="1326"/>
      <c r="AJ415" s="79"/>
      <c r="AK415" s="79"/>
      <c r="AL415" s="63"/>
      <c r="AM415" s="1068">
        <f t="shared" si="802"/>
        <v>0</v>
      </c>
      <c r="AN415" s="64"/>
      <c r="AO415" s="624"/>
      <c r="AP415" s="23"/>
      <c r="AQ415" s="23"/>
      <c r="AR415" s="23"/>
      <c r="AS415" s="23"/>
      <c r="AT415" s="23"/>
      <c r="AU415" s="23"/>
      <c r="AV415" s="23"/>
    </row>
    <row r="416" spans="1:48" ht="25.15" hidden="1" customHeight="1" thickBot="1">
      <c r="A416" s="106"/>
      <c r="B416" s="93"/>
      <c r="C416" s="94"/>
      <c r="D416" s="95" t="s">
        <v>111</v>
      </c>
      <c r="E416" s="1109">
        <f>IF(E415="O/H",E411,1020+E411)</f>
        <v>1020</v>
      </c>
      <c r="F416" s="1110">
        <f t="shared" ref="F416:AI416" si="870">IF(F415="O/H",F411,+E416+F411)</f>
        <v>1020</v>
      </c>
      <c r="G416" s="1212">
        <f t="shared" si="870"/>
        <v>1020</v>
      </c>
      <c r="H416" s="1110">
        <f t="shared" si="870"/>
        <v>1020</v>
      </c>
      <c r="I416" s="1110">
        <f t="shared" si="870"/>
        <v>1020</v>
      </c>
      <c r="J416" s="1212">
        <f t="shared" si="870"/>
        <v>1020</v>
      </c>
      <c r="K416" s="1212">
        <f t="shared" si="870"/>
        <v>1020</v>
      </c>
      <c r="L416" s="1110">
        <f t="shared" si="870"/>
        <v>1020</v>
      </c>
      <c r="M416" s="1110">
        <f t="shared" si="870"/>
        <v>1020</v>
      </c>
      <c r="N416" s="1110">
        <f t="shared" si="870"/>
        <v>1020</v>
      </c>
      <c r="O416" s="1110">
        <f t="shared" si="870"/>
        <v>1020</v>
      </c>
      <c r="P416" s="1110">
        <f t="shared" si="870"/>
        <v>1020</v>
      </c>
      <c r="Q416" s="1212">
        <f t="shared" si="870"/>
        <v>1020</v>
      </c>
      <c r="R416" s="1212">
        <f t="shared" si="870"/>
        <v>1020</v>
      </c>
      <c r="S416" s="1110">
        <f t="shared" si="870"/>
        <v>1020</v>
      </c>
      <c r="T416" s="1110">
        <f t="shared" si="870"/>
        <v>1020</v>
      </c>
      <c r="U416" s="1110">
        <f t="shared" si="870"/>
        <v>1020</v>
      </c>
      <c r="V416" s="1110">
        <f t="shared" si="870"/>
        <v>1020</v>
      </c>
      <c r="W416" s="1110">
        <f t="shared" si="870"/>
        <v>1020</v>
      </c>
      <c r="X416" s="1212">
        <f t="shared" si="870"/>
        <v>1020</v>
      </c>
      <c r="Y416" s="1212">
        <f t="shared" si="870"/>
        <v>1020</v>
      </c>
      <c r="Z416" s="1110">
        <f t="shared" si="870"/>
        <v>1020</v>
      </c>
      <c r="AA416" s="1110">
        <f t="shared" si="870"/>
        <v>1020</v>
      </c>
      <c r="AB416" s="1110">
        <f t="shared" si="870"/>
        <v>1020</v>
      </c>
      <c r="AC416" s="1110">
        <f t="shared" si="870"/>
        <v>1020</v>
      </c>
      <c r="AD416" s="1110">
        <f t="shared" si="870"/>
        <v>1020</v>
      </c>
      <c r="AE416" s="1212">
        <f t="shared" si="870"/>
        <v>1020</v>
      </c>
      <c r="AF416" s="1212">
        <f t="shared" si="870"/>
        <v>1020</v>
      </c>
      <c r="AG416" s="1110">
        <f t="shared" si="870"/>
        <v>1020</v>
      </c>
      <c r="AH416" s="1110">
        <f t="shared" si="870"/>
        <v>1020</v>
      </c>
      <c r="AI416" s="1340">
        <f t="shared" si="870"/>
        <v>1020</v>
      </c>
      <c r="AJ416" s="96"/>
      <c r="AK416" s="96"/>
      <c r="AL416" s="97"/>
      <c r="AM416" s="1071">
        <f t="shared" si="802"/>
        <v>0</v>
      </c>
      <c r="AN416" s="98"/>
      <c r="AO416" s="625"/>
      <c r="AP416" s="23"/>
      <c r="AQ416" s="23"/>
      <c r="AR416" s="23"/>
      <c r="AS416" s="23"/>
      <c r="AT416" s="23"/>
      <c r="AU416" s="23"/>
      <c r="AV416" s="23"/>
    </row>
    <row r="417" spans="1:48" ht="25.15" hidden="1" customHeight="1" thickTop="1">
      <c r="A417" s="99"/>
      <c r="B417" s="26" t="s">
        <v>162</v>
      </c>
      <c r="C417" s="27"/>
      <c r="D417" s="28" t="s">
        <v>82</v>
      </c>
      <c r="E417" s="1111"/>
      <c r="F417" s="1111"/>
      <c r="G417" s="1201"/>
      <c r="H417" s="1111"/>
      <c r="I417" s="1111"/>
      <c r="J417" s="1201"/>
      <c r="K417" s="1201"/>
      <c r="L417" s="1111"/>
      <c r="M417" s="1111"/>
      <c r="N417" s="1111"/>
      <c r="O417" s="1111"/>
      <c r="P417" s="1111"/>
      <c r="Q417" s="1201"/>
      <c r="R417" s="1201"/>
      <c r="S417" s="1111"/>
      <c r="T417" s="1111"/>
      <c r="U417" s="1111"/>
      <c r="V417" s="1111"/>
      <c r="W417" s="1111"/>
      <c r="X417" s="1201"/>
      <c r="Y417" s="1201"/>
      <c r="Z417" s="1111"/>
      <c r="AA417" s="1089"/>
      <c r="AB417" s="1111"/>
      <c r="AC417" s="1111"/>
      <c r="AD417" s="1111"/>
      <c r="AE417" s="1201"/>
      <c r="AF417" s="1201"/>
      <c r="AG417" s="1111"/>
      <c r="AH417" s="1111"/>
      <c r="AI417" s="1412"/>
      <c r="AJ417" s="100">
        <f>SUM(Table75[[#This Row],[June''2026]:[Column27]])</f>
        <v>0</v>
      </c>
      <c r="AK417" s="100">
        <f t="shared" si="835"/>
        <v>0</v>
      </c>
      <c r="AL417" s="101">
        <f>+AJ417*AN417</f>
        <v>0</v>
      </c>
      <c r="AM417" s="1072">
        <f t="shared" si="802"/>
        <v>0</v>
      </c>
      <c r="AN417" s="102"/>
      <c r="AO417" s="622" t="e">
        <f>Table5[[#This Row],[Total]]*B421/1000</f>
        <v>#VALUE!</v>
      </c>
      <c r="AP417" s="32" t="s">
        <v>134</v>
      </c>
      <c r="AQ417" s="33" t="s">
        <v>84</v>
      </c>
      <c r="AR417" s="33" t="s">
        <v>85</v>
      </c>
      <c r="AS417" s="33" t="s">
        <v>86</v>
      </c>
      <c r="AT417" s="33" t="s">
        <v>87</v>
      </c>
      <c r="AU417" s="33" t="s">
        <v>88</v>
      </c>
      <c r="AV417" s="34" t="s">
        <v>68</v>
      </c>
    </row>
    <row r="418" spans="1:48" ht="25.15" hidden="1" customHeight="1">
      <c r="A418" s="103"/>
      <c r="B418" s="35" t="s">
        <v>163</v>
      </c>
      <c r="C418" s="36"/>
      <c r="D418" s="37" t="s">
        <v>90</v>
      </c>
      <c r="E418" s="1373">
        <f>IF(E417="",0,+ E417/E424)</f>
        <v>0</v>
      </c>
      <c r="F418" s="1096">
        <f t="shared" ref="F418:AI418" si="871">IF(F417="",0, E418+F417/F424)</f>
        <v>0</v>
      </c>
      <c r="G418" s="1207">
        <f t="shared" si="871"/>
        <v>0</v>
      </c>
      <c r="H418" s="1096">
        <f t="shared" si="871"/>
        <v>0</v>
      </c>
      <c r="I418" s="1096">
        <f t="shared" si="871"/>
        <v>0</v>
      </c>
      <c r="J418" s="1207">
        <f t="shared" si="871"/>
        <v>0</v>
      </c>
      <c r="K418" s="1207">
        <f t="shared" si="871"/>
        <v>0</v>
      </c>
      <c r="L418" s="1096">
        <f t="shared" si="871"/>
        <v>0</v>
      </c>
      <c r="M418" s="1096">
        <f t="shared" si="871"/>
        <v>0</v>
      </c>
      <c r="N418" s="1096">
        <f t="shared" si="871"/>
        <v>0</v>
      </c>
      <c r="O418" s="1096">
        <f t="shared" si="871"/>
        <v>0</v>
      </c>
      <c r="P418" s="1096">
        <f t="shared" si="871"/>
        <v>0</v>
      </c>
      <c r="Q418" s="1207">
        <f t="shared" si="871"/>
        <v>0</v>
      </c>
      <c r="R418" s="1207">
        <f t="shared" si="871"/>
        <v>0</v>
      </c>
      <c r="S418" s="1096">
        <f t="shared" si="871"/>
        <v>0</v>
      </c>
      <c r="T418" s="1096">
        <f t="shared" si="871"/>
        <v>0</v>
      </c>
      <c r="U418" s="1096">
        <f t="shared" si="871"/>
        <v>0</v>
      </c>
      <c r="V418" s="1096">
        <f t="shared" si="871"/>
        <v>0</v>
      </c>
      <c r="W418" s="1096">
        <f t="shared" si="871"/>
        <v>0</v>
      </c>
      <c r="X418" s="1207">
        <f t="shared" si="871"/>
        <v>0</v>
      </c>
      <c r="Y418" s="1207">
        <f t="shared" si="871"/>
        <v>0</v>
      </c>
      <c r="Z418" s="1096">
        <f t="shared" si="871"/>
        <v>0</v>
      </c>
      <c r="AA418" s="1089"/>
      <c r="AB418" s="1096">
        <f t="shared" si="871"/>
        <v>0</v>
      </c>
      <c r="AC418" s="1096">
        <f t="shared" si="871"/>
        <v>0</v>
      </c>
      <c r="AD418" s="1096">
        <f t="shared" si="871"/>
        <v>0</v>
      </c>
      <c r="AE418" s="1207">
        <f t="shared" si="871"/>
        <v>0</v>
      </c>
      <c r="AF418" s="1207">
        <f t="shared" si="871"/>
        <v>0</v>
      </c>
      <c r="AG418" s="1096">
        <f t="shared" si="871"/>
        <v>0</v>
      </c>
      <c r="AH418" s="1096">
        <f t="shared" si="871"/>
        <v>0</v>
      </c>
      <c r="AI418" s="1324">
        <f t="shared" si="871"/>
        <v>0</v>
      </c>
      <c r="AJ418" s="38"/>
      <c r="AK418" s="29"/>
      <c r="AL418" s="30"/>
      <c r="AM418" s="694">
        <f t="shared" si="802"/>
        <v>0</v>
      </c>
      <c r="AN418" s="31"/>
      <c r="AO418" s="630"/>
      <c r="AP418" s="39" t="s">
        <v>91</v>
      </c>
      <c r="AQ418" s="40">
        <f>SUM(E417:I417)</f>
        <v>0</v>
      </c>
      <c r="AR418" s="41">
        <f>SUM(J417:P417)</f>
        <v>0</v>
      </c>
      <c r="AS418" s="41">
        <f>SUM(Q417:W417)</f>
        <v>0</v>
      </c>
      <c r="AT418" s="41">
        <f>SUM(X417:AD417)</f>
        <v>0</v>
      </c>
      <c r="AU418" s="41">
        <f>SUM(AE417:AI417)</f>
        <v>0</v>
      </c>
      <c r="AV418" s="34">
        <f t="shared" ref="AV418:AV423" si="872">SUM(AQ418:AU418)</f>
        <v>0</v>
      </c>
    </row>
    <row r="419" spans="1:48" ht="25.15" hidden="1" customHeight="1">
      <c r="A419" s="103"/>
      <c r="B419" s="26" t="s">
        <v>92</v>
      </c>
      <c r="C419" s="42"/>
      <c r="D419" s="43" t="s">
        <v>93</v>
      </c>
      <c r="E419" s="1325"/>
      <c r="F419" s="1089"/>
      <c r="G419" s="44"/>
      <c r="H419" s="1089"/>
      <c r="I419" s="1089"/>
      <c r="J419" s="44"/>
      <c r="K419" s="44"/>
      <c r="L419" s="1089"/>
      <c r="M419" s="1089"/>
      <c r="N419" s="1089"/>
      <c r="O419" s="1089"/>
      <c r="P419" s="1089"/>
      <c r="Q419" s="44"/>
      <c r="R419" s="44"/>
      <c r="S419" s="1089"/>
      <c r="T419" s="1089"/>
      <c r="U419" s="1089"/>
      <c r="V419" s="1089"/>
      <c r="W419" s="1089"/>
      <c r="X419" s="44"/>
      <c r="Y419" s="44"/>
      <c r="Z419" s="1089"/>
      <c r="AA419" s="1089"/>
      <c r="AB419" s="1089"/>
      <c r="AC419" s="1089"/>
      <c r="AD419" s="1089"/>
      <c r="AE419" s="44"/>
      <c r="AF419" s="44"/>
      <c r="AG419" s="1089"/>
      <c r="AH419" s="1089"/>
      <c r="AI419" s="1326"/>
      <c r="AJ419" s="45">
        <f>SUM(E419:AI419)</f>
        <v>0</v>
      </c>
      <c r="AK419" s="45"/>
      <c r="AL419" s="46">
        <f>+AJ419*AN417</f>
        <v>0</v>
      </c>
      <c r="AM419" s="1066">
        <f t="shared" si="802"/>
        <v>0</v>
      </c>
      <c r="AN419" s="31"/>
      <c r="AO419" s="632">
        <f>(AJ419+AJ421+AJ422+AJ423)*B421/1000</f>
        <v>0</v>
      </c>
      <c r="AP419" s="47" t="s">
        <v>94</v>
      </c>
      <c r="AQ419" s="48">
        <f>SUM(E419:I419)</f>
        <v>0</v>
      </c>
      <c r="AR419" s="49">
        <f>SUM(J419:P419)</f>
        <v>0</v>
      </c>
      <c r="AS419" s="49">
        <f>SUM(Q419:W419)</f>
        <v>0</v>
      </c>
      <c r="AT419" s="49">
        <f>SUM(X419:AD419)</f>
        <v>0</v>
      </c>
      <c r="AU419" s="49">
        <f>SUM(AE419:AI419)</f>
        <v>0</v>
      </c>
      <c r="AV419" s="50">
        <f t="shared" si="872"/>
        <v>0</v>
      </c>
    </row>
    <row r="420" spans="1:48" ht="25.15" hidden="1" customHeight="1">
      <c r="A420" s="103"/>
      <c r="B420" s="51"/>
      <c r="C420" s="52" t="s">
        <v>95</v>
      </c>
      <c r="D420" s="53" t="s">
        <v>96</v>
      </c>
      <c r="E420" s="1327">
        <f t="shared" ref="E420:AJ420" si="873">+E419-E417</f>
        <v>0</v>
      </c>
      <c r="F420" s="1097">
        <f t="shared" si="873"/>
        <v>0</v>
      </c>
      <c r="G420" s="1205">
        <f t="shared" si="873"/>
        <v>0</v>
      </c>
      <c r="H420" s="1097">
        <f t="shared" si="873"/>
        <v>0</v>
      </c>
      <c r="I420" s="1097">
        <f t="shared" si="873"/>
        <v>0</v>
      </c>
      <c r="J420" s="1205">
        <f t="shared" si="873"/>
        <v>0</v>
      </c>
      <c r="K420" s="1205">
        <f t="shared" si="873"/>
        <v>0</v>
      </c>
      <c r="L420" s="1097">
        <f t="shared" si="873"/>
        <v>0</v>
      </c>
      <c r="M420" s="1097">
        <f t="shared" si="873"/>
        <v>0</v>
      </c>
      <c r="N420" s="1097">
        <f t="shared" si="873"/>
        <v>0</v>
      </c>
      <c r="O420" s="1097">
        <f t="shared" si="873"/>
        <v>0</v>
      </c>
      <c r="P420" s="1097">
        <f t="shared" si="873"/>
        <v>0</v>
      </c>
      <c r="Q420" s="1205">
        <f t="shared" si="873"/>
        <v>0</v>
      </c>
      <c r="R420" s="1205">
        <f t="shared" si="873"/>
        <v>0</v>
      </c>
      <c r="S420" s="1097">
        <f t="shared" si="873"/>
        <v>0</v>
      </c>
      <c r="T420" s="1097">
        <f ca="1">+T417+Table75[[#This Row],[Column15]]</f>
        <v>0</v>
      </c>
      <c r="U420" s="1097">
        <f t="shared" si="873"/>
        <v>0</v>
      </c>
      <c r="V420" s="1097">
        <f t="shared" si="873"/>
        <v>0</v>
      </c>
      <c r="W420" s="1097">
        <f t="shared" si="873"/>
        <v>0</v>
      </c>
      <c r="X420" s="1205">
        <f t="shared" si="873"/>
        <v>0</v>
      </c>
      <c r="Y420" s="1205">
        <f t="shared" si="873"/>
        <v>0</v>
      </c>
      <c r="Z420" s="1097">
        <f t="shared" si="873"/>
        <v>0</v>
      </c>
      <c r="AA420" s="1097">
        <f t="shared" ref="AA420" si="874">+AA419-AA417</f>
        <v>0</v>
      </c>
      <c r="AB420" s="1097">
        <f t="shared" si="873"/>
        <v>0</v>
      </c>
      <c r="AC420" s="1097">
        <f t="shared" si="873"/>
        <v>0</v>
      </c>
      <c r="AD420" s="1097">
        <f t="shared" si="873"/>
        <v>0</v>
      </c>
      <c r="AE420" s="1205">
        <f t="shared" si="873"/>
        <v>0</v>
      </c>
      <c r="AF420" s="1205">
        <f t="shared" si="873"/>
        <v>0</v>
      </c>
      <c r="AG420" s="1097">
        <f t="shared" si="873"/>
        <v>0</v>
      </c>
      <c r="AH420" s="1097">
        <f t="shared" si="873"/>
        <v>0</v>
      </c>
      <c r="AI420" s="1328">
        <f t="shared" si="873"/>
        <v>0</v>
      </c>
      <c r="AJ420" s="54">
        <f t="shared" si="873"/>
        <v>0</v>
      </c>
      <c r="AK420" s="54"/>
      <c r="AL420" s="55">
        <f>+AJ420*AN417</f>
        <v>0</v>
      </c>
      <c r="AM420" s="1067">
        <f t="shared" si="802"/>
        <v>0</v>
      </c>
      <c r="AN420" s="31" t="s">
        <v>97</v>
      </c>
      <c r="AO420" s="622"/>
      <c r="AP420" s="39" t="s">
        <v>98</v>
      </c>
      <c r="AQ420" s="56">
        <f>AQ419-AQ418</f>
        <v>0</v>
      </c>
      <c r="AR420" s="70">
        <f>AR419-AR418</f>
        <v>0</v>
      </c>
      <c r="AS420" s="70">
        <f>AS419-AS418</f>
        <v>0</v>
      </c>
      <c r="AT420" s="70">
        <f>AT419-AT418</f>
        <v>0</v>
      </c>
      <c r="AU420" s="70">
        <f>AU419-AU418</f>
        <v>0</v>
      </c>
      <c r="AV420" s="57">
        <f t="shared" si="872"/>
        <v>0</v>
      </c>
    </row>
    <row r="421" spans="1:48" ht="25.15" hidden="1" customHeight="1">
      <c r="A421" s="58"/>
      <c r="B421" s="59"/>
      <c r="C421" s="60" t="s">
        <v>100</v>
      </c>
      <c r="D421" s="61" t="s">
        <v>101</v>
      </c>
      <c r="E421" s="1329"/>
      <c r="F421" s="1099"/>
      <c r="G421" s="1208"/>
      <c r="H421" s="1099"/>
      <c r="I421" s="1099"/>
      <c r="J421" s="1208"/>
      <c r="K421" s="1208"/>
      <c r="L421" s="1099"/>
      <c r="M421" s="1099"/>
      <c r="N421" s="1099"/>
      <c r="O421" s="1099"/>
      <c r="P421" s="1099"/>
      <c r="Q421" s="1208"/>
      <c r="R421" s="1208"/>
      <c r="S421" s="1099"/>
      <c r="T421" s="1099"/>
      <c r="U421" s="1099"/>
      <c r="V421" s="1099"/>
      <c r="W421" s="1099"/>
      <c r="X421" s="1208"/>
      <c r="Y421" s="1208"/>
      <c r="Z421" s="1099"/>
      <c r="AA421" s="1099"/>
      <c r="AB421" s="1099"/>
      <c r="AC421" s="1099"/>
      <c r="AD421" s="1099"/>
      <c r="AE421" s="1208"/>
      <c r="AF421" s="1208"/>
      <c r="AG421" s="1099"/>
      <c r="AH421" s="1099"/>
      <c r="AI421" s="1330"/>
      <c r="AJ421" s="62">
        <f>SUM(E421:AI421)</f>
        <v>0</v>
      </c>
      <c r="AK421" s="62"/>
      <c r="AL421" s="63">
        <f>+AJ421*AN417</f>
        <v>0</v>
      </c>
      <c r="AM421" s="1068">
        <f t="shared" si="802"/>
        <v>0</v>
      </c>
      <c r="AN421" s="64" t="e">
        <f>+AJ421/AJ419*100</f>
        <v>#DIV/0!</v>
      </c>
      <c r="AO421" s="635" t="e">
        <f>AO419/AO417</f>
        <v>#VALUE!</v>
      </c>
      <c r="AP421" s="39" t="s">
        <v>102</v>
      </c>
      <c r="AQ421" s="56">
        <f>SUM(E421:I421)</f>
        <v>0</v>
      </c>
      <c r="AR421" s="70">
        <f>SUM(J421:P421)</f>
        <v>0</v>
      </c>
      <c r="AS421" s="70">
        <f>SUM(Q421:W421)</f>
        <v>0</v>
      </c>
      <c r="AT421" s="70">
        <f>SUM(X421:AD421)</f>
        <v>0</v>
      </c>
      <c r="AU421" s="70">
        <f>SUM(AE421:AI421)</f>
        <v>0</v>
      </c>
      <c r="AV421" s="57">
        <f t="shared" si="872"/>
        <v>0</v>
      </c>
    </row>
    <row r="422" spans="1:48" ht="25.15" hidden="1" customHeight="1">
      <c r="A422" s="58" t="s">
        <v>135</v>
      </c>
      <c r="B422" s="65"/>
      <c r="C422" s="66"/>
      <c r="D422" s="67" t="s">
        <v>103</v>
      </c>
      <c r="E422" s="1331"/>
      <c r="F422" s="1101"/>
      <c r="G422" s="1209"/>
      <c r="H422" s="1101"/>
      <c r="I422" s="1101"/>
      <c r="J422" s="1209"/>
      <c r="K422" s="1209"/>
      <c r="L422" s="1101"/>
      <c r="M422" s="1101"/>
      <c r="N422" s="1101"/>
      <c r="O422" s="1101"/>
      <c r="P422" s="1101"/>
      <c r="Q422" s="1209"/>
      <c r="R422" s="1209"/>
      <c r="S422" s="1101"/>
      <c r="T422" s="1101"/>
      <c r="U422" s="1101"/>
      <c r="V422" s="1101"/>
      <c r="W422" s="1101"/>
      <c r="X422" s="1209"/>
      <c r="Y422" s="1209"/>
      <c r="Z422" s="1101"/>
      <c r="AA422" s="1101"/>
      <c r="AB422" s="1101"/>
      <c r="AC422" s="1101"/>
      <c r="AD422" s="1101"/>
      <c r="AE422" s="1209"/>
      <c r="AF422" s="1209"/>
      <c r="AG422" s="1101"/>
      <c r="AH422" s="1101"/>
      <c r="AI422" s="1332"/>
      <c r="AJ422" s="68">
        <f>SUM(E422:AI422)</f>
        <v>0</v>
      </c>
      <c r="AK422" s="68"/>
      <c r="AL422" s="69">
        <f>+AJ422*AN417</f>
        <v>0</v>
      </c>
      <c r="AM422" s="1069">
        <f t="shared" si="802"/>
        <v>0</v>
      </c>
      <c r="AN422" s="31"/>
      <c r="AO422" s="622"/>
      <c r="AP422" s="39" t="s">
        <v>19</v>
      </c>
      <c r="AQ422" s="56">
        <f>AQ421*AN417</f>
        <v>0</v>
      </c>
      <c r="AR422" s="56">
        <f>AR421*AN417</f>
        <v>0</v>
      </c>
      <c r="AS422" s="56">
        <f>AS421*AN417</f>
        <v>0</v>
      </c>
      <c r="AT422" s="56">
        <f>AT421*AN417</f>
        <v>0</v>
      </c>
      <c r="AU422" s="56">
        <f>AU421*AN417</f>
        <v>0</v>
      </c>
      <c r="AV422" s="57">
        <f t="shared" si="872"/>
        <v>0</v>
      </c>
    </row>
    <row r="423" spans="1:48" ht="25.15" hidden="1" customHeight="1">
      <c r="A423" s="103"/>
      <c r="B423" s="65"/>
      <c r="C423" s="72" t="s">
        <v>104</v>
      </c>
      <c r="D423" s="73" t="s">
        <v>105</v>
      </c>
      <c r="E423" s="1378"/>
      <c r="F423" s="1103"/>
      <c r="G423" s="1210"/>
      <c r="H423" s="1103"/>
      <c r="I423" s="1103"/>
      <c r="J423" s="1210"/>
      <c r="K423" s="1210"/>
      <c r="L423" s="1103"/>
      <c r="M423" s="1103"/>
      <c r="N423" s="1103"/>
      <c r="O423" s="1103"/>
      <c r="P423" s="1103"/>
      <c r="Q423" s="1210"/>
      <c r="R423" s="1210"/>
      <c r="S423" s="1103"/>
      <c r="T423" s="1103"/>
      <c r="U423" s="1103"/>
      <c r="V423" s="1103"/>
      <c r="W423" s="1103"/>
      <c r="X423" s="1210"/>
      <c r="Y423" s="1210"/>
      <c r="Z423" s="1103"/>
      <c r="AA423" s="1103"/>
      <c r="AB423" s="1103"/>
      <c r="AC423" s="1103"/>
      <c r="AD423" s="1103"/>
      <c r="AE423" s="1210"/>
      <c r="AF423" s="1210"/>
      <c r="AG423" s="1103"/>
      <c r="AH423" s="1103"/>
      <c r="AI423" s="1352"/>
      <c r="AJ423" s="74">
        <f>SUM(E423:AI423)</f>
        <v>0</v>
      </c>
      <c r="AK423" s="74"/>
      <c r="AL423" s="75">
        <f>+AJ423*AN417</f>
        <v>0</v>
      </c>
      <c r="AM423" s="1070">
        <f t="shared" si="802"/>
        <v>0</v>
      </c>
      <c r="AN423" s="76"/>
      <c r="AO423" s="636"/>
      <c r="AP423" s="47" t="s">
        <v>106</v>
      </c>
      <c r="AQ423" s="48">
        <f>AQ419*AN417</f>
        <v>0</v>
      </c>
      <c r="AR423" s="48">
        <f>AR419*AN417</f>
        <v>0</v>
      </c>
      <c r="AS423" s="48">
        <f>AS419*AN417</f>
        <v>0</v>
      </c>
      <c r="AT423" s="48">
        <f>AT419*AN417</f>
        <v>0</v>
      </c>
      <c r="AU423" s="48">
        <f>AU419*AN417</f>
        <v>0</v>
      </c>
      <c r="AV423" s="50">
        <f t="shared" si="872"/>
        <v>0</v>
      </c>
    </row>
    <row r="424" spans="1:48" ht="25.15" hidden="1" customHeight="1">
      <c r="A424" s="103"/>
      <c r="B424" s="65"/>
      <c r="C424" s="77">
        <v>300000</v>
      </c>
      <c r="D424" s="78" t="s">
        <v>107</v>
      </c>
      <c r="E424" s="1327">
        <v>1</v>
      </c>
      <c r="F424" s="1097">
        <v>1</v>
      </c>
      <c r="G424" s="1205">
        <v>1</v>
      </c>
      <c r="H424" s="1097">
        <v>1</v>
      </c>
      <c r="I424" s="1097">
        <v>1</v>
      </c>
      <c r="J424" s="1205">
        <v>1</v>
      </c>
      <c r="K424" s="1205">
        <v>1</v>
      </c>
      <c r="L424" s="1097">
        <v>1</v>
      </c>
      <c r="M424" s="1097">
        <v>1</v>
      </c>
      <c r="N424" s="1097">
        <v>1</v>
      </c>
      <c r="O424" s="1097">
        <v>1</v>
      </c>
      <c r="P424" s="1097">
        <v>1</v>
      </c>
      <c r="Q424" s="1205">
        <v>1</v>
      </c>
      <c r="R424" s="1205">
        <v>1</v>
      </c>
      <c r="S424" s="1097">
        <v>1</v>
      </c>
      <c r="T424" s="1097">
        <v>1</v>
      </c>
      <c r="U424" s="1097">
        <v>1</v>
      </c>
      <c r="V424" s="1097">
        <v>1</v>
      </c>
      <c r="W424" s="1097">
        <v>1</v>
      </c>
      <c r="X424" s="1205">
        <v>1</v>
      </c>
      <c r="Y424" s="1205">
        <v>1</v>
      </c>
      <c r="Z424" s="1097">
        <v>1</v>
      </c>
      <c r="AA424" s="1097">
        <v>1</v>
      </c>
      <c r="AB424" s="1097">
        <v>1</v>
      </c>
      <c r="AC424" s="1097">
        <v>1</v>
      </c>
      <c r="AD424" s="1097">
        <v>1</v>
      </c>
      <c r="AE424" s="1205">
        <v>1</v>
      </c>
      <c r="AF424" s="1205">
        <v>1</v>
      </c>
      <c r="AG424" s="1097">
        <v>1</v>
      </c>
      <c r="AH424" s="1097">
        <v>1</v>
      </c>
      <c r="AI424" s="1328">
        <v>1</v>
      </c>
      <c r="AJ424" s="79"/>
      <c r="AK424" s="79"/>
      <c r="AL424" s="55"/>
      <c r="AM424" s="1067">
        <f t="shared" si="802"/>
        <v>0</v>
      </c>
      <c r="AN424" s="31"/>
      <c r="AO424" s="622"/>
      <c r="AP424" s="23"/>
      <c r="AQ424" s="23"/>
      <c r="AR424" s="23"/>
      <c r="AS424" s="23"/>
      <c r="AT424" s="23"/>
      <c r="AU424" s="23"/>
      <c r="AV424" s="23"/>
    </row>
    <row r="425" spans="1:48" ht="25.15" hidden="1" customHeight="1">
      <c r="A425" s="103"/>
      <c r="B425" s="65"/>
      <c r="C425" s="80" t="s">
        <v>108</v>
      </c>
      <c r="D425" s="81" t="s">
        <v>109</v>
      </c>
      <c r="E425" s="1374">
        <f>SUM(E419+E421+E422+E423)/E424</f>
        <v>0</v>
      </c>
      <c r="F425" s="1104">
        <f>SUM(F419+F421+F422+F423)/F424</f>
        <v>0</v>
      </c>
      <c r="G425" s="1211">
        <f>SUM(G419+G421+G422+G423)/G424</f>
        <v>0</v>
      </c>
      <c r="H425" s="1104">
        <f t="shared" ref="H425:AH425" si="875">SUM(H419+H421+H422+H423)/H424</f>
        <v>0</v>
      </c>
      <c r="I425" s="1104">
        <f t="shared" si="875"/>
        <v>0</v>
      </c>
      <c r="J425" s="1211">
        <f t="shared" si="875"/>
        <v>0</v>
      </c>
      <c r="K425" s="1211">
        <f t="shared" si="875"/>
        <v>0</v>
      </c>
      <c r="L425" s="1104">
        <f t="shared" si="875"/>
        <v>0</v>
      </c>
      <c r="M425" s="1104">
        <f t="shared" si="875"/>
        <v>0</v>
      </c>
      <c r="N425" s="1104">
        <f t="shared" si="875"/>
        <v>0</v>
      </c>
      <c r="O425" s="1104">
        <f t="shared" si="875"/>
        <v>0</v>
      </c>
      <c r="P425" s="1104">
        <f t="shared" si="875"/>
        <v>0</v>
      </c>
      <c r="Q425" s="1211">
        <f t="shared" si="875"/>
        <v>0</v>
      </c>
      <c r="R425" s="1211">
        <f t="shared" si="875"/>
        <v>0</v>
      </c>
      <c r="S425" s="1104">
        <f t="shared" si="875"/>
        <v>0</v>
      </c>
      <c r="T425" s="1104">
        <f t="shared" si="875"/>
        <v>0</v>
      </c>
      <c r="U425" s="1104">
        <f t="shared" si="875"/>
        <v>0</v>
      </c>
      <c r="V425" s="1104">
        <f t="shared" si="875"/>
        <v>0</v>
      </c>
      <c r="W425" s="1104">
        <f t="shared" si="875"/>
        <v>0</v>
      </c>
      <c r="X425" s="1211">
        <f t="shared" si="875"/>
        <v>0</v>
      </c>
      <c r="Y425" s="1211">
        <f t="shared" si="875"/>
        <v>0</v>
      </c>
      <c r="Z425" s="1104">
        <f t="shared" si="875"/>
        <v>0</v>
      </c>
      <c r="AA425" s="1104">
        <f t="shared" ref="AA425" si="876">SUM(AA419+AA421+AA422+AA423)/AA424</f>
        <v>0</v>
      </c>
      <c r="AB425" s="1104">
        <f t="shared" si="875"/>
        <v>0</v>
      </c>
      <c r="AC425" s="1104">
        <f t="shared" si="875"/>
        <v>0</v>
      </c>
      <c r="AD425" s="1104">
        <f t="shared" si="875"/>
        <v>0</v>
      </c>
      <c r="AE425" s="1211">
        <f t="shared" si="875"/>
        <v>0</v>
      </c>
      <c r="AF425" s="1211">
        <f t="shared" si="875"/>
        <v>0</v>
      </c>
      <c r="AG425" s="1104">
        <f t="shared" si="875"/>
        <v>0</v>
      </c>
      <c r="AH425" s="1104">
        <f t="shared" si="875"/>
        <v>0</v>
      </c>
      <c r="AI425" s="1335">
        <f>SUM(AI419+AI421+AI422)/AI424</f>
        <v>0</v>
      </c>
      <c r="AJ425" s="104">
        <f>SUM(E425:AI425)</f>
        <v>0</v>
      </c>
      <c r="AK425" s="104"/>
      <c r="AL425" s="83"/>
      <c r="AM425" s="1068">
        <f t="shared" si="802"/>
        <v>0</v>
      </c>
      <c r="AN425" s="31"/>
      <c r="AO425" s="622"/>
      <c r="AP425" s="23"/>
      <c r="AQ425" s="23"/>
      <c r="AR425" s="23"/>
      <c r="AS425" s="23"/>
      <c r="AT425" s="23"/>
      <c r="AU425" s="23"/>
      <c r="AV425" s="23"/>
    </row>
    <row r="426" spans="1:48" ht="25.15" hidden="1" customHeight="1">
      <c r="A426" s="103"/>
      <c r="B426" s="59"/>
      <c r="C426" s="84">
        <f>+C424*0.8</f>
        <v>240000</v>
      </c>
      <c r="D426" s="85" t="s">
        <v>110</v>
      </c>
      <c r="E426" s="1105"/>
      <c r="F426" s="1106"/>
      <c r="G426" s="1211"/>
      <c r="H426" s="1104"/>
      <c r="I426" s="1104"/>
      <c r="J426" s="1211"/>
      <c r="K426" s="1211"/>
      <c r="L426" s="1104"/>
      <c r="M426" s="1104"/>
      <c r="N426" s="1104"/>
      <c r="O426" s="1107"/>
      <c r="P426" s="1104"/>
      <c r="Q426" s="1211"/>
      <c r="R426" s="1211"/>
      <c r="S426" s="1104"/>
      <c r="T426" s="1104"/>
      <c r="U426" s="1104"/>
      <c r="V426" s="1104"/>
      <c r="W426" s="1104"/>
      <c r="X426" s="1211"/>
      <c r="Y426" s="1211"/>
      <c r="Z426" s="1104"/>
      <c r="AA426" s="1104"/>
      <c r="AB426" s="1104"/>
      <c r="AC426" s="1104"/>
      <c r="AD426" s="1104"/>
      <c r="AE426" s="1211"/>
      <c r="AF426" s="1211"/>
      <c r="AG426" s="1104"/>
      <c r="AH426" s="1104"/>
      <c r="AI426" s="1353"/>
      <c r="AJ426" s="86"/>
      <c r="AK426" s="86"/>
      <c r="AL426" s="690"/>
      <c r="AM426" s="694">
        <f t="shared" si="802"/>
        <v>0</v>
      </c>
      <c r="AN426" s="31"/>
      <c r="AO426" s="622"/>
      <c r="AP426" s="23"/>
      <c r="AQ426" s="23"/>
      <c r="AR426" s="23"/>
      <c r="AS426" s="23"/>
      <c r="AT426" s="23"/>
      <c r="AU426" s="23"/>
      <c r="AV426" s="23"/>
    </row>
    <row r="427" spans="1:48" ht="25.15" hidden="1" customHeight="1">
      <c r="A427" s="103"/>
      <c r="B427" s="105"/>
      <c r="C427" s="77"/>
      <c r="D427" s="88" t="s">
        <v>111</v>
      </c>
      <c r="E427" s="1108">
        <f>IF(E426="O/H",E425,0+E425)</f>
        <v>0</v>
      </c>
      <c r="F427" s="1089">
        <f t="shared" ref="F427:AI427" si="877">IF(F426="O/H",F425,+E427+F425)</f>
        <v>0</v>
      </c>
      <c r="G427" s="44">
        <f t="shared" si="877"/>
        <v>0</v>
      </c>
      <c r="H427" s="1089">
        <f t="shared" si="877"/>
        <v>0</v>
      </c>
      <c r="I427" s="1089">
        <f t="shared" si="877"/>
        <v>0</v>
      </c>
      <c r="J427" s="44">
        <f t="shared" si="877"/>
        <v>0</v>
      </c>
      <c r="K427" s="44">
        <f t="shared" si="877"/>
        <v>0</v>
      </c>
      <c r="L427" s="1089">
        <f t="shared" si="877"/>
        <v>0</v>
      </c>
      <c r="M427" s="1089">
        <f t="shared" si="877"/>
        <v>0</v>
      </c>
      <c r="N427" s="1089">
        <f t="shared" si="877"/>
        <v>0</v>
      </c>
      <c r="O427" s="1089">
        <f t="shared" si="877"/>
        <v>0</v>
      </c>
      <c r="P427" s="1089">
        <f t="shared" si="877"/>
        <v>0</v>
      </c>
      <c r="Q427" s="44">
        <f t="shared" si="877"/>
        <v>0</v>
      </c>
      <c r="R427" s="44">
        <f t="shared" si="877"/>
        <v>0</v>
      </c>
      <c r="S427" s="1089">
        <f t="shared" si="877"/>
        <v>0</v>
      </c>
      <c r="T427" s="1089">
        <f t="shared" si="877"/>
        <v>0</v>
      </c>
      <c r="U427" s="1089">
        <f t="shared" si="877"/>
        <v>0</v>
      </c>
      <c r="V427" s="1089">
        <f t="shared" si="877"/>
        <v>0</v>
      </c>
      <c r="W427" s="1089">
        <f t="shared" si="877"/>
        <v>0</v>
      </c>
      <c r="X427" s="44">
        <f t="shared" si="877"/>
        <v>0</v>
      </c>
      <c r="Y427" s="44">
        <f t="shared" si="877"/>
        <v>0</v>
      </c>
      <c r="Z427" s="1089">
        <f t="shared" si="877"/>
        <v>0</v>
      </c>
      <c r="AA427" s="1089">
        <f t="shared" si="877"/>
        <v>0</v>
      </c>
      <c r="AB427" s="1089">
        <f t="shared" si="877"/>
        <v>0</v>
      </c>
      <c r="AC427" s="1089">
        <f t="shared" si="877"/>
        <v>0</v>
      </c>
      <c r="AD427" s="1089">
        <f t="shared" si="877"/>
        <v>0</v>
      </c>
      <c r="AE427" s="44">
        <f t="shared" si="877"/>
        <v>0</v>
      </c>
      <c r="AF427" s="44">
        <f t="shared" si="877"/>
        <v>0</v>
      </c>
      <c r="AG427" s="1089">
        <f t="shared" si="877"/>
        <v>0</v>
      </c>
      <c r="AH427" s="1089">
        <f t="shared" si="877"/>
        <v>0</v>
      </c>
      <c r="AI427" s="1326">
        <f t="shared" si="877"/>
        <v>0</v>
      </c>
      <c r="AJ427" s="79"/>
      <c r="AK427" s="86"/>
      <c r="AL427" s="689"/>
      <c r="AM427" s="694">
        <f t="shared" si="802"/>
        <v>0</v>
      </c>
      <c r="AN427" s="31"/>
      <c r="AO427" s="622"/>
      <c r="AP427" s="23"/>
      <c r="AQ427" s="23"/>
      <c r="AR427" s="23"/>
      <c r="AS427" s="23"/>
      <c r="AT427" s="23"/>
      <c r="AU427" s="23"/>
      <c r="AV427" s="23"/>
    </row>
    <row r="428" spans="1:48" ht="25.15" hidden="1" customHeight="1">
      <c r="A428" s="103"/>
      <c r="B428" s="89"/>
      <c r="C428" s="80"/>
      <c r="D428" s="90" t="s">
        <v>104</v>
      </c>
      <c r="E428" s="1108"/>
      <c r="F428" s="1089"/>
      <c r="G428" s="44"/>
      <c r="H428" s="1089"/>
      <c r="I428" s="1089"/>
      <c r="J428" s="44"/>
      <c r="K428" s="44"/>
      <c r="L428" s="1089"/>
      <c r="M428" s="1089"/>
      <c r="N428" s="1089"/>
      <c r="O428" s="1089"/>
      <c r="P428" s="1089"/>
      <c r="Q428" s="44"/>
      <c r="R428" s="44"/>
      <c r="S428" s="1089"/>
      <c r="T428" s="1089"/>
      <c r="U428" s="1089"/>
      <c r="V428" s="1089"/>
      <c r="W428" s="1089"/>
      <c r="X428" s="44"/>
      <c r="Y428" s="44"/>
      <c r="Z428" s="1089"/>
      <c r="AA428" s="1089"/>
      <c r="AB428" s="1089"/>
      <c r="AC428" s="1089"/>
      <c r="AD428" s="1089"/>
      <c r="AE428" s="44"/>
      <c r="AF428" s="44"/>
      <c r="AG428" s="1089"/>
      <c r="AH428" s="1089"/>
      <c r="AI428" s="1326"/>
      <c r="AJ428" s="79"/>
      <c r="AK428" s="79"/>
      <c r="AL428" s="63"/>
      <c r="AM428" s="1068">
        <f t="shared" si="802"/>
        <v>0</v>
      </c>
      <c r="AN428" s="64"/>
      <c r="AO428" s="624"/>
      <c r="AP428" s="23"/>
      <c r="AQ428" s="23"/>
      <c r="AR428" s="23"/>
      <c r="AS428" s="23"/>
      <c r="AT428" s="23"/>
      <c r="AU428" s="23"/>
      <c r="AV428" s="23"/>
    </row>
    <row r="429" spans="1:48" ht="25.15" hidden="1" customHeight="1" thickBot="1">
      <c r="A429" s="106"/>
      <c r="B429" s="93"/>
      <c r="C429" s="94"/>
      <c r="D429" s="95" t="s">
        <v>111</v>
      </c>
      <c r="E429" s="1109">
        <f>IF(E428="O/H",E425,0+E425)</f>
        <v>0</v>
      </c>
      <c r="F429" s="1110">
        <f t="shared" ref="F429:AI429" si="878">IF(F428="O/H",F425,+E429+F425)</f>
        <v>0</v>
      </c>
      <c r="G429" s="1212">
        <f t="shared" si="878"/>
        <v>0</v>
      </c>
      <c r="H429" s="1110">
        <f t="shared" si="878"/>
        <v>0</v>
      </c>
      <c r="I429" s="1110">
        <f t="shared" si="878"/>
        <v>0</v>
      </c>
      <c r="J429" s="1212">
        <f t="shared" si="878"/>
        <v>0</v>
      </c>
      <c r="K429" s="1212">
        <f t="shared" si="878"/>
        <v>0</v>
      </c>
      <c r="L429" s="1110">
        <f t="shared" si="878"/>
        <v>0</v>
      </c>
      <c r="M429" s="1110">
        <f t="shared" si="878"/>
        <v>0</v>
      </c>
      <c r="N429" s="1110">
        <f t="shared" si="878"/>
        <v>0</v>
      </c>
      <c r="O429" s="1110">
        <f t="shared" si="878"/>
        <v>0</v>
      </c>
      <c r="P429" s="1110">
        <f t="shared" si="878"/>
        <v>0</v>
      </c>
      <c r="Q429" s="1212">
        <f t="shared" si="878"/>
        <v>0</v>
      </c>
      <c r="R429" s="1212">
        <f t="shared" si="878"/>
        <v>0</v>
      </c>
      <c r="S429" s="1110">
        <f t="shared" si="878"/>
        <v>0</v>
      </c>
      <c r="T429" s="1110">
        <f t="shared" si="878"/>
        <v>0</v>
      </c>
      <c r="U429" s="1110">
        <f t="shared" si="878"/>
        <v>0</v>
      </c>
      <c r="V429" s="1110">
        <f t="shared" si="878"/>
        <v>0</v>
      </c>
      <c r="W429" s="1110">
        <f t="shared" si="878"/>
        <v>0</v>
      </c>
      <c r="X429" s="1212">
        <f t="shared" si="878"/>
        <v>0</v>
      </c>
      <c r="Y429" s="1212">
        <f t="shared" si="878"/>
        <v>0</v>
      </c>
      <c r="Z429" s="1110">
        <f t="shared" si="878"/>
        <v>0</v>
      </c>
      <c r="AA429" s="1110">
        <f t="shared" si="878"/>
        <v>0</v>
      </c>
      <c r="AB429" s="1110">
        <f t="shared" si="878"/>
        <v>0</v>
      </c>
      <c r="AC429" s="1110">
        <f t="shared" si="878"/>
        <v>0</v>
      </c>
      <c r="AD429" s="1110">
        <f t="shared" si="878"/>
        <v>0</v>
      </c>
      <c r="AE429" s="1212">
        <f t="shared" si="878"/>
        <v>0</v>
      </c>
      <c r="AF429" s="1212">
        <f t="shared" si="878"/>
        <v>0</v>
      </c>
      <c r="AG429" s="1110">
        <f t="shared" si="878"/>
        <v>0</v>
      </c>
      <c r="AH429" s="1110">
        <f t="shared" si="878"/>
        <v>0</v>
      </c>
      <c r="AI429" s="1340">
        <f t="shared" si="878"/>
        <v>0</v>
      </c>
      <c r="AJ429" s="96"/>
      <c r="AK429" s="96"/>
      <c r="AL429" s="97"/>
      <c r="AM429" s="1071">
        <f t="shared" si="802"/>
        <v>0</v>
      </c>
      <c r="AN429" s="98"/>
      <c r="AO429" s="625"/>
      <c r="AP429" s="23"/>
      <c r="AQ429" s="23"/>
      <c r="AR429" s="23"/>
      <c r="AS429" s="23"/>
      <c r="AT429" s="23"/>
      <c r="AU429" s="23"/>
      <c r="AV429" s="23"/>
    </row>
    <row r="430" spans="1:48" ht="25.15" hidden="1" customHeight="1" thickTop="1">
      <c r="A430" s="99"/>
      <c r="B430" s="26" t="s">
        <v>164</v>
      </c>
      <c r="C430" s="27"/>
      <c r="D430" s="28" t="s">
        <v>82</v>
      </c>
      <c r="E430" s="1111"/>
      <c r="F430" s="1111"/>
      <c r="G430" s="1201"/>
      <c r="H430" s="1111"/>
      <c r="I430" s="1111"/>
      <c r="J430" s="1201"/>
      <c r="K430" s="1201"/>
      <c r="L430" s="1111"/>
      <c r="M430" s="1111"/>
      <c r="N430" s="1111"/>
      <c r="O430" s="1111"/>
      <c r="P430" s="1111"/>
      <c r="Q430" s="1201"/>
      <c r="R430" s="1201"/>
      <c r="S430" s="1111"/>
      <c r="T430" s="1111"/>
      <c r="U430" s="1111"/>
      <c r="V430" s="1111"/>
      <c r="W430" s="1111"/>
      <c r="X430" s="1201"/>
      <c r="Y430" s="1201"/>
      <c r="Z430" s="1111"/>
      <c r="AA430" s="1089"/>
      <c r="AB430" s="1111"/>
      <c r="AC430" s="1111"/>
      <c r="AD430" s="1111"/>
      <c r="AE430" s="1201"/>
      <c r="AF430" s="1201"/>
      <c r="AG430" s="1111"/>
      <c r="AH430" s="1111"/>
      <c r="AI430" s="1412"/>
      <c r="AJ430" s="100">
        <f>SUM(Table75[[#This Row],[June''2026]:[Column27]])</f>
        <v>0</v>
      </c>
      <c r="AK430" s="100">
        <f t="shared" si="835"/>
        <v>0</v>
      </c>
      <c r="AL430" s="101">
        <f>+AJ430*AN430</f>
        <v>0</v>
      </c>
      <c r="AM430" s="1072">
        <f t="shared" si="802"/>
        <v>0</v>
      </c>
      <c r="AN430" s="102"/>
      <c r="AO430" s="622" t="e">
        <f>Table5[[#This Row],[Total]]*B434/1000</f>
        <v>#VALUE!</v>
      </c>
      <c r="AP430" s="32" t="s">
        <v>134</v>
      </c>
      <c r="AQ430" s="33" t="s">
        <v>84</v>
      </c>
      <c r="AR430" s="33" t="s">
        <v>85</v>
      </c>
      <c r="AS430" s="33" t="s">
        <v>86</v>
      </c>
      <c r="AT430" s="33" t="s">
        <v>87</v>
      </c>
      <c r="AU430" s="33" t="s">
        <v>88</v>
      </c>
      <c r="AV430" s="34" t="s">
        <v>68</v>
      </c>
    </row>
    <row r="431" spans="1:48" ht="25.15" hidden="1" customHeight="1">
      <c r="A431" s="103"/>
      <c r="B431" s="35" t="s">
        <v>163</v>
      </c>
      <c r="C431" s="36"/>
      <c r="D431" s="37" t="s">
        <v>90</v>
      </c>
      <c r="E431" s="1373">
        <f>IF(E430="",0,+ E430/E437)</f>
        <v>0</v>
      </c>
      <c r="F431" s="1096">
        <f t="shared" ref="F431:AI431" si="879">IF(F430="",0, E431+F430/F437)</f>
        <v>0</v>
      </c>
      <c r="G431" s="1207">
        <f t="shared" si="879"/>
        <v>0</v>
      </c>
      <c r="H431" s="1096">
        <f t="shared" si="879"/>
        <v>0</v>
      </c>
      <c r="I431" s="1096">
        <f t="shared" si="879"/>
        <v>0</v>
      </c>
      <c r="J431" s="1207">
        <f t="shared" si="879"/>
        <v>0</v>
      </c>
      <c r="K431" s="1207">
        <f t="shared" si="879"/>
        <v>0</v>
      </c>
      <c r="L431" s="1096">
        <f t="shared" si="879"/>
        <v>0</v>
      </c>
      <c r="M431" s="1096">
        <f t="shared" si="879"/>
        <v>0</v>
      </c>
      <c r="N431" s="1096">
        <f t="shared" si="879"/>
        <v>0</v>
      </c>
      <c r="O431" s="1096">
        <f t="shared" si="879"/>
        <v>0</v>
      </c>
      <c r="P431" s="1096">
        <f t="shared" si="879"/>
        <v>0</v>
      </c>
      <c r="Q431" s="1207">
        <f t="shared" si="879"/>
        <v>0</v>
      </c>
      <c r="R431" s="1207">
        <f t="shared" si="879"/>
        <v>0</v>
      </c>
      <c r="S431" s="1096">
        <f t="shared" si="879"/>
        <v>0</v>
      </c>
      <c r="T431" s="1096">
        <f t="shared" si="879"/>
        <v>0</v>
      </c>
      <c r="U431" s="1096">
        <f t="shared" si="879"/>
        <v>0</v>
      </c>
      <c r="V431" s="1096">
        <f t="shared" si="879"/>
        <v>0</v>
      </c>
      <c r="W431" s="1096">
        <f t="shared" si="879"/>
        <v>0</v>
      </c>
      <c r="X431" s="1207">
        <f t="shared" si="879"/>
        <v>0</v>
      </c>
      <c r="Y431" s="1207">
        <f t="shared" si="879"/>
        <v>0</v>
      </c>
      <c r="Z431" s="1096">
        <f t="shared" si="879"/>
        <v>0</v>
      </c>
      <c r="AA431" s="1089"/>
      <c r="AB431" s="1096">
        <f t="shared" si="879"/>
        <v>0</v>
      </c>
      <c r="AC431" s="1096">
        <f t="shared" si="879"/>
        <v>0</v>
      </c>
      <c r="AD431" s="1096">
        <f t="shared" si="879"/>
        <v>0</v>
      </c>
      <c r="AE431" s="1207">
        <f t="shared" si="879"/>
        <v>0</v>
      </c>
      <c r="AF431" s="1207">
        <f t="shared" si="879"/>
        <v>0</v>
      </c>
      <c r="AG431" s="1096">
        <f t="shared" si="879"/>
        <v>0</v>
      </c>
      <c r="AH431" s="1096">
        <f t="shared" si="879"/>
        <v>0</v>
      </c>
      <c r="AI431" s="1324">
        <f t="shared" si="879"/>
        <v>0</v>
      </c>
      <c r="AJ431" s="38"/>
      <c r="AK431" s="29"/>
      <c r="AL431" s="30"/>
      <c r="AM431" s="694">
        <f t="shared" si="802"/>
        <v>0</v>
      </c>
      <c r="AN431" s="31"/>
      <c r="AO431" s="630"/>
      <c r="AP431" s="39" t="s">
        <v>91</v>
      </c>
      <c r="AQ431" s="40">
        <f>SUM(E430:I430)</f>
        <v>0</v>
      </c>
      <c r="AR431" s="41">
        <f>SUM(J430:P430)</f>
        <v>0</v>
      </c>
      <c r="AS431" s="41">
        <f>SUM(Q430:W430)</f>
        <v>0</v>
      </c>
      <c r="AT431" s="41">
        <f>SUM(X430:AD430)</f>
        <v>0</v>
      </c>
      <c r="AU431" s="41">
        <f>SUM(AE430:AI430)</f>
        <v>0</v>
      </c>
      <c r="AV431" s="34">
        <f t="shared" ref="AV431:AV436" si="880">SUM(AQ431:AU431)</f>
        <v>0</v>
      </c>
    </row>
    <row r="432" spans="1:48" ht="25.15" hidden="1" customHeight="1">
      <c r="A432" s="103"/>
      <c r="B432" s="26" t="s">
        <v>92</v>
      </c>
      <c r="C432" s="42"/>
      <c r="D432" s="43" t="s">
        <v>93</v>
      </c>
      <c r="E432" s="1325"/>
      <c r="F432" s="1089"/>
      <c r="G432" s="44"/>
      <c r="H432" s="1089"/>
      <c r="I432" s="1089"/>
      <c r="J432" s="44"/>
      <c r="K432" s="44"/>
      <c r="L432" s="1089"/>
      <c r="M432" s="1089"/>
      <c r="N432" s="1089"/>
      <c r="O432" s="1089"/>
      <c r="P432" s="1089"/>
      <c r="Q432" s="44"/>
      <c r="R432" s="44"/>
      <c r="S432" s="1089"/>
      <c r="T432" s="1089"/>
      <c r="U432" s="1089"/>
      <c r="V432" s="1089"/>
      <c r="W432" s="1089"/>
      <c r="X432" s="44"/>
      <c r="Y432" s="44"/>
      <c r="Z432" s="1089"/>
      <c r="AA432" s="1089"/>
      <c r="AB432" s="1089"/>
      <c r="AC432" s="1089"/>
      <c r="AD432" s="1089"/>
      <c r="AE432" s="44"/>
      <c r="AF432" s="44"/>
      <c r="AG432" s="1089"/>
      <c r="AH432" s="1089"/>
      <c r="AI432" s="1326"/>
      <c r="AJ432" s="45">
        <f>SUM(E432:AI432)</f>
        <v>0</v>
      </c>
      <c r="AK432" s="45"/>
      <c r="AL432" s="46">
        <f>+AJ432*AN430</f>
        <v>0</v>
      </c>
      <c r="AM432" s="1066">
        <f t="shared" si="802"/>
        <v>0</v>
      </c>
      <c r="AN432" s="31"/>
      <c r="AO432" s="632">
        <f>(AJ432+AJ434+AJ435+AJ436)*B434/1000</f>
        <v>0</v>
      </c>
      <c r="AP432" s="47" t="s">
        <v>94</v>
      </c>
      <c r="AQ432" s="48">
        <f>SUM(E432:I432)</f>
        <v>0</v>
      </c>
      <c r="AR432" s="49">
        <f>SUM(J432:P432)</f>
        <v>0</v>
      </c>
      <c r="AS432" s="49">
        <f>SUM(Q432:W432)</f>
        <v>0</v>
      </c>
      <c r="AT432" s="49">
        <f>SUM(X432:AD432)</f>
        <v>0</v>
      </c>
      <c r="AU432" s="49">
        <f>SUM(AE432:AI432)</f>
        <v>0</v>
      </c>
      <c r="AV432" s="50">
        <f t="shared" si="880"/>
        <v>0</v>
      </c>
    </row>
    <row r="433" spans="1:48" ht="25.15" hidden="1" customHeight="1">
      <c r="A433" s="103"/>
      <c r="B433" s="51"/>
      <c r="C433" s="52" t="s">
        <v>95</v>
      </c>
      <c r="D433" s="53" t="s">
        <v>96</v>
      </c>
      <c r="E433" s="1327">
        <f t="shared" ref="E433:AJ433" si="881">+E432-E430</f>
        <v>0</v>
      </c>
      <c r="F433" s="1097">
        <f t="shared" si="881"/>
        <v>0</v>
      </c>
      <c r="G433" s="1205">
        <f t="shared" si="881"/>
        <v>0</v>
      </c>
      <c r="H433" s="1097">
        <f t="shared" si="881"/>
        <v>0</v>
      </c>
      <c r="I433" s="1097">
        <f t="shared" si="881"/>
        <v>0</v>
      </c>
      <c r="J433" s="1205">
        <f t="shared" si="881"/>
        <v>0</v>
      </c>
      <c r="K433" s="1205">
        <f t="shared" si="881"/>
        <v>0</v>
      </c>
      <c r="L433" s="1097">
        <f t="shared" si="881"/>
        <v>0</v>
      </c>
      <c r="M433" s="1097">
        <f t="shared" si="881"/>
        <v>0</v>
      </c>
      <c r="N433" s="1097">
        <f t="shared" si="881"/>
        <v>0</v>
      </c>
      <c r="O433" s="1097">
        <f t="shared" si="881"/>
        <v>0</v>
      </c>
      <c r="P433" s="1097">
        <f t="shared" si="881"/>
        <v>0</v>
      </c>
      <c r="Q433" s="1205">
        <f t="shared" si="881"/>
        <v>0</v>
      </c>
      <c r="R433" s="1205">
        <f t="shared" si="881"/>
        <v>0</v>
      </c>
      <c r="S433" s="1097">
        <f t="shared" si="881"/>
        <v>0</v>
      </c>
      <c r="T433" s="1097">
        <f t="shared" si="881"/>
        <v>0</v>
      </c>
      <c r="U433" s="1097">
        <f t="shared" si="881"/>
        <v>0</v>
      </c>
      <c r="V433" s="1097">
        <f t="shared" si="881"/>
        <v>0</v>
      </c>
      <c r="W433" s="1097">
        <f t="shared" si="881"/>
        <v>0</v>
      </c>
      <c r="X433" s="1205">
        <f t="shared" si="881"/>
        <v>0</v>
      </c>
      <c r="Y433" s="1205">
        <f t="shared" si="881"/>
        <v>0</v>
      </c>
      <c r="Z433" s="1097">
        <f t="shared" si="881"/>
        <v>0</v>
      </c>
      <c r="AA433" s="1097">
        <f t="shared" ref="AA433" si="882">+AA432-AA430</f>
        <v>0</v>
      </c>
      <c r="AB433" s="1097">
        <f t="shared" si="881"/>
        <v>0</v>
      </c>
      <c r="AC433" s="1097">
        <f t="shared" si="881"/>
        <v>0</v>
      </c>
      <c r="AD433" s="1097">
        <f t="shared" si="881"/>
        <v>0</v>
      </c>
      <c r="AE433" s="1205">
        <f t="shared" si="881"/>
        <v>0</v>
      </c>
      <c r="AF433" s="1205">
        <f t="shared" si="881"/>
        <v>0</v>
      </c>
      <c r="AG433" s="1097">
        <f t="shared" si="881"/>
        <v>0</v>
      </c>
      <c r="AH433" s="1097">
        <f t="shared" si="881"/>
        <v>0</v>
      </c>
      <c r="AI433" s="1328">
        <f t="shared" si="881"/>
        <v>0</v>
      </c>
      <c r="AJ433" s="54">
        <f t="shared" si="881"/>
        <v>0</v>
      </c>
      <c r="AK433" s="54"/>
      <c r="AL433" s="55">
        <f>+AJ433*AN430</f>
        <v>0</v>
      </c>
      <c r="AM433" s="1067">
        <f t="shared" si="802"/>
        <v>0</v>
      </c>
      <c r="AN433" s="31" t="s">
        <v>97</v>
      </c>
      <c r="AO433" s="622"/>
      <c r="AP433" s="39" t="s">
        <v>98</v>
      </c>
      <c r="AQ433" s="56">
        <f>AQ432-AQ431</f>
        <v>0</v>
      </c>
      <c r="AR433" s="70">
        <f>AR432-AR431</f>
        <v>0</v>
      </c>
      <c r="AS433" s="70">
        <f>AS432-AS431</f>
        <v>0</v>
      </c>
      <c r="AT433" s="70">
        <f>AT432-AT431</f>
        <v>0</v>
      </c>
      <c r="AU433" s="70">
        <f>AU432-AU431</f>
        <v>0</v>
      </c>
      <c r="AV433" s="57">
        <f t="shared" si="880"/>
        <v>0</v>
      </c>
    </row>
    <row r="434" spans="1:48" ht="25.15" hidden="1" customHeight="1">
      <c r="A434" s="58"/>
      <c r="B434" s="59"/>
      <c r="C434" s="60" t="s">
        <v>100</v>
      </c>
      <c r="D434" s="61" t="s">
        <v>101</v>
      </c>
      <c r="E434" s="1329"/>
      <c r="F434" s="1099"/>
      <c r="G434" s="1208"/>
      <c r="H434" s="1099"/>
      <c r="I434" s="1099"/>
      <c r="J434" s="1208"/>
      <c r="K434" s="1208"/>
      <c r="L434" s="1099"/>
      <c r="M434" s="1099"/>
      <c r="N434" s="1099"/>
      <c r="O434" s="1099"/>
      <c r="P434" s="1099"/>
      <c r="Q434" s="1208"/>
      <c r="R434" s="1208"/>
      <c r="S434" s="1099"/>
      <c r="T434" s="1099"/>
      <c r="U434" s="1099"/>
      <c r="V434" s="1099"/>
      <c r="W434" s="1099"/>
      <c r="X434" s="1208"/>
      <c r="Y434" s="1208"/>
      <c r="Z434" s="1099"/>
      <c r="AA434" s="1099"/>
      <c r="AB434" s="1099"/>
      <c r="AC434" s="1099"/>
      <c r="AD434" s="1099"/>
      <c r="AE434" s="1208"/>
      <c r="AF434" s="1208"/>
      <c r="AG434" s="1099"/>
      <c r="AH434" s="1099"/>
      <c r="AI434" s="1330"/>
      <c r="AJ434" s="62">
        <f>SUM(E434:AI434)</f>
        <v>0</v>
      </c>
      <c r="AK434" s="62"/>
      <c r="AL434" s="63">
        <f>+AJ434*AN430</f>
        <v>0</v>
      </c>
      <c r="AM434" s="1068">
        <f t="shared" si="802"/>
        <v>0</v>
      </c>
      <c r="AN434" s="64" t="e">
        <f>+AJ434/AJ432*100</f>
        <v>#DIV/0!</v>
      </c>
      <c r="AO434" s="635" t="e">
        <f>AO432/AO430</f>
        <v>#VALUE!</v>
      </c>
      <c r="AP434" s="39" t="s">
        <v>102</v>
      </c>
      <c r="AQ434" s="56">
        <f>SUM(E434:I434)</f>
        <v>0</v>
      </c>
      <c r="AR434" s="70">
        <f>SUM(J434:P434)</f>
        <v>0</v>
      </c>
      <c r="AS434" s="70">
        <f>SUM(Q434:W434)</f>
        <v>0</v>
      </c>
      <c r="AT434" s="70">
        <f>SUM(X434:AD434)</f>
        <v>0</v>
      </c>
      <c r="AU434" s="70">
        <f>SUM(AE434:AI434)</f>
        <v>0</v>
      </c>
      <c r="AV434" s="57">
        <f t="shared" si="880"/>
        <v>0</v>
      </c>
    </row>
    <row r="435" spans="1:48" ht="25.15" hidden="1" customHeight="1">
      <c r="A435" s="58" t="s">
        <v>135</v>
      </c>
      <c r="B435" s="65"/>
      <c r="C435" s="66"/>
      <c r="D435" s="67" t="s">
        <v>103</v>
      </c>
      <c r="E435" s="1331"/>
      <c r="F435" s="1101"/>
      <c r="G435" s="1209"/>
      <c r="H435" s="1101"/>
      <c r="I435" s="1101"/>
      <c r="J435" s="1209"/>
      <c r="K435" s="1209"/>
      <c r="L435" s="1101"/>
      <c r="M435" s="1101"/>
      <c r="N435" s="1101"/>
      <c r="O435" s="1101"/>
      <c r="P435" s="1101"/>
      <c r="Q435" s="1209"/>
      <c r="R435" s="1209"/>
      <c r="S435" s="1101"/>
      <c r="T435" s="1101"/>
      <c r="U435" s="1101"/>
      <c r="V435" s="1101"/>
      <c r="W435" s="1101"/>
      <c r="X435" s="1209"/>
      <c r="Y435" s="1209"/>
      <c r="Z435" s="1101"/>
      <c r="AA435" s="1101"/>
      <c r="AB435" s="1101"/>
      <c r="AC435" s="1101"/>
      <c r="AD435" s="1101"/>
      <c r="AE435" s="1209"/>
      <c r="AF435" s="1209"/>
      <c r="AG435" s="1101"/>
      <c r="AH435" s="1101"/>
      <c r="AI435" s="1332"/>
      <c r="AJ435" s="68">
        <f>SUM(E435:AI435)</f>
        <v>0</v>
      </c>
      <c r="AK435" s="68"/>
      <c r="AL435" s="69">
        <f>+AJ435*AN430</f>
        <v>0</v>
      </c>
      <c r="AM435" s="1069">
        <f t="shared" si="802"/>
        <v>0</v>
      </c>
      <c r="AN435" s="31"/>
      <c r="AO435" s="622"/>
      <c r="AP435" s="39" t="s">
        <v>19</v>
      </c>
      <c r="AQ435" s="56">
        <f>AQ434*AN430</f>
        <v>0</v>
      </c>
      <c r="AR435" s="56">
        <f>AR434*AN430</f>
        <v>0</v>
      </c>
      <c r="AS435" s="56">
        <f>AS434*AN430</f>
        <v>0</v>
      </c>
      <c r="AT435" s="56">
        <f>AT434*AN430</f>
        <v>0</v>
      </c>
      <c r="AU435" s="56">
        <f>AU434*AN430</f>
        <v>0</v>
      </c>
      <c r="AV435" s="57">
        <f t="shared" si="880"/>
        <v>0</v>
      </c>
    </row>
    <row r="436" spans="1:48" ht="25.15" hidden="1" customHeight="1">
      <c r="A436" s="103"/>
      <c r="B436" s="65"/>
      <c r="C436" s="72" t="s">
        <v>104</v>
      </c>
      <c r="D436" s="73" t="s">
        <v>105</v>
      </c>
      <c r="E436" s="1378"/>
      <c r="F436" s="1103"/>
      <c r="G436" s="1210"/>
      <c r="H436" s="1103"/>
      <c r="I436" s="1103"/>
      <c r="J436" s="1210"/>
      <c r="K436" s="1210"/>
      <c r="L436" s="1103"/>
      <c r="M436" s="1103"/>
      <c r="N436" s="1103"/>
      <c r="O436" s="1103"/>
      <c r="P436" s="1103"/>
      <c r="Q436" s="1210"/>
      <c r="R436" s="1210"/>
      <c r="S436" s="1103"/>
      <c r="T436" s="1103"/>
      <c r="U436" s="1103"/>
      <c r="V436" s="1103"/>
      <c r="W436" s="1103"/>
      <c r="X436" s="1210"/>
      <c r="Y436" s="1210"/>
      <c r="Z436" s="1103"/>
      <c r="AA436" s="1103"/>
      <c r="AB436" s="1103"/>
      <c r="AC436" s="1103"/>
      <c r="AD436" s="1103"/>
      <c r="AE436" s="1210"/>
      <c r="AF436" s="1210"/>
      <c r="AG436" s="1103"/>
      <c r="AH436" s="1103"/>
      <c r="AI436" s="1352"/>
      <c r="AJ436" s="74">
        <f>SUM(E436:AI436)</f>
        <v>0</v>
      </c>
      <c r="AK436" s="74"/>
      <c r="AL436" s="75">
        <f>+AJ436*AN430</f>
        <v>0</v>
      </c>
      <c r="AM436" s="1070">
        <f t="shared" si="802"/>
        <v>0</v>
      </c>
      <c r="AN436" s="76"/>
      <c r="AO436" s="636"/>
      <c r="AP436" s="47" t="s">
        <v>106</v>
      </c>
      <c r="AQ436" s="48">
        <f>AQ432*AN430</f>
        <v>0</v>
      </c>
      <c r="AR436" s="48">
        <f>AR432*AN430</f>
        <v>0</v>
      </c>
      <c r="AS436" s="48">
        <f>AS432*AN430</f>
        <v>0</v>
      </c>
      <c r="AT436" s="48">
        <f>AT432*AN430</f>
        <v>0</v>
      </c>
      <c r="AU436" s="48">
        <f>AU432*AN430</f>
        <v>0</v>
      </c>
      <c r="AV436" s="50">
        <f t="shared" si="880"/>
        <v>0</v>
      </c>
    </row>
    <row r="437" spans="1:48" ht="25.15" hidden="1" customHeight="1">
      <c r="A437" s="103"/>
      <c r="B437" s="65"/>
      <c r="C437" s="77">
        <v>300000</v>
      </c>
      <c r="D437" s="78" t="s">
        <v>107</v>
      </c>
      <c r="E437" s="1327">
        <v>1</v>
      </c>
      <c r="F437" s="1097">
        <v>1</v>
      </c>
      <c r="G437" s="1205">
        <v>1</v>
      </c>
      <c r="H437" s="1097">
        <v>1</v>
      </c>
      <c r="I437" s="1097">
        <v>1</v>
      </c>
      <c r="J437" s="1205">
        <v>1</v>
      </c>
      <c r="K437" s="1205">
        <v>1</v>
      </c>
      <c r="L437" s="1097">
        <v>1</v>
      </c>
      <c r="M437" s="1097">
        <v>1</v>
      </c>
      <c r="N437" s="1097">
        <v>1</v>
      </c>
      <c r="O437" s="1097">
        <v>1</v>
      </c>
      <c r="P437" s="1097">
        <v>1</v>
      </c>
      <c r="Q437" s="1205">
        <v>1</v>
      </c>
      <c r="R437" s="1205">
        <v>1</v>
      </c>
      <c r="S437" s="1097">
        <v>1</v>
      </c>
      <c r="T437" s="1097">
        <v>1</v>
      </c>
      <c r="U437" s="1097">
        <v>1</v>
      </c>
      <c r="V437" s="1097">
        <v>1</v>
      </c>
      <c r="W437" s="1097">
        <v>1</v>
      </c>
      <c r="X437" s="1205">
        <v>1</v>
      </c>
      <c r="Y437" s="1205">
        <v>1</v>
      </c>
      <c r="Z437" s="1097">
        <v>1</v>
      </c>
      <c r="AA437" s="1097">
        <v>1</v>
      </c>
      <c r="AB437" s="1097">
        <v>1</v>
      </c>
      <c r="AC437" s="1097">
        <v>1</v>
      </c>
      <c r="AD437" s="1097">
        <v>1</v>
      </c>
      <c r="AE437" s="1205">
        <v>1</v>
      </c>
      <c r="AF437" s="1205">
        <v>1</v>
      </c>
      <c r="AG437" s="1097">
        <v>1</v>
      </c>
      <c r="AH437" s="1097">
        <v>1</v>
      </c>
      <c r="AI437" s="1328">
        <v>1</v>
      </c>
      <c r="AJ437" s="79"/>
      <c r="AK437" s="79"/>
      <c r="AL437" s="55"/>
      <c r="AM437" s="1067">
        <f t="shared" si="802"/>
        <v>0</v>
      </c>
      <c r="AN437" s="31"/>
      <c r="AO437" s="622"/>
      <c r="AP437" s="23"/>
      <c r="AQ437" s="23"/>
      <c r="AR437" s="23"/>
      <c r="AS437" s="23"/>
      <c r="AT437" s="23"/>
      <c r="AU437" s="23"/>
      <c r="AV437" s="23"/>
    </row>
    <row r="438" spans="1:48" ht="25.15" hidden="1" customHeight="1">
      <c r="A438" s="103"/>
      <c r="B438" s="65"/>
      <c r="C438" s="80" t="s">
        <v>108</v>
      </c>
      <c r="D438" s="81" t="s">
        <v>109</v>
      </c>
      <c r="E438" s="1374">
        <f>SUM(E432+E434+E435+E436)/E437</f>
        <v>0</v>
      </c>
      <c r="F438" s="1104">
        <f>SUM(F432+F434+F435+F436)/F437</f>
        <v>0</v>
      </c>
      <c r="G438" s="1211">
        <f>SUM(G432+G434+G435+G436)/G437</f>
        <v>0</v>
      </c>
      <c r="H438" s="1104">
        <f t="shared" ref="H438:AH438" si="883">SUM(H432+H434+H435+H436)/H437</f>
        <v>0</v>
      </c>
      <c r="I438" s="1104">
        <f t="shared" si="883"/>
        <v>0</v>
      </c>
      <c r="J438" s="1211">
        <f t="shared" si="883"/>
        <v>0</v>
      </c>
      <c r="K438" s="1211">
        <f t="shared" si="883"/>
        <v>0</v>
      </c>
      <c r="L438" s="1104">
        <f t="shared" si="883"/>
        <v>0</v>
      </c>
      <c r="M438" s="1104">
        <f t="shared" si="883"/>
        <v>0</v>
      </c>
      <c r="N438" s="1104">
        <f t="shared" si="883"/>
        <v>0</v>
      </c>
      <c r="O438" s="1104">
        <f t="shared" si="883"/>
        <v>0</v>
      </c>
      <c r="P438" s="1104">
        <f t="shared" si="883"/>
        <v>0</v>
      </c>
      <c r="Q438" s="1211">
        <f t="shared" si="883"/>
        <v>0</v>
      </c>
      <c r="R438" s="1211">
        <f t="shared" si="883"/>
        <v>0</v>
      </c>
      <c r="S438" s="1104">
        <f t="shared" si="883"/>
        <v>0</v>
      </c>
      <c r="T438" s="1104">
        <f t="shared" si="883"/>
        <v>0</v>
      </c>
      <c r="U438" s="1104">
        <f t="shared" si="883"/>
        <v>0</v>
      </c>
      <c r="V438" s="1104">
        <f t="shared" si="883"/>
        <v>0</v>
      </c>
      <c r="W438" s="1104">
        <f t="shared" si="883"/>
        <v>0</v>
      </c>
      <c r="X438" s="1211">
        <f t="shared" si="883"/>
        <v>0</v>
      </c>
      <c r="Y438" s="1211">
        <f t="shared" si="883"/>
        <v>0</v>
      </c>
      <c r="Z438" s="1104">
        <f t="shared" si="883"/>
        <v>0</v>
      </c>
      <c r="AA438" s="1104">
        <f t="shared" ref="AA438" si="884">SUM(AA432+AA434+AA435+AA436)/AA437</f>
        <v>0</v>
      </c>
      <c r="AB438" s="1104">
        <f t="shared" si="883"/>
        <v>0</v>
      </c>
      <c r="AC438" s="1104">
        <f t="shared" si="883"/>
        <v>0</v>
      </c>
      <c r="AD438" s="1104">
        <f t="shared" si="883"/>
        <v>0</v>
      </c>
      <c r="AE438" s="1211">
        <f t="shared" si="883"/>
        <v>0</v>
      </c>
      <c r="AF438" s="1211">
        <f t="shared" si="883"/>
        <v>0</v>
      </c>
      <c r="AG438" s="1104">
        <f t="shared" si="883"/>
        <v>0</v>
      </c>
      <c r="AH438" s="1104">
        <f t="shared" si="883"/>
        <v>0</v>
      </c>
      <c r="AI438" s="1335">
        <f>SUM(AI432+AI434+AI435)/AI437</f>
        <v>0</v>
      </c>
      <c r="AJ438" s="104">
        <f>SUM(E438:AI438)</f>
        <v>0</v>
      </c>
      <c r="AK438" s="104"/>
      <c r="AL438" s="83"/>
      <c r="AM438" s="1068">
        <f t="shared" si="802"/>
        <v>0</v>
      </c>
      <c r="AN438" s="31"/>
      <c r="AO438" s="622"/>
      <c r="AP438" s="23"/>
      <c r="AQ438" s="23"/>
      <c r="AR438" s="23"/>
      <c r="AS438" s="23"/>
      <c r="AT438" s="23"/>
      <c r="AU438" s="23"/>
      <c r="AV438" s="23"/>
    </row>
    <row r="439" spans="1:48" ht="25.15" hidden="1" customHeight="1">
      <c r="A439" s="103"/>
      <c r="B439" s="59"/>
      <c r="C439" s="84">
        <f>+C437*0.8</f>
        <v>240000</v>
      </c>
      <c r="D439" s="85" t="s">
        <v>110</v>
      </c>
      <c r="E439" s="1105"/>
      <c r="F439" s="1106"/>
      <c r="G439" s="1211"/>
      <c r="H439" s="1104"/>
      <c r="I439" s="1104"/>
      <c r="J439" s="1211"/>
      <c r="K439" s="1211"/>
      <c r="L439" s="1104"/>
      <c r="M439" s="1104"/>
      <c r="N439" s="1104"/>
      <c r="O439" s="1107"/>
      <c r="P439" s="1104"/>
      <c r="Q439" s="1211"/>
      <c r="R439" s="1211"/>
      <c r="S439" s="1104"/>
      <c r="T439" s="1104"/>
      <c r="U439" s="1104"/>
      <c r="V439" s="1104"/>
      <c r="W439" s="1104"/>
      <c r="X439" s="1211"/>
      <c r="Y439" s="1211"/>
      <c r="Z439" s="1104"/>
      <c r="AA439" s="1104"/>
      <c r="AB439" s="1104"/>
      <c r="AC439" s="1104"/>
      <c r="AD439" s="1104"/>
      <c r="AE439" s="1211"/>
      <c r="AF439" s="1211"/>
      <c r="AG439" s="1104"/>
      <c r="AH439" s="1104"/>
      <c r="AI439" s="1353"/>
      <c r="AJ439" s="86"/>
      <c r="AK439" s="86"/>
      <c r="AL439" s="690"/>
      <c r="AM439" s="694">
        <f t="shared" si="802"/>
        <v>0</v>
      </c>
      <c r="AN439" s="31"/>
      <c r="AO439" s="622"/>
      <c r="AP439" s="23"/>
      <c r="AQ439" s="23"/>
      <c r="AR439" s="23"/>
      <c r="AS439" s="23"/>
      <c r="AT439" s="23"/>
      <c r="AU439" s="23"/>
      <c r="AV439" s="23"/>
    </row>
    <row r="440" spans="1:48" ht="25.15" hidden="1" customHeight="1">
      <c r="A440" s="103"/>
      <c r="B440" s="105"/>
      <c r="C440" s="77"/>
      <c r="D440" s="88" t="s">
        <v>111</v>
      </c>
      <c r="E440" s="1108">
        <f>IF(E439="O/H",E438,0+E438)</f>
        <v>0</v>
      </c>
      <c r="F440" s="1089">
        <f t="shared" ref="F440:AI440" si="885">IF(F439="O/H",F438,+E440+F438)</f>
        <v>0</v>
      </c>
      <c r="G440" s="44">
        <f t="shared" si="885"/>
        <v>0</v>
      </c>
      <c r="H440" s="1089">
        <f t="shared" si="885"/>
        <v>0</v>
      </c>
      <c r="I440" s="1089">
        <f t="shared" si="885"/>
        <v>0</v>
      </c>
      <c r="J440" s="44">
        <f t="shared" si="885"/>
        <v>0</v>
      </c>
      <c r="K440" s="44">
        <f t="shared" si="885"/>
        <v>0</v>
      </c>
      <c r="L440" s="1089">
        <f t="shared" si="885"/>
        <v>0</v>
      </c>
      <c r="M440" s="1089">
        <f t="shared" si="885"/>
        <v>0</v>
      </c>
      <c r="N440" s="1089">
        <f t="shared" si="885"/>
        <v>0</v>
      </c>
      <c r="O440" s="1089">
        <f t="shared" si="885"/>
        <v>0</v>
      </c>
      <c r="P440" s="1089">
        <f t="shared" si="885"/>
        <v>0</v>
      </c>
      <c r="Q440" s="44">
        <f t="shared" si="885"/>
        <v>0</v>
      </c>
      <c r="R440" s="44">
        <f t="shared" si="885"/>
        <v>0</v>
      </c>
      <c r="S440" s="1089">
        <f t="shared" si="885"/>
        <v>0</v>
      </c>
      <c r="T440" s="1089">
        <f t="shared" si="885"/>
        <v>0</v>
      </c>
      <c r="U440" s="1089">
        <f t="shared" si="885"/>
        <v>0</v>
      </c>
      <c r="V440" s="1089">
        <f t="shared" si="885"/>
        <v>0</v>
      </c>
      <c r="W440" s="1089">
        <f t="shared" si="885"/>
        <v>0</v>
      </c>
      <c r="X440" s="44">
        <f t="shared" si="885"/>
        <v>0</v>
      </c>
      <c r="Y440" s="44">
        <f t="shared" si="885"/>
        <v>0</v>
      </c>
      <c r="Z440" s="1089">
        <f t="shared" si="885"/>
        <v>0</v>
      </c>
      <c r="AA440" s="1089">
        <f t="shared" si="885"/>
        <v>0</v>
      </c>
      <c r="AB440" s="1089">
        <f t="shared" si="885"/>
        <v>0</v>
      </c>
      <c r="AC440" s="1089">
        <f t="shared" si="885"/>
        <v>0</v>
      </c>
      <c r="AD440" s="1089">
        <f t="shared" si="885"/>
        <v>0</v>
      </c>
      <c r="AE440" s="44">
        <f t="shared" si="885"/>
        <v>0</v>
      </c>
      <c r="AF440" s="44">
        <f t="shared" si="885"/>
        <v>0</v>
      </c>
      <c r="AG440" s="1089">
        <f t="shared" si="885"/>
        <v>0</v>
      </c>
      <c r="AH440" s="1089">
        <f t="shared" si="885"/>
        <v>0</v>
      </c>
      <c r="AI440" s="1326">
        <f t="shared" si="885"/>
        <v>0</v>
      </c>
      <c r="AJ440" s="79"/>
      <c r="AK440" s="86"/>
      <c r="AL440" s="689"/>
      <c r="AM440" s="694">
        <f t="shared" si="802"/>
        <v>0</v>
      </c>
      <c r="AN440" s="31"/>
      <c r="AO440" s="622"/>
      <c r="AP440" s="23"/>
      <c r="AQ440" s="23"/>
      <c r="AR440" s="23"/>
      <c r="AS440" s="23"/>
      <c r="AT440" s="23"/>
      <c r="AU440" s="23"/>
      <c r="AV440" s="23"/>
    </row>
    <row r="441" spans="1:48" s="23" customFormat="1" ht="20.65" hidden="1" customHeight="1">
      <c r="A441" s="274"/>
      <c r="B441" s="312"/>
      <c r="C441" s="308"/>
      <c r="D441" s="795" t="s">
        <v>112</v>
      </c>
      <c r="E441" s="1108" t="b">
        <f>IF(AND(ISNUMBER(E432)),844438+E438)</f>
        <v>0</v>
      </c>
      <c r="F441" s="1089" t="str">
        <f>IF(AND(ISNUMBER(F432)),E441+F438,"")</f>
        <v/>
      </c>
      <c r="G441" s="44" t="str">
        <f t="shared" ref="G441" si="886">IF(AND(ISNUMBER(G432)),F441+G438,"")</f>
        <v/>
      </c>
      <c r="H441" s="1089" t="str">
        <f t="shared" ref="H441" si="887">IF(AND(ISNUMBER(H432)),G441+H438,"")</f>
        <v/>
      </c>
      <c r="I441" s="1089" t="str">
        <f>IF(AND(ISNUMBER(I432)),H441+I438,"")</f>
        <v/>
      </c>
      <c r="J441" s="44" t="str">
        <f>IF(AND(ISNUMBER(J432)),I441+J438,"")</f>
        <v/>
      </c>
      <c r="K441" s="44" t="str">
        <f>IF(AND(ISNUMBER(K432)),J441+K438,"")</f>
        <v/>
      </c>
      <c r="L441" s="1089" t="str">
        <f t="shared" ref="L441" si="888">IF(AND(ISNUMBER(L432)),K441+L438,"")</f>
        <v/>
      </c>
      <c r="M441" s="1089" t="str">
        <f t="shared" ref="M441" si="889">IF(AND(ISNUMBER(M432)),L441+M438,"")</f>
        <v/>
      </c>
      <c r="N441" s="1089" t="str">
        <f t="shared" ref="N441" si="890">IF(AND(ISNUMBER(N432)),M441+N438,"")</f>
        <v/>
      </c>
      <c r="O441" s="1089" t="str">
        <f t="shared" ref="O441" si="891">IF(AND(ISNUMBER(O432)),N441+O438,"")</f>
        <v/>
      </c>
      <c r="P441" s="1089" t="str">
        <f t="shared" ref="P441" si="892">IF(AND(ISNUMBER(P432)),O441+P438,"")</f>
        <v/>
      </c>
      <c r="Q441" s="44" t="str">
        <f t="shared" ref="Q441" si="893">IF(AND(ISNUMBER(Q432)),P441+Q438,"")</f>
        <v/>
      </c>
      <c r="R441" s="44" t="str">
        <f t="shared" ref="R441" si="894">IF(AND(ISNUMBER(R432)),Q441+R438,"")</f>
        <v/>
      </c>
      <c r="S441" s="1089" t="str">
        <f t="shared" ref="S441" si="895">IF(AND(ISNUMBER(S432)),R441+S438,"")</f>
        <v/>
      </c>
      <c r="T441" s="1089" t="str">
        <f t="shared" ref="T441" si="896">IF(AND(ISNUMBER(T432)),S441+T438,"")</f>
        <v/>
      </c>
      <c r="U441" s="1089" t="str">
        <f t="shared" ref="U441" si="897">IF(AND(ISNUMBER(U432)),T441+U438,"")</f>
        <v/>
      </c>
      <c r="V441" s="1089" t="str">
        <f t="shared" ref="V441" si="898">IF(AND(ISNUMBER(V432)),U441+V438,"")</f>
        <v/>
      </c>
      <c r="W441" s="1089" t="str">
        <f t="shared" ref="W441" si="899">IF(AND(ISNUMBER(W432)),V441+W438,"")</f>
        <v/>
      </c>
      <c r="X441" s="44" t="str">
        <f t="shared" ref="X441" si="900">IF(AND(ISNUMBER(X432)),W441+X438,"")</f>
        <v/>
      </c>
      <c r="Y441" s="44" t="str">
        <f t="shared" ref="Y441" si="901">IF(AND(ISNUMBER(Y432)),X441+Y438,"")</f>
        <v/>
      </c>
      <c r="Z441" s="1089" t="str">
        <f t="shared" ref="Z441" si="902">IF(AND(ISNUMBER(Z432)),Y441+Z438,"")</f>
        <v/>
      </c>
      <c r="AA441" s="1089" t="str">
        <f t="shared" ref="AA441" si="903">IF(AND(ISNUMBER(AA432)),Z441+AA438,"")</f>
        <v/>
      </c>
      <c r="AB441" s="1089" t="str">
        <f t="shared" ref="AB441" si="904">IF(AND(ISNUMBER(AB432)),AA441+AB438,"")</f>
        <v/>
      </c>
      <c r="AC441" s="1089" t="str">
        <f t="shared" ref="AC441" si="905">IF(AND(ISNUMBER(AC432)),AB441+AC438,"")</f>
        <v/>
      </c>
      <c r="AD441" s="1089" t="str">
        <f t="shared" ref="AD441" si="906">IF(AND(ISNUMBER(AD432)),AC441+AD438,"")</f>
        <v/>
      </c>
      <c r="AE441" s="44" t="str">
        <f t="shared" ref="AE441" si="907">IF(AND(ISNUMBER(AE432)),AD441+AE438,"")</f>
        <v/>
      </c>
      <c r="AF441" s="44" t="str">
        <f t="shared" ref="AF441" si="908">IF(AND(ISNUMBER(AF432)),AE441+AF438,"")</f>
        <v/>
      </c>
      <c r="AG441" s="1089" t="str">
        <f t="shared" ref="AG441" si="909">IF(AND(ISNUMBER(AG432)),AF441+AG438,"")</f>
        <v/>
      </c>
      <c r="AH441" s="1089" t="str">
        <f t="shared" ref="AH441" si="910">IF(AND(ISNUMBER(AH432)),AG441+AH438,"")</f>
        <v/>
      </c>
      <c r="AI441" s="1089" t="str">
        <f t="shared" ref="AI441" si="911">IF(AND(ISNUMBER(AI432)),AH441+AI438,"")</f>
        <v/>
      </c>
      <c r="AJ441" s="793"/>
      <c r="AK441" s="793"/>
      <c r="AL441" s="909"/>
      <c r="AM441" s="890">
        <f t="shared" si="802"/>
        <v>0</v>
      </c>
      <c r="AN441" s="76"/>
      <c r="AO441" s="624"/>
      <c r="AP441" s="285"/>
      <c r="AQ441" s="285"/>
      <c r="AR441" s="285"/>
      <c r="AS441" s="285"/>
      <c r="AT441" s="286"/>
      <c r="AU441" s="285"/>
      <c r="AV441" s="287"/>
    </row>
    <row r="442" spans="1:48" ht="25.15" hidden="1" customHeight="1">
      <c r="A442" s="103"/>
      <c r="B442" s="89"/>
      <c r="C442" s="80"/>
      <c r="D442" s="90" t="s">
        <v>104</v>
      </c>
      <c r="E442" s="1108"/>
      <c r="F442" s="1089"/>
      <c r="G442" s="44"/>
      <c r="H442" s="1089"/>
      <c r="I442" s="1089"/>
      <c r="J442" s="44"/>
      <c r="K442" s="44"/>
      <c r="L442" s="1089"/>
      <c r="M442" s="1089"/>
      <c r="N442" s="1089"/>
      <c r="O442" s="1089"/>
      <c r="P442" s="1089"/>
      <c r="Q442" s="44"/>
      <c r="R442" s="44"/>
      <c r="S442" s="1089"/>
      <c r="T442" s="1089"/>
      <c r="U442" s="1089"/>
      <c r="V442" s="1089"/>
      <c r="W442" s="1089"/>
      <c r="X442" s="44"/>
      <c r="Y442" s="44"/>
      <c r="Z442" s="1089"/>
      <c r="AA442" s="1089"/>
      <c r="AB442" s="1089"/>
      <c r="AC442" s="1089"/>
      <c r="AD442" s="1089"/>
      <c r="AE442" s="44"/>
      <c r="AF442" s="44"/>
      <c r="AG442" s="1089"/>
      <c r="AH442" s="1089"/>
      <c r="AI442" s="1326"/>
      <c r="AJ442" s="79"/>
      <c r="AK442" s="79"/>
      <c r="AL442" s="63"/>
      <c r="AM442" s="1068">
        <f t="shared" si="802"/>
        <v>0</v>
      </c>
      <c r="AN442" s="64"/>
      <c r="AO442" s="624"/>
      <c r="AP442" s="23"/>
      <c r="AQ442" s="23"/>
      <c r="AR442" s="23"/>
      <c r="AS442" s="23"/>
      <c r="AT442" s="23"/>
      <c r="AU442" s="23"/>
      <c r="AV442" s="23"/>
    </row>
    <row r="443" spans="1:48" ht="25.15" hidden="1" customHeight="1" thickBot="1">
      <c r="A443" s="106"/>
      <c r="B443" s="93"/>
      <c r="C443" s="94"/>
      <c r="D443" s="95" t="s">
        <v>111</v>
      </c>
      <c r="E443" s="1109">
        <f>IF(E442="O/H",E438,0+E438)</f>
        <v>0</v>
      </c>
      <c r="F443" s="1110">
        <f t="shared" ref="F443:AI443" si="912">IF(F442="O/H",F438,+E443+F438)</f>
        <v>0</v>
      </c>
      <c r="G443" s="1212">
        <f t="shared" si="912"/>
        <v>0</v>
      </c>
      <c r="H443" s="1110">
        <f t="shared" si="912"/>
        <v>0</v>
      </c>
      <c r="I443" s="1110">
        <f t="shared" si="912"/>
        <v>0</v>
      </c>
      <c r="J443" s="1212">
        <f t="shared" si="912"/>
        <v>0</v>
      </c>
      <c r="K443" s="1212">
        <f t="shared" si="912"/>
        <v>0</v>
      </c>
      <c r="L443" s="1110">
        <f t="shared" si="912"/>
        <v>0</v>
      </c>
      <c r="M443" s="1110">
        <f t="shared" si="912"/>
        <v>0</v>
      </c>
      <c r="N443" s="1110">
        <f t="shared" si="912"/>
        <v>0</v>
      </c>
      <c r="O443" s="1110">
        <f t="shared" si="912"/>
        <v>0</v>
      </c>
      <c r="P443" s="1110">
        <f t="shared" si="912"/>
        <v>0</v>
      </c>
      <c r="Q443" s="1212">
        <f t="shared" si="912"/>
        <v>0</v>
      </c>
      <c r="R443" s="1212">
        <f t="shared" si="912"/>
        <v>0</v>
      </c>
      <c r="S443" s="1110">
        <f t="shared" si="912"/>
        <v>0</v>
      </c>
      <c r="T443" s="1110">
        <f t="shared" si="912"/>
        <v>0</v>
      </c>
      <c r="U443" s="1110">
        <f t="shared" si="912"/>
        <v>0</v>
      </c>
      <c r="V443" s="1110">
        <f t="shared" si="912"/>
        <v>0</v>
      </c>
      <c r="W443" s="1110">
        <f t="shared" si="912"/>
        <v>0</v>
      </c>
      <c r="X443" s="1212">
        <f t="shared" si="912"/>
        <v>0</v>
      </c>
      <c r="Y443" s="1212">
        <f t="shared" si="912"/>
        <v>0</v>
      </c>
      <c r="Z443" s="1110">
        <f t="shared" si="912"/>
        <v>0</v>
      </c>
      <c r="AA443" s="1110">
        <f t="shared" si="912"/>
        <v>0</v>
      </c>
      <c r="AB443" s="1110">
        <f t="shared" si="912"/>
        <v>0</v>
      </c>
      <c r="AC443" s="1110">
        <f t="shared" si="912"/>
        <v>0</v>
      </c>
      <c r="AD443" s="1110">
        <f t="shared" si="912"/>
        <v>0</v>
      </c>
      <c r="AE443" s="1212">
        <f t="shared" si="912"/>
        <v>0</v>
      </c>
      <c r="AF443" s="1212">
        <f t="shared" si="912"/>
        <v>0</v>
      </c>
      <c r="AG443" s="1110">
        <f t="shared" si="912"/>
        <v>0</v>
      </c>
      <c r="AH443" s="1110">
        <f t="shared" si="912"/>
        <v>0</v>
      </c>
      <c r="AI443" s="1340">
        <f t="shared" si="912"/>
        <v>0</v>
      </c>
      <c r="AJ443" s="96"/>
      <c r="AK443" s="96"/>
      <c r="AL443" s="97"/>
      <c r="AM443" s="1071">
        <f t="shared" si="802"/>
        <v>0</v>
      </c>
      <c r="AN443" s="98"/>
      <c r="AO443" s="625"/>
      <c r="AP443" s="23"/>
      <c r="AQ443" s="23"/>
      <c r="AR443" s="23"/>
      <c r="AS443" s="23"/>
      <c r="AT443" s="23"/>
      <c r="AU443" s="23"/>
      <c r="AV443" s="23"/>
    </row>
    <row r="444" spans="1:48" ht="25.15" hidden="1" customHeight="1" thickTop="1">
      <c r="A444" s="99"/>
      <c r="B444" s="26" t="s">
        <v>165</v>
      </c>
      <c r="C444" s="27"/>
      <c r="D444" s="28" t="s">
        <v>82</v>
      </c>
      <c r="E444" s="1111"/>
      <c r="F444" s="1111"/>
      <c r="G444" s="1201"/>
      <c r="H444" s="1111"/>
      <c r="I444" s="1111"/>
      <c r="J444" s="1201"/>
      <c r="K444" s="1201"/>
      <c r="L444" s="1111"/>
      <c r="M444" s="1111"/>
      <c r="N444" s="1111"/>
      <c r="O444" s="1111"/>
      <c r="P444" s="1111"/>
      <c r="Q444" s="1201"/>
      <c r="R444" s="1201"/>
      <c r="S444" s="1111"/>
      <c r="T444" s="1111"/>
      <c r="U444" s="1111"/>
      <c r="V444" s="1111"/>
      <c r="W444" s="1111"/>
      <c r="X444" s="1201"/>
      <c r="Y444" s="1201"/>
      <c r="Z444" s="1111"/>
      <c r="AA444" s="1089"/>
      <c r="AB444" s="1111"/>
      <c r="AC444" s="1111"/>
      <c r="AD444" s="1111"/>
      <c r="AE444" s="1201"/>
      <c r="AF444" s="1201"/>
      <c r="AG444" s="1111"/>
      <c r="AH444" s="1111"/>
      <c r="AI444" s="1412"/>
      <c r="AJ444" s="100">
        <f>SUM(Table75[[#This Row],[June''2026]:[Column27]])</f>
        <v>0</v>
      </c>
      <c r="AK444" s="100">
        <f t="shared" si="835"/>
        <v>0</v>
      </c>
      <c r="AL444" s="101">
        <f>+AJ444*AN444</f>
        <v>0</v>
      </c>
      <c r="AM444" s="1072">
        <f t="shared" si="802"/>
        <v>0</v>
      </c>
      <c r="AN444" s="102"/>
      <c r="AO444" s="622" t="e">
        <f>Table5[[#This Row],[Total]]*B448/1000</f>
        <v>#VALUE!</v>
      </c>
      <c r="AP444" s="32" t="s">
        <v>166</v>
      </c>
      <c r="AQ444" s="33" t="s">
        <v>84</v>
      </c>
      <c r="AR444" s="33" t="s">
        <v>85</v>
      </c>
      <c r="AS444" s="33" t="s">
        <v>86</v>
      </c>
      <c r="AT444" s="33" t="s">
        <v>87</v>
      </c>
      <c r="AU444" s="33" t="s">
        <v>88</v>
      </c>
      <c r="AV444" s="34" t="s">
        <v>68</v>
      </c>
    </row>
    <row r="445" spans="1:48" ht="25.15" hidden="1" customHeight="1">
      <c r="A445" s="103"/>
      <c r="B445" s="35" t="s">
        <v>137</v>
      </c>
      <c r="C445" s="36"/>
      <c r="D445" s="37" t="s">
        <v>90</v>
      </c>
      <c r="E445" s="1373">
        <f>IF(E444="",0,+ E444/E451)</f>
        <v>0</v>
      </c>
      <c r="F445" s="1096">
        <f t="shared" ref="F445:AI445" si="913">IF(F444="",0, E445+F444/F451)</f>
        <v>0</v>
      </c>
      <c r="G445" s="1207">
        <f t="shared" si="913"/>
        <v>0</v>
      </c>
      <c r="H445" s="1096">
        <f t="shared" si="913"/>
        <v>0</v>
      </c>
      <c r="I445" s="1096">
        <f t="shared" si="913"/>
        <v>0</v>
      </c>
      <c r="J445" s="1207">
        <f t="shared" si="913"/>
        <v>0</v>
      </c>
      <c r="K445" s="1207">
        <f t="shared" si="913"/>
        <v>0</v>
      </c>
      <c r="L445" s="1096">
        <f t="shared" si="913"/>
        <v>0</v>
      </c>
      <c r="M445" s="1096">
        <f t="shared" si="913"/>
        <v>0</v>
      </c>
      <c r="N445" s="1096">
        <f t="shared" si="913"/>
        <v>0</v>
      </c>
      <c r="O445" s="1096">
        <f t="shared" si="913"/>
        <v>0</v>
      </c>
      <c r="P445" s="1096">
        <f t="shared" si="913"/>
        <v>0</v>
      </c>
      <c r="Q445" s="1207">
        <f t="shared" si="913"/>
        <v>0</v>
      </c>
      <c r="R445" s="1207">
        <f t="shared" si="913"/>
        <v>0</v>
      </c>
      <c r="S445" s="1096">
        <f t="shared" si="913"/>
        <v>0</v>
      </c>
      <c r="T445" s="1096">
        <f t="shared" si="913"/>
        <v>0</v>
      </c>
      <c r="U445" s="1096">
        <f t="shared" si="913"/>
        <v>0</v>
      </c>
      <c r="V445" s="1096">
        <f t="shared" si="913"/>
        <v>0</v>
      </c>
      <c r="W445" s="1096">
        <f t="shared" si="913"/>
        <v>0</v>
      </c>
      <c r="X445" s="1207">
        <f t="shared" si="913"/>
        <v>0</v>
      </c>
      <c r="Y445" s="1207">
        <f t="shared" si="913"/>
        <v>0</v>
      </c>
      <c r="Z445" s="1096">
        <f t="shared" si="913"/>
        <v>0</v>
      </c>
      <c r="AA445" s="1089"/>
      <c r="AB445" s="1096">
        <f t="shared" si="913"/>
        <v>0</v>
      </c>
      <c r="AC445" s="1096">
        <f t="shared" si="913"/>
        <v>0</v>
      </c>
      <c r="AD445" s="1096">
        <f t="shared" si="913"/>
        <v>0</v>
      </c>
      <c r="AE445" s="1207">
        <f t="shared" si="913"/>
        <v>0</v>
      </c>
      <c r="AF445" s="1207">
        <f t="shared" si="913"/>
        <v>0</v>
      </c>
      <c r="AG445" s="1096">
        <f t="shared" si="913"/>
        <v>0</v>
      </c>
      <c r="AH445" s="1096">
        <f t="shared" si="913"/>
        <v>0</v>
      </c>
      <c r="AI445" s="1324">
        <f t="shared" si="913"/>
        <v>0</v>
      </c>
      <c r="AJ445" s="38"/>
      <c r="AK445" s="29"/>
      <c r="AL445" s="30"/>
      <c r="AM445" s="694">
        <f t="shared" si="802"/>
        <v>0</v>
      </c>
      <c r="AN445" s="31"/>
      <c r="AO445" s="630"/>
      <c r="AP445" s="39" t="s">
        <v>91</v>
      </c>
      <c r="AQ445" s="40">
        <f>SUM(E444:I444)</f>
        <v>0</v>
      </c>
      <c r="AR445" s="41">
        <f>SUM(J444:P444)</f>
        <v>0</v>
      </c>
      <c r="AS445" s="41">
        <f>SUM(Q444:W444)</f>
        <v>0</v>
      </c>
      <c r="AT445" s="41">
        <f>SUM(X444:AD444)</f>
        <v>0</v>
      </c>
      <c r="AU445" s="41">
        <f>SUM(AE444:AI444)</f>
        <v>0</v>
      </c>
      <c r="AV445" s="34">
        <f t="shared" ref="AV445:AV450" si="914">SUM(AQ445:AU445)</f>
        <v>0</v>
      </c>
    </row>
    <row r="446" spans="1:48" ht="25.15" hidden="1" customHeight="1">
      <c r="A446" s="103"/>
      <c r="B446" s="26" t="s">
        <v>92</v>
      </c>
      <c r="C446" s="42"/>
      <c r="D446" s="43" t="s">
        <v>93</v>
      </c>
      <c r="E446" s="1325"/>
      <c r="F446" s="1089"/>
      <c r="G446" s="44"/>
      <c r="H446" s="1089"/>
      <c r="I446" s="1089"/>
      <c r="J446" s="44"/>
      <c r="K446" s="44"/>
      <c r="L446" s="1089"/>
      <c r="M446" s="1089"/>
      <c r="N446" s="1089"/>
      <c r="O446" s="1089"/>
      <c r="P446" s="1089"/>
      <c r="Q446" s="44"/>
      <c r="R446" s="44"/>
      <c r="S446" s="1089"/>
      <c r="T446" s="1089"/>
      <c r="U446" s="1089"/>
      <c r="V446" s="1089"/>
      <c r="W446" s="1089"/>
      <c r="X446" s="44"/>
      <c r="Y446" s="44"/>
      <c r="Z446" s="1089"/>
      <c r="AA446" s="1089"/>
      <c r="AB446" s="1089"/>
      <c r="AC446" s="1089"/>
      <c r="AD446" s="1089"/>
      <c r="AE446" s="44"/>
      <c r="AF446" s="44"/>
      <c r="AG446" s="1089"/>
      <c r="AH446" s="1089"/>
      <c r="AI446" s="1326"/>
      <c r="AJ446" s="45">
        <f>SUM(E446:AI446)</f>
        <v>0</v>
      </c>
      <c r="AK446" s="45"/>
      <c r="AL446" s="46">
        <f>+AJ446*AN444</f>
        <v>0</v>
      </c>
      <c r="AM446" s="1066">
        <f t="shared" si="802"/>
        <v>0</v>
      </c>
      <c r="AN446" s="31"/>
      <c r="AO446" s="632">
        <f>(AJ446+AJ448+AJ449+AJ450)*B448/1000</f>
        <v>0</v>
      </c>
      <c r="AP446" s="47" t="s">
        <v>94</v>
      </c>
      <c r="AQ446" s="48">
        <f>SUM(E446:I446)</f>
        <v>0</v>
      </c>
      <c r="AR446" s="49">
        <f>SUM(J446:P446)</f>
        <v>0</v>
      </c>
      <c r="AS446" s="49">
        <f>SUM(Q446:W446)</f>
        <v>0</v>
      </c>
      <c r="AT446" s="49">
        <f>SUM(X446:AD446)</f>
        <v>0</v>
      </c>
      <c r="AU446" s="49">
        <f>SUM(AE446:AI446)</f>
        <v>0</v>
      </c>
      <c r="AV446" s="50">
        <f t="shared" si="914"/>
        <v>0</v>
      </c>
    </row>
    <row r="447" spans="1:48" ht="25.15" hidden="1" customHeight="1">
      <c r="A447" s="103"/>
      <c r="B447" s="51"/>
      <c r="C447" s="52" t="s">
        <v>95</v>
      </c>
      <c r="D447" s="53" t="s">
        <v>96</v>
      </c>
      <c r="E447" s="1327">
        <f t="shared" ref="E447:AJ447" si="915">+E446-E444</f>
        <v>0</v>
      </c>
      <c r="F447" s="1097">
        <f t="shared" si="915"/>
        <v>0</v>
      </c>
      <c r="G447" s="1205">
        <f t="shared" si="915"/>
        <v>0</v>
      </c>
      <c r="H447" s="1097">
        <f t="shared" si="915"/>
        <v>0</v>
      </c>
      <c r="I447" s="1097">
        <f t="shared" si="915"/>
        <v>0</v>
      </c>
      <c r="J447" s="1205">
        <f t="shared" si="915"/>
        <v>0</v>
      </c>
      <c r="K447" s="1205">
        <f t="shared" si="915"/>
        <v>0</v>
      </c>
      <c r="L447" s="1097">
        <f t="shared" si="915"/>
        <v>0</v>
      </c>
      <c r="M447" s="1097">
        <f t="shared" si="915"/>
        <v>0</v>
      </c>
      <c r="N447" s="1097">
        <f t="shared" si="915"/>
        <v>0</v>
      </c>
      <c r="O447" s="1097">
        <f t="shared" si="915"/>
        <v>0</v>
      </c>
      <c r="P447" s="1097">
        <f t="shared" si="915"/>
        <v>0</v>
      </c>
      <c r="Q447" s="1205">
        <f t="shared" si="915"/>
        <v>0</v>
      </c>
      <c r="R447" s="1205">
        <f t="shared" si="915"/>
        <v>0</v>
      </c>
      <c r="S447" s="1097">
        <f t="shared" si="915"/>
        <v>0</v>
      </c>
      <c r="T447" s="1097">
        <f t="shared" si="915"/>
        <v>0</v>
      </c>
      <c r="U447" s="1097">
        <f t="shared" si="915"/>
        <v>0</v>
      </c>
      <c r="V447" s="1097">
        <f t="shared" si="915"/>
        <v>0</v>
      </c>
      <c r="W447" s="1097">
        <f t="shared" si="915"/>
        <v>0</v>
      </c>
      <c r="X447" s="1205">
        <f t="shared" si="915"/>
        <v>0</v>
      </c>
      <c r="Y447" s="1205">
        <f t="shared" si="915"/>
        <v>0</v>
      </c>
      <c r="Z447" s="1097">
        <f t="shared" si="915"/>
        <v>0</v>
      </c>
      <c r="AA447" s="1097">
        <f t="shared" ref="AA447" si="916">+AA446-AA444</f>
        <v>0</v>
      </c>
      <c r="AB447" s="1097">
        <f t="shared" si="915"/>
        <v>0</v>
      </c>
      <c r="AC447" s="1097">
        <f t="shared" si="915"/>
        <v>0</v>
      </c>
      <c r="AD447" s="1097">
        <f t="shared" si="915"/>
        <v>0</v>
      </c>
      <c r="AE447" s="1205">
        <f t="shared" si="915"/>
        <v>0</v>
      </c>
      <c r="AF447" s="1205">
        <f t="shared" si="915"/>
        <v>0</v>
      </c>
      <c r="AG447" s="1097">
        <f t="shared" si="915"/>
        <v>0</v>
      </c>
      <c r="AH447" s="1097">
        <f t="shared" si="915"/>
        <v>0</v>
      </c>
      <c r="AI447" s="1328">
        <f t="shared" si="915"/>
        <v>0</v>
      </c>
      <c r="AJ447" s="54">
        <f t="shared" si="915"/>
        <v>0</v>
      </c>
      <c r="AK447" s="54"/>
      <c r="AL447" s="55">
        <f>+AJ447*AN444</f>
        <v>0</v>
      </c>
      <c r="AM447" s="1067">
        <f t="shared" si="802"/>
        <v>0</v>
      </c>
      <c r="AN447" s="31" t="s">
        <v>97</v>
      </c>
      <c r="AO447" s="622"/>
      <c r="AP447" s="39" t="s">
        <v>98</v>
      </c>
      <c r="AQ447" s="56">
        <f>AQ446-AQ445</f>
        <v>0</v>
      </c>
      <c r="AR447" s="70">
        <f>AR446-AR445</f>
        <v>0</v>
      </c>
      <c r="AS447" s="70">
        <f>AS446-AS445</f>
        <v>0</v>
      </c>
      <c r="AT447" s="70">
        <f>AT446-AT445</f>
        <v>0</v>
      </c>
      <c r="AU447" s="70">
        <f>AU446-AU445</f>
        <v>0</v>
      </c>
      <c r="AV447" s="57">
        <f t="shared" si="914"/>
        <v>0</v>
      </c>
    </row>
    <row r="448" spans="1:48" ht="25.15" hidden="1" customHeight="1">
      <c r="A448" s="58"/>
      <c r="B448" s="59"/>
      <c r="C448" s="60" t="s">
        <v>100</v>
      </c>
      <c r="D448" s="61" t="s">
        <v>101</v>
      </c>
      <c r="E448" s="1329"/>
      <c r="F448" s="1099"/>
      <c r="G448" s="1208"/>
      <c r="H448" s="1099"/>
      <c r="I448" s="1099"/>
      <c r="J448" s="1208"/>
      <c r="K448" s="1208"/>
      <c r="L448" s="1099"/>
      <c r="M448" s="1099"/>
      <c r="N448" s="1099"/>
      <c r="O448" s="1099"/>
      <c r="P448" s="1099"/>
      <c r="Q448" s="1208"/>
      <c r="R448" s="1208"/>
      <c r="S448" s="1099"/>
      <c r="T448" s="1099"/>
      <c r="U448" s="1099"/>
      <c r="V448" s="1099"/>
      <c r="W448" s="1099"/>
      <c r="X448" s="1208"/>
      <c r="Y448" s="1208"/>
      <c r="Z448" s="1099"/>
      <c r="AA448" s="1099"/>
      <c r="AB448" s="1099"/>
      <c r="AC448" s="1099"/>
      <c r="AD448" s="1099"/>
      <c r="AE448" s="1208"/>
      <c r="AF448" s="1208"/>
      <c r="AG448" s="1099"/>
      <c r="AH448" s="1099"/>
      <c r="AI448" s="1330"/>
      <c r="AJ448" s="62">
        <f>SUM(E448:AI448)</f>
        <v>0</v>
      </c>
      <c r="AK448" s="62"/>
      <c r="AL448" s="63">
        <f>+AJ448*AN444</f>
        <v>0</v>
      </c>
      <c r="AM448" s="1068">
        <f t="shared" si="802"/>
        <v>0</v>
      </c>
      <c r="AN448" s="64" t="e">
        <f>+AJ448/AJ446*100</f>
        <v>#DIV/0!</v>
      </c>
      <c r="AO448" s="635" t="e">
        <f>AO446/AO444</f>
        <v>#VALUE!</v>
      </c>
      <c r="AP448" s="39" t="s">
        <v>102</v>
      </c>
      <c r="AQ448" s="56">
        <f>SUM(E448:I448)</f>
        <v>0</v>
      </c>
      <c r="AR448" s="70">
        <f>SUM(J448:P448)</f>
        <v>0</v>
      </c>
      <c r="AS448" s="70">
        <f>SUM(Q448:W448)</f>
        <v>0</v>
      </c>
      <c r="AT448" s="70">
        <f>SUM(X448:AD448)</f>
        <v>0</v>
      </c>
      <c r="AU448" s="70">
        <f>SUM(AE448:AI448)</f>
        <v>0</v>
      </c>
      <c r="AV448" s="57">
        <f t="shared" si="914"/>
        <v>0</v>
      </c>
    </row>
    <row r="449" spans="1:48" ht="25.15" hidden="1" customHeight="1">
      <c r="A449" s="58" t="s">
        <v>167</v>
      </c>
      <c r="B449" s="65"/>
      <c r="C449" s="66"/>
      <c r="D449" s="67" t="s">
        <v>103</v>
      </c>
      <c r="E449" s="1331"/>
      <c r="F449" s="1101"/>
      <c r="G449" s="1209"/>
      <c r="H449" s="1101"/>
      <c r="I449" s="1101"/>
      <c r="J449" s="1209"/>
      <c r="K449" s="1209"/>
      <c r="L449" s="1101"/>
      <c r="M449" s="1101"/>
      <c r="N449" s="1101"/>
      <c r="O449" s="1101"/>
      <c r="P449" s="1101"/>
      <c r="Q449" s="1209"/>
      <c r="R449" s="1209"/>
      <c r="S449" s="1101"/>
      <c r="T449" s="1101"/>
      <c r="U449" s="1101"/>
      <c r="V449" s="1101"/>
      <c r="W449" s="1101"/>
      <c r="X449" s="1209"/>
      <c r="Y449" s="1209"/>
      <c r="Z449" s="1101"/>
      <c r="AA449" s="1101"/>
      <c r="AB449" s="1101"/>
      <c r="AC449" s="1101"/>
      <c r="AD449" s="1101"/>
      <c r="AE449" s="1209"/>
      <c r="AF449" s="1209"/>
      <c r="AG449" s="1101"/>
      <c r="AH449" s="1101"/>
      <c r="AI449" s="1332"/>
      <c r="AJ449" s="68">
        <f>SUM(E449:AI449)</f>
        <v>0</v>
      </c>
      <c r="AK449" s="68"/>
      <c r="AL449" s="69">
        <f>+AJ449*AN444</f>
        <v>0</v>
      </c>
      <c r="AM449" s="1069">
        <f t="shared" si="802"/>
        <v>0</v>
      </c>
      <c r="AN449" s="31"/>
      <c r="AO449" s="622"/>
      <c r="AP449" s="39" t="s">
        <v>19</v>
      </c>
      <c r="AQ449" s="56">
        <f>AQ448*AN444</f>
        <v>0</v>
      </c>
      <c r="AR449" s="56">
        <f>AR448*AN444</f>
        <v>0</v>
      </c>
      <c r="AS449" s="56">
        <f>AS448*AN444</f>
        <v>0</v>
      </c>
      <c r="AT449" s="56">
        <f>AT448*AN444</f>
        <v>0</v>
      </c>
      <c r="AU449" s="56">
        <f>AU448*AN444</f>
        <v>0</v>
      </c>
      <c r="AV449" s="57">
        <f t="shared" si="914"/>
        <v>0</v>
      </c>
    </row>
    <row r="450" spans="1:48" ht="25.15" hidden="1" customHeight="1">
      <c r="A450" s="103"/>
      <c r="B450" s="65"/>
      <c r="C450" s="72" t="s">
        <v>104</v>
      </c>
      <c r="D450" s="73" t="s">
        <v>105</v>
      </c>
      <c r="E450" s="1378"/>
      <c r="F450" s="1103"/>
      <c r="G450" s="1210"/>
      <c r="H450" s="1103"/>
      <c r="I450" s="1103"/>
      <c r="J450" s="1210"/>
      <c r="K450" s="1210"/>
      <c r="L450" s="1103"/>
      <c r="M450" s="1103"/>
      <c r="N450" s="1103"/>
      <c r="O450" s="1103"/>
      <c r="P450" s="1103"/>
      <c r="Q450" s="1210"/>
      <c r="R450" s="1210"/>
      <c r="S450" s="1103"/>
      <c r="T450" s="1103"/>
      <c r="U450" s="1103"/>
      <c r="V450" s="1103"/>
      <c r="W450" s="1103"/>
      <c r="X450" s="1210"/>
      <c r="Y450" s="1210"/>
      <c r="Z450" s="1103"/>
      <c r="AA450" s="1103"/>
      <c r="AB450" s="1103"/>
      <c r="AC450" s="1103"/>
      <c r="AD450" s="1103"/>
      <c r="AE450" s="1210"/>
      <c r="AF450" s="1210"/>
      <c r="AG450" s="1103"/>
      <c r="AH450" s="1103"/>
      <c r="AI450" s="1352"/>
      <c r="AJ450" s="74">
        <f>SUM(E450:AI450)</f>
        <v>0</v>
      </c>
      <c r="AK450" s="74"/>
      <c r="AL450" s="75">
        <f>+AJ450*AN444</f>
        <v>0</v>
      </c>
      <c r="AM450" s="1070">
        <f t="shared" si="802"/>
        <v>0</v>
      </c>
      <c r="AN450" s="76"/>
      <c r="AO450" s="636"/>
      <c r="AP450" s="47" t="s">
        <v>106</v>
      </c>
      <c r="AQ450" s="48">
        <f>AQ446*AN444</f>
        <v>0</v>
      </c>
      <c r="AR450" s="48">
        <f>AR446*AN444</f>
        <v>0</v>
      </c>
      <c r="AS450" s="48">
        <f>AS446*AN444</f>
        <v>0</v>
      </c>
      <c r="AT450" s="48">
        <f>AT446*AN444</f>
        <v>0</v>
      </c>
      <c r="AU450" s="48">
        <f>AU446*AN444</f>
        <v>0</v>
      </c>
      <c r="AV450" s="50">
        <f t="shared" si="914"/>
        <v>0</v>
      </c>
    </row>
    <row r="451" spans="1:48" ht="25.15" hidden="1" customHeight="1">
      <c r="A451" s="103"/>
      <c r="B451" s="65"/>
      <c r="C451" s="77">
        <v>300000</v>
      </c>
      <c r="D451" s="78" t="s">
        <v>107</v>
      </c>
      <c r="E451" s="1327">
        <v>1</v>
      </c>
      <c r="F451" s="1097">
        <v>1</v>
      </c>
      <c r="G451" s="1205">
        <v>1</v>
      </c>
      <c r="H451" s="1097">
        <v>1</v>
      </c>
      <c r="I451" s="1097">
        <v>1</v>
      </c>
      <c r="J451" s="1205">
        <v>1</v>
      </c>
      <c r="K451" s="1205">
        <v>1</v>
      </c>
      <c r="L451" s="1097">
        <v>1</v>
      </c>
      <c r="M451" s="1097">
        <v>1</v>
      </c>
      <c r="N451" s="1097">
        <v>1</v>
      </c>
      <c r="O451" s="1097">
        <v>1</v>
      </c>
      <c r="P451" s="1097">
        <v>1</v>
      </c>
      <c r="Q451" s="1205">
        <v>1</v>
      </c>
      <c r="R451" s="1205">
        <v>1</v>
      </c>
      <c r="S451" s="1097">
        <v>1</v>
      </c>
      <c r="T451" s="1097">
        <v>1</v>
      </c>
      <c r="U451" s="1097">
        <v>1</v>
      </c>
      <c r="V451" s="1097">
        <v>1</v>
      </c>
      <c r="W451" s="1097">
        <v>1</v>
      </c>
      <c r="X451" s="1205">
        <v>1</v>
      </c>
      <c r="Y451" s="1205">
        <v>1</v>
      </c>
      <c r="Z451" s="1097">
        <v>1</v>
      </c>
      <c r="AA451" s="1097">
        <v>1</v>
      </c>
      <c r="AB451" s="1097">
        <v>1</v>
      </c>
      <c r="AC451" s="1097">
        <v>1</v>
      </c>
      <c r="AD451" s="1097">
        <v>1</v>
      </c>
      <c r="AE451" s="1205">
        <v>1</v>
      </c>
      <c r="AF451" s="1205">
        <v>1</v>
      </c>
      <c r="AG451" s="1097">
        <v>1</v>
      </c>
      <c r="AH451" s="1097">
        <v>1</v>
      </c>
      <c r="AI451" s="1328">
        <v>1</v>
      </c>
      <c r="AJ451" s="79"/>
      <c r="AK451" s="79"/>
      <c r="AL451" s="55"/>
      <c r="AM451" s="1067">
        <f t="shared" si="802"/>
        <v>0</v>
      </c>
      <c r="AN451" s="31"/>
      <c r="AO451" s="622"/>
      <c r="AP451" s="23"/>
      <c r="AQ451" s="23"/>
      <c r="AR451" s="23"/>
      <c r="AS451" s="23"/>
      <c r="AT451" s="23"/>
      <c r="AU451" s="23"/>
      <c r="AV451" s="23"/>
    </row>
    <row r="452" spans="1:48" ht="25.15" hidden="1" customHeight="1">
      <c r="A452" s="103"/>
      <c r="B452" s="65"/>
      <c r="C452" s="80" t="s">
        <v>108</v>
      </c>
      <c r="D452" s="81" t="s">
        <v>109</v>
      </c>
      <c r="E452" s="1374">
        <f>SUM(E446+E448+E449+E450)/E451</f>
        <v>0</v>
      </c>
      <c r="F452" s="1104">
        <f>SUM(F446+F448+F449+F450)/F451</f>
        <v>0</v>
      </c>
      <c r="G452" s="1211">
        <f>SUM(G446+G448+G449+G450)/G451</f>
        <v>0</v>
      </c>
      <c r="H452" s="1104">
        <f t="shared" ref="H452:AH452" si="917">SUM(H446+H448+H449+H450)/H451</f>
        <v>0</v>
      </c>
      <c r="I452" s="1104">
        <f t="shared" si="917"/>
        <v>0</v>
      </c>
      <c r="J452" s="1211">
        <f t="shared" si="917"/>
        <v>0</v>
      </c>
      <c r="K452" s="1211">
        <f t="shared" si="917"/>
        <v>0</v>
      </c>
      <c r="L452" s="1104">
        <f t="shared" si="917"/>
        <v>0</v>
      </c>
      <c r="M452" s="1104">
        <f t="shared" si="917"/>
        <v>0</v>
      </c>
      <c r="N452" s="1104">
        <f t="shared" si="917"/>
        <v>0</v>
      </c>
      <c r="O452" s="1104">
        <f t="shared" si="917"/>
        <v>0</v>
      </c>
      <c r="P452" s="1104">
        <f t="shared" si="917"/>
        <v>0</v>
      </c>
      <c r="Q452" s="1211">
        <f t="shared" si="917"/>
        <v>0</v>
      </c>
      <c r="R452" s="1211">
        <f t="shared" si="917"/>
        <v>0</v>
      </c>
      <c r="S452" s="1104">
        <f t="shared" si="917"/>
        <v>0</v>
      </c>
      <c r="T452" s="1104">
        <f t="shared" si="917"/>
        <v>0</v>
      </c>
      <c r="U452" s="1104">
        <f t="shared" si="917"/>
        <v>0</v>
      </c>
      <c r="V452" s="1104">
        <f t="shared" si="917"/>
        <v>0</v>
      </c>
      <c r="W452" s="1104">
        <f t="shared" si="917"/>
        <v>0</v>
      </c>
      <c r="X452" s="1211">
        <f t="shared" si="917"/>
        <v>0</v>
      </c>
      <c r="Y452" s="1211">
        <f t="shared" si="917"/>
        <v>0</v>
      </c>
      <c r="Z452" s="1104">
        <f t="shared" si="917"/>
        <v>0</v>
      </c>
      <c r="AA452" s="1104">
        <f t="shared" ref="AA452" si="918">SUM(AA446+AA448+AA449+AA450)/AA451</f>
        <v>0</v>
      </c>
      <c r="AB452" s="1104">
        <f t="shared" si="917"/>
        <v>0</v>
      </c>
      <c r="AC452" s="1104">
        <f t="shared" si="917"/>
        <v>0</v>
      </c>
      <c r="AD452" s="1104">
        <f t="shared" si="917"/>
        <v>0</v>
      </c>
      <c r="AE452" s="1211">
        <f t="shared" si="917"/>
        <v>0</v>
      </c>
      <c r="AF452" s="1211">
        <f t="shared" si="917"/>
        <v>0</v>
      </c>
      <c r="AG452" s="1104">
        <f t="shared" si="917"/>
        <v>0</v>
      </c>
      <c r="AH452" s="1104">
        <f t="shared" si="917"/>
        <v>0</v>
      </c>
      <c r="AI452" s="1335">
        <f>SUM(AI446+AI448+AI449)/AI451</f>
        <v>0</v>
      </c>
      <c r="AJ452" s="104">
        <f>SUM(E452:AI452)</f>
        <v>0</v>
      </c>
      <c r="AK452" s="104"/>
      <c r="AL452" s="83"/>
      <c r="AM452" s="1068">
        <f t="shared" si="802"/>
        <v>0</v>
      </c>
      <c r="AN452" s="31"/>
      <c r="AO452" s="622"/>
      <c r="AP452" s="23"/>
      <c r="AQ452" s="23"/>
      <c r="AR452" s="23"/>
      <c r="AS452" s="23"/>
      <c r="AT452" s="23"/>
      <c r="AU452" s="23"/>
      <c r="AV452" s="23"/>
    </row>
    <row r="453" spans="1:48" ht="25.15" hidden="1" customHeight="1">
      <c r="A453" s="103"/>
      <c r="B453" s="59"/>
      <c r="C453" s="84">
        <f>+C451*0.8</f>
        <v>240000</v>
      </c>
      <c r="D453" s="85" t="s">
        <v>110</v>
      </c>
      <c r="E453" s="1105"/>
      <c r="F453" s="1106"/>
      <c r="G453" s="1211"/>
      <c r="H453" s="1104"/>
      <c r="I453" s="1104"/>
      <c r="J453" s="1211"/>
      <c r="K453" s="1211"/>
      <c r="L453" s="1104"/>
      <c r="M453" s="1104"/>
      <c r="N453" s="1104"/>
      <c r="O453" s="1107"/>
      <c r="P453" s="1104"/>
      <c r="Q453" s="1211"/>
      <c r="R453" s="1211"/>
      <c r="S453" s="1104"/>
      <c r="T453" s="1104"/>
      <c r="U453" s="1104"/>
      <c r="V453" s="1104"/>
      <c r="W453" s="1104"/>
      <c r="X453" s="1211"/>
      <c r="Y453" s="1211"/>
      <c r="Z453" s="1104"/>
      <c r="AA453" s="1104"/>
      <c r="AB453" s="1104"/>
      <c r="AC453" s="1104"/>
      <c r="AD453" s="1104"/>
      <c r="AE453" s="1211"/>
      <c r="AF453" s="1211"/>
      <c r="AG453" s="1104"/>
      <c r="AH453" s="1104"/>
      <c r="AI453" s="1353"/>
      <c r="AJ453" s="86"/>
      <c r="AK453" s="86"/>
      <c r="AL453" s="690"/>
      <c r="AM453" s="694">
        <f t="shared" si="802"/>
        <v>0</v>
      </c>
      <c r="AN453" s="31"/>
      <c r="AO453" s="622"/>
      <c r="AP453" s="23"/>
      <c r="AQ453" s="23"/>
      <c r="AR453" s="23"/>
      <c r="AS453" s="23"/>
      <c r="AT453" s="23"/>
      <c r="AU453" s="23"/>
      <c r="AV453" s="23"/>
    </row>
    <row r="454" spans="1:48" ht="25.15" hidden="1" customHeight="1">
      <c r="A454" s="103"/>
      <c r="B454" s="105"/>
      <c r="C454" s="77"/>
      <c r="D454" s="88" t="s">
        <v>111</v>
      </c>
      <c r="E454" s="1108">
        <f>IF(E453="O/H",E452,0+E452)</f>
        <v>0</v>
      </c>
      <c r="F454" s="1089">
        <f t="shared" ref="F454:AI454" si="919">IF(F453="O/H",F452,+E454+F452)</f>
        <v>0</v>
      </c>
      <c r="G454" s="44">
        <f t="shared" si="919"/>
        <v>0</v>
      </c>
      <c r="H454" s="1089">
        <f t="shared" si="919"/>
        <v>0</v>
      </c>
      <c r="I454" s="1089">
        <f t="shared" si="919"/>
        <v>0</v>
      </c>
      <c r="J454" s="44">
        <f t="shared" si="919"/>
        <v>0</v>
      </c>
      <c r="K454" s="44">
        <f t="shared" si="919"/>
        <v>0</v>
      </c>
      <c r="L454" s="1089">
        <f t="shared" si="919"/>
        <v>0</v>
      </c>
      <c r="M454" s="1089">
        <f t="shared" si="919"/>
        <v>0</v>
      </c>
      <c r="N454" s="1089">
        <f t="shared" si="919"/>
        <v>0</v>
      </c>
      <c r="O454" s="1089">
        <f t="shared" si="919"/>
        <v>0</v>
      </c>
      <c r="P454" s="1089">
        <f t="shared" si="919"/>
        <v>0</v>
      </c>
      <c r="Q454" s="44">
        <f t="shared" si="919"/>
        <v>0</v>
      </c>
      <c r="R454" s="44">
        <f t="shared" si="919"/>
        <v>0</v>
      </c>
      <c r="S454" s="1089">
        <f t="shared" si="919"/>
        <v>0</v>
      </c>
      <c r="T454" s="1089">
        <f t="shared" si="919"/>
        <v>0</v>
      </c>
      <c r="U454" s="1089">
        <f t="shared" si="919"/>
        <v>0</v>
      </c>
      <c r="V454" s="1089">
        <f t="shared" si="919"/>
        <v>0</v>
      </c>
      <c r="W454" s="1089">
        <f t="shared" si="919"/>
        <v>0</v>
      </c>
      <c r="X454" s="44">
        <f t="shared" si="919"/>
        <v>0</v>
      </c>
      <c r="Y454" s="44">
        <f t="shared" si="919"/>
        <v>0</v>
      </c>
      <c r="Z454" s="1089">
        <f t="shared" si="919"/>
        <v>0</v>
      </c>
      <c r="AA454" s="1089">
        <f t="shared" si="919"/>
        <v>0</v>
      </c>
      <c r="AB454" s="1089">
        <f t="shared" si="919"/>
        <v>0</v>
      </c>
      <c r="AC454" s="1089">
        <f t="shared" si="919"/>
        <v>0</v>
      </c>
      <c r="AD454" s="1089">
        <f t="shared" si="919"/>
        <v>0</v>
      </c>
      <c r="AE454" s="44">
        <f t="shared" si="919"/>
        <v>0</v>
      </c>
      <c r="AF454" s="44">
        <f t="shared" si="919"/>
        <v>0</v>
      </c>
      <c r="AG454" s="1089">
        <f t="shared" si="919"/>
        <v>0</v>
      </c>
      <c r="AH454" s="1089">
        <f t="shared" si="919"/>
        <v>0</v>
      </c>
      <c r="AI454" s="1326">
        <f t="shared" si="919"/>
        <v>0</v>
      </c>
      <c r="AJ454" s="79"/>
      <c r="AK454" s="86"/>
      <c r="AL454" s="689"/>
      <c r="AM454" s="694">
        <f t="shared" si="802"/>
        <v>0</v>
      </c>
      <c r="AN454" s="31"/>
      <c r="AO454" s="622"/>
      <c r="AP454" s="23"/>
      <c r="AQ454" s="23"/>
      <c r="AR454" s="23"/>
      <c r="AS454" s="23"/>
      <c r="AT454" s="23"/>
      <c r="AU454" s="23"/>
      <c r="AV454" s="23"/>
    </row>
    <row r="455" spans="1:48" ht="25.15" hidden="1" customHeight="1">
      <c r="A455" s="103"/>
      <c r="B455" s="89"/>
      <c r="C455" s="80"/>
      <c r="D455" s="90" t="s">
        <v>104</v>
      </c>
      <c r="E455" s="1108"/>
      <c r="F455" s="1089"/>
      <c r="G455" s="44"/>
      <c r="H455" s="1089"/>
      <c r="I455" s="1089"/>
      <c r="J455" s="44"/>
      <c r="K455" s="44"/>
      <c r="L455" s="1089"/>
      <c r="M455" s="1089"/>
      <c r="N455" s="1089"/>
      <c r="O455" s="1089"/>
      <c r="P455" s="1089"/>
      <c r="Q455" s="44"/>
      <c r="R455" s="44"/>
      <c r="S455" s="1089"/>
      <c r="T455" s="1089"/>
      <c r="U455" s="1089"/>
      <c r="V455" s="1089"/>
      <c r="W455" s="1089"/>
      <c r="X455" s="44"/>
      <c r="Y455" s="44"/>
      <c r="Z455" s="1089"/>
      <c r="AA455" s="1089"/>
      <c r="AB455" s="1089"/>
      <c r="AC455" s="1089"/>
      <c r="AD455" s="1089"/>
      <c r="AE455" s="44"/>
      <c r="AF455" s="44"/>
      <c r="AG455" s="1089"/>
      <c r="AH455" s="1089"/>
      <c r="AI455" s="1326"/>
      <c r="AJ455" s="79"/>
      <c r="AK455" s="79"/>
      <c r="AL455" s="63"/>
      <c r="AM455" s="1068">
        <f t="shared" ref="AM455:AM518" si="920">AL457</f>
        <v>0</v>
      </c>
      <c r="AN455" s="64"/>
      <c r="AO455" s="624"/>
      <c r="AP455" s="23"/>
      <c r="AQ455" s="23"/>
      <c r="AR455" s="23"/>
      <c r="AS455" s="23"/>
      <c r="AT455" s="23"/>
      <c r="AU455" s="23"/>
      <c r="AV455" s="23"/>
    </row>
    <row r="456" spans="1:48" ht="25.15" hidden="1" customHeight="1" thickBot="1">
      <c r="A456" s="106"/>
      <c r="B456" s="93"/>
      <c r="C456" s="94"/>
      <c r="D456" s="95" t="s">
        <v>111</v>
      </c>
      <c r="E456" s="1109">
        <f>IF(E455="O/H",E452,0+E452)</f>
        <v>0</v>
      </c>
      <c r="F456" s="1110">
        <f t="shared" ref="F456:AI456" si="921">IF(F455="O/H",F452,+E456+F452)</f>
        <v>0</v>
      </c>
      <c r="G456" s="1212">
        <f t="shared" si="921"/>
        <v>0</v>
      </c>
      <c r="H456" s="1110">
        <f t="shared" si="921"/>
        <v>0</v>
      </c>
      <c r="I456" s="1110">
        <f t="shared" si="921"/>
        <v>0</v>
      </c>
      <c r="J456" s="1212">
        <f t="shared" si="921"/>
        <v>0</v>
      </c>
      <c r="K456" s="1212">
        <f t="shared" si="921"/>
        <v>0</v>
      </c>
      <c r="L456" s="1110">
        <f t="shared" si="921"/>
        <v>0</v>
      </c>
      <c r="M456" s="1110">
        <f t="shared" si="921"/>
        <v>0</v>
      </c>
      <c r="N456" s="1110">
        <f t="shared" si="921"/>
        <v>0</v>
      </c>
      <c r="O456" s="1110">
        <f t="shared" si="921"/>
        <v>0</v>
      </c>
      <c r="P456" s="1110">
        <f t="shared" si="921"/>
        <v>0</v>
      </c>
      <c r="Q456" s="1212">
        <f t="shared" si="921"/>
        <v>0</v>
      </c>
      <c r="R456" s="1212">
        <f t="shared" si="921"/>
        <v>0</v>
      </c>
      <c r="S456" s="1110">
        <f t="shared" si="921"/>
        <v>0</v>
      </c>
      <c r="T456" s="1110">
        <f t="shared" si="921"/>
        <v>0</v>
      </c>
      <c r="U456" s="1110">
        <f t="shared" si="921"/>
        <v>0</v>
      </c>
      <c r="V456" s="1110">
        <f t="shared" si="921"/>
        <v>0</v>
      </c>
      <c r="W456" s="1110">
        <f t="shared" si="921"/>
        <v>0</v>
      </c>
      <c r="X456" s="1212">
        <f t="shared" si="921"/>
        <v>0</v>
      </c>
      <c r="Y456" s="1212">
        <f t="shared" si="921"/>
        <v>0</v>
      </c>
      <c r="Z456" s="1110">
        <f t="shared" si="921"/>
        <v>0</v>
      </c>
      <c r="AA456" s="1110">
        <f t="shared" si="921"/>
        <v>0</v>
      </c>
      <c r="AB456" s="1110">
        <f t="shared" si="921"/>
        <v>0</v>
      </c>
      <c r="AC456" s="1110">
        <f t="shared" si="921"/>
        <v>0</v>
      </c>
      <c r="AD456" s="1110">
        <f t="shared" si="921"/>
        <v>0</v>
      </c>
      <c r="AE456" s="1212">
        <f t="shared" si="921"/>
        <v>0</v>
      </c>
      <c r="AF456" s="1212">
        <f t="shared" si="921"/>
        <v>0</v>
      </c>
      <c r="AG456" s="1110">
        <f t="shared" si="921"/>
        <v>0</v>
      </c>
      <c r="AH456" s="1110">
        <f t="shared" si="921"/>
        <v>0</v>
      </c>
      <c r="AI456" s="1340">
        <f t="shared" si="921"/>
        <v>0</v>
      </c>
      <c r="AJ456" s="96"/>
      <c r="AK456" s="96"/>
      <c r="AL456" s="97"/>
      <c r="AM456" s="1071">
        <f t="shared" si="920"/>
        <v>0</v>
      </c>
      <c r="AN456" s="98"/>
      <c r="AO456" s="625"/>
      <c r="AP456" s="23"/>
      <c r="AQ456" s="23"/>
      <c r="AR456" s="23"/>
      <c r="AS456" s="23"/>
      <c r="AT456" s="23"/>
      <c r="AU456" s="23"/>
      <c r="AV456" s="23"/>
    </row>
    <row r="457" spans="1:48" ht="25.15" hidden="1" customHeight="1" thickTop="1">
      <c r="A457" s="99"/>
      <c r="B457" s="26" t="s">
        <v>168</v>
      </c>
      <c r="C457" s="27"/>
      <c r="D457" s="28" t="s">
        <v>82</v>
      </c>
      <c r="E457" s="1111"/>
      <c r="F457" s="1111"/>
      <c r="G457" s="1201"/>
      <c r="H457" s="1111"/>
      <c r="I457" s="1111"/>
      <c r="J457" s="1201"/>
      <c r="K457" s="1201"/>
      <c r="L457" s="1111"/>
      <c r="M457" s="1111"/>
      <c r="N457" s="1111"/>
      <c r="O457" s="1111"/>
      <c r="P457" s="1111"/>
      <c r="Q457" s="1201"/>
      <c r="R457" s="1201"/>
      <c r="S457" s="1111"/>
      <c r="T457" s="1111"/>
      <c r="U457" s="1111"/>
      <c r="V457" s="1111"/>
      <c r="W457" s="1111"/>
      <c r="X457" s="1201"/>
      <c r="Y457" s="1201"/>
      <c r="Z457" s="1111"/>
      <c r="AA457" s="1089"/>
      <c r="AB457" s="1111"/>
      <c r="AC457" s="1111"/>
      <c r="AD457" s="1111"/>
      <c r="AE457" s="1201"/>
      <c r="AF457" s="1201"/>
      <c r="AG457" s="1111"/>
      <c r="AH457" s="1111"/>
      <c r="AI457" s="1412"/>
      <c r="AJ457" s="100">
        <f>SUM(Table75[[#This Row],[June''2026]:[Column27]])</f>
        <v>0</v>
      </c>
      <c r="AK457" s="100">
        <f t="shared" ref="AK457:AK511" si="922">AJ459</f>
        <v>0</v>
      </c>
      <c r="AL457" s="101">
        <f>+AJ457*AN457</f>
        <v>0</v>
      </c>
      <c r="AM457" s="1072">
        <f t="shared" si="920"/>
        <v>0</v>
      </c>
      <c r="AN457" s="102"/>
      <c r="AO457" s="622" t="e">
        <f>Table5[[#This Row],[Total]]*B461/1000</f>
        <v>#VALUE!</v>
      </c>
      <c r="AP457" s="32" t="s">
        <v>166</v>
      </c>
      <c r="AQ457" s="33" t="s">
        <v>84</v>
      </c>
      <c r="AR457" s="33" t="s">
        <v>85</v>
      </c>
      <c r="AS457" s="33" t="s">
        <v>86</v>
      </c>
      <c r="AT457" s="33" t="s">
        <v>87</v>
      </c>
      <c r="AU457" s="33" t="s">
        <v>88</v>
      </c>
      <c r="AV457" s="34" t="s">
        <v>68</v>
      </c>
    </row>
    <row r="458" spans="1:48" ht="25.15" hidden="1" customHeight="1">
      <c r="A458" s="103"/>
      <c r="B458" s="35" t="s">
        <v>130</v>
      </c>
      <c r="C458" s="36"/>
      <c r="D458" s="37" t="s">
        <v>90</v>
      </c>
      <c r="E458" s="1373">
        <f>IF(E457="",0,+ E457/E464)</f>
        <v>0</v>
      </c>
      <c r="F458" s="1096">
        <f t="shared" ref="F458:AI458" si="923">IF(F457="",0, E458+F457/F464)</f>
        <v>0</v>
      </c>
      <c r="G458" s="1207">
        <f t="shared" si="923"/>
        <v>0</v>
      </c>
      <c r="H458" s="1096">
        <f t="shared" si="923"/>
        <v>0</v>
      </c>
      <c r="I458" s="1096">
        <f t="shared" si="923"/>
        <v>0</v>
      </c>
      <c r="J458" s="1207">
        <f t="shared" si="923"/>
        <v>0</v>
      </c>
      <c r="K458" s="1207">
        <f t="shared" si="923"/>
        <v>0</v>
      </c>
      <c r="L458" s="1096">
        <f t="shared" si="923"/>
        <v>0</v>
      </c>
      <c r="M458" s="1096">
        <f t="shared" si="923"/>
        <v>0</v>
      </c>
      <c r="N458" s="1096">
        <f t="shared" si="923"/>
        <v>0</v>
      </c>
      <c r="O458" s="1096">
        <f t="shared" si="923"/>
        <v>0</v>
      </c>
      <c r="P458" s="1096">
        <f t="shared" si="923"/>
        <v>0</v>
      </c>
      <c r="Q458" s="1207">
        <f t="shared" si="923"/>
        <v>0</v>
      </c>
      <c r="R458" s="1207">
        <f t="shared" si="923"/>
        <v>0</v>
      </c>
      <c r="S458" s="1096">
        <f t="shared" si="923"/>
        <v>0</v>
      </c>
      <c r="T458" s="1096">
        <f t="shared" si="923"/>
        <v>0</v>
      </c>
      <c r="U458" s="1096">
        <f t="shared" si="923"/>
        <v>0</v>
      </c>
      <c r="V458" s="1096">
        <f t="shared" si="923"/>
        <v>0</v>
      </c>
      <c r="W458" s="1096">
        <f t="shared" si="923"/>
        <v>0</v>
      </c>
      <c r="X458" s="1207">
        <f t="shared" si="923"/>
        <v>0</v>
      </c>
      <c r="Y458" s="1207">
        <f t="shared" si="923"/>
        <v>0</v>
      </c>
      <c r="Z458" s="1096">
        <f t="shared" si="923"/>
        <v>0</v>
      </c>
      <c r="AA458" s="1089"/>
      <c r="AB458" s="1096">
        <f t="shared" si="923"/>
        <v>0</v>
      </c>
      <c r="AC458" s="1096">
        <f t="shared" si="923"/>
        <v>0</v>
      </c>
      <c r="AD458" s="1096">
        <f t="shared" si="923"/>
        <v>0</v>
      </c>
      <c r="AE458" s="1207">
        <f t="shared" si="923"/>
        <v>0</v>
      </c>
      <c r="AF458" s="1207">
        <f t="shared" si="923"/>
        <v>0</v>
      </c>
      <c r="AG458" s="1096">
        <f t="shared" si="923"/>
        <v>0</v>
      </c>
      <c r="AH458" s="1096">
        <f t="shared" si="923"/>
        <v>0</v>
      </c>
      <c r="AI458" s="1324">
        <f t="shared" si="923"/>
        <v>0</v>
      </c>
      <c r="AJ458" s="38"/>
      <c r="AK458" s="29"/>
      <c r="AL458" s="30"/>
      <c r="AM458" s="694">
        <f t="shared" si="920"/>
        <v>0</v>
      </c>
      <c r="AN458" s="31"/>
      <c r="AO458" s="630"/>
      <c r="AP458" s="39" t="s">
        <v>91</v>
      </c>
      <c r="AQ458" s="40">
        <f>SUM(E457:I457)</f>
        <v>0</v>
      </c>
      <c r="AR458" s="41">
        <f>SUM(J457:P457)</f>
        <v>0</v>
      </c>
      <c r="AS458" s="41">
        <f>SUM(Q457:W457)</f>
        <v>0</v>
      </c>
      <c r="AT458" s="41">
        <f>SUM(X457:AD457)</f>
        <v>0</v>
      </c>
      <c r="AU458" s="41">
        <f>SUM(AE457:AI457)</f>
        <v>0</v>
      </c>
      <c r="AV458" s="34">
        <f t="shared" ref="AV458:AV463" si="924">SUM(AQ458:AU458)</f>
        <v>0</v>
      </c>
    </row>
    <row r="459" spans="1:48" ht="25.15" hidden="1" customHeight="1">
      <c r="A459" s="103"/>
      <c r="B459" s="26" t="s">
        <v>92</v>
      </c>
      <c r="C459" s="42"/>
      <c r="D459" s="43" t="s">
        <v>93</v>
      </c>
      <c r="E459" s="1325"/>
      <c r="F459" s="1089"/>
      <c r="G459" s="44"/>
      <c r="H459" s="1089"/>
      <c r="I459" s="1089"/>
      <c r="J459" s="44"/>
      <c r="K459" s="44"/>
      <c r="L459" s="1089"/>
      <c r="M459" s="1089"/>
      <c r="N459" s="1089"/>
      <c r="O459" s="1089"/>
      <c r="P459" s="1089"/>
      <c r="Q459" s="44"/>
      <c r="R459" s="44"/>
      <c r="S459" s="1089"/>
      <c r="T459" s="1089"/>
      <c r="U459" s="1089"/>
      <c r="V459" s="1089"/>
      <c r="W459" s="1089"/>
      <c r="X459" s="44"/>
      <c r="Y459" s="44"/>
      <c r="Z459" s="1089"/>
      <c r="AA459" s="1089"/>
      <c r="AB459" s="1089"/>
      <c r="AC459" s="1089"/>
      <c r="AD459" s="1089"/>
      <c r="AE459" s="44"/>
      <c r="AF459" s="44"/>
      <c r="AG459" s="1089"/>
      <c r="AH459" s="1089"/>
      <c r="AI459" s="1326"/>
      <c r="AJ459" s="45">
        <f>SUM(E459:AI459)</f>
        <v>0</v>
      </c>
      <c r="AK459" s="45"/>
      <c r="AL459" s="46">
        <f>+AJ459*AN457</f>
        <v>0</v>
      </c>
      <c r="AM459" s="1066">
        <f t="shared" si="920"/>
        <v>0</v>
      </c>
      <c r="AN459" s="31"/>
      <c r="AO459" s="632">
        <f>(AJ459+AJ461+AJ462+AJ463)*B461/1000</f>
        <v>0</v>
      </c>
      <c r="AP459" s="47" t="s">
        <v>94</v>
      </c>
      <c r="AQ459" s="48">
        <f>SUM(E459:I459)</f>
        <v>0</v>
      </c>
      <c r="AR459" s="49">
        <f>SUM(J459:P459)</f>
        <v>0</v>
      </c>
      <c r="AS459" s="49">
        <f>SUM(Q459:W459)</f>
        <v>0</v>
      </c>
      <c r="AT459" s="49">
        <f>SUM(X459:AD459)</f>
        <v>0</v>
      </c>
      <c r="AU459" s="49">
        <f>SUM(AE459:AI459)</f>
        <v>0</v>
      </c>
      <c r="AV459" s="50">
        <f t="shared" si="924"/>
        <v>0</v>
      </c>
    </row>
    <row r="460" spans="1:48" ht="25.15" hidden="1" customHeight="1">
      <c r="A460" s="103"/>
      <c r="B460" s="51"/>
      <c r="C460" s="52" t="s">
        <v>95</v>
      </c>
      <c r="D460" s="53" t="s">
        <v>96</v>
      </c>
      <c r="E460" s="1327">
        <f t="shared" ref="E460:AJ460" si="925">+E459-E457</f>
        <v>0</v>
      </c>
      <c r="F460" s="1097">
        <f t="shared" si="925"/>
        <v>0</v>
      </c>
      <c r="G460" s="1205">
        <f t="shared" si="925"/>
        <v>0</v>
      </c>
      <c r="H460" s="1097">
        <f t="shared" si="925"/>
        <v>0</v>
      </c>
      <c r="I460" s="1097">
        <f t="shared" si="925"/>
        <v>0</v>
      </c>
      <c r="J460" s="1205">
        <f t="shared" si="925"/>
        <v>0</v>
      </c>
      <c r="K460" s="1205">
        <f t="shared" si="925"/>
        <v>0</v>
      </c>
      <c r="L460" s="1097">
        <f t="shared" si="925"/>
        <v>0</v>
      </c>
      <c r="M460" s="1097">
        <f t="shared" si="925"/>
        <v>0</v>
      </c>
      <c r="N460" s="1097">
        <f t="shared" si="925"/>
        <v>0</v>
      </c>
      <c r="O460" s="1097">
        <f t="shared" si="925"/>
        <v>0</v>
      </c>
      <c r="P460" s="1097">
        <f t="shared" si="925"/>
        <v>0</v>
      </c>
      <c r="Q460" s="1205">
        <f t="shared" si="925"/>
        <v>0</v>
      </c>
      <c r="R460" s="1205">
        <f t="shared" si="925"/>
        <v>0</v>
      </c>
      <c r="S460" s="1097">
        <f t="shared" si="925"/>
        <v>0</v>
      </c>
      <c r="T460" s="1097">
        <f t="shared" si="925"/>
        <v>0</v>
      </c>
      <c r="U460" s="1097">
        <f t="shared" si="925"/>
        <v>0</v>
      </c>
      <c r="V460" s="1097">
        <f t="shared" si="925"/>
        <v>0</v>
      </c>
      <c r="W460" s="1097">
        <f t="shared" si="925"/>
        <v>0</v>
      </c>
      <c r="X460" s="1205">
        <f t="shared" si="925"/>
        <v>0</v>
      </c>
      <c r="Y460" s="1205">
        <f t="shared" si="925"/>
        <v>0</v>
      </c>
      <c r="Z460" s="1097">
        <f t="shared" si="925"/>
        <v>0</v>
      </c>
      <c r="AA460" s="1097">
        <f t="shared" ref="AA460" si="926">+AA459-AA457</f>
        <v>0</v>
      </c>
      <c r="AB460" s="1097">
        <f t="shared" si="925"/>
        <v>0</v>
      </c>
      <c r="AC460" s="1097">
        <f t="shared" si="925"/>
        <v>0</v>
      </c>
      <c r="AD460" s="1097">
        <f t="shared" si="925"/>
        <v>0</v>
      </c>
      <c r="AE460" s="1205">
        <f t="shared" si="925"/>
        <v>0</v>
      </c>
      <c r="AF460" s="1205">
        <f t="shared" si="925"/>
        <v>0</v>
      </c>
      <c r="AG460" s="1097">
        <f t="shared" si="925"/>
        <v>0</v>
      </c>
      <c r="AH460" s="1097">
        <f t="shared" si="925"/>
        <v>0</v>
      </c>
      <c r="AI460" s="1328">
        <f t="shared" si="925"/>
        <v>0</v>
      </c>
      <c r="AJ460" s="54">
        <f t="shared" si="925"/>
        <v>0</v>
      </c>
      <c r="AK460" s="54"/>
      <c r="AL460" s="55">
        <f>+AJ460*AN457</f>
        <v>0</v>
      </c>
      <c r="AM460" s="1067">
        <f t="shared" si="920"/>
        <v>0</v>
      </c>
      <c r="AN460" s="31" t="s">
        <v>97</v>
      </c>
      <c r="AO460" s="622"/>
      <c r="AP460" s="39" t="s">
        <v>98</v>
      </c>
      <c r="AQ460" s="56">
        <f>AQ459-AQ458</f>
        <v>0</v>
      </c>
      <c r="AR460" s="70">
        <f>AR459-AR458</f>
        <v>0</v>
      </c>
      <c r="AS460" s="70">
        <f>AS459-AS458</f>
        <v>0</v>
      </c>
      <c r="AT460" s="70">
        <f>AT459-AT458</f>
        <v>0</v>
      </c>
      <c r="AU460" s="70">
        <f>AU459-AU458</f>
        <v>0</v>
      </c>
      <c r="AV460" s="57">
        <f t="shared" si="924"/>
        <v>0</v>
      </c>
    </row>
    <row r="461" spans="1:48" ht="25.15" hidden="1" customHeight="1">
      <c r="A461" s="58"/>
      <c r="B461" s="59"/>
      <c r="C461" s="60" t="s">
        <v>100</v>
      </c>
      <c r="D461" s="61" t="s">
        <v>101</v>
      </c>
      <c r="E461" s="1329"/>
      <c r="F461" s="1099"/>
      <c r="G461" s="1208"/>
      <c r="H461" s="1099"/>
      <c r="I461" s="1099"/>
      <c r="J461" s="1208"/>
      <c r="K461" s="1208"/>
      <c r="L461" s="1099"/>
      <c r="M461" s="1099"/>
      <c r="N461" s="1099"/>
      <c r="O461" s="1099"/>
      <c r="P461" s="1099"/>
      <c r="Q461" s="1208"/>
      <c r="R461" s="1208"/>
      <c r="S461" s="1099"/>
      <c r="T461" s="1099"/>
      <c r="U461" s="1099"/>
      <c r="V461" s="1099"/>
      <c r="W461" s="1099"/>
      <c r="X461" s="1208"/>
      <c r="Y461" s="1208"/>
      <c r="Z461" s="1099"/>
      <c r="AA461" s="1099"/>
      <c r="AB461" s="1099"/>
      <c r="AC461" s="1099"/>
      <c r="AD461" s="1099"/>
      <c r="AE461" s="1208"/>
      <c r="AF461" s="1208"/>
      <c r="AG461" s="1099"/>
      <c r="AH461" s="1099"/>
      <c r="AI461" s="1330"/>
      <c r="AJ461" s="62">
        <f>SUM(E461:AI461)</f>
        <v>0</v>
      </c>
      <c r="AK461" s="62"/>
      <c r="AL461" s="63">
        <f>+AJ461*AN457</f>
        <v>0</v>
      </c>
      <c r="AM461" s="1068">
        <f t="shared" si="920"/>
        <v>0</v>
      </c>
      <c r="AN461" s="64" t="e">
        <f>+AJ461/AJ459*100</f>
        <v>#DIV/0!</v>
      </c>
      <c r="AO461" s="635" t="e">
        <f>AO459/AO457</f>
        <v>#VALUE!</v>
      </c>
      <c r="AP461" s="39" t="s">
        <v>102</v>
      </c>
      <c r="AQ461" s="56">
        <f>SUM(E461:I461)</f>
        <v>0</v>
      </c>
      <c r="AR461" s="70">
        <f>SUM(J461:P461)</f>
        <v>0</v>
      </c>
      <c r="AS461" s="70">
        <f>SUM(Q461:W461)</f>
        <v>0</v>
      </c>
      <c r="AT461" s="70">
        <f>SUM(X461:AD461)</f>
        <v>0</v>
      </c>
      <c r="AU461" s="70">
        <f>SUM(AE461:AI461)</f>
        <v>0</v>
      </c>
      <c r="AV461" s="57">
        <f t="shared" si="924"/>
        <v>0</v>
      </c>
    </row>
    <row r="462" spans="1:48" ht="25.15" hidden="1" customHeight="1">
      <c r="A462" s="58" t="s">
        <v>167</v>
      </c>
      <c r="B462" s="65"/>
      <c r="C462" s="66"/>
      <c r="D462" s="67" t="s">
        <v>103</v>
      </c>
      <c r="E462" s="1331"/>
      <c r="F462" s="1101"/>
      <c r="G462" s="1209"/>
      <c r="H462" s="1101"/>
      <c r="I462" s="1101"/>
      <c r="J462" s="1209"/>
      <c r="K462" s="1209"/>
      <c r="L462" s="1101"/>
      <c r="M462" s="1101"/>
      <c r="N462" s="1101"/>
      <c r="O462" s="1101"/>
      <c r="P462" s="1101"/>
      <c r="Q462" s="1209"/>
      <c r="R462" s="1209"/>
      <c r="S462" s="1101"/>
      <c r="T462" s="1101"/>
      <c r="U462" s="1101"/>
      <c r="V462" s="1101"/>
      <c r="W462" s="1101"/>
      <c r="X462" s="1209"/>
      <c r="Y462" s="1209"/>
      <c r="Z462" s="1101"/>
      <c r="AA462" s="1101"/>
      <c r="AB462" s="1101"/>
      <c r="AC462" s="1101"/>
      <c r="AD462" s="1101"/>
      <c r="AE462" s="1209"/>
      <c r="AF462" s="1209"/>
      <c r="AG462" s="1101"/>
      <c r="AH462" s="1101"/>
      <c r="AI462" s="1332"/>
      <c r="AJ462" s="68">
        <f>SUM(E462:AI462)</f>
        <v>0</v>
      </c>
      <c r="AK462" s="68"/>
      <c r="AL462" s="69">
        <f>+AJ462*AN457</f>
        <v>0</v>
      </c>
      <c r="AM462" s="1069">
        <f t="shared" si="920"/>
        <v>0</v>
      </c>
      <c r="AN462" s="31"/>
      <c r="AO462" s="622"/>
      <c r="AP462" s="39" t="s">
        <v>19</v>
      </c>
      <c r="AQ462" s="56">
        <f>AQ461*AN457</f>
        <v>0</v>
      </c>
      <c r="AR462" s="56">
        <f>AR461*AN457</f>
        <v>0</v>
      </c>
      <c r="AS462" s="56">
        <f>AS461*AN457</f>
        <v>0</v>
      </c>
      <c r="AT462" s="56">
        <f>AT461*AN457</f>
        <v>0</v>
      </c>
      <c r="AU462" s="56">
        <f>AU461*AN457</f>
        <v>0</v>
      </c>
      <c r="AV462" s="57">
        <f t="shared" si="924"/>
        <v>0</v>
      </c>
    </row>
    <row r="463" spans="1:48" ht="25.15" hidden="1" customHeight="1">
      <c r="A463" s="103"/>
      <c r="B463" s="65"/>
      <c r="C463" s="72" t="s">
        <v>104</v>
      </c>
      <c r="D463" s="73" t="s">
        <v>105</v>
      </c>
      <c r="E463" s="1378"/>
      <c r="F463" s="1103"/>
      <c r="G463" s="1210"/>
      <c r="H463" s="1103"/>
      <c r="I463" s="1103"/>
      <c r="J463" s="1210"/>
      <c r="K463" s="1210"/>
      <c r="L463" s="1103"/>
      <c r="M463" s="1103"/>
      <c r="N463" s="1103"/>
      <c r="O463" s="1103"/>
      <c r="P463" s="1103"/>
      <c r="Q463" s="1210"/>
      <c r="R463" s="1210"/>
      <c r="S463" s="1103"/>
      <c r="T463" s="1103"/>
      <c r="U463" s="1103"/>
      <c r="V463" s="1103"/>
      <c r="W463" s="1103"/>
      <c r="X463" s="1210"/>
      <c r="Y463" s="1210"/>
      <c r="Z463" s="1103"/>
      <c r="AA463" s="1103"/>
      <c r="AB463" s="1103"/>
      <c r="AC463" s="1103"/>
      <c r="AD463" s="1103"/>
      <c r="AE463" s="1210"/>
      <c r="AF463" s="1210"/>
      <c r="AG463" s="1103"/>
      <c r="AH463" s="1103"/>
      <c r="AI463" s="1352"/>
      <c r="AJ463" s="74">
        <f>SUM(E463:AI463)</f>
        <v>0</v>
      </c>
      <c r="AK463" s="74"/>
      <c r="AL463" s="75">
        <f>+AJ463*AN457</f>
        <v>0</v>
      </c>
      <c r="AM463" s="1070">
        <f t="shared" si="920"/>
        <v>0</v>
      </c>
      <c r="AN463" s="76"/>
      <c r="AO463" s="636"/>
      <c r="AP463" s="47" t="s">
        <v>106</v>
      </c>
      <c r="AQ463" s="48">
        <f>AQ459*AN457</f>
        <v>0</v>
      </c>
      <c r="AR463" s="48">
        <f>AR459*AN457</f>
        <v>0</v>
      </c>
      <c r="AS463" s="48">
        <f>AS459*AN457</f>
        <v>0</v>
      </c>
      <c r="AT463" s="48">
        <f>AT459*AN457</f>
        <v>0</v>
      </c>
      <c r="AU463" s="48">
        <f>AU459*AN457</f>
        <v>0</v>
      </c>
      <c r="AV463" s="50">
        <f t="shared" si="924"/>
        <v>0</v>
      </c>
    </row>
    <row r="464" spans="1:48" ht="25.15" hidden="1" customHeight="1">
      <c r="A464" s="103"/>
      <c r="B464" s="65"/>
      <c r="C464" s="77">
        <v>300000</v>
      </c>
      <c r="D464" s="78" t="s">
        <v>107</v>
      </c>
      <c r="E464" s="1327">
        <v>1</v>
      </c>
      <c r="F464" s="1097">
        <v>1</v>
      </c>
      <c r="G464" s="1205">
        <v>1</v>
      </c>
      <c r="H464" s="1097">
        <v>1</v>
      </c>
      <c r="I464" s="1097">
        <v>1</v>
      </c>
      <c r="J464" s="1205">
        <v>1</v>
      </c>
      <c r="K464" s="1205">
        <v>1</v>
      </c>
      <c r="L464" s="1097">
        <v>1</v>
      </c>
      <c r="M464" s="1097">
        <v>1</v>
      </c>
      <c r="N464" s="1097">
        <v>1</v>
      </c>
      <c r="O464" s="1097">
        <v>1</v>
      </c>
      <c r="P464" s="1097">
        <v>1</v>
      </c>
      <c r="Q464" s="1205">
        <v>1</v>
      </c>
      <c r="R464" s="1205">
        <v>1</v>
      </c>
      <c r="S464" s="1097">
        <v>1</v>
      </c>
      <c r="T464" s="1097">
        <v>1</v>
      </c>
      <c r="U464" s="1097">
        <v>1</v>
      </c>
      <c r="V464" s="1097">
        <v>1</v>
      </c>
      <c r="W464" s="1097">
        <v>1</v>
      </c>
      <c r="X464" s="1205">
        <v>1</v>
      </c>
      <c r="Y464" s="1205">
        <v>1</v>
      </c>
      <c r="Z464" s="1097">
        <v>1</v>
      </c>
      <c r="AA464" s="1097">
        <v>1</v>
      </c>
      <c r="AB464" s="1097">
        <v>1</v>
      </c>
      <c r="AC464" s="1097">
        <v>1</v>
      </c>
      <c r="AD464" s="1097">
        <v>1</v>
      </c>
      <c r="AE464" s="1205">
        <v>1</v>
      </c>
      <c r="AF464" s="1205">
        <v>1</v>
      </c>
      <c r="AG464" s="1097">
        <v>1</v>
      </c>
      <c r="AH464" s="1097">
        <v>1</v>
      </c>
      <c r="AI464" s="1328">
        <v>1</v>
      </c>
      <c r="AJ464" s="79"/>
      <c r="AK464" s="79"/>
      <c r="AL464" s="55"/>
      <c r="AM464" s="1067">
        <f t="shared" si="920"/>
        <v>0</v>
      </c>
      <c r="AN464" s="31"/>
      <c r="AO464" s="622"/>
      <c r="AP464" s="23"/>
      <c r="AQ464" s="23"/>
      <c r="AR464" s="23"/>
      <c r="AS464" s="23"/>
      <c r="AT464" s="23"/>
      <c r="AU464" s="23"/>
      <c r="AV464" s="23"/>
    </row>
    <row r="465" spans="1:48" ht="25.15" hidden="1" customHeight="1">
      <c r="A465" s="103"/>
      <c r="B465" s="65"/>
      <c r="C465" s="80" t="s">
        <v>108</v>
      </c>
      <c r="D465" s="81" t="s">
        <v>109</v>
      </c>
      <c r="E465" s="1374">
        <f>SUM(E459+E461+E462+E463)/E464</f>
        <v>0</v>
      </c>
      <c r="F465" s="1104">
        <f>SUM(F459+F461+F462+F463)/F464</f>
        <v>0</v>
      </c>
      <c r="G465" s="1211">
        <f>SUM(G459+G461+G462+G463)/G464</f>
        <v>0</v>
      </c>
      <c r="H465" s="1104">
        <f t="shared" ref="H465:AH465" si="927">SUM(H459+H461+H462+H463)/H464</f>
        <v>0</v>
      </c>
      <c r="I465" s="1104">
        <f t="shared" si="927"/>
        <v>0</v>
      </c>
      <c r="J465" s="1211">
        <f t="shared" si="927"/>
        <v>0</v>
      </c>
      <c r="K465" s="1211">
        <f t="shared" si="927"/>
        <v>0</v>
      </c>
      <c r="L465" s="1104">
        <f t="shared" si="927"/>
        <v>0</v>
      </c>
      <c r="M465" s="1104">
        <f t="shared" si="927"/>
        <v>0</v>
      </c>
      <c r="N465" s="1104">
        <f t="shared" si="927"/>
        <v>0</v>
      </c>
      <c r="O465" s="1104">
        <f t="shared" si="927"/>
        <v>0</v>
      </c>
      <c r="P465" s="1104">
        <f t="shared" si="927"/>
        <v>0</v>
      </c>
      <c r="Q465" s="1211">
        <f t="shared" si="927"/>
        <v>0</v>
      </c>
      <c r="R465" s="1211">
        <f t="shared" si="927"/>
        <v>0</v>
      </c>
      <c r="S465" s="1104">
        <f t="shared" si="927"/>
        <v>0</v>
      </c>
      <c r="T465" s="1104">
        <f t="shared" si="927"/>
        <v>0</v>
      </c>
      <c r="U465" s="1104">
        <f t="shared" si="927"/>
        <v>0</v>
      </c>
      <c r="V465" s="1104">
        <f t="shared" si="927"/>
        <v>0</v>
      </c>
      <c r="W465" s="1104">
        <f t="shared" si="927"/>
        <v>0</v>
      </c>
      <c r="X465" s="1211">
        <f t="shared" si="927"/>
        <v>0</v>
      </c>
      <c r="Y465" s="1211">
        <f t="shared" si="927"/>
        <v>0</v>
      </c>
      <c r="Z465" s="1104">
        <f t="shared" si="927"/>
        <v>0</v>
      </c>
      <c r="AA465" s="1104">
        <f t="shared" ref="AA465" si="928">SUM(AA459+AA461+AA462+AA463)/AA464</f>
        <v>0</v>
      </c>
      <c r="AB465" s="1104">
        <f t="shared" si="927"/>
        <v>0</v>
      </c>
      <c r="AC465" s="1104">
        <f t="shared" si="927"/>
        <v>0</v>
      </c>
      <c r="AD465" s="1104">
        <f t="shared" si="927"/>
        <v>0</v>
      </c>
      <c r="AE465" s="1211">
        <f t="shared" si="927"/>
        <v>0</v>
      </c>
      <c r="AF465" s="1211">
        <f t="shared" si="927"/>
        <v>0</v>
      </c>
      <c r="AG465" s="1104">
        <f t="shared" si="927"/>
        <v>0</v>
      </c>
      <c r="AH465" s="1104">
        <f t="shared" si="927"/>
        <v>0</v>
      </c>
      <c r="AI465" s="1335">
        <f>SUM(AI459+AI461+AI462)/AI464</f>
        <v>0</v>
      </c>
      <c r="AJ465" s="104">
        <f>SUM(E465:AI465)</f>
        <v>0</v>
      </c>
      <c r="AK465" s="104"/>
      <c r="AL465" s="83"/>
      <c r="AM465" s="1068">
        <f t="shared" si="920"/>
        <v>0</v>
      </c>
      <c r="AN465" s="31"/>
      <c r="AO465" s="622"/>
      <c r="AP465" s="23"/>
      <c r="AQ465" s="23"/>
      <c r="AR465" s="23"/>
      <c r="AS465" s="23"/>
      <c r="AT465" s="23"/>
      <c r="AU465" s="23"/>
      <c r="AV465" s="23"/>
    </row>
    <row r="466" spans="1:48" ht="25.15" hidden="1" customHeight="1">
      <c r="A466" s="103"/>
      <c r="B466" s="59"/>
      <c r="C466" s="84">
        <f>+C464*0.8</f>
        <v>240000</v>
      </c>
      <c r="D466" s="85" t="s">
        <v>110</v>
      </c>
      <c r="E466" s="1105"/>
      <c r="F466" s="1106"/>
      <c r="G466" s="1211"/>
      <c r="H466" s="1104"/>
      <c r="I466" s="1104"/>
      <c r="J466" s="1211"/>
      <c r="K466" s="1211"/>
      <c r="L466" s="1104"/>
      <c r="M466" s="1104"/>
      <c r="N466" s="1104"/>
      <c r="O466" s="1107"/>
      <c r="P466" s="1104"/>
      <c r="Q466" s="1211"/>
      <c r="R466" s="1211"/>
      <c r="S466" s="1104"/>
      <c r="T466" s="1104"/>
      <c r="U466" s="1104"/>
      <c r="V466" s="1104"/>
      <c r="W466" s="1104"/>
      <c r="X466" s="1211"/>
      <c r="Y466" s="1211"/>
      <c r="Z466" s="1104"/>
      <c r="AA466" s="1104"/>
      <c r="AB466" s="1104"/>
      <c r="AC466" s="1104"/>
      <c r="AD466" s="1104"/>
      <c r="AE466" s="1211"/>
      <c r="AF466" s="1211"/>
      <c r="AG466" s="1104"/>
      <c r="AH466" s="1104"/>
      <c r="AI466" s="1353"/>
      <c r="AJ466" s="86"/>
      <c r="AK466" s="86"/>
      <c r="AL466" s="690"/>
      <c r="AM466" s="694">
        <f t="shared" si="920"/>
        <v>0</v>
      </c>
      <c r="AN466" s="31"/>
      <c r="AO466" s="622"/>
      <c r="AP466" s="23"/>
      <c r="AQ466" s="23"/>
      <c r="AR466" s="23"/>
      <c r="AS466" s="23"/>
      <c r="AT466" s="23"/>
      <c r="AU466" s="23"/>
      <c r="AV466" s="23"/>
    </row>
    <row r="467" spans="1:48" ht="25.15" hidden="1" customHeight="1">
      <c r="A467" s="103"/>
      <c r="B467" s="105"/>
      <c r="C467" s="77"/>
      <c r="D467" s="88" t="s">
        <v>111</v>
      </c>
      <c r="E467" s="1108">
        <f>IF(E466="O/H",E465,0+E465)</f>
        <v>0</v>
      </c>
      <c r="F467" s="1089">
        <f t="shared" ref="F467:AI467" si="929">IF(F466="O/H",F465,+E467+F465)</f>
        <v>0</v>
      </c>
      <c r="G467" s="44">
        <f t="shared" si="929"/>
        <v>0</v>
      </c>
      <c r="H467" s="1089">
        <f t="shared" si="929"/>
        <v>0</v>
      </c>
      <c r="I467" s="1089">
        <f t="shared" si="929"/>
        <v>0</v>
      </c>
      <c r="J467" s="44">
        <f t="shared" si="929"/>
        <v>0</v>
      </c>
      <c r="K467" s="44">
        <f t="shared" si="929"/>
        <v>0</v>
      </c>
      <c r="L467" s="1089">
        <f t="shared" si="929"/>
        <v>0</v>
      </c>
      <c r="M467" s="1089">
        <f t="shared" si="929"/>
        <v>0</v>
      </c>
      <c r="N467" s="1089">
        <f t="shared" si="929"/>
        <v>0</v>
      </c>
      <c r="O467" s="1089">
        <f t="shared" si="929"/>
        <v>0</v>
      </c>
      <c r="P467" s="1089">
        <f t="shared" si="929"/>
        <v>0</v>
      </c>
      <c r="Q467" s="44">
        <f t="shared" si="929"/>
        <v>0</v>
      </c>
      <c r="R467" s="44">
        <f t="shared" si="929"/>
        <v>0</v>
      </c>
      <c r="S467" s="1089">
        <f t="shared" si="929"/>
        <v>0</v>
      </c>
      <c r="T467" s="1089">
        <f t="shared" si="929"/>
        <v>0</v>
      </c>
      <c r="U467" s="1089">
        <f t="shared" si="929"/>
        <v>0</v>
      </c>
      <c r="V467" s="1089">
        <f t="shared" si="929"/>
        <v>0</v>
      </c>
      <c r="W467" s="1089">
        <f t="shared" si="929"/>
        <v>0</v>
      </c>
      <c r="X467" s="44">
        <f t="shared" si="929"/>
        <v>0</v>
      </c>
      <c r="Y467" s="44">
        <f t="shared" si="929"/>
        <v>0</v>
      </c>
      <c r="Z467" s="1089">
        <f t="shared" si="929"/>
        <v>0</v>
      </c>
      <c r="AA467" s="1089">
        <f t="shared" si="929"/>
        <v>0</v>
      </c>
      <c r="AB467" s="1089">
        <f t="shared" si="929"/>
        <v>0</v>
      </c>
      <c r="AC467" s="1089">
        <f t="shared" si="929"/>
        <v>0</v>
      </c>
      <c r="AD467" s="1089">
        <f t="shared" si="929"/>
        <v>0</v>
      </c>
      <c r="AE467" s="44">
        <f t="shared" si="929"/>
        <v>0</v>
      </c>
      <c r="AF467" s="44">
        <f t="shared" si="929"/>
        <v>0</v>
      </c>
      <c r="AG467" s="1089">
        <f t="shared" si="929"/>
        <v>0</v>
      </c>
      <c r="AH467" s="1089">
        <f t="shared" si="929"/>
        <v>0</v>
      </c>
      <c r="AI467" s="1326">
        <f t="shared" si="929"/>
        <v>0</v>
      </c>
      <c r="AJ467" s="79"/>
      <c r="AK467" s="86"/>
      <c r="AL467" s="689"/>
      <c r="AM467" s="694">
        <f t="shared" si="920"/>
        <v>0</v>
      </c>
      <c r="AN467" s="31"/>
      <c r="AO467" s="622"/>
      <c r="AP467" s="23"/>
      <c r="AQ467" s="23"/>
      <c r="AR467" s="23"/>
      <c r="AS467" s="23"/>
      <c r="AT467" s="23"/>
      <c r="AU467" s="23"/>
      <c r="AV467" s="23"/>
    </row>
    <row r="468" spans="1:48" s="23" customFormat="1" ht="20.65" hidden="1" customHeight="1">
      <c r="A468" s="274"/>
      <c r="B468" s="312"/>
      <c r="C468" s="308"/>
      <c r="D468" s="795" t="s">
        <v>112</v>
      </c>
      <c r="E468" s="1108" t="b">
        <f>IF(AND(ISNUMBER(E459)),493262+E465)</f>
        <v>0</v>
      </c>
      <c r="F468" s="1089" t="str">
        <f>IF(AND(ISNUMBER(F459)),E468+F465,"")</f>
        <v/>
      </c>
      <c r="G468" s="44" t="str">
        <f t="shared" ref="G468" si="930">IF(AND(ISNUMBER(G459)),F468+G465,"")</f>
        <v/>
      </c>
      <c r="H468" s="1089" t="str">
        <f t="shared" ref="H468" si="931">IF(AND(ISNUMBER(H459)),G468+H465,"")</f>
        <v/>
      </c>
      <c r="I468" s="1089" t="str">
        <f>IF(AND(ISNUMBER(I459)),H468+I465,"")</f>
        <v/>
      </c>
      <c r="J468" s="44" t="str">
        <f>IF(AND(ISNUMBER(J459)),I468+J465,"")</f>
        <v/>
      </c>
      <c r="K468" s="44" t="str">
        <f>IF(AND(ISNUMBER(K459)),J468+K465,"")</f>
        <v/>
      </c>
      <c r="L468" s="1089" t="str">
        <f t="shared" ref="L468" si="932">IF(AND(ISNUMBER(L459)),K468+L465,"")</f>
        <v/>
      </c>
      <c r="M468" s="1089" t="str">
        <f t="shared" ref="M468" si="933">IF(AND(ISNUMBER(M459)),L468+M465,"")</f>
        <v/>
      </c>
      <c r="N468" s="1089" t="str">
        <f t="shared" ref="N468" si="934">IF(AND(ISNUMBER(N459)),M468+N465,"")</f>
        <v/>
      </c>
      <c r="O468" s="1089" t="str">
        <f t="shared" ref="O468" si="935">IF(AND(ISNUMBER(O459)),N468+O465,"")</f>
        <v/>
      </c>
      <c r="P468" s="1089" t="str">
        <f t="shared" ref="P468" si="936">IF(AND(ISNUMBER(P459)),O468+P465,"")</f>
        <v/>
      </c>
      <c r="Q468" s="44" t="str">
        <f t="shared" ref="Q468" si="937">IF(AND(ISNUMBER(Q459)),P468+Q465,"")</f>
        <v/>
      </c>
      <c r="R468" s="44" t="str">
        <f t="shared" ref="R468" si="938">IF(AND(ISNUMBER(R459)),Q468+R465,"")</f>
        <v/>
      </c>
      <c r="S468" s="1089" t="str">
        <f t="shared" ref="S468" si="939">IF(AND(ISNUMBER(S459)),R468+S465,"")</f>
        <v/>
      </c>
      <c r="T468" s="1089" t="str">
        <f t="shared" ref="T468" si="940">IF(AND(ISNUMBER(T459)),S468+T465,"")</f>
        <v/>
      </c>
      <c r="U468" s="1089" t="str">
        <f t="shared" ref="U468" si="941">IF(AND(ISNUMBER(U459)),T468+U465,"")</f>
        <v/>
      </c>
      <c r="V468" s="1089" t="str">
        <f t="shared" ref="V468" si="942">IF(AND(ISNUMBER(V459)),U468+V465,"")</f>
        <v/>
      </c>
      <c r="W468" s="1089" t="str">
        <f t="shared" ref="W468" si="943">IF(AND(ISNUMBER(W459)),V468+W465,"")</f>
        <v/>
      </c>
      <c r="X468" s="44" t="str">
        <f t="shared" ref="X468" si="944">IF(AND(ISNUMBER(X459)),W468+X465,"")</f>
        <v/>
      </c>
      <c r="Y468" s="44" t="str">
        <f t="shared" ref="Y468" si="945">IF(AND(ISNUMBER(Y459)),X468+Y465,"")</f>
        <v/>
      </c>
      <c r="Z468" s="1089" t="str">
        <f t="shared" ref="Z468" si="946">IF(AND(ISNUMBER(Z459)),Y468+Z465,"")</f>
        <v/>
      </c>
      <c r="AA468" s="1089" t="str">
        <f t="shared" ref="AA468" si="947">IF(AND(ISNUMBER(AA459)),Z468+AA465,"")</f>
        <v/>
      </c>
      <c r="AB468" s="1089" t="str">
        <f t="shared" ref="AB468" si="948">IF(AND(ISNUMBER(AB459)),AA468+AB465,"")</f>
        <v/>
      </c>
      <c r="AC468" s="1089" t="str">
        <f t="shared" ref="AC468" si="949">IF(AND(ISNUMBER(AC459)),AB468+AC465,"")</f>
        <v/>
      </c>
      <c r="AD468" s="1089" t="str">
        <f t="shared" ref="AD468" si="950">IF(AND(ISNUMBER(AD459)),AC468+AD465,"")</f>
        <v/>
      </c>
      <c r="AE468" s="44" t="str">
        <f t="shared" ref="AE468" si="951">IF(AND(ISNUMBER(AE459)),AD468+AE465,"")</f>
        <v/>
      </c>
      <c r="AF468" s="44" t="str">
        <f t="shared" ref="AF468" si="952">IF(AND(ISNUMBER(AF459)),AE468+AF465,"")</f>
        <v/>
      </c>
      <c r="AG468" s="1089" t="str">
        <f t="shared" ref="AG468" si="953">IF(AND(ISNUMBER(AG459)),AF468+AG465,"")</f>
        <v/>
      </c>
      <c r="AH468" s="1089" t="str">
        <f t="shared" ref="AH468" si="954">IF(AND(ISNUMBER(AH459)),AG468+AH465,"")</f>
        <v/>
      </c>
      <c r="AI468" s="1089" t="str">
        <f t="shared" ref="AI468" si="955">IF(AND(ISNUMBER(AI459)),AH468+AI465,"")</f>
        <v/>
      </c>
      <c r="AJ468" s="793"/>
      <c r="AK468" s="793"/>
      <c r="AL468" s="909"/>
      <c r="AM468" s="890">
        <f t="shared" si="920"/>
        <v>0</v>
      </c>
      <c r="AN468" s="76"/>
      <c r="AO468" s="624"/>
      <c r="AP468" s="285"/>
      <c r="AQ468" s="285"/>
      <c r="AR468" s="285"/>
      <c r="AS468" s="285"/>
      <c r="AT468" s="286"/>
      <c r="AU468" s="285"/>
      <c r="AV468" s="287"/>
    </row>
    <row r="469" spans="1:48" ht="25.15" hidden="1" customHeight="1">
      <c r="A469" s="103"/>
      <c r="B469" s="89"/>
      <c r="C469" s="80"/>
      <c r="D469" s="90" t="s">
        <v>104</v>
      </c>
      <c r="E469" s="1108"/>
      <c r="F469" s="1089"/>
      <c r="G469" s="44"/>
      <c r="H469" s="1089"/>
      <c r="I469" s="1089"/>
      <c r="J469" s="44"/>
      <c r="K469" s="44"/>
      <c r="L469" s="1089"/>
      <c r="M469" s="1089"/>
      <c r="N469" s="1089"/>
      <c r="O469" s="1089"/>
      <c r="P469" s="1089"/>
      <c r="Q469" s="44"/>
      <c r="R469" s="44"/>
      <c r="S469" s="1089"/>
      <c r="T469" s="1089"/>
      <c r="U469" s="1089"/>
      <c r="V469" s="1089"/>
      <c r="W469" s="1089"/>
      <c r="X469" s="44"/>
      <c r="Y469" s="44"/>
      <c r="Z469" s="1089"/>
      <c r="AA469" s="1089"/>
      <c r="AB469" s="1089"/>
      <c r="AC469" s="1089"/>
      <c r="AD469" s="1089"/>
      <c r="AE469" s="44"/>
      <c r="AF469" s="44"/>
      <c r="AG469" s="1089"/>
      <c r="AH469" s="1089"/>
      <c r="AI469" s="1326"/>
      <c r="AJ469" s="79"/>
      <c r="AK469" s="79"/>
      <c r="AL469" s="63"/>
      <c r="AM469" s="1068">
        <f t="shared" si="920"/>
        <v>0</v>
      </c>
      <c r="AN469" s="64"/>
      <c r="AO469" s="624"/>
      <c r="AP469" s="23"/>
      <c r="AQ469" s="23"/>
      <c r="AR469" s="23"/>
      <c r="AS469" s="23"/>
      <c r="AT469" s="23"/>
      <c r="AU469" s="23"/>
      <c r="AV469" s="23"/>
    </row>
    <row r="470" spans="1:48" ht="25.15" hidden="1" customHeight="1" thickBot="1">
      <c r="A470" s="106"/>
      <c r="B470" s="93"/>
      <c r="C470" s="94"/>
      <c r="D470" s="95" t="s">
        <v>111</v>
      </c>
      <c r="E470" s="1109">
        <f>IF(E469="O/H",E465,0+E465)</f>
        <v>0</v>
      </c>
      <c r="F470" s="1110">
        <f t="shared" ref="F470:AI470" si="956">IF(F469="O/H",F465,+E470+F465)</f>
        <v>0</v>
      </c>
      <c r="G470" s="1212">
        <f t="shared" si="956"/>
        <v>0</v>
      </c>
      <c r="H470" s="1110">
        <f t="shared" si="956"/>
        <v>0</v>
      </c>
      <c r="I470" s="1110">
        <f t="shared" si="956"/>
        <v>0</v>
      </c>
      <c r="J470" s="1212">
        <f t="shared" si="956"/>
        <v>0</v>
      </c>
      <c r="K470" s="1212">
        <f t="shared" si="956"/>
        <v>0</v>
      </c>
      <c r="L470" s="1110">
        <f t="shared" si="956"/>
        <v>0</v>
      </c>
      <c r="M470" s="1110">
        <f t="shared" si="956"/>
        <v>0</v>
      </c>
      <c r="N470" s="1110">
        <f t="shared" si="956"/>
        <v>0</v>
      </c>
      <c r="O470" s="1110">
        <f t="shared" si="956"/>
        <v>0</v>
      </c>
      <c r="P470" s="1110">
        <f t="shared" si="956"/>
        <v>0</v>
      </c>
      <c r="Q470" s="1212">
        <f t="shared" si="956"/>
        <v>0</v>
      </c>
      <c r="R470" s="1212">
        <f t="shared" si="956"/>
        <v>0</v>
      </c>
      <c r="S470" s="1110">
        <f t="shared" si="956"/>
        <v>0</v>
      </c>
      <c r="T470" s="1110">
        <f t="shared" si="956"/>
        <v>0</v>
      </c>
      <c r="U470" s="1110">
        <f t="shared" si="956"/>
        <v>0</v>
      </c>
      <c r="V470" s="1110">
        <f t="shared" si="956"/>
        <v>0</v>
      </c>
      <c r="W470" s="1110">
        <f t="shared" si="956"/>
        <v>0</v>
      </c>
      <c r="X470" s="1212">
        <f t="shared" si="956"/>
        <v>0</v>
      </c>
      <c r="Y470" s="1212">
        <f t="shared" si="956"/>
        <v>0</v>
      </c>
      <c r="Z470" s="1110">
        <f t="shared" si="956"/>
        <v>0</v>
      </c>
      <c r="AA470" s="1110">
        <f t="shared" si="956"/>
        <v>0</v>
      </c>
      <c r="AB470" s="1110">
        <f t="shared" si="956"/>
        <v>0</v>
      </c>
      <c r="AC470" s="1110">
        <f t="shared" si="956"/>
        <v>0</v>
      </c>
      <c r="AD470" s="1110">
        <f t="shared" si="956"/>
        <v>0</v>
      </c>
      <c r="AE470" s="1212">
        <f t="shared" si="956"/>
        <v>0</v>
      </c>
      <c r="AF470" s="1212">
        <f t="shared" si="956"/>
        <v>0</v>
      </c>
      <c r="AG470" s="1110">
        <f t="shared" si="956"/>
        <v>0</v>
      </c>
      <c r="AH470" s="1110">
        <f t="shared" si="956"/>
        <v>0</v>
      </c>
      <c r="AI470" s="1340">
        <f t="shared" si="956"/>
        <v>0</v>
      </c>
      <c r="AJ470" s="96"/>
      <c r="AK470" s="96"/>
      <c r="AL470" s="97"/>
      <c r="AM470" s="1071">
        <f t="shared" si="920"/>
        <v>0</v>
      </c>
      <c r="AN470" s="98"/>
      <c r="AO470" s="625"/>
      <c r="AP470" s="23"/>
      <c r="AQ470" s="23"/>
      <c r="AR470" s="23"/>
      <c r="AS470" s="23"/>
      <c r="AT470" s="23"/>
      <c r="AU470" s="23"/>
      <c r="AV470" s="23"/>
    </row>
    <row r="471" spans="1:48" ht="25.15" hidden="1" customHeight="1" thickTop="1">
      <c r="A471" s="99"/>
      <c r="B471" s="26" t="s">
        <v>169</v>
      </c>
      <c r="C471" s="27"/>
      <c r="D471" s="28" t="s">
        <v>82</v>
      </c>
      <c r="E471" s="1111"/>
      <c r="F471" s="1111"/>
      <c r="G471" s="1201"/>
      <c r="H471" s="1111"/>
      <c r="I471" s="1111"/>
      <c r="J471" s="1201"/>
      <c r="K471" s="1201"/>
      <c r="L471" s="1111"/>
      <c r="M471" s="1111"/>
      <c r="N471" s="1111"/>
      <c r="O471" s="1111"/>
      <c r="P471" s="1111"/>
      <c r="Q471" s="1201"/>
      <c r="R471" s="1201"/>
      <c r="S471" s="1111"/>
      <c r="T471" s="1111"/>
      <c r="U471" s="1111"/>
      <c r="V471" s="1111"/>
      <c r="W471" s="1111"/>
      <c r="X471" s="1201"/>
      <c r="Y471" s="1201"/>
      <c r="Z471" s="1111"/>
      <c r="AA471" s="1089"/>
      <c r="AB471" s="1111"/>
      <c r="AC471" s="1111"/>
      <c r="AD471" s="1111"/>
      <c r="AE471" s="1201"/>
      <c r="AF471" s="1201"/>
      <c r="AG471" s="1111"/>
      <c r="AH471" s="1111"/>
      <c r="AI471" s="1412"/>
      <c r="AJ471" s="100">
        <f>SUM(Table75[[#This Row],[June''2026]:[Column27]])</f>
        <v>0</v>
      </c>
      <c r="AK471" s="100">
        <f t="shared" si="922"/>
        <v>0</v>
      </c>
      <c r="AL471" s="101">
        <f>+AJ471*AN471</f>
        <v>0</v>
      </c>
      <c r="AM471" s="1072">
        <f t="shared" si="920"/>
        <v>0</v>
      </c>
      <c r="AN471" s="102"/>
      <c r="AO471" s="622" t="e">
        <f>Table5[[#This Row],[Total]]*B475/1000</f>
        <v>#VALUE!</v>
      </c>
      <c r="AP471" s="32" t="s">
        <v>166</v>
      </c>
      <c r="AQ471" s="33" t="s">
        <v>84</v>
      </c>
      <c r="AR471" s="33" t="s">
        <v>85</v>
      </c>
      <c r="AS471" s="33" t="s">
        <v>86</v>
      </c>
      <c r="AT471" s="33" t="s">
        <v>87</v>
      </c>
      <c r="AU471" s="33" t="s">
        <v>88</v>
      </c>
      <c r="AV471" s="34" t="s">
        <v>68</v>
      </c>
    </row>
    <row r="472" spans="1:48" ht="25.15" hidden="1" customHeight="1">
      <c r="A472" s="103"/>
      <c r="B472" s="35" t="s">
        <v>132</v>
      </c>
      <c r="C472" s="36"/>
      <c r="D472" s="37" t="s">
        <v>90</v>
      </c>
      <c r="E472" s="1373">
        <f>IF(E471="",0,+ E471/E478)</f>
        <v>0</v>
      </c>
      <c r="F472" s="1096">
        <f t="shared" ref="F472:AI472" si="957">IF(F471="",0, E472+F471/F478)</f>
        <v>0</v>
      </c>
      <c r="G472" s="1207">
        <f t="shared" si="957"/>
        <v>0</v>
      </c>
      <c r="H472" s="1096">
        <f t="shared" si="957"/>
        <v>0</v>
      </c>
      <c r="I472" s="1096">
        <f t="shared" si="957"/>
        <v>0</v>
      </c>
      <c r="J472" s="1207">
        <f t="shared" si="957"/>
        <v>0</v>
      </c>
      <c r="K472" s="1207">
        <f t="shared" si="957"/>
        <v>0</v>
      </c>
      <c r="L472" s="1096">
        <f t="shared" si="957"/>
        <v>0</v>
      </c>
      <c r="M472" s="1096">
        <f t="shared" si="957"/>
        <v>0</v>
      </c>
      <c r="N472" s="1096">
        <f t="shared" si="957"/>
        <v>0</v>
      </c>
      <c r="O472" s="1096">
        <f t="shared" si="957"/>
        <v>0</v>
      </c>
      <c r="P472" s="1096">
        <f t="shared" si="957"/>
        <v>0</v>
      </c>
      <c r="Q472" s="1207">
        <f t="shared" si="957"/>
        <v>0</v>
      </c>
      <c r="R472" s="1207">
        <f t="shared" si="957"/>
        <v>0</v>
      </c>
      <c r="S472" s="1096">
        <f t="shared" si="957"/>
        <v>0</v>
      </c>
      <c r="T472" s="1096">
        <f t="shared" si="957"/>
        <v>0</v>
      </c>
      <c r="U472" s="1096">
        <f t="shared" si="957"/>
        <v>0</v>
      </c>
      <c r="V472" s="1096">
        <f t="shared" si="957"/>
        <v>0</v>
      </c>
      <c r="W472" s="1096">
        <f t="shared" si="957"/>
        <v>0</v>
      </c>
      <c r="X472" s="1207">
        <f t="shared" si="957"/>
        <v>0</v>
      </c>
      <c r="Y472" s="1207">
        <f t="shared" si="957"/>
        <v>0</v>
      </c>
      <c r="Z472" s="1096">
        <f t="shared" si="957"/>
        <v>0</v>
      </c>
      <c r="AA472" s="1089"/>
      <c r="AB472" s="1096">
        <f t="shared" si="957"/>
        <v>0</v>
      </c>
      <c r="AC472" s="1096">
        <f t="shared" si="957"/>
        <v>0</v>
      </c>
      <c r="AD472" s="1096">
        <f t="shared" si="957"/>
        <v>0</v>
      </c>
      <c r="AE472" s="1207">
        <f t="shared" si="957"/>
        <v>0</v>
      </c>
      <c r="AF472" s="1207">
        <f t="shared" si="957"/>
        <v>0</v>
      </c>
      <c r="AG472" s="1096">
        <f t="shared" si="957"/>
        <v>0</v>
      </c>
      <c r="AH472" s="1096">
        <f t="shared" si="957"/>
        <v>0</v>
      </c>
      <c r="AI472" s="1324">
        <f t="shared" si="957"/>
        <v>0</v>
      </c>
      <c r="AJ472" s="38"/>
      <c r="AK472" s="29"/>
      <c r="AL472" s="30"/>
      <c r="AM472" s="694">
        <f t="shared" si="920"/>
        <v>0</v>
      </c>
      <c r="AN472" s="31"/>
      <c r="AO472" s="630"/>
      <c r="AP472" s="39" t="s">
        <v>91</v>
      </c>
      <c r="AQ472" s="40">
        <f>SUM(E471:I471)</f>
        <v>0</v>
      </c>
      <c r="AR472" s="41">
        <f>SUM(J471:P471)</f>
        <v>0</v>
      </c>
      <c r="AS472" s="41">
        <f>SUM(Q471:W471)</f>
        <v>0</v>
      </c>
      <c r="AT472" s="41">
        <f>SUM(X471:AD471)</f>
        <v>0</v>
      </c>
      <c r="AU472" s="41">
        <f>SUM(AE471:AI471)</f>
        <v>0</v>
      </c>
      <c r="AV472" s="34">
        <f t="shared" ref="AV472:AV477" si="958">SUM(AQ472:AU472)</f>
        <v>0</v>
      </c>
    </row>
    <row r="473" spans="1:48" ht="25.15" hidden="1" customHeight="1">
      <c r="A473" s="103"/>
      <c r="B473" s="26" t="s">
        <v>92</v>
      </c>
      <c r="C473" s="42"/>
      <c r="D473" s="43" t="s">
        <v>93</v>
      </c>
      <c r="E473" s="1325"/>
      <c r="F473" s="1089"/>
      <c r="G473" s="44"/>
      <c r="H473" s="1089"/>
      <c r="I473" s="1089"/>
      <c r="J473" s="44"/>
      <c r="K473" s="44"/>
      <c r="L473" s="1089"/>
      <c r="M473" s="1089"/>
      <c r="N473" s="1089"/>
      <c r="O473" s="1089"/>
      <c r="P473" s="1089"/>
      <c r="Q473" s="44"/>
      <c r="R473" s="44"/>
      <c r="S473" s="1089"/>
      <c r="T473" s="1089"/>
      <c r="U473" s="1089"/>
      <c r="V473" s="1089"/>
      <c r="W473" s="1089"/>
      <c r="X473" s="44"/>
      <c r="Y473" s="44"/>
      <c r="Z473" s="1089"/>
      <c r="AA473" s="1089"/>
      <c r="AB473" s="1089"/>
      <c r="AC473" s="1089"/>
      <c r="AD473" s="1089"/>
      <c r="AE473" s="44"/>
      <c r="AF473" s="44"/>
      <c r="AG473" s="1089"/>
      <c r="AH473" s="1089"/>
      <c r="AI473" s="1326"/>
      <c r="AJ473" s="45">
        <f>SUM(E473:AI473)</f>
        <v>0</v>
      </c>
      <c r="AK473" s="45"/>
      <c r="AL473" s="46">
        <f>+AJ473*AN471</f>
        <v>0</v>
      </c>
      <c r="AM473" s="1066">
        <f t="shared" si="920"/>
        <v>0</v>
      </c>
      <c r="AN473" s="31"/>
      <c r="AO473" s="632">
        <f>(AJ473+AJ475+AJ476+AJ477)*B475/1000</f>
        <v>0</v>
      </c>
      <c r="AP473" s="47" t="s">
        <v>94</v>
      </c>
      <c r="AQ473" s="48">
        <f>SUM(E473:I473)</f>
        <v>0</v>
      </c>
      <c r="AR473" s="49">
        <f>SUM(J473:P473)</f>
        <v>0</v>
      </c>
      <c r="AS473" s="49">
        <f>SUM(Q473:W473)</f>
        <v>0</v>
      </c>
      <c r="AT473" s="49">
        <f>SUM(X473:AD473)</f>
        <v>0</v>
      </c>
      <c r="AU473" s="49">
        <f>SUM(AE473:AI473)</f>
        <v>0</v>
      </c>
      <c r="AV473" s="50">
        <f t="shared" si="958"/>
        <v>0</v>
      </c>
    </row>
    <row r="474" spans="1:48" ht="25.15" hidden="1" customHeight="1">
      <c r="A474" s="103"/>
      <c r="B474" s="51"/>
      <c r="C474" s="52" t="s">
        <v>95</v>
      </c>
      <c r="D474" s="53" t="s">
        <v>96</v>
      </c>
      <c r="E474" s="1327">
        <f t="shared" ref="E474:AJ474" si="959">+E473-E471</f>
        <v>0</v>
      </c>
      <c r="F474" s="1097">
        <f t="shared" si="959"/>
        <v>0</v>
      </c>
      <c r="G474" s="1205">
        <f t="shared" si="959"/>
        <v>0</v>
      </c>
      <c r="H474" s="1097">
        <f t="shared" si="959"/>
        <v>0</v>
      </c>
      <c r="I474" s="1097">
        <f t="shared" si="959"/>
        <v>0</v>
      </c>
      <c r="J474" s="1205">
        <f t="shared" si="959"/>
        <v>0</v>
      </c>
      <c r="K474" s="1205">
        <f t="shared" si="959"/>
        <v>0</v>
      </c>
      <c r="L474" s="1097">
        <f t="shared" si="959"/>
        <v>0</v>
      </c>
      <c r="M474" s="1097">
        <f t="shared" si="959"/>
        <v>0</v>
      </c>
      <c r="N474" s="1097">
        <f t="shared" si="959"/>
        <v>0</v>
      </c>
      <c r="O474" s="1097">
        <f t="shared" si="959"/>
        <v>0</v>
      </c>
      <c r="P474" s="1097">
        <f t="shared" si="959"/>
        <v>0</v>
      </c>
      <c r="Q474" s="1205">
        <f t="shared" si="959"/>
        <v>0</v>
      </c>
      <c r="R474" s="1205">
        <f t="shared" si="959"/>
        <v>0</v>
      </c>
      <c r="S474" s="1097">
        <f t="shared" si="959"/>
        <v>0</v>
      </c>
      <c r="T474" s="1097">
        <f t="shared" si="959"/>
        <v>0</v>
      </c>
      <c r="U474" s="1097">
        <f t="shared" si="959"/>
        <v>0</v>
      </c>
      <c r="V474" s="1097">
        <f t="shared" si="959"/>
        <v>0</v>
      </c>
      <c r="W474" s="1097">
        <f t="shared" si="959"/>
        <v>0</v>
      </c>
      <c r="X474" s="1205">
        <f t="shared" si="959"/>
        <v>0</v>
      </c>
      <c r="Y474" s="1205">
        <f t="shared" si="959"/>
        <v>0</v>
      </c>
      <c r="Z474" s="1097">
        <f t="shared" si="959"/>
        <v>0</v>
      </c>
      <c r="AA474" s="1097">
        <f t="shared" ref="AA474" si="960">+AA473-AA471</f>
        <v>0</v>
      </c>
      <c r="AB474" s="1097">
        <f t="shared" si="959"/>
        <v>0</v>
      </c>
      <c r="AC474" s="1097">
        <f t="shared" si="959"/>
        <v>0</v>
      </c>
      <c r="AD474" s="1097">
        <f t="shared" si="959"/>
        <v>0</v>
      </c>
      <c r="AE474" s="1205">
        <f t="shared" si="959"/>
        <v>0</v>
      </c>
      <c r="AF474" s="1205">
        <f t="shared" si="959"/>
        <v>0</v>
      </c>
      <c r="AG474" s="1097">
        <f t="shared" si="959"/>
        <v>0</v>
      </c>
      <c r="AH474" s="1097">
        <f t="shared" si="959"/>
        <v>0</v>
      </c>
      <c r="AI474" s="1328">
        <f t="shared" si="959"/>
        <v>0</v>
      </c>
      <c r="AJ474" s="54">
        <f t="shared" si="959"/>
        <v>0</v>
      </c>
      <c r="AK474" s="54"/>
      <c r="AL474" s="55">
        <f>+AJ474*AN471</f>
        <v>0</v>
      </c>
      <c r="AM474" s="1067">
        <f t="shared" si="920"/>
        <v>0</v>
      </c>
      <c r="AN474" s="31" t="s">
        <v>97</v>
      </c>
      <c r="AO474" s="622"/>
      <c r="AP474" s="39" t="s">
        <v>98</v>
      </c>
      <c r="AQ474" s="56">
        <f>AQ473-AQ472</f>
        <v>0</v>
      </c>
      <c r="AR474" s="70">
        <f>AR473-AR472</f>
        <v>0</v>
      </c>
      <c r="AS474" s="70">
        <f>AS473-AS472</f>
        <v>0</v>
      </c>
      <c r="AT474" s="70">
        <f>AT473-AT472</f>
        <v>0</v>
      </c>
      <c r="AU474" s="70">
        <f>AU473-AU472</f>
        <v>0</v>
      </c>
      <c r="AV474" s="57">
        <f t="shared" si="958"/>
        <v>0</v>
      </c>
    </row>
    <row r="475" spans="1:48" ht="25.15" hidden="1" customHeight="1">
      <c r="A475" s="58"/>
      <c r="B475" s="59"/>
      <c r="C475" s="60" t="s">
        <v>100</v>
      </c>
      <c r="D475" s="61" t="s">
        <v>101</v>
      </c>
      <c r="E475" s="1329"/>
      <c r="F475" s="1099"/>
      <c r="G475" s="1208"/>
      <c r="H475" s="1099"/>
      <c r="I475" s="1099"/>
      <c r="J475" s="1208"/>
      <c r="K475" s="1208"/>
      <c r="L475" s="1099"/>
      <c r="M475" s="1099"/>
      <c r="N475" s="1099"/>
      <c r="O475" s="1099"/>
      <c r="P475" s="1099"/>
      <c r="Q475" s="1208"/>
      <c r="R475" s="1208"/>
      <c r="S475" s="1099"/>
      <c r="T475" s="1099"/>
      <c r="U475" s="1099"/>
      <c r="V475" s="1099"/>
      <c r="W475" s="1099"/>
      <c r="X475" s="1208"/>
      <c r="Y475" s="1208"/>
      <c r="Z475" s="1099"/>
      <c r="AA475" s="1099"/>
      <c r="AB475" s="1099"/>
      <c r="AC475" s="1099"/>
      <c r="AD475" s="1099"/>
      <c r="AE475" s="1208"/>
      <c r="AF475" s="1208"/>
      <c r="AG475" s="1099"/>
      <c r="AH475" s="1099"/>
      <c r="AI475" s="1330"/>
      <c r="AJ475" s="62">
        <f>SUM(E475:AI475)</f>
        <v>0</v>
      </c>
      <c r="AK475" s="62"/>
      <c r="AL475" s="63">
        <f>+AJ475*AN471</f>
        <v>0</v>
      </c>
      <c r="AM475" s="1068">
        <f t="shared" si="920"/>
        <v>0</v>
      </c>
      <c r="AN475" s="64" t="e">
        <f>+AJ475/AJ473*100</f>
        <v>#DIV/0!</v>
      </c>
      <c r="AO475" s="635" t="e">
        <f>AO473/AO471</f>
        <v>#VALUE!</v>
      </c>
      <c r="AP475" s="39" t="s">
        <v>102</v>
      </c>
      <c r="AQ475" s="56">
        <f>SUM(E475:I475)</f>
        <v>0</v>
      </c>
      <c r="AR475" s="70">
        <f>SUM(J475:P475)</f>
        <v>0</v>
      </c>
      <c r="AS475" s="70">
        <f>SUM(Q475:W475)</f>
        <v>0</v>
      </c>
      <c r="AT475" s="70">
        <f>SUM(X475:AD475)</f>
        <v>0</v>
      </c>
      <c r="AU475" s="70">
        <f>SUM(AE475:AI475)</f>
        <v>0</v>
      </c>
      <c r="AV475" s="57">
        <f t="shared" si="958"/>
        <v>0</v>
      </c>
    </row>
    <row r="476" spans="1:48" ht="25.15" hidden="1" customHeight="1">
      <c r="A476" s="58" t="s">
        <v>167</v>
      </c>
      <c r="B476" s="65"/>
      <c r="C476" s="66"/>
      <c r="D476" s="67" t="s">
        <v>103</v>
      </c>
      <c r="E476" s="1331"/>
      <c r="F476" s="1101"/>
      <c r="G476" s="1209"/>
      <c r="H476" s="1101"/>
      <c r="I476" s="1101"/>
      <c r="J476" s="1209"/>
      <c r="K476" s="1209"/>
      <c r="L476" s="1101"/>
      <c r="M476" s="1101"/>
      <c r="N476" s="1101"/>
      <c r="O476" s="1101"/>
      <c r="P476" s="1101"/>
      <c r="Q476" s="1209"/>
      <c r="R476" s="1209"/>
      <c r="S476" s="1101"/>
      <c r="T476" s="1101"/>
      <c r="U476" s="1101"/>
      <c r="V476" s="1101"/>
      <c r="W476" s="1101"/>
      <c r="X476" s="1209"/>
      <c r="Y476" s="1209"/>
      <c r="Z476" s="1101"/>
      <c r="AA476" s="1101"/>
      <c r="AB476" s="1101"/>
      <c r="AC476" s="1101"/>
      <c r="AD476" s="1101"/>
      <c r="AE476" s="1209"/>
      <c r="AF476" s="1209"/>
      <c r="AG476" s="1101"/>
      <c r="AH476" s="1101"/>
      <c r="AI476" s="1332"/>
      <c r="AJ476" s="68">
        <f>SUM(E476:AI476)</f>
        <v>0</v>
      </c>
      <c r="AK476" s="68"/>
      <c r="AL476" s="69">
        <f>+AJ476*AN471</f>
        <v>0</v>
      </c>
      <c r="AM476" s="1069">
        <f t="shared" si="920"/>
        <v>0</v>
      </c>
      <c r="AN476" s="31"/>
      <c r="AO476" s="622"/>
      <c r="AP476" s="39" t="s">
        <v>19</v>
      </c>
      <c r="AQ476" s="56">
        <f>AQ475*AN471</f>
        <v>0</v>
      </c>
      <c r="AR476" s="56">
        <f>AR475*AN471</f>
        <v>0</v>
      </c>
      <c r="AS476" s="56">
        <f>AS475*AN471</f>
        <v>0</v>
      </c>
      <c r="AT476" s="56">
        <f>AT475*AN471</f>
        <v>0</v>
      </c>
      <c r="AU476" s="56">
        <f>AU475*AN471</f>
        <v>0</v>
      </c>
      <c r="AV476" s="57">
        <f t="shared" si="958"/>
        <v>0</v>
      </c>
    </row>
    <row r="477" spans="1:48" ht="25.15" hidden="1" customHeight="1">
      <c r="A477" s="103"/>
      <c r="B477" s="65"/>
      <c r="C477" s="72" t="s">
        <v>104</v>
      </c>
      <c r="D477" s="73" t="s">
        <v>105</v>
      </c>
      <c r="E477" s="1378"/>
      <c r="F477" s="1103"/>
      <c r="G477" s="1210"/>
      <c r="H477" s="1103"/>
      <c r="I477" s="1103"/>
      <c r="J477" s="1210"/>
      <c r="K477" s="1210"/>
      <c r="L477" s="1103"/>
      <c r="M477" s="1103"/>
      <c r="N477" s="1103"/>
      <c r="O477" s="1103"/>
      <c r="P477" s="1103"/>
      <c r="Q477" s="1210"/>
      <c r="R477" s="1210"/>
      <c r="S477" s="1103"/>
      <c r="T477" s="1103"/>
      <c r="U477" s="1103"/>
      <c r="V477" s="1103"/>
      <c r="W477" s="1103"/>
      <c r="X477" s="1210"/>
      <c r="Y477" s="1210"/>
      <c r="Z477" s="1103"/>
      <c r="AA477" s="1103"/>
      <c r="AB477" s="1103"/>
      <c r="AC477" s="1103"/>
      <c r="AD477" s="1103"/>
      <c r="AE477" s="1210"/>
      <c r="AF477" s="1210"/>
      <c r="AG477" s="1103"/>
      <c r="AH477" s="1103"/>
      <c r="AI477" s="1352"/>
      <c r="AJ477" s="74">
        <f>SUM(E477:AI477)</f>
        <v>0</v>
      </c>
      <c r="AK477" s="74"/>
      <c r="AL477" s="75">
        <f>+AJ477*AN471</f>
        <v>0</v>
      </c>
      <c r="AM477" s="1070">
        <f t="shared" si="920"/>
        <v>0</v>
      </c>
      <c r="AN477" s="76"/>
      <c r="AO477" s="636"/>
      <c r="AP477" s="47" t="s">
        <v>106</v>
      </c>
      <c r="AQ477" s="48">
        <f>AQ473*AN471</f>
        <v>0</v>
      </c>
      <c r="AR477" s="48">
        <f>AR473*AN471</f>
        <v>0</v>
      </c>
      <c r="AS477" s="48">
        <f>AS473*AN471</f>
        <v>0</v>
      </c>
      <c r="AT477" s="48">
        <f>AT473*AN471</f>
        <v>0</v>
      </c>
      <c r="AU477" s="48">
        <f>AU473*AN471</f>
        <v>0</v>
      </c>
      <c r="AV477" s="50">
        <f t="shared" si="958"/>
        <v>0</v>
      </c>
    </row>
    <row r="478" spans="1:48" ht="25.15" hidden="1" customHeight="1">
      <c r="A478" s="103"/>
      <c r="B478" s="65"/>
      <c r="C478" s="77">
        <v>300000</v>
      </c>
      <c r="D478" s="78" t="s">
        <v>107</v>
      </c>
      <c r="E478" s="1327">
        <v>1</v>
      </c>
      <c r="F478" s="1097">
        <v>1</v>
      </c>
      <c r="G478" s="1205">
        <v>1</v>
      </c>
      <c r="H478" s="1097">
        <v>1</v>
      </c>
      <c r="I478" s="1097">
        <v>1</v>
      </c>
      <c r="J478" s="1205">
        <v>1</v>
      </c>
      <c r="K478" s="1205">
        <v>1</v>
      </c>
      <c r="L478" s="1097">
        <v>1</v>
      </c>
      <c r="M478" s="1097">
        <v>1</v>
      </c>
      <c r="N478" s="1097">
        <v>1</v>
      </c>
      <c r="O478" s="1097">
        <v>1</v>
      </c>
      <c r="P478" s="1097">
        <v>1</v>
      </c>
      <c r="Q478" s="1205">
        <v>1</v>
      </c>
      <c r="R478" s="1205">
        <v>1</v>
      </c>
      <c r="S478" s="1097">
        <v>1</v>
      </c>
      <c r="T478" s="1097">
        <v>1</v>
      </c>
      <c r="U478" s="1097">
        <v>1</v>
      </c>
      <c r="V478" s="1097">
        <v>1</v>
      </c>
      <c r="W478" s="1097">
        <v>1</v>
      </c>
      <c r="X478" s="1205">
        <v>1</v>
      </c>
      <c r="Y478" s="1205">
        <v>1</v>
      </c>
      <c r="Z478" s="1097">
        <v>1</v>
      </c>
      <c r="AA478" s="1097">
        <v>1</v>
      </c>
      <c r="AB478" s="1097">
        <v>1</v>
      </c>
      <c r="AC478" s="1097">
        <v>1</v>
      </c>
      <c r="AD478" s="1097">
        <v>1</v>
      </c>
      <c r="AE478" s="1205">
        <v>1</v>
      </c>
      <c r="AF478" s="1205">
        <v>1</v>
      </c>
      <c r="AG478" s="1097">
        <v>1</v>
      </c>
      <c r="AH478" s="1097">
        <v>1</v>
      </c>
      <c r="AI478" s="1328">
        <v>1</v>
      </c>
      <c r="AJ478" s="79"/>
      <c r="AK478" s="79"/>
      <c r="AL478" s="55"/>
      <c r="AM478" s="1067">
        <f t="shared" si="920"/>
        <v>0</v>
      </c>
      <c r="AN478" s="31"/>
      <c r="AO478" s="622"/>
      <c r="AP478" s="23"/>
      <c r="AQ478" s="23"/>
      <c r="AR478" s="23"/>
      <c r="AS478" s="23"/>
      <c r="AT478" s="23"/>
      <c r="AU478" s="23"/>
      <c r="AV478" s="23"/>
    </row>
    <row r="479" spans="1:48" ht="25.15" hidden="1" customHeight="1">
      <c r="A479" s="103"/>
      <c r="B479" s="65"/>
      <c r="C479" s="80" t="s">
        <v>108</v>
      </c>
      <c r="D479" s="81" t="s">
        <v>109</v>
      </c>
      <c r="E479" s="1374">
        <f>SUM(E473+E475+E476+E477)/E478</f>
        <v>0</v>
      </c>
      <c r="F479" s="1104">
        <f>SUM(F473+F475+F476+F477)/F478</f>
        <v>0</v>
      </c>
      <c r="G479" s="1211">
        <f>SUM(G473+G475+G476+G477)/G478</f>
        <v>0</v>
      </c>
      <c r="H479" s="1104">
        <f t="shared" ref="H479:AH479" si="961">SUM(H473+H475+H476+H477)/H478</f>
        <v>0</v>
      </c>
      <c r="I479" s="1104">
        <f t="shared" si="961"/>
        <v>0</v>
      </c>
      <c r="J479" s="1211">
        <f t="shared" si="961"/>
        <v>0</v>
      </c>
      <c r="K479" s="1211">
        <f t="shared" si="961"/>
        <v>0</v>
      </c>
      <c r="L479" s="1104">
        <f t="shared" si="961"/>
        <v>0</v>
      </c>
      <c r="M479" s="1104">
        <f t="shared" si="961"/>
        <v>0</v>
      </c>
      <c r="N479" s="1104">
        <f t="shared" si="961"/>
        <v>0</v>
      </c>
      <c r="O479" s="1104">
        <f t="shared" si="961"/>
        <v>0</v>
      </c>
      <c r="P479" s="1104">
        <f t="shared" si="961"/>
        <v>0</v>
      </c>
      <c r="Q479" s="1211">
        <f t="shared" si="961"/>
        <v>0</v>
      </c>
      <c r="R479" s="1211">
        <f t="shared" si="961"/>
        <v>0</v>
      </c>
      <c r="S479" s="1104">
        <f t="shared" si="961"/>
        <v>0</v>
      </c>
      <c r="T479" s="1104">
        <f t="shared" si="961"/>
        <v>0</v>
      </c>
      <c r="U479" s="1104">
        <f t="shared" si="961"/>
        <v>0</v>
      </c>
      <c r="V479" s="1104">
        <f t="shared" si="961"/>
        <v>0</v>
      </c>
      <c r="W479" s="1104">
        <f t="shared" si="961"/>
        <v>0</v>
      </c>
      <c r="X479" s="1211">
        <f t="shared" si="961"/>
        <v>0</v>
      </c>
      <c r="Y479" s="1211">
        <f t="shared" si="961"/>
        <v>0</v>
      </c>
      <c r="Z479" s="1104">
        <f t="shared" si="961"/>
        <v>0</v>
      </c>
      <c r="AA479" s="1104">
        <f t="shared" ref="AA479" si="962">SUM(AA473+AA475+AA476+AA477)/AA478</f>
        <v>0</v>
      </c>
      <c r="AB479" s="1104">
        <f t="shared" si="961"/>
        <v>0</v>
      </c>
      <c r="AC479" s="1104">
        <f t="shared" si="961"/>
        <v>0</v>
      </c>
      <c r="AD479" s="1104">
        <f t="shared" si="961"/>
        <v>0</v>
      </c>
      <c r="AE479" s="1211">
        <f t="shared" si="961"/>
        <v>0</v>
      </c>
      <c r="AF479" s="1211">
        <f t="shared" si="961"/>
        <v>0</v>
      </c>
      <c r="AG479" s="1104">
        <f t="shared" si="961"/>
        <v>0</v>
      </c>
      <c r="AH479" s="1104">
        <f t="shared" si="961"/>
        <v>0</v>
      </c>
      <c r="AI479" s="1335">
        <f>SUM(AI473+AI475+AI476)/AI478</f>
        <v>0</v>
      </c>
      <c r="AJ479" s="104">
        <f>SUM(E479:AI479)</f>
        <v>0</v>
      </c>
      <c r="AK479" s="104"/>
      <c r="AL479" s="83"/>
      <c r="AM479" s="1068">
        <f t="shared" si="920"/>
        <v>0</v>
      </c>
      <c r="AN479" s="31"/>
      <c r="AO479" s="622"/>
      <c r="AP479" s="23"/>
      <c r="AQ479" s="23"/>
      <c r="AR479" s="23"/>
      <c r="AS479" s="23"/>
      <c r="AT479" s="23"/>
      <c r="AU479" s="23"/>
      <c r="AV479" s="23"/>
    </row>
    <row r="480" spans="1:48" ht="25.15" hidden="1" customHeight="1">
      <c r="A480" s="103"/>
      <c r="B480" s="59"/>
      <c r="C480" s="84">
        <f>+C478*0.8</f>
        <v>240000</v>
      </c>
      <c r="D480" s="85" t="s">
        <v>110</v>
      </c>
      <c r="E480" s="1105"/>
      <c r="F480" s="1106"/>
      <c r="G480" s="1211"/>
      <c r="H480" s="1104"/>
      <c r="I480" s="1104"/>
      <c r="J480" s="1211"/>
      <c r="K480" s="1211"/>
      <c r="L480" s="1104"/>
      <c r="M480" s="1104"/>
      <c r="N480" s="1104"/>
      <c r="O480" s="1107"/>
      <c r="P480" s="1104"/>
      <c r="Q480" s="1211"/>
      <c r="R480" s="1211"/>
      <c r="S480" s="1104"/>
      <c r="T480" s="1104"/>
      <c r="U480" s="1104"/>
      <c r="V480" s="1104"/>
      <c r="W480" s="1104"/>
      <c r="X480" s="1211"/>
      <c r="Y480" s="1211"/>
      <c r="Z480" s="1104"/>
      <c r="AA480" s="1104"/>
      <c r="AB480" s="1104"/>
      <c r="AC480" s="1104"/>
      <c r="AD480" s="1104"/>
      <c r="AE480" s="1211"/>
      <c r="AF480" s="1211"/>
      <c r="AG480" s="1104"/>
      <c r="AH480" s="1104"/>
      <c r="AI480" s="1353"/>
      <c r="AJ480" s="86"/>
      <c r="AK480" s="86"/>
      <c r="AL480" s="690"/>
      <c r="AM480" s="694">
        <f t="shared" si="920"/>
        <v>0</v>
      </c>
      <c r="AN480" s="31"/>
      <c r="AO480" s="622"/>
      <c r="AP480" s="23"/>
      <c r="AQ480" s="23"/>
      <c r="AR480" s="23"/>
      <c r="AS480" s="23"/>
      <c r="AT480" s="23"/>
      <c r="AU480" s="23"/>
      <c r="AV480" s="23"/>
    </row>
    <row r="481" spans="1:48" ht="25.15" hidden="1" customHeight="1">
      <c r="A481" s="103"/>
      <c r="B481" s="105"/>
      <c r="C481" s="77"/>
      <c r="D481" s="88" t="s">
        <v>111</v>
      </c>
      <c r="E481" s="1108">
        <f>IF(E480="O/H",E479,0+E479)</f>
        <v>0</v>
      </c>
      <c r="F481" s="1089">
        <f t="shared" ref="F481:AI481" si="963">IF(F480="O/H",F479,+E481+F479)</f>
        <v>0</v>
      </c>
      <c r="G481" s="44">
        <f t="shared" si="963"/>
        <v>0</v>
      </c>
      <c r="H481" s="1089">
        <f t="shared" si="963"/>
        <v>0</v>
      </c>
      <c r="I481" s="1089">
        <f t="shared" si="963"/>
        <v>0</v>
      </c>
      <c r="J481" s="44">
        <f t="shared" si="963"/>
        <v>0</v>
      </c>
      <c r="K481" s="44">
        <f t="shared" si="963"/>
        <v>0</v>
      </c>
      <c r="L481" s="1089">
        <f t="shared" si="963"/>
        <v>0</v>
      </c>
      <c r="M481" s="1089">
        <f t="shared" si="963"/>
        <v>0</v>
      </c>
      <c r="N481" s="1089">
        <f t="shared" si="963"/>
        <v>0</v>
      </c>
      <c r="O481" s="1089">
        <f t="shared" si="963"/>
        <v>0</v>
      </c>
      <c r="P481" s="1089">
        <f t="shared" si="963"/>
        <v>0</v>
      </c>
      <c r="Q481" s="44">
        <f t="shared" si="963"/>
        <v>0</v>
      </c>
      <c r="R481" s="44">
        <f t="shared" si="963"/>
        <v>0</v>
      </c>
      <c r="S481" s="1089">
        <f t="shared" si="963"/>
        <v>0</v>
      </c>
      <c r="T481" s="1089">
        <f t="shared" si="963"/>
        <v>0</v>
      </c>
      <c r="U481" s="1089">
        <f t="shared" si="963"/>
        <v>0</v>
      </c>
      <c r="V481" s="1089">
        <f t="shared" si="963"/>
        <v>0</v>
      </c>
      <c r="W481" s="1089">
        <f t="shared" si="963"/>
        <v>0</v>
      </c>
      <c r="X481" s="44">
        <f t="shared" si="963"/>
        <v>0</v>
      </c>
      <c r="Y481" s="44">
        <f t="shared" si="963"/>
        <v>0</v>
      </c>
      <c r="Z481" s="1089">
        <f t="shared" si="963"/>
        <v>0</v>
      </c>
      <c r="AA481" s="1089">
        <f t="shared" si="963"/>
        <v>0</v>
      </c>
      <c r="AB481" s="1089">
        <f t="shared" si="963"/>
        <v>0</v>
      </c>
      <c r="AC481" s="1089">
        <f t="shared" si="963"/>
        <v>0</v>
      </c>
      <c r="AD481" s="1089">
        <f t="shared" si="963"/>
        <v>0</v>
      </c>
      <c r="AE481" s="44">
        <f t="shared" si="963"/>
        <v>0</v>
      </c>
      <c r="AF481" s="44">
        <f t="shared" si="963"/>
        <v>0</v>
      </c>
      <c r="AG481" s="1089">
        <f t="shared" si="963"/>
        <v>0</v>
      </c>
      <c r="AH481" s="1089">
        <f t="shared" si="963"/>
        <v>0</v>
      </c>
      <c r="AI481" s="1326">
        <f t="shared" si="963"/>
        <v>0</v>
      </c>
      <c r="AJ481" s="79"/>
      <c r="AK481" s="86"/>
      <c r="AL481" s="689"/>
      <c r="AM481" s="694">
        <f t="shared" si="920"/>
        <v>0</v>
      </c>
      <c r="AN481" s="31"/>
      <c r="AO481" s="622"/>
      <c r="AP481" s="23"/>
      <c r="AQ481" s="23"/>
      <c r="AR481" s="23"/>
      <c r="AS481" s="23"/>
      <c r="AT481" s="23"/>
      <c r="AU481" s="23"/>
      <c r="AV481" s="23"/>
    </row>
    <row r="482" spans="1:48" ht="25.15" hidden="1" customHeight="1">
      <c r="A482" s="103"/>
      <c r="B482" s="89"/>
      <c r="C482" s="80"/>
      <c r="D482" s="90" t="s">
        <v>104</v>
      </c>
      <c r="E482" s="1108"/>
      <c r="F482" s="1089"/>
      <c r="G482" s="44"/>
      <c r="H482" s="1089"/>
      <c r="I482" s="1089"/>
      <c r="J482" s="44"/>
      <c r="K482" s="44"/>
      <c r="L482" s="1089"/>
      <c r="M482" s="1089"/>
      <c r="N482" s="1089"/>
      <c r="O482" s="1089"/>
      <c r="P482" s="1089"/>
      <c r="Q482" s="44"/>
      <c r="R482" s="44"/>
      <c r="S482" s="1089"/>
      <c r="T482" s="1089"/>
      <c r="U482" s="1089"/>
      <c r="V482" s="1089"/>
      <c r="W482" s="1089"/>
      <c r="X482" s="44"/>
      <c r="Y482" s="44"/>
      <c r="Z482" s="1089"/>
      <c r="AA482" s="1089"/>
      <c r="AB482" s="1089"/>
      <c r="AC482" s="1089"/>
      <c r="AD482" s="1089"/>
      <c r="AE482" s="44"/>
      <c r="AF482" s="44"/>
      <c r="AG482" s="1089"/>
      <c r="AH482" s="1089"/>
      <c r="AI482" s="1326"/>
      <c r="AJ482" s="79"/>
      <c r="AK482" s="79"/>
      <c r="AL482" s="63"/>
      <c r="AM482" s="1068">
        <f t="shared" si="920"/>
        <v>0</v>
      </c>
      <c r="AN482" s="64"/>
      <c r="AO482" s="624"/>
      <c r="AP482" s="23"/>
      <c r="AQ482" s="23"/>
      <c r="AR482" s="23"/>
      <c r="AS482" s="23"/>
      <c r="AT482" s="23"/>
      <c r="AU482" s="23"/>
      <c r="AV482" s="23"/>
    </row>
    <row r="483" spans="1:48" ht="25.15" hidden="1" customHeight="1" thickBot="1">
      <c r="A483" s="106"/>
      <c r="B483" s="93"/>
      <c r="C483" s="94"/>
      <c r="D483" s="95" t="s">
        <v>111</v>
      </c>
      <c r="E483" s="1109">
        <f>IF(E482="O/H",E479,0+E479)</f>
        <v>0</v>
      </c>
      <c r="F483" s="1110">
        <f t="shared" ref="F483:AI483" si="964">IF(F482="O/H",F479,+E483+F479)</f>
        <v>0</v>
      </c>
      <c r="G483" s="1212">
        <f t="shared" si="964"/>
        <v>0</v>
      </c>
      <c r="H483" s="1110">
        <f t="shared" si="964"/>
        <v>0</v>
      </c>
      <c r="I483" s="1110">
        <f t="shared" si="964"/>
        <v>0</v>
      </c>
      <c r="J483" s="1212">
        <f t="shared" si="964"/>
        <v>0</v>
      </c>
      <c r="K483" s="1212">
        <f t="shared" si="964"/>
        <v>0</v>
      </c>
      <c r="L483" s="1110">
        <f t="shared" si="964"/>
        <v>0</v>
      </c>
      <c r="M483" s="1110">
        <f t="shared" si="964"/>
        <v>0</v>
      </c>
      <c r="N483" s="1110">
        <f t="shared" si="964"/>
        <v>0</v>
      </c>
      <c r="O483" s="1110">
        <f t="shared" si="964"/>
        <v>0</v>
      </c>
      <c r="P483" s="1110">
        <f t="shared" si="964"/>
        <v>0</v>
      </c>
      <c r="Q483" s="1212">
        <f t="shared" si="964"/>
        <v>0</v>
      </c>
      <c r="R483" s="1212">
        <f t="shared" si="964"/>
        <v>0</v>
      </c>
      <c r="S483" s="1110">
        <f t="shared" si="964"/>
        <v>0</v>
      </c>
      <c r="T483" s="1110">
        <f t="shared" si="964"/>
        <v>0</v>
      </c>
      <c r="U483" s="1110">
        <f t="shared" si="964"/>
        <v>0</v>
      </c>
      <c r="V483" s="1110">
        <f t="shared" si="964"/>
        <v>0</v>
      </c>
      <c r="W483" s="1110">
        <f t="shared" si="964"/>
        <v>0</v>
      </c>
      <c r="X483" s="1212">
        <f t="shared" si="964"/>
        <v>0</v>
      </c>
      <c r="Y483" s="1212">
        <f t="shared" si="964"/>
        <v>0</v>
      </c>
      <c r="Z483" s="1110">
        <f t="shared" si="964"/>
        <v>0</v>
      </c>
      <c r="AA483" s="1110">
        <f t="shared" si="964"/>
        <v>0</v>
      </c>
      <c r="AB483" s="1110">
        <f t="shared" si="964"/>
        <v>0</v>
      </c>
      <c r="AC483" s="1110">
        <f t="shared" si="964"/>
        <v>0</v>
      </c>
      <c r="AD483" s="1110">
        <f t="shared" si="964"/>
        <v>0</v>
      </c>
      <c r="AE483" s="1212">
        <f t="shared" si="964"/>
        <v>0</v>
      </c>
      <c r="AF483" s="1212">
        <f t="shared" si="964"/>
        <v>0</v>
      </c>
      <c r="AG483" s="1110">
        <f t="shared" si="964"/>
        <v>0</v>
      </c>
      <c r="AH483" s="1110">
        <f t="shared" si="964"/>
        <v>0</v>
      </c>
      <c r="AI483" s="1340">
        <f t="shared" si="964"/>
        <v>0</v>
      </c>
      <c r="AJ483" s="96"/>
      <c r="AK483" s="96"/>
      <c r="AL483" s="97"/>
      <c r="AM483" s="1071">
        <f t="shared" si="920"/>
        <v>0</v>
      </c>
      <c r="AN483" s="98"/>
      <c r="AO483" s="625"/>
      <c r="AP483" s="23"/>
      <c r="AQ483" s="23"/>
      <c r="AR483" s="23"/>
      <c r="AS483" s="23"/>
      <c r="AT483" s="23"/>
      <c r="AU483" s="23"/>
      <c r="AV483" s="23"/>
    </row>
    <row r="484" spans="1:48" ht="25.15" hidden="1" customHeight="1" thickTop="1">
      <c r="A484" s="99"/>
      <c r="B484" s="26" t="s">
        <v>129</v>
      </c>
      <c r="C484" s="27"/>
      <c r="D484" s="28" t="s">
        <v>82</v>
      </c>
      <c r="E484" s="1111"/>
      <c r="F484" s="1111"/>
      <c r="G484" s="1201"/>
      <c r="H484" s="1111"/>
      <c r="I484" s="1111"/>
      <c r="J484" s="1201"/>
      <c r="K484" s="1201"/>
      <c r="L484" s="1111"/>
      <c r="M484" s="1111"/>
      <c r="N484" s="1111"/>
      <c r="O484" s="1111"/>
      <c r="P484" s="1111"/>
      <c r="Q484" s="1201"/>
      <c r="R484" s="1201"/>
      <c r="S484" s="1111"/>
      <c r="T484" s="1111"/>
      <c r="U484" s="1111"/>
      <c r="V484" s="1111"/>
      <c r="W484" s="1111"/>
      <c r="X484" s="1201"/>
      <c r="Y484" s="1201"/>
      <c r="Z484" s="1111"/>
      <c r="AA484" s="1089"/>
      <c r="AB484" s="1111"/>
      <c r="AC484" s="1111"/>
      <c r="AD484" s="1111"/>
      <c r="AE484" s="1201"/>
      <c r="AF484" s="1201"/>
      <c r="AG484" s="1111"/>
      <c r="AH484" s="1111"/>
      <c r="AI484" s="1412"/>
      <c r="AJ484" s="100">
        <f>SUM(Table75[[#This Row],[June''2026]:[Column27]])</f>
        <v>0</v>
      </c>
      <c r="AK484" s="100">
        <f t="shared" si="922"/>
        <v>0</v>
      </c>
      <c r="AL484" s="101">
        <f>+AJ484*AN484</f>
        <v>0</v>
      </c>
      <c r="AM484" s="1072">
        <f t="shared" si="920"/>
        <v>0</v>
      </c>
      <c r="AN484" s="102"/>
      <c r="AO484" s="622" t="e">
        <f>Table5[[#This Row],[Total]]*B488/1000</f>
        <v>#VALUE!</v>
      </c>
      <c r="AP484" s="32" t="s">
        <v>166</v>
      </c>
      <c r="AQ484" s="33" t="s">
        <v>84</v>
      </c>
      <c r="AR484" s="33" t="s">
        <v>85</v>
      </c>
      <c r="AS484" s="33" t="s">
        <v>86</v>
      </c>
      <c r="AT484" s="33" t="s">
        <v>87</v>
      </c>
      <c r="AU484" s="33" t="s">
        <v>88</v>
      </c>
      <c r="AV484" s="34" t="s">
        <v>68</v>
      </c>
    </row>
    <row r="485" spans="1:48" ht="25.15" hidden="1" customHeight="1">
      <c r="A485" s="103"/>
      <c r="B485" s="35" t="s">
        <v>130</v>
      </c>
      <c r="C485" s="36"/>
      <c r="D485" s="37" t="s">
        <v>90</v>
      </c>
      <c r="E485" s="1373">
        <f>IF(E484="",0,+ E484/E491)</f>
        <v>0</v>
      </c>
      <c r="F485" s="1096">
        <f t="shared" ref="F485:AI485" si="965">IF(F484="",0, E485+F484/F491)</f>
        <v>0</v>
      </c>
      <c r="G485" s="1207">
        <f t="shared" si="965"/>
        <v>0</v>
      </c>
      <c r="H485" s="1096">
        <f t="shared" si="965"/>
        <v>0</v>
      </c>
      <c r="I485" s="1096">
        <f t="shared" si="965"/>
        <v>0</v>
      </c>
      <c r="J485" s="1207">
        <f t="shared" si="965"/>
        <v>0</v>
      </c>
      <c r="K485" s="1207">
        <f t="shared" si="965"/>
        <v>0</v>
      </c>
      <c r="L485" s="1096">
        <f t="shared" si="965"/>
        <v>0</v>
      </c>
      <c r="M485" s="1096">
        <f t="shared" si="965"/>
        <v>0</v>
      </c>
      <c r="N485" s="1096">
        <f t="shared" si="965"/>
        <v>0</v>
      </c>
      <c r="O485" s="1096">
        <f t="shared" si="965"/>
        <v>0</v>
      </c>
      <c r="P485" s="1096">
        <f t="shared" si="965"/>
        <v>0</v>
      </c>
      <c r="Q485" s="1207">
        <f t="shared" si="965"/>
        <v>0</v>
      </c>
      <c r="R485" s="1207">
        <f t="shared" si="965"/>
        <v>0</v>
      </c>
      <c r="S485" s="1096">
        <f t="shared" si="965"/>
        <v>0</v>
      </c>
      <c r="T485" s="1096">
        <f t="shared" si="965"/>
        <v>0</v>
      </c>
      <c r="U485" s="1096">
        <f t="shared" si="965"/>
        <v>0</v>
      </c>
      <c r="V485" s="1096">
        <f t="shared" si="965"/>
        <v>0</v>
      </c>
      <c r="W485" s="1096">
        <f t="shared" si="965"/>
        <v>0</v>
      </c>
      <c r="X485" s="1207">
        <f t="shared" si="965"/>
        <v>0</v>
      </c>
      <c r="Y485" s="1207">
        <f t="shared" si="965"/>
        <v>0</v>
      </c>
      <c r="Z485" s="1096">
        <f t="shared" si="965"/>
        <v>0</v>
      </c>
      <c r="AA485" s="1089"/>
      <c r="AB485" s="1096">
        <f t="shared" si="965"/>
        <v>0</v>
      </c>
      <c r="AC485" s="1096">
        <f t="shared" si="965"/>
        <v>0</v>
      </c>
      <c r="AD485" s="1096">
        <f t="shared" si="965"/>
        <v>0</v>
      </c>
      <c r="AE485" s="1207">
        <f t="shared" si="965"/>
        <v>0</v>
      </c>
      <c r="AF485" s="1207">
        <f t="shared" si="965"/>
        <v>0</v>
      </c>
      <c r="AG485" s="1096">
        <f t="shared" si="965"/>
        <v>0</v>
      </c>
      <c r="AH485" s="1096">
        <f t="shared" si="965"/>
        <v>0</v>
      </c>
      <c r="AI485" s="1324">
        <f t="shared" si="965"/>
        <v>0</v>
      </c>
      <c r="AJ485" s="38"/>
      <c r="AK485" s="29"/>
      <c r="AL485" s="30"/>
      <c r="AM485" s="694">
        <f t="shared" si="920"/>
        <v>0</v>
      </c>
      <c r="AN485" s="31"/>
      <c r="AO485" s="630"/>
      <c r="AP485" s="39" t="s">
        <v>91</v>
      </c>
      <c r="AQ485" s="40">
        <f>SUM(E484:I484)</f>
        <v>0</v>
      </c>
      <c r="AR485" s="41">
        <f>SUM(J484:P484)</f>
        <v>0</v>
      </c>
      <c r="AS485" s="41">
        <f>SUM(Q484:W484)</f>
        <v>0</v>
      </c>
      <c r="AT485" s="41">
        <f>SUM(X484:AD484)</f>
        <v>0</v>
      </c>
      <c r="AU485" s="41">
        <f>SUM(AE484:AI484)</f>
        <v>0</v>
      </c>
      <c r="AV485" s="34">
        <f t="shared" ref="AV485:AV490" si="966">SUM(AQ485:AU485)</f>
        <v>0</v>
      </c>
    </row>
    <row r="486" spans="1:48" ht="25.15" hidden="1" customHeight="1">
      <c r="A486" s="103"/>
      <c r="B486" s="26" t="s">
        <v>92</v>
      </c>
      <c r="C486" s="42"/>
      <c r="D486" s="43" t="s">
        <v>93</v>
      </c>
      <c r="E486" s="1325">
        <v>0</v>
      </c>
      <c r="F486" s="1089"/>
      <c r="G486" s="44"/>
      <c r="H486" s="1089"/>
      <c r="I486" s="1089"/>
      <c r="J486" s="44"/>
      <c r="K486" s="44"/>
      <c r="L486" s="1089"/>
      <c r="M486" s="1089"/>
      <c r="N486" s="1089"/>
      <c r="O486" s="1089"/>
      <c r="P486" s="1089"/>
      <c r="Q486" s="44"/>
      <c r="R486" s="44"/>
      <c r="S486" s="1089"/>
      <c r="T486" s="1089"/>
      <c r="U486" s="1089"/>
      <c r="V486" s="1089"/>
      <c r="W486" s="1089"/>
      <c r="X486" s="44"/>
      <c r="Y486" s="44"/>
      <c r="Z486" s="1089"/>
      <c r="AA486" s="1089"/>
      <c r="AB486" s="1089"/>
      <c r="AC486" s="1089"/>
      <c r="AD486" s="1089"/>
      <c r="AE486" s="44"/>
      <c r="AF486" s="44"/>
      <c r="AG486" s="1089"/>
      <c r="AH486" s="1089"/>
      <c r="AI486" s="1326"/>
      <c r="AJ486" s="45">
        <f>SUM(E486:AI486)</f>
        <v>0</v>
      </c>
      <c r="AK486" s="45"/>
      <c r="AL486" s="46">
        <f>+AJ486*AN484</f>
        <v>0</v>
      </c>
      <c r="AM486" s="1066">
        <f t="shared" si="920"/>
        <v>0</v>
      </c>
      <c r="AN486" s="31"/>
      <c r="AO486" s="632">
        <f>(AJ486+AJ488+AJ489+AJ490)*B488/1000</f>
        <v>0</v>
      </c>
      <c r="AP486" s="47" t="s">
        <v>94</v>
      </c>
      <c r="AQ486" s="48">
        <f>SUM(E486:I486)</f>
        <v>0</v>
      </c>
      <c r="AR486" s="49">
        <f>SUM(J486:P486)</f>
        <v>0</v>
      </c>
      <c r="AS486" s="49">
        <f>SUM(Q486:W486)</f>
        <v>0</v>
      </c>
      <c r="AT486" s="49">
        <f>SUM(X486:AD486)</f>
        <v>0</v>
      </c>
      <c r="AU486" s="49">
        <f>SUM(AE486:AI486)</f>
        <v>0</v>
      </c>
      <c r="AV486" s="50">
        <f t="shared" si="966"/>
        <v>0</v>
      </c>
    </row>
    <row r="487" spans="1:48" ht="25.15" hidden="1" customHeight="1">
      <c r="A487" s="103"/>
      <c r="B487" s="51"/>
      <c r="C487" s="52" t="s">
        <v>95</v>
      </c>
      <c r="D487" s="53" t="s">
        <v>96</v>
      </c>
      <c r="E487" s="1327">
        <f t="shared" ref="E487:AJ487" si="967">+E486-E484</f>
        <v>0</v>
      </c>
      <c r="F487" s="1097">
        <f t="shared" si="967"/>
        <v>0</v>
      </c>
      <c r="G487" s="1205">
        <f t="shared" si="967"/>
        <v>0</v>
      </c>
      <c r="H487" s="1097">
        <f t="shared" si="967"/>
        <v>0</v>
      </c>
      <c r="I487" s="1097">
        <f t="shared" si="967"/>
        <v>0</v>
      </c>
      <c r="J487" s="1205">
        <f t="shared" si="967"/>
        <v>0</v>
      </c>
      <c r="K487" s="1205">
        <f t="shared" si="967"/>
        <v>0</v>
      </c>
      <c r="L487" s="1097">
        <f t="shared" si="967"/>
        <v>0</v>
      </c>
      <c r="M487" s="1097">
        <f t="shared" si="967"/>
        <v>0</v>
      </c>
      <c r="N487" s="1097">
        <f t="shared" si="967"/>
        <v>0</v>
      </c>
      <c r="O487" s="1097">
        <f t="shared" si="967"/>
        <v>0</v>
      </c>
      <c r="P487" s="1097">
        <f t="shared" si="967"/>
        <v>0</v>
      </c>
      <c r="Q487" s="1205">
        <f t="shared" si="967"/>
        <v>0</v>
      </c>
      <c r="R487" s="1205">
        <f t="shared" si="967"/>
        <v>0</v>
      </c>
      <c r="S487" s="1097">
        <f t="shared" si="967"/>
        <v>0</v>
      </c>
      <c r="T487" s="1097">
        <f t="shared" si="967"/>
        <v>0</v>
      </c>
      <c r="U487" s="1097">
        <f t="shared" si="967"/>
        <v>0</v>
      </c>
      <c r="V487" s="1097">
        <f t="shared" si="967"/>
        <v>0</v>
      </c>
      <c r="W487" s="1097">
        <f t="shared" si="967"/>
        <v>0</v>
      </c>
      <c r="X487" s="1205">
        <f t="shared" si="967"/>
        <v>0</v>
      </c>
      <c r="Y487" s="1205">
        <f t="shared" si="967"/>
        <v>0</v>
      </c>
      <c r="Z487" s="1097">
        <f t="shared" si="967"/>
        <v>0</v>
      </c>
      <c r="AA487" s="1097">
        <f t="shared" ref="AA487" si="968">+AA486-AA484</f>
        <v>0</v>
      </c>
      <c r="AB487" s="1097">
        <f t="shared" si="967"/>
        <v>0</v>
      </c>
      <c r="AC487" s="1097">
        <f t="shared" si="967"/>
        <v>0</v>
      </c>
      <c r="AD487" s="1097">
        <f t="shared" si="967"/>
        <v>0</v>
      </c>
      <c r="AE487" s="1205">
        <f t="shared" si="967"/>
        <v>0</v>
      </c>
      <c r="AF487" s="1205">
        <f t="shared" si="967"/>
        <v>0</v>
      </c>
      <c r="AG487" s="1097">
        <f t="shared" si="967"/>
        <v>0</v>
      </c>
      <c r="AH487" s="1097">
        <f t="shared" si="967"/>
        <v>0</v>
      </c>
      <c r="AI487" s="1328">
        <f t="shared" si="967"/>
        <v>0</v>
      </c>
      <c r="AJ487" s="54">
        <f t="shared" si="967"/>
        <v>0</v>
      </c>
      <c r="AK487" s="54"/>
      <c r="AL487" s="55">
        <f>+AJ487*AN484</f>
        <v>0</v>
      </c>
      <c r="AM487" s="1067">
        <f t="shared" si="920"/>
        <v>0</v>
      </c>
      <c r="AN487" s="31" t="s">
        <v>97</v>
      </c>
      <c r="AO487" s="622"/>
      <c r="AP487" s="39" t="s">
        <v>98</v>
      </c>
      <c r="AQ487" s="56">
        <f>AQ486-AQ485</f>
        <v>0</v>
      </c>
      <c r="AR487" s="70">
        <f>AR486-AR485</f>
        <v>0</v>
      </c>
      <c r="AS487" s="70">
        <f>AS486-AS485</f>
        <v>0</v>
      </c>
      <c r="AT487" s="70">
        <f>AT486-AT485</f>
        <v>0</v>
      </c>
      <c r="AU487" s="70">
        <f>AU486-AU485</f>
        <v>0</v>
      </c>
      <c r="AV487" s="57">
        <f t="shared" si="966"/>
        <v>0</v>
      </c>
    </row>
    <row r="488" spans="1:48" ht="25.15" hidden="1" customHeight="1">
      <c r="A488" s="58"/>
      <c r="B488" s="59"/>
      <c r="C488" s="60" t="s">
        <v>100</v>
      </c>
      <c r="D488" s="61" t="s">
        <v>101</v>
      </c>
      <c r="E488" s="1329"/>
      <c r="F488" s="1099"/>
      <c r="G488" s="1208"/>
      <c r="H488" s="1099"/>
      <c r="I488" s="1099"/>
      <c r="J488" s="1208"/>
      <c r="K488" s="1208"/>
      <c r="L488" s="1099"/>
      <c r="M488" s="1099"/>
      <c r="N488" s="1099"/>
      <c r="O488" s="1099"/>
      <c r="P488" s="1099"/>
      <c r="Q488" s="1208"/>
      <c r="R488" s="1208"/>
      <c r="S488" s="1099"/>
      <c r="T488" s="1099"/>
      <c r="U488" s="1099"/>
      <c r="V488" s="1099"/>
      <c r="W488" s="1099"/>
      <c r="X488" s="1208"/>
      <c r="Y488" s="1208"/>
      <c r="Z488" s="1099"/>
      <c r="AA488" s="1099"/>
      <c r="AB488" s="1099"/>
      <c r="AC488" s="1099"/>
      <c r="AD488" s="1099"/>
      <c r="AE488" s="1208"/>
      <c r="AF488" s="1208"/>
      <c r="AG488" s="1099"/>
      <c r="AH488" s="1099"/>
      <c r="AI488" s="1330"/>
      <c r="AJ488" s="62">
        <f>SUM(E488:AI488)</f>
        <v>0</v>
      </c>
      <c r="AK488" s="62"/>
      <c r="AL488" s="63">
        <f>+AJ488*AN484</f>
        <v>0</v>
      </c>
      <c r="AM488" s="1068">
        <f t="shared" si="920"/>
        <v>0</v>
      </c>
      <c r="AN488" s="64" t="e">
        <f>+AJ488/AJ486*100</f>
        <v>#DIV/0!</v>
      </c>
      <c r="AO488" s="635" t="e">
        <f>AO486/AO484</f>
        <v>#VALUE!</v>
      </c>
      <c r="AP488" s="39" t="s">
        <v>102</v>
      </c>
      <c r="AQ488" s="56">
        <f>SUM(E488:I488)</f>
        <v>0</v>
      </c>
      <c r="AR488" s="70">
        <f>SUM(J488:P488)</f>
        <v>0</v>
      </c>
      <c r="AS488" s="70">
        <f>SUM(Q488:W488)</f>
        <v>0</v>
      </c>
      <c r="AT488" s="70">
        <f>SUM(X488:AD488)</f>
        <v>0</v>
      </c>
      <c r="AU488" s="70">
        <f>SUM(AE488:AI488)</f>
        <v>0</v>
      </c>
      <c r="AV488" s="57">
        <f t="shared" si="966"/>
        <v>0</v>
      </c>
    </row>
    <row r="489" spans="1:48" ht="25.15" hidden="1" customHeight="1">
      <c r="A489" s="58" t="s">
        <v>167</v>
      </c>
      <c r="B489" s="65"/>
      <c r="C489" s="66"/>
      <c r="D489" s="67" t="s">
        <v>103</v>
      </c>
      <c r="E489" s="1331"/>
      <c r="F489" s="1101"/>
      <c r="G489" s="1209"/>
      <c r="H489" s="1101"/>
      <c r="I489" s="1101"/>
      <c r="J489" s="1209"/>
      <c r="K489" s="1209"/>
      <c r="L489" s="1101"/>
      <c r="M489" s="1101"/>
      <c r="N489" s="1101"/>
      <c r="O489" s="1101"/>
      <c r="P489" s="1101"/>
      <c r="Q489" s="1209"/>
      <c r="R489" s="1209"/>
      <c r="S489" s="1101"/>
      <c r="T489" s="1101"/>
      <c r="U489" s="1101"/>
      <c r="V489" s="1101"/>
      <c r="W489" s="1101"/>
      <c r="X489" s="1209"/>
      <c r="Y489" s="1209"/>
      <c r="Z489" s="1101"/>
      <c r="AA489" s="1101"/>
      <c r="AB489" s="1101"/>
      <c r="AC489" s="1101"/>
      <c r="AD489" s="1101"/>
      <c r="AE489" s="1209"/>
      <c r="AF489" s="1209"/>
      <c r="AG489" s="1101"/>
      <c r="AH489" s="1101"/>
      <c r="AI489" s="1332"/>
      <c r="AJ489" s="68">
        <f>SUM(E489:AI489)</f>
        <v>0</v>
      </c>
      <c r="AK489" s="68"/>
      <c r="AL489" s="69">
        <f>+AJ489*AN484</f>
        <v>0</v>
      </c>
      <c r="AM489" s="1069">
        <f t="shared" si="920"/>
        <v>0</v>
      </c>
      <c r="AN489" s="31"/>
      <c r="AO489" s="622"/>
      <c r="AP489" s="39" t="s">
        <v>19</v>
      </c>
      <c r="AQ489" s="56">
        <f>AQ488*AN484</f>
        <v>0</v>
      </c>
      <c r="AR489" s="56">
        <f>AR488*AN484</f>
        <v>0</v>
      </c>
      <c r="AS489" s="56">
        <f>AS488*AN484</f>
        <v>0</v>
      </c>
      <c r="AT489" s="56">
        <f>AT488*AN484</f>
        <v>0</v>
      </c>
      <c r="AU489" s="56">
        <f>AU488*AN484</f>
        <v>0</v>
      </c>
      <c r="AV489" s="57">
        <f t="shared" si="966"/>
        <v>0</v>
      </c>
    </row>
    <row r="490" spans="1:48" ht="25.15" hidden="1" customHeight="1">
      <c r="A490" s="103"/>
      <c r="B490" s="65"/>
      <c r="C490" s="72" t="s">
        <v>104</v>
      </c>
      <c r="D490" s="73" t="s">
        <v>105</v>
      </c>
      <c r="E490" s="1378"/>
      <c r="F490" s="1103"/>
      <c r="G490" s="1210"/>
      <c r="H490" s="1103"/>
      <c r="I490" s="1103"/>
      <c r="J490" s="1210"/>
      <c r="K490" s="1210"/>
      <c r="L490" s="1103"/>
      <c r="M490" s="1103"/>
      <c r="N490" s="1103"/>
      <c r="O490" s="1103"/>
      <c r="P490" s="1103"/>
      <c r="Q490" s="1210"/>
      <c r="R490" s="1210"/>
      <c r="S490" s="1103"/>
      <c r="T490" s="1103"/>
      <c r="U490" s="1103"/>
      <c r="V490" s="1103"/>
      <c r="W490" s="1103"/>
      <c r="X490" s="1210"/>
      <c r="Y490" s="1210"/>
      <c r="Z490" s="1103"/>
      <c r="AA490" s="1103"/>
      <c r="AB490" s="1103"/>
      <c r="AC490" s="1103"/>
      <c r="AD490" s="1103"/>
      <c r="AE490" s="1210"/>
      <c r="AF490" s="1210"/>
      <c r="AG490" s="1103"/>
      <c r="AH490" s="1103"/>
      <c r="AI490" s="1352"/>
      <c r="AJ490" s="74">
        <f>SUM(E490:AI490)</f>
        <v>0</v>
      </c>
      <c r="AK490" s="74"/>
      <c r="AL490" s="75">
        <f>+AJ490*AN484</f>
        <v>0</v>
      </c>
      <c r="AM490" s="1070">
        <f t="shared" si="920"/>
        <v>0</v>
      </c>
      <c r="AN490" s="76"/>
      <c r="AO490" s="636"/>
      <c r="AP490" s="47" t="s">
        <v>106</v>
      </c>
      <c r="AQ490" s="48">
        <f>AQ486*AN484</f>
        <v>0</v>
      </c>
      <c r="AR490" s="48">
        <f>AR486*AN484</f>
        <v>0</v>
      </c>
      <c r="AS490" s="48">
        <f>AS486*AN484</f>
        <v>0</v>
      </c>
      <c r="AT490" s="48">
        <f>AT486*AN484</f>
        <v>0</v>
      </c>
      <c r="AU490" s="48">
        <f>AU486*AN484</f>
        <v>0</v>
      </c>
      <c r="AV490" s="50">
        <f t="shared" si="966"/>
        <v>0</v>
      </c>
    </row>
    <row r="491" spans="1:48" ht="25.15" hidden="1" customHeight="1">
      <c r="A491" s="103"/>
      <c r="B491" s="65"/>
      <c r="C491" s="77">
        <v>300000</v>
      </c>
      <c r="D491" s="78" t="s">
        <v>107</v>
      </c>
      <c r="E491" s="1327">
        <v>1</v>
      </c>
      <c r="F491" s="1097">
        <v>1</v>
      </c>
      <c r="G491" s="1205">
        <v>1</v>
      </c>
      <c r="H491" s="1097">
        <v>1</v>
      </c>
      <c r="I491" s="1097">
        <v>1</v>
      </c>
      <c r="J491" s="1205">
        <v>1</v>
      </c>
      <c r="K491" s="1205">
        <v>1</v>
      </c>
      <c r="L491" s="1097">
        <v>1</v>
      </c>
      <c r="M491" s="1097">
        <v>1</v>
      </c>
      <c r="N491" s="1097">
        <v>1</v>
      </c>
      <c r="O491" s="1097">
        <v>1</v>
      </c>
      <c r="P491" s="1097">
        <v>1</v>
      </c>
      <c r="Q491" s="1205">
        <v>1</v>
      </c>
      <c r="R491" s="1205">
        <v>1</v>
      </c>
      <c r="S491" s="1097">
        <v>1</v>
      </c>
      <c r="T491" s="1097">
        <v>1</v>
      </c>
      <c r="U491" s="1097">
        <v>1</v>
      </c>
      <c r="V491" s="1097">
        <v>1</v>
      </c>
      <c r="W491" s="1097">
        <v>1</v>
      </c>
      <c r="X491" s="1205">
        <v>1</v>
      </c>
      <c r="Y491" s="1205">
        <v>1</v>
      </c>
      <c r="Z491" s="1097">
        <v>1</v>
      </c>
      <c r="AA491" s="1097">
        <v>1</v>
      </c>
      <c r="AB491" s="1097">
        <v>1</v>
      </c>
      <c r="AC491" s="1097">
        <v>1</v>
      </c>
      <c r="AD491" s="1097">
        <v>1</v>
      </c>
      <c r="AE491" s="1205">
        <v>1</v>
      </c>
      <c r="AF491" s="1205">
        <v>1</v>
      </c>
      <c r="AG491" s="1097">
        <v>1</v>
      </c>
      <c r="AH491" s="1097">
        <v>1</v>
      </c>
      <c r="AI491" s="1328">
        <v>1</v>
      </c>
      <c r="AJ491" s="79"/>
      <c r="AK491" s="79"/>
      <c r="AL491" s="55"/>
      <c r="AM491" s="1067">
        <f t="shared" si="920"/>
        <v>0</v>
      </c>
      <c r="AN491" s="31"/>
      <c r="AO491" s="622"/>
      <c r="AP491" s="23"/>
      <c r="AQ491" s="23"/>
      <c r="AR491" s="23"/>
      <c r="AS491" s="23"/>
      <c r="AT491" s="23"/>
      <c r="AU491" s="23"/>
      <c r="AV491" s="23"/>
    </row>
    <row r="492" spans="1:48" ht="25.15" hidden="1" customHeight="1">
      <c r="A492" s="103"/>
      <c r="B492" s="65"/>
      <c r="C492" s="80" t="s">
        <v>108</v>
      </c>
      <c r="D492" s="81" t="s">
        <v>109</v>
      </c>
      <c r="E492" s="1374">
        <f>SUM(E486+E488+E489+E490)/E491</f>
        <v>0</v>
      </c>
      <c r="F492" s="1104">
        <f>SUM(F486+F488+F489+F490)/F491</f>
        <v>0</v>
      </c>
      <c r="G492" s="1211">
        <f>SUM(G486+G488+G489+G490)/G491</f>
        <v>0</v>
      </c>
      <c r="H492" s="1104">
        <f t="shared" ref="H492:AH492" si="969">SUM(H486+H488+H489+H490)/H491</f>
        <v>0</v>
      </c>
      <c r="I492" s="1104">
        <f t="shared" si="969"/>
        <v>0</v>
      </c>
      <c r="J492" s="1211">
        <f t="shared" si="969"/>
        <v>0</v>
      </c>
      <c r="K492" s="1211">
        <f t="shared" si="969"/>
        <v>0</v>
      </c>
      <c r="L492" s="1104">
        <f t="shared" si="969"/>
        <v>0</v>
      </c>
      <c r="M492" s="1104">
        <f t="shared" si="969"/>
        <v>0</v>
      </c>
      <c r="N492" s="1104">
        <f t="shared" si="969"/>
        <v>0</v>
      </c>
      <c r="O492" s="1104">
        <f t="shared" si="969"/>
        <v>0</v>
      </c>
      <c r="P492" s="1104">
        <f t="shared" si="969"/>
        <v>0</v>
      </c>
      <c r="Q492" s="1211">
        <f t="shared" si="969"/>
        <v>0</v>
      </c>
      <c r="R492" s="1211">
        <f t="shared" si="969"/>
        <v>0</v>
      </c>
      <c r="S492" s="1104">
        <f t="shared" si="969"/>
        <v>0</v>
      </c>
      <c r="T492" s="1104">
        <f t="shared" si="969"/>
        <v>0</v>
      </c>
      <c r="U492" s="1104">
        <f t="shared" si="969"/>
        <v>0</v>
      </c>
      <c r="V492" s="1104">
        <f t="shared" si="969"/>
        <v>0</v>
      </c>
      <c r="W492" s="1104">
        <f t="shared" si="969"/>
        <v>0</v>
      </c>
      <c r="X492" s="1211">
        <f t="shared" si="969"/>
        <v>0</v>
      </c>
      <c r="Y492" s="1211">
        <f t="shared" si="969"/>
        <v>0</v>
      </c>
      <c r="Z492" s="1104">
        <f t="shared" si="969"/>
        <v>0</v>
      </c>
      <c r="AA492" s="1104">
        <f t="shared" ref="AA492" si="970">SUM(AA486+AA488+AA489+AA490)/AA491</f>
        <v>0</v>
      </c>
      <c r="AB492" s="1104">
        <f t="shared" si="969"/>
        <v>0</v>
      </c>
      <c r="AC492" s="1104">
        <f t="shared" si="969"/>
        <v>0</v>
      </c>
      <c r="AD492" s="1104">
        <f t="shared" si="969"/>
        <v>0</v>
      </c>
      <c r="AE492" s="1211">
        <f t="shared" si="969"/>
        <v>0</v>
      </c>
      <c r="AF492" s="1211">
        <f t="shared" si="969"/>
        <v>0</v>
      </c>
      <c r="AG492" s="1104">
        <f t="shared" si="969"/>
        <v>0</v>
      </c>
      <c r="AH492" s="1104">
        <f t="shared" si="969"/>
        <v>0</v>
      </c>
      <c r="AI492" s="1335">
        <f>SUM(AI486+AI488+AI489)/AI491</f>
        <v>0</v>
      </c>
      <c r="AJ492" s="104">
        <f>SUM(E492:AI492)</f>
        <v>0</v>
      </c>
      <c r="AK492" s="104"/>
      <c r="AL492" s="83"/>
      <c r="AM492" s="1068">
        <f t="shared" si="920"/>
        <v>0</v>
      </c>
      <c r="AN492" s="31"/>
      <c r="AO492" s="622"/>
      <c r="AP492" s="23"/>
      <c r="AQ492" s="23"/>
      <c r="AR492" s="23"/>
      <c r="AS492" s="23"/>
      <c r="AT492" s="23"/>
      <c r="AU492" s="23"/>
      <c r="AV492" s="23"/>
    </row>
    <row r="493" spans="1:48" ht="25.15" hidden="1" customHeight="1">
      <c r="A493" s="103"/>
      <c r="B493" s="59"/>
      <c r="C493" s="84">
        <f>+C491*0.8</f>
        <v>240000</v>
      </c>
      <c r="D493" s="85" t="s">
        <v>110</v>
      </c>
      <c r="E493" s="1105"/>
      <c r="F493" s="1106"/>
      <c r="G493" s="1211"/>
      <c r="H493" s="1104"/>
      <c r="I493" s="1104"/>
      <c r="J493" s="1211"/>
      <c r="K493" s="1211"/>
      <c r="L493" s="1104"/>
      <c r="M493" s="1104"/>
      <c r="N493" s="1104"/>
      <c r="O493" s="1107"/>
      <c r="P493" s="1104"/>
      <c r="Q493" s="1211"/>
      <c r="R493" s="1211"/>
      <c r="S493" s="1104"/>
      <c r="T493" s="1104"/>
      <c r="U493" s="1104"/>
      <c r="V493" s="1104"/>
      <c r="W493" s="1104"/>
      <c r="X493" s="1211"/>
      <c r="Y493" s="1211"/>
      <c r="Z493" s="1104"/>
      <c r="AA493" s="1104"/>
      <c r="AB493" s="1104"/>
      <c r="AC493" s="1104"/>
      <c r="AD493" s="1104"/>
      <c r="AE493" s="1211"/>
      <c r="AF493" s="1211"/>
      <c r="AG493" s="1104"/>
      <c r="AH493" s="1104"/>
      <c r="AI493" s="1353"/>
      <c r="AJ493" s="86"/>
      <c r="AK493" s="86"/>
      <c r="AL493" s="690"/>
      <c r="AM493" s="694">
        <f t="shared" si="920"/>
        <v>0</v>
      </c>
      <c r="AN493" s="31"/>
      <c r="AO493" s="622"/>
      <c r="AP493" s="23"/>
      <c r="AQ493" s="23"/>
      <c r="AR493" s="23"/>
      <c r="AS493" s="23"/>
      <c r="AT493" s="23"/>
      <c r="AU493" s="23"/>
      <c r="AV493" s="23"/>
    </row>
    <row r="494" spans="1:48" ht="25.15" hidden="1" customHeight="1">
      <c r="A494" s="103"/>
      <c r="B494" s="105"/>
      <c r="C494" s="77"/>
      <c r="D494" s="88" t="s">
        <v>111</v>
      </c>
      <c r="E494" s="1108">
        <f>IF(E493="O/H",E492,0+E492)</f>
        <v>0</v>
      </c>
      <c r="F494" s="1089">
        <f t="shared" ref="F494:AI494" si="971">IF(F493="O/H",F492,+E494+F492)</f>
        <v>0</v>
      </c>
      <c r="G494" s="44">
        <f t="shared" si="971"/>
        <v>0</v>
      </c>
      <c r="H494" s="1089">
        <f t="shared" si="971"/>
        <v>0</v>
      </c>
      <c r="I494" s="1089">
        <f t="shared" si="971"/>
        <v>0</v>
      </c>
      <c r="J494" s="44">
        <f t="shared" si="971"/>
        <v>0</v>
      </c>
      <c r="K494" s="44">
        <f t="shared" si="971"/>
        <v>0</v>
      </c>
      <c r="L494" s="1089">
        <f t="shared" si="971"/>
        <v>0</v>
      </c>
      <c r="M494" s="1089">
        <f t="shared" si="971"/>
        <v>0</v>
      </c>
      <c r="N494" s="1089">
        <f t="shared" si="971"/>
        <v>0</v>
      </c>
      <c r="O494" s="1089">
        <f t="shared" si="971"/>
        <v>0</v>
      </c>
      <c r="P494" s="1089">
        <f t="shared" si="971"/>
        <v>0</v>
      </c>
      <c r="Q494" s="44">
        <f t="shared" si="971"/>
        <v>0</v>
      </c>
      <c r="R494" s="44">
        <f t="shared" si="971"/>
        <v>0</v>
      </c>
      <c r="S494" s="1089">
        <f t="shared" si="971"/>
        <v>0</v>
      </c>
      <c r="T494" s="1089">
        <f t="shared" si="971"/>
        <v>0</v>
      </c>
      <c r="U494" s="1089">
        <f t="shared" si="971"/>
        <v>0</v>
      </c>
      <c r="V494" s="1089">
        <f t="shared" si="971"/>
        <v>0</v>
      </c>
      <c r="W494" s="1089">
        <f t="shared" si="971"/>
        <v>0</v>
      </c>
      <c r="X494" s="44">
        <f t="shared" si="971"/>
        <v>0</v>
      </c>
      <c r="Y494" s="44">
        <f t="shared" si="971"/>
        <v>0</v>
      </c>
      <c r="Z494" s="1089">
        <f t="shared" si="971"/>
        <v>0</v>
      </c>
      <c r="AA494" s="1089">
        <f t="shared" si="971"/>
        <v>0</v>
      </c>
      <c r="AB494" s="1089">
        <f t="shared" si="971"/>
        <v>0</v>
      </c>
      <c r="AC494" s="1089">
        <f t="shared" si="971"/>
        <v>0</v>
      </c>
      <c r="AD494" s="1089">
        <f t="shared" si="971"/>
        <v>0</v>
      </c>
      <c r="AE494" s="44">
        <f t="shared" si="971"/>
        <v>0</v>
      </c>
      <c r="AF494" s="44">
        <f t="shared" si="971"/>
        <v>0</v>
      </c>
      <c r="AG494" s="1089">
        <f t="shared" si="971"/>
        <v>0</v>
      </c>
      <c r="AH494" s="1089">
        <f t="shared" si="971"/>
        <v>0</v>
      </c>
      <c r="AI494" s="1326">
        <f t="shared" si="971"/>
        <v>0</v>
      </c>
      <c r="AJ494" s="79"/>
      <c r="AK494" s="86"/>
      <c r="AL494" s="689"/>
      <c r="AM494" s="694">
        <f t="shared" si="920"/>
        <v>0</v>
      </c>
      <c r="AN494" s="31"/>
      <c r="AO494" s="622"/>
      <c r="AP494" s="23"/>
      <c r="AQ494" s="23"/>
      <c r="AR494" s="23"/>
      <c r="AS494" s="23"/>
      <c r="AT494" s="23"/>
      <c r="AU494" s="23"/>
      <c r="AV494" s="23"/>
    </row>
    <row r="495" spans="1:48" s="23" customFormat="1" ht="20.65" hidden="1" customHeight="1">
      <c r="A495" s="274"/>
      <c r="B495" s="312"/>
      <c r="C495" s="308"/>
      <c r="D495" s="795" t="s">
        <v>112</v>
      </c>
      <c r="E495" s="1108">
        <f>IF(AND(ISNUMBER(E486)),236607+E492)</f>
        <v>236607</v>
      </c>
      <c r="F495" s="1089" t="str">
        <f>IF(AND(ISNUMBER(F486)),E495+F492,"")</f>
        <v/>
      </c>
      <c r="G495" s="44" t="str">
        <f t="shared" ref="G495" si="972">IF(AND(ISNUMBER(G486)),F495+G492,"")</f>
        <v/>
      </c>
      <c r="H495" s="1089" t="str">
        <f t="shared" ref="H495" si="973">IF(AND(ISNUMBER(H486)),G495+H492,"")</f>
        <v/>
      </c>
      <c r="I495" s="1089" t="str">
        <f>IF(AND(ISNUMBER(I486)),H495+I492,"")</f>
        <v/>
      </c>
      <c r="J495" s="44" t="str">
        <f>IF(AND(ISNUMBER(J486)),I495+J492,"")</f>
        <v/>
      </c>
      <c r="K495" s="44" t="str">
        <f>IF(AND(ISNUMBER(K486)),J495+K492,"")</f>
        <v/>
      </c>
      <c r="L495" s="1089" t="str">
        <f t="shared" ref="L495" si="974">IF(AND(ISNUMBER(L486)),K495+L492,"")</f>
        <v/>
      </c>
      <c r="M495" s="1089" t="str">
        <f t="shared" ref="M495" si="975">IF(AND(ISNUMBER(M486)),L495+M492,"")</f>
        <v/>
      </c>
      <c r="N495" s="1089" t="str">
        <f t="shared" ref="N495" si="976">IF(AND(ISNUMBER(N486)),M495+N492,"")</f>
        <v/>
      </c>
      <c r="O495" s="1089" t="str">
        <f t="shared" ref="O495" si="977">IF(AND(ISNUMBER(O486)),N495+O492,"")</f>
        <v/>
      </c>
      <c r="P495" s="1089" t="str">
        <f t="shared" ref="P495" si="978">IF(AND(ISNUMBER(P486)),O495+P492,"")</f>
        <v/>
      </c>
      <c r="Q495" s="44" t="str">
        <f t="shared" ref="Q495" si="979">IF(AND(ISNUMBER(Q486)),P495+Q492,"")</f>
        <v/>
      </c>
      <c r="R495" s="44" t="str">
        <f t="shared" ref="R495" si="980">IF(AND(ISNUMBER(R486)),Q495+R492,"")</f>
        <v/>
      </c>
      <c r="S495" s="1089" t="str">
        <f t="shared" ref="S495" si="981">IF(AND(ISNUMBER(S486)),R495+S492,"")</f>
        <v/>
      </c>
      <c r="T495" s="1089" t="str">
        <f t="shared" ref="T495" si="982">IF(AND(ISNUMBER(T486)),S495+T492,"")</f>
        <v/>
      </c>
      <c r="U495" s="1089" t="str">
        <f t="shared" ref="U495" si="983">IF(AND(ISNUMBER(U486)),T495+U492,"")</f>
        <v/>
      </c>
      <c r="V495" s="1089" t="str">
        <f t="shared" ref="V495" si="984">IF(AND(ISNUMBER(V486)),U495+V492,"")</f>
        <v/>
      </c>
      <c r="W495" s="1089" t="str">
        <f t="shared" ref="W495" si="985">IF(AND(ISNUMBER(W486)),V495+W492,"")</f>
        <v/>
      </c>
      <c r="X495" s="44" t="str">
        <f t="shared" ref="X495" si="986">IF(AND(ISNUMBER(X486)),W495+X492,"")</f>
        <v/>
      </c>
      <c r="Y495" s="44" t="str">
        <f t="shared" ref="Y495" si="987">IF(AND(ISNUMBER(Y486)),X495+Y492,"")</f>
        <v/>
      </c>
      <c r="Z495" s="1089" t="str">
        <f t="shared" ref="Z495" si="988">IF(AND(ISNUMBER(Z486)),Y495+Z492,"")</f>
        <v/>
      </c>
      <c r="AA495" s="1089" t="str">
        <f t="shared" ref="AA495" si="989">IF(AND(ISNUMBER(AA486)),Z495+AA492,"")</f>
        <v/>
      </c>
      <c r="AB495" s="1089" t="str">
        <f t="shared" ref="AB495" si="990">IF(AND(ISNUMBER(AB486)),AA495+AB492,"")</f>
        <v/>
      </c>
      <c r="AC495" s="1089" t="str">
        <f t="shared" ref="AC495" si="991">IF(AND(ISNUMBER(AC486)),AB495+AC492,"")</f>
        <v/>
      </c>
      <c r="AD495" s="1089" t="str">
        <f t="shared" ref="AD495" si="992">IF(AND(ISNUMBER(AD486)),AC495+AD492,"")</f>
        <v/>
      </c>
      <c r="AE495" s="44" t="str">
        <f t="shared" ref="AE495" si="993">IF(AND(ISNUMBER(AE486)),AD495+AE492,"")</f>
        <v/>
      </c>
      <c r="AF495" s="44" t="str">
        <f t="shared" ref="AF495" si="994">IF(AND(ISNUMBER(AF486)),AE495+AF492,"")</f>
        <v/>
      </c>
      <c r="AG495" s="1089" t="str">
        <f t="shared" ref="AG495" si="995">IF(AND(ISNUMBER(AG486)),AF495+AG492,"")</f>
        <v/>
      </c>
      <c r="AH495" s="1089" t="str">
        <f t="shared" ref="AH495" si="996">IF(AND(ISNUMBER(AH486)),AG495+AH492,"")</f>
        <v/>
      </c>
      <c r="AI495" s="1089" t="str">
        <f t="shared" ref="AI495" si="997">IF(AND(ISNUMBER(AI486)),AH495+AI492,"")</f>
        <v/>
      </c>
      <c r="AJ495" s="793"/>
      <c r="AK495" s="793"/>
      <c r="AL495" s="909"/>
      <c r="AM495" s="890">
        <f t="shared" si="920"/>
        <v>0</v>
      </c>
      <c r="AN495" s="76"/>
      <c r="AO495" s="624"/>
      <c r="AP495" s="285"/>
      <c r="AQ495" s="285"/>
      <c r="AR495" s="285"/>
      <c r="AS495" s="285"/>
      <c r="AT495" s="286"/>
      <c r="AU495" s="285"/>
      <c r="AV495" s="287"/>
    </row>
    <row r="496" spans="1:48" ht="25.15" hidden="1" customHeight="1">
      <c r="A496" s="103"/>
      <c r="B496" s="89"/>
      <c r="C496" s="80"/>
      <c r="D496" s="90" t="s">
        <v>104</v>
      </c>
      <c r="E496" s="1108"/>
      <c r="F496" s="1089"/>
      <c r="G496" s="44"/>
      <c r="H496" s="1089"/>
      <c r="I496" s="1089"/>
      <c r="J496" s="44"/>
      <c r="K496" s="44"/>
      <c r="L496" s="1089"/>
      <c r="M496" s="1089"/>
      <c r="N496" s="1089"/>
      <c r="O496" s="1089"/>
      <c r="P496" s="1089"/>
      <c r="Q496" s="44"/>
      <c r="R496" s="44"/>
      <c r="S496" s="1089"/>
      <c r="T496" s="1089"/>
      <c r="U496" s="1089"/>
      <c r="V496" s="1089"/>
      <c r="W496" s="1089"/>
      <c r="X496" s="44"/>
      <c r="Y496" s="44"/>
      <c r="Z496" s="1089"/>
      <c r="AA496" s="1089"/>
      <c r="AB496" s="1089"/>
      <c r="AC496" s="1089"/>
      <c r="AD496" s="1089"/>
      <c r="AE496" s="44"/>
      <c r="AF496" s="44"/>
      <c r="AG496" s="1089"/>
      <c r="AH496" s="1089"/>
      <c r="AI496" s="1326"/>
      <c r="AJ496" s="79"/>
      <c r="AK496" s="79"/>
      <c r="AL496" s="63"/>
      <c r="AM496" s="1068">
        <f t="shared" si="920"/>
        <v>0</v>
      </c>
      <c r="AN496" s="64"/>
      <c r="AO496" s="624"/>
      <c r="AP496" s="23"/>
      <c r="AQ496" s="23"/>
      <c r="AR496" s="23"/>
      <c r="AS496" s="23"/>
      <c r="AT496" s="23"/>
      <c r="AU496" s="23"/>
      <c r="AV496" s="23"/>
    </row>
    <row r="497" spans="1:48" ht="25.15" hidden="1" customHeight="1" thickBot="1">
      <c r="A497" s="106"/>
      <c r="B497" s="93"/>
      <c r="C497" s="94"/>
      <c r="D497" s="95" t="s">
        <v>111</v>
      </c>
      <c r="E497" s="1109">
        <f>IF(E496="O/H",E492,0+E492)</f>
        <v>0</v>
      </c>
      <c r="F497" s="1110">
        <f t="shared" ref="F497:AI497" si="998">IF(F496="O/H",F492,+E497+F492)</f>
        <v>0</v>
      </c>
      <c r="G497" s="1212">
        <f t="shared" si="998"/>
        <v>0</v>
      </c>
      <c r="H497" s="1110">
        <f t="shared" si="998"/>
        <v>0</v>
      </c>
      <c r="I497" s="1110">
        <f t="shared" si="998"/>
        <v>0</v>
      </c>
      <c r="J497" s="1212">
        <f t="shared" si="998"/>
        <v>0</v>
      </c>
      <c r="K497" s="1212">
        <f t="shared" si="998"/>
        <v>0</v>
      </c>
      <c r="L497" s="1110">
        <f t="shared" si="998"/>
        <v>0</v>
      </c>
      <c r="M497" s="1110">
        <f t="shared" si="998"/>
        <v>0</v>
      </c>
      <c r="N497" s="1110">
        <f t="shared" si="998"/>
        <v>0</v>
      </c>
      <c r="O497" s="1110">
        <f t="shared" si="998"/>
        <v>0</v>
      </c>
      <c r="P497" s="1110">
        <f t="shared" si="998"/>
        <v>0</v>
      </c>
      <c r="Q497" s="1212">
        <f t="shared" si="998"/>
        <v>0</v>
      </c>
      <c r="R497" s="1212">
        <f t="shared" si="998"/>
        <v>0</v>
      </c>
      <c r="S497" s="1110">
        <f t="shared" si="998"/>
        <v>0</v>
      </c>
      <c r="T497" s="1110">
        <f t="shared" si="998"/>
        <v>0</v>
      </c>
      <c r="U497" s="1110">
        <f t="shared" si="998"/>
        <v>0</v>
      </c>
      <c r="V497" s="1110">
        <f t="shared" si="998"/>
        <v>0</v>
      </c>
      <c r="W497" s="1110">
        <f t="shared" si="998"/>
        <v>0</v>
      </c>
      <c r="X497" s="1212">
        <f t="shared" si="998"/>
        <v>0</v>
      </c>
      <c r="Y497" s="1212">
        <f t="shared" si="998"/>
        <v>0</v>
      </c>
      <c r="Z497" s="1110">
        <f t="shared" si="998"/>
        <v>0</v>
      </c>
      <c r="AA497" s="1110">
        <f t="shared" si="998"/>
        <v>0</v>
      </c>
      <c r="AB497" s="1110">
        <f t="shared" si="998"/>
        <v>0</v>
      </c>
      <c r="AC497" s="1110">
        <f t="shared" si="998"/>
        <v>0</v>
      </c>
      <c r="AD497" s="1110">
        <f t="shared" si="998"/>
        <v>0</v>
      </c>
      <c r="AE497" s="1212">
        <f t="shared" si="998"/>
        <v>0</v>
      </c>
      <c r="AF497" s="1212">
        <f t="shared" si="998"/>
        <v>0</v>
      </c>
      <c r="AG497" s="1110">
        <f t="shared" si="998"/>
        <v>0</v>
      </c>
      <c r="AH497" s="1110">
        <f t="shared" si="998"/>
        <v>0</v>
      </c>
      <c r="AI497" s="1340">
        <f t="shared" si="998"/>
        <v>0</v>
      </c>
      <c r="AJ497" s="96"/>
      <c r="AK497" s="96"/>
      <c r="AL497" s="97"/>
      <c r="AM497" s="1071">
        <f t="shared" si="920"/>
        <v>0</v>
      </c>
      <c r="AN497" s="98"/>
      <c r="AO497" s="625"/>
      <c r="AP497" s="23"/>
      <c r="AQ497" s="23"/>
      <c r="AR497" s="23"/>
      <c r="AS497" s="23"/>
      <c r="AT497" s="23"/>
      <c r="AU497" s="23"/>
      <c r="AV497" s="23"/>
    </row>
    <row r="498" spans="1:48" ht="25.15" hidden="1" customHeight="1" thickTop="1">
      <c r="A498" s="99"/>
      <c r="B498" s="26" t="s">
        <v>131</v>
      </c>
      <c r="C498" s="27"/>
      <c r="D498" s="28" t="s">
        <v>82</v>
      </c>
      <c r="E498" s="1111"/>
      <c r="F498" s="1111"/>
      <c r="G498" s="1201"/>
      <c r="H498" s="1111"/>
      <c r="I498" s="1111"/>
      <c r="J498" s="1201"/>
      <c r="K498" s="1201"/>
      <c r="L498" s="1111"/>
      <c r="M498" s="1111"/>
      <c r="N498" s="1111"/>
      <c r="O498" s="1111"/>
      <c r="P498" s="1111"/>
      <c r="Q498" s="1201"/>
      <c r="R498" s="1201"/>
      <c r="S498" s="1111"/>
      <c r="T498" s="1111"/>
      <c r="U498" s="1111"/>
      <c r="V498" s="1111"/>
      <c r="W498" s="1111"/>
      <c r="X498" s="1201"/>
      <c r="Y498" s="1201"/>
      <c r="Z498" s="1111"/>
      <c r="AA498" s="1089"/>
      <c r="AB498" s="1111"/>
      <c r="AC498" s="1111"/>
      <c r="AD498" s="1111"/>
      <c r="AE498" s="1201"/>
      <c r="AF498" s="1201"/>
      <c r="AG498" s="1111"/>
      <c r="AH498" s="1111"/>
      <c r="AI498" s="1412"/>
      <c r="AJ498" s="100">
        <f>SUM(Table75[[#This Row],[June''2026]:[Column27]])</f>
        <v>0</v>
      </c>
      <c r="AK498" s="100">
        <f t="shared" si="922"/>
        <v>0</v>
      </c>
      <c r="AL498" s="101">
        <f>+AJ498*AN498</f>
        <v>0</v>
      </c>
      <c r="AM498" s="1072">
        <f t="shared" si="920"/>
        <v>0</v>
      </c>
      <c r="AN498" s="102"/>
      <c r="AO498" s="622" t="e">
        <f>Table5[[#This Row],[Total]]*B502/1000</f>
        <v>#VALUE!</v>
      </c>
      <c r="AP498" s="32" t="s">
        <v>166</v>
      </c>
      <c r="AQ498" s="33" t="s">
        <v>84</v>
      </c>
      <c r="AR498" s="33" t="s">
        <v>85</v>
      </c>
      <c r="AS498" s="33" t="s">
        <v>86</v>
      </c>
      <c r="AT498" s="33" t="s">
        <v>87</v>
      </c>
      <c r="AU498" s="33" t="s">
        <v>88</v>
      </c>
      <c r="AV498" s="34" t="s">
        <v>68</v>
      </c>
    </row>
    <row r="499" spans="1:48" ht="25.15" hidden="1" customHeight="1">
      <c r="A499" s="103"/>
      <c r="B499" s="35" t="s">
        <v>132</v>
      </c>
      <c r="C499" s="36"/>
      <c r="D499" s="37" t="s">
        <v>90</v>
      </c>
      <c r="E499" s="1373">
        <f>IF(E498="",0,+ E498/E505)</f>
        <v>0</v>
      </c>
      <c r="F499" s="1096">
        <f t="shared" ref="F499:AI499" si="999">IF(F498="",0, E499+F498/F505)</f>
        <v>0</v>
      </c>
      <c r="G499" s="1207">
        <f t="shared" si="999"/>
        <v>0</v>
      </c>
      <c r="H499" s="1096">
        <f t="shared" si="999"/>
        <v>0</v>
      </c>
      <c r="I499" s="1096">
        <f t="shared" si="999"/>
        <v>0</v>
      </c>
      <c r="J499" s="1207">
        <f t="shared" si="999"/>
        <v>0</v>
      </c>
      <c r="K499" s="1207">
        <f t="shared" si="999"/>
        <v>0</v>
      </c>
      <c r="L499" s="1096">
        <f t="shared" si="999"/>
        <v>0</v>
      </c>
      <c r="M499" s="1096">
        <f t="shared" si="999"/>
        <v>0</v>
      </c>
      <c r="N499" s="1096">
        <f t="shared" si="999"/>
        <v>0</v>
      </c>
      <c r="O499" s="1096">
        <f t="shared" si="999"/>
        <v>0</v>
      </c>
      <c r="P499" s="1096">
        <f t="shared" si="999"/>
        <v>0</v>
      </c>
      <c r="Q499" s="1207">
        <f t="shared" si="999"/>
        <v>0</v>
      </c>
      <c r="R499" s="1207">
        <f t="shared" si="999"/>
        <v>0</v>
      </c>
      <c r="S499" s="1096">
        <f t="shared" si="999"/>
        <v>0</v>
      </c>
      <c r="T499" s="1096">
        <f t="shared" si="999"/>
        <v>0</v>
      </c>
      <c r="U499" s="1096">
        <f t="shared" si="999"/>
        <v>0</v>
      </c>
      <c r="V499" s="1096">
        <f t="shared" si="999"/>
        <v>0</v>
      </c>
      <c r="W499" s="1096">
        <f t="shared" si="999"/>
        <v>0</v>
      </c>
      <c r="X499" s="1207">
        <f t="shared" si="999"/>
        <v>0</v>
      </c>
      <c r="Y499" s="1207">
        <f t="shared" si="999"/>
        <v>0</v>
      </c>
      <c r="Z499" s="1096">
        <f t="shared" si="999"/>
        <v>0</v>
      </c>
      <c r="AA499" s="1089"/>
      <c r="AB499" s="1096">
        <f t="shared" si="999"/>
        <v>0</v>
      </c>
      <c r="AC499" s="1096">
        <f t="shared" si="999"/>
        <v>0</v>
      </c>
      <c r="AD499" s="1096">
        <f t="shared" si="999"/>
        <v>0</v>
      </c>
      <c r="AE499" s="1207">
        <f t="shared" si="999"/>
        <v>0</v>
      </c>
      <c r="AF499" s="1207">
        <f t="shared" si="999"/>
        <v>0</v>
      </c>
      <c r="AG499" s="1096">
        <f t="shared" si="999"/>
        <v>0</v>
      </c>
      <c r="AH499" s="1096">
        <f t="shared" si="999"/>
        <v>0</v>
      </c>
      <c r="AI499" s="1324">
        <f t="shared" si="999"/>
        <v>0</v>
      </c>
      <c r="AJ499" s="38"/>
      <c r="AK499" s="29"/>
      <c r="AL499" s="30"/>
      <c r="AM499" s="694">
        <f t="shared" si="920"/>
        <v>0</v>
      </c>
      <c r="AN499" s="31"/>
      <c r="AO499" s="630"/>
      <c r="AP499" s="39" t="s">
        <v>91</v>
      </c>
      <c r="AQ499" s="40">
        <f>SUM(E498:I498)</f>
        <v>0</v>
      </c>
      <c r="AR499" s="41">
        <f>SUM(J498:P498)</f>
        <v>0</v>
      </c>
      <c r="AS499" s="41">
        <f>SUM(Q498:W498)</f>
        <v>0</v>
      </c>
      <c r="AT499" s="41">
        <f>SUM(X498:AD498)</f>
        <v>0</v>
      </c>
      <c r="AU499" s="41">
        <f>SUM(AE498:AI498)</f>
        <v>0</v>
      </c>
      <c r="AV499" s="34">
        <f t="shared" ref="AV499:AV504" si="1000">SUM(AQ499:AU499)</f>
        <v>0</v>
      </c>
    </row>
    <row r="500" spans="1:48" ht="25.15" hidden="1" customHeight="1">
      <c r="A500" s="103"/>
      <c r="B500" s="26" t="s">
        <v>92</v>
      </c>
      <c r="C500" s="42"/>
      <c r="D500" s="43" t="s">
        <v>93</v>
      </c>
      <c r="E500" s="1325"/>
      <c r="F500" s="1089"/>
      <c r="G500" s="44"/>
      <c r="H500" s="1089"/>
      <c r="I500" s="1089"/>
      <c r="J500" s="44"/>
      <c r="K500" s="44"/>
      <c r="L500" s="1089"/>
      <c r="M500" s="1089"/>
      <c r="N500" s="1089"/>
      <c r="O500" s="1089"/>
      <c r="P500" s="1089"/>
      <c r="Q500" s="44"/>
      <c r="R500" s="44"/>
      <c r="S500" s="1089"/>
      <c r="T500" s="1089"/>
      <c r="U500" s="1089"/>
      <c r="V500" s="1089"/>
      <c r="W500" s="1089"/>
      <c r="X500" s="44"/>
      <c r="Y500" s="44"/>
      <c r="Z500" s="1089"/>
      <c r="AA500" s="1089"/>
      <c r="AB500" s="1089"/>
      <c r="AC500" s="1089"/>
      <c r="AD500" s="1089"/>
      <c r="AE500" s="44"/>
      <c r="AF500" s="44"/>
      <c r="AG500" s="1089"/>
      <c r="AH500" s="1089"/>
      <c r="AI500" s="1326"/>
      <c r="AJ500" s="45">
        <f>SUM(E500:AI500)</f>
        <v>0</v>
      </c>
      <c r="AK500" s="45"/>
      <c r="AL500" s="46">
        <f>+AJ500*AN498</f>
        <v>0</v>
      </c>
      <c r="AM500" s="1066">
        <f t="shared" si="920"/>
        <v>0</v>
      </c>
      <c r="AN500" s="31"/>
      <c r="AO500" s="632">
        <f>(AJ500+AJ502+AJ503+AJ504)*B502/1000</f>
        <v>0</v>
      </c>
      <c r="AP500" s="47" t="s">
        <v>94</v>
      </c>
      <c r="AQ500" s="48">
        <f>SUM(E500:I500)</f>
        <v>0</v>
      </c>
      <c r="AR500" s="49">
        <f>SUM(J500:P500)</f>
        <v>0</v>
      </c>
      <c r="AS500" s="49">
        <f>SUM(Q500:W500)</f>
        <v>0</v>
      </c>
      <c r="AT500" s="49">
        <f>SUM(X500:AD500)</f>
        <v>0</v>
      </c>
      <c r="AU500" s="49">
        <f>SUM(AE500:AI500)</f>
        <v>0</v>
      </c>
      <c r="AV500" s="50">
        <f t="shared" si="1000"/>
        <v>0</v>
      </c>
    </row>
    <row r="501" spans="1:48" ht="25.15" hidden="1" customHeight="1">
      <c r="A501" s="103"/>
      <c r="B501" s="51"/>
      <c r="C501" s="52" t="s">
        <v>95</v>
      </c>
      <c r="D501" s="53" t="s">
        <v>96</v>
      </c>
      <c r="E501" s="1327">
        <f t="shared" ref="E501:AJ501" si="1001">+E500-E498</f>
        <v>0</v>
      </c>
      <c r="F501" s="1097">
        <f t="shared" si="1001"/>
        <v>0</v>
      </c>
      <c r="G501" s="1205">
        <f t="shared" si="1001"/>
        <v>0</v>
      </c>
      <c r="H501" s="1097">
        <f t="shared" si="1001"/>
        <v>0</v>
      </c>
      <c r="I501" s="1097">
        <f t="shared" si="1001"/>
        <v>0</v>
      </c>
      <c r="J501" s="1205">
        <f t="shared" si="1001"/>
        <v>0</v>
      </c>
      <c r="K501" s="1205">
        <f t="shared" si="1001"/>
        <v>0</v>
      </c>
      <c r="L501" s="1097">
        <f t="shared" si="1001"/>
        <v>0</v>
      </c>
      <c r="M501" s="1097">
        <f t="shared" si="1001"/>
        <v>0</v>
      </c>
      <c r="N501" s="1097">
        <f t="shared" si="1001"/>
        <v>0</v>
      </c>
      <c r="O501" s="1097">
        <f t="shared" si="1001"/>
        <v>0</v>
      </c>
      <c r="P501" s="1097">
        <f t="shared" si="1001"/>
        <v>0</v>
      </c>
      <c r="Q501" s="1205">
        <f t="shared" si="1001"/>
        <v>0</v>
      </c>
      <c r="R501" s="1205">
        <f t="shared" si="1001"/>
        <v>0</v>
      </c>
      <c r="S501" s="1097">
        <f t="shared" si="1001"/>
        <v>0</v>
      </c>
      <c r="T501" s="1097">
        <f t="shared" si="1001"/>
        <v>0</v>
      </c>
      <c r="U501" s="1097">
        <f t="shared" si="1001"/>
        <v>0</v>
      </c>
      <c r="V501" s="1097">
        <f t="shared" si="1001"/>
        <v>0</v>
      </c>
      <c r="W501" s="1097">
        <f t="shared" si="1001"/>
        <v>0</v>
      </c>
      <c r="X501" s="1205">
        <f t="shared" si="1001"/>
        <v>0</v>
      </c>
      <c r="Y501" s="1205">
        <f t="shared" si="1001"/>
        <v>0</v>
      </c>
      <c r="Z501" s="1097">
        <f t="shared" si="1001"/>
        <v>0</v>
      </c>
      <c r="AA501" s="1097">
        <f t="shared" ref="AA501" si="1002">+AA500-AA498</f>
        <v>0</v>
      </c>
      <c r="AB501" s="1097">
        <f t="shared" si="1001"/>
        <v>0</v>
      </c>
      <c r="AC501" s="1097">
        <f t="shared" si="1001"/>
        <v>0</v>
      </c>
      <c r="AD501" s="1097">
        <f t="shared" si="1001"/>
        <v>0</v>
      </c>
      <c r="AE501" s="1205">
        <f t="shared" si="1001"/>
        <v>0</v>
      </c>
      <c r="AF501" s="1205">
        <f t="shared" si="1001"/>
        <v>0</v>
      </c>
      <c r="AG501" s="1097">
        <f t="shared" si="1001"/>
        <v>0</v>
      </c>
      <c r="AH501" s="1097">
        <f t="shared" si="1001"/>
        <v>0</v>
      </c>
      <c r="AI501" s="1328">
        <f t="shared" si="1001"/>
        <v>0</v>
      </c>
      <c r="AJ501" s="54">
        <f t="shared" si="1001"/>
        <v>0</v>
      </c>
      <c r="AK501" s="54"/>
      <c r="AL501" s="55">
        <f>+AJ501*AN498</f>
        <v>0</v>
      </c>
      <c r="AM501" s="1067">
        <f t="shared" si="920"/>
        <v>0</v>
      </c>
      <c r="AN501" s="31" t="s">
        <v>97</v>
      </c>
      <c r="AO501" s="622"/>
      <c r="AP501" s="39" t="s">
        <v>98</v>
      </c>
      <c r="AQ501" s="56">
        <f>AQ500-AQ499</f>
        <v>0</v>
      </c>
      <c r="AR501" s="70">
        <f>AR500-AR499</f>
        <v>0</v>
      </c>
      <c r="AS501" s="70">
        <f>AS500-AS499</f>
        <v>0</v>
      </c>
      <c r="AT501" s="70">
        <f>AT500-AT499</f>
        <v>0</v>
      </c>
      <c r="AU501" s="70">
        <f>AU500-AU499</f>
        <v>0</v>
      </c>
      <c r="AV501" s="57">
        <f t="shared" si="1000"/>
        <v>0</v>
      </c>
    </row>
    <row r="502" spans="1:48" ht="25.15" hidden="1" customHeight="1">
      <c r="A502" s="58"/>
      <c r="B502" s="59"/>
      <c r="C502" s="60" t="s">
        <v>100</v>
      </c>
      <c r="D502" s="61" t="s">
        <v>101</v>
      </c>
      <c r="E502" s="1329"/>
      <c r="F502" s="1099"/>
      <c r="G502" s="1208"/>
      <c r="H502" s="1099"/>
      <c r="I502" s="1099"/>
      <c r="J502" s="1208"/>
      <c r="K502" s="1208"/>
      <c r="L502" s="1099"/>
      <c r="M502" s="1099"/>
      <c r="N502" s="1099"/>
      <c r="O502" s="1099"/>
      <c r="P502" s="1099"/>
      <c r="Q502" s="1208"/>
      <c r="R502" s="1208"/>
      <c r="S502" s="1099"/>
      <c r="T502" s="1099"/>
      <c r="U502" s="1099"/>
      <c r="V502" s="1099"/>
      <c r="W502" s="1099"/>
      <c r="X502" s="1208"/>
      <c r="Y502" s="1208"/>
      <c r="Z502" s="1099"/>
      <c r="AA502" s="1099"/>
      <c r="AB502" s="1099"/>
      <c r="AC502" s="1099"/>
      <c r="AD502" s="1099"/>
      <c r="AE502" s="1208"/>
      <c r="AF502" s="1208"/>
      <c r="AG502" s="1099"/>
      <c r="AH502" s="1099"/>
      <c r="AI502" s="1330"/>
      <c r="AJ502" s="62">
        <f>SUM(E502:AI502)</f>
        <v>0</v>
      </c>
      <c r="AK502" s="62"/>
      <c r="AL502" s="63">
        <f>+AJ502*AN498</f>
        <v>0</v>
      </c>
      <c r="AM502" s="1068">
        <f t="shared" si="920"/>
        <v>0</v>
      </c>
      <c r="AN502" s="64" t="e">
        <f>+AJ502/AJ500*100</f>
        <v>#DIV/0!</v>
      </c>
      <c r="AO502" s="635" t="e">
        <f>AO500/AO498</f>
        <v>#VALUE!</v>
      </c>
      <c r="AP502" s="39" t="s">
        <v>102</v>
      </c>
      <c r="AQ502" s="56">
        <f>SUM(E502:I502)</f>
        <v>0</v>
      </c>
      <c r="AR502" s="70">
        <f>SUM(J502:P502)</f>
        <v>0</v>
      </c>
      <c r="AS502" s="70">
        <f>SUM(Q502:W502)</f>
        <v>0</v>
      </c>
      <c r="AT502" s="70">
        <f>SUM(X502:AD502)</f>
        <v>0</v>
      </c>
      <c r="AU502" s="70">
        <f>SUM(AE502:AI502)</f>
        <v>0</v>
      </c>
      <c r="AV502" s="57">
        <f t="shared" si="1000"/>
        <v>0</v>
      </c>
    </row>
    <row r="503" spans="1:48" ht="25.15" hidden="1" customHeight="1">
      <c r="A503" s="58" t="s">
        <v>167</v>
      </c>
      <c r="B503" s="65"/>
      <c r="C503" s="66"/>
      <c r="D503" s="67" t="s">
        <v>103</v>
      </c>
      <c r="E503" s="1331"/>
      <c r="F503" s="1101"/>
      <c r="G503" s="1209"/>
      <c r="H503" s="1101"/>
      <c r="I503" s="1101"/>
      <c r="J503" s="1209"/>
      <c r="K503" s="1209"/>
      <c r="L503" s="1101"/>
      <c r="M503" s="1101"/>
      <c r="N503" s="1101"/>
      <c r="O503" s="1101"/>
      <c r="P503" s="1101"/>
      <c r="Q503" s="1209"/>
      <c r="R503" s="1209"/>
      <c r="S503" s="1101"/>
      <c r="T503" s="1101"/>
      <c r="U503" s="1101"/>
      <c r="V503" s="1101"/>
      <c r="W503" s="1101"/>
      <c r="X503" s="1209"/>
      <c r="Y503" s="1209"/>
      <c r="Z503" s="1101"/>
      <c r="AA503" s="1101"/>
      <c r="AB503" s="1101"/>
      <c r="AC503" s="1101"/>
      <c r="AD503" s="1101"/>
      <c r="AE503" s="1209"/>
      <c r="AF503" s="1209"/>
      <c r="AG503" s="1101"/>
      <c r="AH503" s="1101"/>
      <c r="AI503" s="1332"/>
      <c r="AJ503" s="68">
        <f>SUM(E503:AI503)</f>
        <v>0</v>
      </c>
      <c r="AK503" s="68"/>
      <c r="AL503" s="69">
        <f>+AJ503*AN498</f>
        <v>0</v>
      </c>
      <c r="AM503" s="1069">
        <f t="shared" si="920"/>
        <v>0</v>
      </c>
      <c r="AN503" s="31"/>
      <c r="AO503" s="622"/>
      <c r="AP503" s="39" t="s">
        <v>19</v>
      </c>
      <c r="AQ503" s="56">
        <f>AQ502*AN498</f>
        <v>0</v>
      </c>
      <c r="AR503" s="56">
        <f>AR502*AN498</f>
        <v>0</v>
      </c>
      <c r="AS503" s="56">
        <f>AS502*AN498</f>
        <v>0</v>
      </c>
      <c r="AT503" s="56">
        <f>AT502*AN498</f>
        <v>0</v>
      </c>
      <c r="AU503" s="56">
        <f>AU502*AN498</f>
        <v>0</v>
      </c>
      <c r="AV503" s="57">
        <f t="shared" si="1000"/>
        <v>0</v>
      </c>
    </row>
    <row r="504" spans="1:48" ht="25.15" hidden="1" customHeight="1">
      <c r="A504" s="103"/>
      <c r="B504" s="65"/>
      <c r="C504" s="72" t="s">
        <v>104</v>
      </c>
      <c r="D504" s="73" t="s">
        <v>105</v>
      </c>
      <c r="E504" s="1378"/>
      <c r="F504" s="1103"/>
      <c r="G504" s="1210"/>
      <c r="H504" s="1103"/>
      <c r="I504" s="1103"/>
      <c r="J504" s="1210"/>
      <c r="K504" s="1210"/>
      <c r="L504" s="1103"/>
      <c r="M504" s="1103"/>
      <c r="N504" s="1103"/>
      <c r="O504" s="1103"/>
      <c r="P504" s="1103"/>
      <c r="Q504" s="1210"/>
      <c r="R504" s="1210"/>
      <c r="S504" s="1103"/>
      <c r="T504" s="1103"/>
      <c r="U504" s="1103"/>
      <c r="V504" s="1103"/>
      <c r="W504" s="1103"/>
      <c r="X504" s="1210"/>
      <c r="Y504" s="1210"/>
      <c r="Z504" s="1103"/>
      <c r="AA504" s="1103"/>
      <c r="AB504" s="1103"/>
      <c r="AC504" s="1103"/>
      <c r="AD504" s="1103"/>
      <c r="AE504" s="1210"/>
      <c r="AF504" s="1210"/>
      <c r="AG504" s="1103"/>
      <c r="AH504" s="1103"/>
      <c r="AI504" s="1352"/>
      <c r="AJ504" s="74">
        <f>SUM(E504:AI504)</f>
        <v>0</v>
      </c>
      <c r="AK504" s="74"/>
      <c r="AL504" s="75">
        <f>+AJ504*AN498</f>
        <v>0</v>
      </c>
      <c r="AM504" s="1070">
        <f t="shared" si="920"/>
        <v>0</v>
      </c>
      <c r="AN504" s="76"/>
      <c r="AO504" s="636"/>
      <c r="AP504" s="47" t="s">
        <v>106</v>
      </c>
      <c r="AQ504" s="48">
        <f>AQ500*AN498</f>
        <v>0</v>
      </c>
      <c r="AR504" s="48">
        <f>AR500*AN498</f>
        <v>0</v>
      </c>
      <c r="AS504" s="48">
        <f>AS500*AN498</f>
        <v>0</v>
      </c>
      <c r="AT504" s="48">
        <f>AT500*AN498</f>
        <v>0</v>
      </c>
      <c r="AU504" s="48">
        <f>AU500*AN498</f>
        <v>0</v>
      </c>
      <c r="AV504" s="50">
        <f t="shared" si="1000"/>
        <v>0</v>
      </c>
    </row>
    <row r="505" spans="1:48" ht="25.15" hidden="1" customHeight="1">
      <c r="A505" s="103"/>
      <c r="B505" s="65"/>
      <c r="C505" s="77">
        <v>300000</v>
      </c>
      <c r="D505" s="78" t="s">
        <v>107</v>
      </c>
      <c r="E505" s="1327">
        <v>1</v>
      </c>
      <c r="F505" s="1097">
        <v>1</v>
      </c>
      <c r="G505" s="1205">
        <v>1</v>
      </c>
      <c r="H505" s="1097">
        <v>1</v>
      </c>
      <c r="I505" s="1097">
        <v>1</v>
      </c>
      <c r="J505" s="1205">
        <v>1</v>
      </c>
      <c r="K505" s="1205">
        <v>1</v>
      </c>
      <c r="L505" s="1097">
        <v>1</v>
      </c>
      <c r="M505" s="1097">
        <v>1</v>
      </c>
      <c r="N505" s="1097">
        <v>1</v>
      </c>
      <c r="O505" s="1097">
        <v>1</v>
      </c>
      <c r="P505" s="1097">
        <v>1</v>
      </c>
      <c r="Q505" s="1205">
        <v>1</v>
      </c>
      <c r="R505" s="1205">
        <v>1</v>
      </c>
      <c r="S505" s="1097">
        <v>1</v>
      </c>
      <c r="T505" s="1097">
        <v>1</v>
      </c>
      <c r="U505" s="1097">
        <v>1</v>
      </c>
      <c r="V505" s="1097">
        <v>1</v>
      </c>
      <c r="W505" s="1097">
        <v>1</v>
      </c>
      <c r="X505" s="1205">
        <v>1</v>
      </c>
      <c r="Y505" s="1205">
        <v>1</v>
      </c>
      <c r="Z505" s="1097">
        <v>1</v>
      </c>
      <c r="AA505" s="1097">
        <v>1</v>
      </c>
      <c r="AB505" s="1097">
        <v>1</v>
      </c>
      <c r="AC505" s="1097">
        <v>1</v>
      </c>
      <c r="AD505" s="1097">
        <v>1</v>
      </c>
      <c r="AE505" s="1205">
        <v>1</v>
      </c>
      <c r="AF505" s="1205">
        <v>1</v>
      </c>
      <c r="AG505" s="1097">
        <v>1</v>
      </c>
      <c r="AH505" s="1097">
        <v>1</v>
      </c>
      <c r="AI505" s="1328">
        <v>1</v>
      </c>
      <c r="AJ505" s="79"/>
      <c r="AK505" s="79"/>
      <c r="AL505" s="55"/>
      <c r="AM505" s="1067">
        <f t="shared" si="920"/>
        <v>0</v>
      </c>
      <c r="AN505" s="31"/>
      <c r="AO505" s="622"/>
      <c r="AP505" s="23"/>
      <c r="AQ505" s="23"/>
      <c r="AR505" s="23"/>
      <c r="AS505" s="23"/>
      <c r="AT505" s="23"/>
      <c r="AU505" s="23"/>
      <c r="AV505" s="23"/>
    </row>
    <row r="506" spans="1:48" ht="25.15" hidden="1" customHeight="1">
      <c r="A506" s="103"/>
      <c r="B506" s="65"/>
      <c r="C506" s="80" t="s">
        <v>108</v>
      </c>
      <c r="D506" s="81" t="s">
        <v>109</v>
      </c>
      <c r="E506" s="1374">
        <f>SUM(E500+E502+E503+E504)/E505</f>
        <v>0</v>
      </c>
      <c r="F506" s="1104">
        <f>SUM(F500+F502+F503+F504)/F505</f>
        <v>0</v>
      </c>
      <c r="G506" s="1211">
        <f>SUM(G500+G502+G503+G504)/G505</f>
        <v>0</v>
      </c>
      <c r="H506" s="1104">
        <f t="shared" ref="H506:AH506" si="1003">SUM(H500+H502+H503+H504)/H505</f>
        <v>0</v>
      </c>
      <c r="I506" s="1104">
        <f t="shared" si="1003"/>
        <v>0</v>
      </c>
      <c r="J506" s="1211">
        <f t="shared" si="1003"/>
        <v>0</v>
      </c>
      <c r="K506" s="1211">
        <f t="shared" si="1003"/>
        <v>0</v>
      </c>
      <c r="L506" s="1104">
        <f t="shared" si="1003"/>
        <v>0</v>
      </c>
      <c r="M506" s="1104">
        <f t="shared" si="1003"/>
        <v>0</v>
      </c>
      <c r="N506" s="1104">
        <f t="shared" si="1003"/>
        <v>0</v>
      </c>
      <c r="O506" s="1104">
        <f t="shared" si="1003"/>
        <v>0</v>
      </c>
      <c r="P506" s="1104">
        <f t="shared" si="1003"/>
        <v>0</v>
      </c>
      <c r="Q506" s="1211">
        <f t="shared" si="1003"/>
        <v>0</v>
      </c>
      <c r="R506" s="1211">
        <f t="shared" si="1003"/>
        <v>0</v>
      </c>
      <c r="S506" s="1104">
        <f t="shared" si="1003"/>
        <v>0</v>
      </c>
      <c r="T506" s="1104">
        <f t="shared" si="1003"/>
        <v>0</v>
      </c>
      <c r="U506" s="1104">
        <f t="shared" si="1003"/>
        <v>0</v>
      </c>
      <c r="V506" s="1104">
        <f t="shared" si="1003"/>
        <v>0</v>
      </c>
      <c r="W506" s="1104">
        <f t="shared" si="1003"/>
        <v>0</v>
      </c>
      <c r="X506" s="1211">
        <f t="shared" si="1003"/>
        <v>0</v>
      </c>
      <c r="Y506" s="1211">
        <f t="shared" si="1003"/>
        <v>0</v>
      </c>
      <c r="Z506" s="1104">
        <f t="shared" si="1003"/>
        <v>0</v>
      </c>
      <c r="AA506" s="1104">
        <f t="shared" ref="AA506" si="1004">SUM(AA500+AA502+AA503+AA504)/AA505</f>
        <v>0</v>
      </c>
      <c r="AB506" s="1104">
        <f t="shared" si="1003"/>
        <v>0</v>
      </c>
      <c r="AC506" s="1104">
        <f t="shared" si="1003"/>
        <v>0</v>
      </c>
      <c r="AD506" s="1104">
        <f t="shared" si="1003"/>
        <v>0</v>
      </c>
      <c r="AE506" s="1211">
        <f t="shared" si="1003"/>
        <v>0</v>
      </c>
      <c r="AF506" s="1211">
        <f t="shared" si="1003"/>
        <v>0</v>
      </c>
      <c r="AG506" s="1104">
        <f t="shared" si="1003"/>
        <v>0</v>
      </c>
      <c r="AH506" s="1104">
        <f t="shared" si="1003"/>
        <v>0</v>
      </c>
      <c r="AI506" s="1335">
        <f>SUM(AI500+AI502+AI503)/AI505</f>
        <v>0</v>
      </c>
      <c r="AJ506" s="104">
        <f>SUM(E506:AI506)</f>
        <v>0</v>
      </c>
      <c r="AK506" s="104"/>
      <c r="AL506" s="83"/>
      <c r="AM506" s="1068">
        <f t="shared" si="920"/>
        <v>0</v>
      </c>
      <c r="AN506" s="31"/>
      <c r="AO506" s="622"/>
      <c r="AP506" s="23"/>
      <c r="AQ506" s="23"/>
      <c r="AR506" s="23"/>
      <c r="AS506" s="23"/>
      <c r="AT506" s="23"/>
      <c r="AU506" s="23"/>
      <c r="AV506" s="23"/>
    </row>
    <row r="507" spans="1:48" ht="25.15" hidden="1" customHeight="1">
      <c r="A507" s="103"/>
      <c r="B507" s="59"/>
      <c r="C507" s="84">
        <f>+C505*0.8</f>
        <v>240000</v>
      </c>
      <c r="D507" s="85" t="s">
        <v>110</v>
      </c>
      <c r="E507" s="1105"/>
      <c r="F507" s="1106"/>
      <c r="G507" s="1211"/>
      <c r="H507" s="1104"/>
      <c r="I507" s="1104"/>
      <c r="J507" s="1211"/>
      <c r="K507" s="1211"/>
      <c r="L507" s="1104"/>
      <c r="M507" s="1104"/>
      <c r="N507" s="1104"/>
      <c r="O507" s="1107"/>
      <c r="P507" s="1104"/>
      <c r="Q507" s="1211"/>
      <c r="R507" s="1211"/>
      <c r="S507" s="1104"/>
      <c r="T507" s="1104"/>
      <c r="U507" s="1104"/>
      <c r="V507" s="1104"/>
      <c r="W507" s="1104"/>
      <c r="X507" s="1211"/>
      <c r="Y507" s="1211"/>
      <c r="Z507" s="1104"/>
      <c r="AA507" s="1104"/>
      <c r="AB507" s="1104"/>
      <c r="AC507" s="1104"/>
      <c r="AD507" s="1104"/>
      <c r="AE507" s="1211"/>
      <c r="AF507" s="1211"/>
      <c r="AG507" s="1104"/>
      <c r="AH507" s="1104"/>
      <c r="AI507" s="1353"/>
      <c r="AJ507" s="86"/>
      <c r="AK507" s="86"/>
      <c r="AL507" s="690"/>
      <c r="AM507" s="694">
        <f t="shared" si="920"/>
        <v>0</v>
      </c>
      <c r="AN507" s="31"/>
      <c r="AO507" s="622"/>
      <c r="AP507" s="23"/>
      <c r="AQ507" s="23"/>
      <c r="AR507" s="23"/>
      <c r="AS507" s="23"/>
      <c r="AT507" s="23"/>
      <c r="AU507" s="23"/>
      <c r="AV507" s="23"/>
    </row>
    <row r="508" spans="1:48" ht="25.15" hidden="1" customHeight="1">
      <c r="A508" s="103"/>
      <c r="B508" s="105"/>
      <c r="C508" s="77"/>
      <c r="D508" s="88" t="s">
        <v>111</v>
      </c>
      <c r="E508" s="1108">
        <f>IF(E507="O/H",E506,0+E506)</f>
        <v>0</v>
      </c>
      <c r="F508" s="1089">
        <f t="shared" ref="F508:AI508" si="1005">IF(F507="O/H",F506,+E508+F506)</f>
        <v>0</v>
      </c>
      <c r="G508" s="44">
        <f t="shared" si="1005"/>
        <v>0</v>
      </c>
      <c r="H508" s="1089">
        <f t="shared" si="1005"/>
        <v>0</v>
      </c>
      <c r="I508" s="1089">
        <f t="shared" si="1005"/>
        <v>0</v>
      </c>
      <c r="J508" s="44">
        <f t="shared" si="1005"/>
        <v>0</v>
      </c>
      <c r="K508" s="44">
        <f t="shared" si="1005"/>
        <v>0</v>
      </c>
      <c r="L508" s="1089">
        <f t="shared" si="1005"/>
        <v>0</v>
      </c>
      <c r="M508" s="1089">
        <f t="shared" si="1005"/>
        <v>0</v>
      </c>
      <c r="N508" s="1089">
        <f t="shared" si="1005"/>
        <v>0</v>
      </c>
      <c r="O508" s="1089">
        <f t="shared" si="1005"/>
        <v>0</v>
      </c>
      <c r="P508" s="1089">
        <f t="shared" si="1005"/>
        <v>0</v>
      </c>
      <c r="Q508" s="44">
        <f t="shared" si="1005"/>
        <v>0</v>
      </c>
      <c r="R508" s="44">
        <f t="shared" si="1005"/>
        <v>0</v>
      </c>
      <c r="S508" s="1089">
        <f t="shared" si="1005"/>
        <v>0</v>
      </c>
      <c r="T508" s="1089">
        <f t="shared" si="1005"/>
        <v>0</v>
      </c>
      <c r="U508" s="1089">
        <f t="shared" si="1005"/>
        <v>0</v>
      </c>
      <c r="V508" s="1089">
        <f t="shared" si="1005"/>
        <v>0</v>
      </c>
      <c r="W508" s="1089">
        <f t="shared" si="1005"/>
        <v>0</v>
      </c>
      <c r="X508" s="44">
        <f t="shared" si="1005"/>
        <v>0</v>
      </c>
      <c r="Y508" s="44">
        <f t="shared" si="1005"/>
        <v>0</v>
      </c>
      <c r="Z508" s="1089">
        <f t="shared" si="1005"/>
        <v>0</v>
      </c>
      <c r="AA508" s="1089">
        <f t="shared" si="1005"/>
        <v>0</v>
      </c>
      <c r="AB508" s="1089">
        <f t="shared" si="1005"/>
        <v>0</v>
      </c>
      <c r="AC508" s="1089">
        <f t="shared" si="1005"/>
        <v>0</v>
      </c>
      <c r="AD508" s="1089">
        <f t="shared" si="1005"/>
        <v>0</v>
      </c>
      <c r="AE508" s="44">
        <f t="shared" si="1005"/>
        <v>0</v>
      </c>
      <c r="AF508" s="44">
        <f t="shared" si="1005"/>
        <v>0</v>
      </c>
      <c r="AG508" s="1089">
        <f t="shared" si="1005"/>
        <v>0</v>
      </c>
      <c r="AH508" s="1089">
        <f t="shared" si="1005"/>
        <v>0</v>
      </c>
      <c r="AI508" s="1326">
        <f t="shared" si="1005"/>
        <v>0</v>
      </c>
      <c r="AJ508" s="79"/>
      <c r="AK508" s="86"/>
      <c r="AL508" s="689"/>
      <c r="AM508" s="694">
        <f t="shared" si="920"/>
        <v>0</v>
      </c>
      <c r="AN508" s="31"/>
      <c r="AO508" s="622"/>
      <c r="AP508" s="23"/>
      <c r="AQ508" s="23"/>
      <c r="AR508" s="23"/>
      <c r="AS508" s="23"/>
      <c r="AT508" s="23"/>
      <c r="AU508" s="23"/>
      <c r="AV508" s="23"/>
    </row>
    <row r="509" spans="1:48" ht="25.15" hidden="1" customHeight="1">
      <c r="A509" s="103"/>
      <c r="B509" s="89"/>
      <c r="C509" s="80"/>
      <c r="D509" s="90" t="s">
        <v>104</v>
      </c>
      <c r="E509" s="1108"/>
      <c r="F509" s="1089"/>
      <c r="G509" s="44"/>
      <c r="H509" s="1089"/>
      <c r="I509" s="1089"/>
      <c r="J509" s="44"/>
      <c r="K509" s="44"/>
      <c r="L509" s="1089"/>
      <c r="M509" s="1089"/>
      <c r="N509" s="1089"/>
      <c r="O509" s="1089"/>
      <c r="P509" s="1089"/>
      <c r="Q509" s="44"/>
      <c r="R509" s="44"/>
      <c r="S509" s="1089"/>
      <c r="T509" s="1089"/>
      <c r="U509" s="1089"/>
      <c r="V509" s="1089"/>
      <c r="W509" s="1089"/>
      <c r="X509" s="44"/>
      <c r="Y509" s="44"/>
      <c r="Z509" s="1089"/>
      <c r="AA509" s="1089"/>
      <c r="AB509" s="1089"/>
      <c r="AC509" s="1089"/>
      <c r="AD509" s="1089"/>
      <c r="AE509" s="44"/>
      <c r="AF509" s="44"/>
      <c r="AG509" s="1089"/>
      <c r="AH509" s="1089"/>
      <c r="AI509" s="1326"/>
      <c r="AJ509" s="79"/>
      <c r="AK509" s="79"/>
      <c r="AL509" s="63"/>
      <c r="AM509" s="1068">
        <f t="shared" si="920"/>
        <v>0</v>
      </c>
      <c r="AN509" s="64"/>
      <c r="AO509" s="624"/>
      <c r="AP509" s="23"/>
      <c r="AQ509" s="23"/>
      <c r="AR509" s="23"/>
      <c r="AS509" s="23"/>
      <c r="AT509" s="23"/>
      <c r="AU509" s="23"/>
      <c r="AV509" s="23"/>
    </row>
    <row r="510" spans="1:48" ht="15" hidden="1" customHeight="1" thickBot="1">
      <c r="A510" s="106"/>
      <c r="B510" s="93"/>
      <c r="C510" s="94"/>
      <c r="D510" s="95" t="s">
        <v>111</v>
      </c>
      <c r="E510" s="1109">
        <f>IF(E509="O/H",E506,0+E506)</f>
        <v>0</v>
      </c>
      <c r="F510" s="1110">
        <f t="shared" ref="F510:AI510" si="1006">IF(F509="O/H",F506,+E510+F506)</f>
        <v>0</v>
      </c>
      <c r="G510" s="1212">
        <f t="shared" si="1006"/>
        <v>0</v>
      </c>
      <c r="H510" s="1110">
        <f t="shared" si="1006"/>
        <v>0</v>
      </c>
      <c r="I510" s="1110">
        <f t="shared" si="1006"/>
        <v>0</v>
      </c>
      <c r="J510" s="1212">
        <f t="shared" si="1006"/>
        <v>0</v>
      </c>
      <c r="K510" s="1212">
        <f t="shared" si="1006"/>
        <v>0</v>
      </c>
      <c r="L510" s="1110">
        <f t="shared" si="1006"/>
        <v>0</v>
      </c>
      <c r="M510" s="1110">
        <f t="shared" si="1006"/>
        <v>0</v>
      </c>
      <c r="N510" s="1110">
        <f t="shared" si="1006"/>
        <v>0</v>
      </c>
      <c r="O510" s="1110">
        <f t="shared" si="1006"/>
        <v>0</v>
      </c>
      <c r="P510" s="1110">
        <f t="shared" si="1006"/>
        <v>0</v>
      </c>
      <c r="Q510" s="1212">
        <f t="shared" si="1006"/>
        <v>0</v>
      </c>
      <c r="R510" s="1212">
        <f t="shared" si="1006"/>
        <v>0</v>
      </c>
      <c r="S510" s="1110">
        <f t="shared" si="1006"/>
        <v>0</v>
      </c>
      <c r="T510" s="1110">
        <f t="shared" si="1006"/>
        <v>0</v>
      </c>
      <c r="U510" s="1110">
        <f t="shared" si="1006"/>
        <v>0</v>
      </c>
      <c r="V510" s="1110">
        <f t="shared" si="1006"/>
        <v>0</v>
      </c>
      <c r="W510" s="1110">
        <f t="shared" si="1006"/>
        <v>0</v>
      </c>
      <c r="X510" s="1212">
        <f t="shared" si="1006"/>
        <v>0</v>
      </c>
      <c r="Y510" s="1212">
        <f t="shared" si="1006"/>
        <v>0</v>
      </c>
      <c r="Z510" s="1110">
        <f t="shared" si="1006"/>
        <v>0</v>
      </c>
      <c r="AA510" s="1110">
        <f t="shared" si="1006"/>
        <v>0</v>
      </c>
      <c r="AB510" s="1110">
        <f t="shared" si="1006"/>
        <v>0</v>
      </c>
      <c r="AC510" s="1110">
        <f t="shared" si="1006"/>
        <v>0</v>
      </c>
      <c r="AD510" s="1110">
        <f t="shared" si="1006"/>
        <v>0</v>
      </c>
      <c r="AE510" s="1212">
        <f t="shared" si="1006"/>
        <v>0</v>
      </c>
      <c r="AF510" s="1212">
        <f t="shared" si="1006"/>
        <v>0</v>
      </c>
      <c r="AG510" s="1110">
        <f t="shared" si="1006"/>
        <v>0</v>
      </c>
      <c r="AH510" s="1110">
        <f t="shared" si="1006"/>
        <v>0</v>
      </c>
      <c r="AI510" s="1340">
        <f t="shared" si="1006"/>
        <v>0</v>
      </c>
      <c r="AJ510" s="96"/>
      <c r="AK510" s="96"/>
      <c r="AL510" s="97"/>
      <c r="AM510" s="1071">
        <f t="shared" si="920"/>
        <v>0</v>
      </c>
      <c r="AN510" s="98"/>
      <c r="AO510" s="625"/>
      <c r="AP510" s="23"/>
      <c r="AQ510" s="23"/>
      <c r="AR510" s="23"/>
      <c r="AS510" s="23"/>
      <c r="AT510" s="23"/>
      <c r="AU510" s="23"/>
      <c r="AV510" s="23"/>
    </row>
    <row r="511" spans="1:48" ht="25.15" hidden="1" customHeight="1" thickTop="1">
      <c r="A511" s="99"/>
      <c r="B511" s="26" t="s">
        <v>170</v>
      </c>
      <c r="C511" s="27"/>
      <c r="D511" s="28" t="s">
        <v>82</v>
      </c>
      <c r="E511" s="1111"/>
      <c r="F511" s="1111"/>
      <c r="G511" s="1201"/>
      <c r="H511" s="1111"/>
      <c r="I511" s="1111"/>
      <c r="J511" s="1201"/>
      <c r="K511" s="1201"/>
      <c r="L511" s="1111"/>
      <c r="M511" s="1111"/>
      <c r="N511" s="1111"/>
      <c r="O511" s="1111"/>
      <c r="P511" s="1111"/>
      <c r="Q511" s="1201"/>
      <c r="R511" s="1201"/>
      <c r="S511" s="1111"/>
      <c r="T511" s="1111"/>
      <c r="U511" s="1111"/>
      <c r="V511" s="1111"/>
      <c r="W511" s="1111"/>
      <c r="X511" s="1201"/>
      <c r="Y511" s="1201"/>
      <c r="Z511" s="1111"/>
      <c r="AA511" s="1464"/>
      <c r="AB511" s="1121"/>
      <c r="AC511" s="1121"/>
      <c r="AD511" s="1121"/>
      <c r="AE511" s="1223"/>
      <c r="AF511" s="1223"/>
      <c r="AG511" s="1121"/>
      <c r="AH511" s="1121"/>
      <c r="AI511" s="1465"/>
      <c r="AJ511" s="100">
        <f>SUM(Table75[[#This Row],[June''2026]:[Column27]])</f>
        <v>0</v>
      </c>
      <c r="AK511" s="100">
        <f t="shared" si="922"/>
        <v>0</v>
      </c>
      <c r="AL511" s="101">
        <f>+AJ511*AN511</f>
        <v>0</v>
      </c>
      <c r="AM511" s="1072">
        <f t="shared" si="920"/>
        <v>0</v>
      </c>
      <c r="AN511" s="102">
        <v>28.204330000000002</v>
      </c>
      <c r="AO511" s="622" t="e">
        <f>Table5[[#This Row],[Total]]*B515/1000</f>
        <v>#VALUE!</v>
      </c>
      <c r="AP511" s="32" t="s">
        <v>83</v>
      </c>
      <c r="AQ511" s="33" t="s">
        <v>84</v>
      </c>
      <c r="AR511" s="33" t="s">
        <v>85</v>
      </c>
      <c r="AS511" s="33" t="s">
        <v>86</v>
      </c>
      <c r="AT511" s="33" t="s">
        <v>87</v>
      </c>
      <c r="AU511" s="33" t="s">
        <v>88</v>
      </c>
      <c r="AV511" s="34" t="s">
        <v>68</v>
      </c>
    </row>
    <row r="512" spans="1:48" ht="25.15" hidden="1" customHeight="1">
      <c r="A512" s="103"/>
      <c r="B512" s="35" t="s">
        <v>171</v>
      </c>
      <c r="C512" s="36"/>
      <c r="D512" s="37" t="s">
        <v>90</v>
      </c>
      <c r="E512" s="1373">
        <f>IF(E511="",0,+ E511/E518)</f>
        <v>0</v>
      </c>
      <c r="F512" s="1096">
        <f t="shared" ref="F512:AI512" si="1007">IF(F511="",0, E512+F511/F518)</f>
        <v>0</v>
      </c>
      <c r="G512" s="1207">
        <f t="shared" si="1007"/>
        <v>0</v>
      </c>
      <c r="H512" s="1096">
        <f t="shared" si="1007"/>
        <v>0</v>
      </c>
      <c r="I512" s="1096">
        <f t="shared" si="1007"/>
        <v>0</v>
      </c>
      <c r="J512" s="1207">
        <f t="shared" si="1007"/>
        <v>0</v>
      </c>
      <c r="K512" s="1207">
        <f t="shared" si="1007"/>
        <v>0</v>
      </c>
      <c r="L512" s="1096">
        <f t="shared" si="1007"/>
        <v>0</v>
      </c>
      <c r="M512" s="1096">
        <f t="shared" si="1007"/>
        <v>0</v>
      </c>
      <c r="N512" s="1096">
        <f t="shared" si="1007"/>
        <v>0</v>
      </c>
      <c r="O512" s="1096">
        <f t="shared" si="1007"/>
        <v>0</v>
      </c>
      <c r="P512" s="1096">
        <f t="shared" si="1007"/>
        <v>0</v>
      </c>
      <c r="Q512" s="1207">
        <f t="shared" si="1007"/>
        <v>0</v>
      </c>
      <c r="R512" s="1207">
        <f t="shared" si="1007"/>
        <v>0</v>
      </c>
      <c r="S512" s="1096">
        <f t="shared" si="1007"/>
        <v>0</v>
      </c>
      <c r="T512" s="1096">
        <f t="shared" si="1007"/>
        <v>0</v>
      </c>
      <c r="U512" s="1096">
        <f t="shared" si="1007"/>
        <v>0</v>
      </c>
      <c r="V512" s="1096">
        <f t="shared" si="1007"/>
        <v>0</v>
      </c>
      <c r="W512" s="1096">
        <f>IF(X511="",0, V512+X511/W518)</f>
        <v>0</v>
      </c>
      <c r="X512" s="1207">
        <f>IF(Y511="",0, W512+Y511/X518)</f>
        <v>0</v>
      </c>
      <c r="Y512" s="1207">
        <f t="shared" si="1007"/>
        <v>0</v>
      </c>
      <c r="Z512" s="1096">
        <f t="shared" si="1007"/>
        <v>0</v>
      </c>
      <c r="AA512" s="1096">
        <f t="shared" si="1007"/>
        <v>0</v>
      </c>
      <c r="AB512" s="1096">
        <f t="shared" si="1007"/>
        <v>0</v>
      </c>
      <c r="AC512" s="1096">
        <f t="shared" si="1007"/>
        <v>0</v>
      </c>
      <c r="AD512" s="1096">
        <f t="shared" si="1007"/>
        <v>0</v>
      </c>
      <c r="AE512" s="1207">
        <f t="shared" si="1007"/>
        <v>0</v>
      </c>
      <c r="AF512" s="1207">
        <f t="shared" si="1007"/>
        <v>0</v>
      </c>
      <c r="AG512" s="1096">
        <f t="shared" si="1007"/>
        <v>0</v>
      </c>
      <c r="AH512" s="1096">
        <f t="shared" si="1007"/>
        <v>0</v>
      </c>
      <c r="AI512" s="1324">
        <f t="shared" si="1007"/>
        <v>0</v>
      </c>
      <c r="AJ512" s="38"/>
      <c r="AK512" s="29"/>
      <c r="AL512" s="30"/>
      <c r="AM512" s="694">
        <f t="shared" si="920"/>
        <v>0</v>
      </c>
      <c r="AN512" s="31"/>
      <c r="AO512" s="630"/>
      <c r="AP512" s="39" t="s">
        <v>91</v>
      </c>
      <c r="AQ512" s="40">
        <f>SUM(E511:I511)</f>
        <v>0</v>
      </c>
      <c r="AR512" s="41">
        <f>SUM(J511:P511)</f>
        <v>0</v>
      </c>
      <c r="AS512" s="41">
        <f>SUM(Q511:W511)</f>
        <v>0</v>
      </c>
      <c r="AT512" s="41">
        <f>SUM(X511:AD511)</f>
        <v>0</v>
      </c>
      <c r="AU512" s="41">
        <f>SUM(AE511:AI511)</f>
        <v>0</v>
      </c>
      <c r="AV512" s="34">
        <f t="shared" ref="AV512:AV517" si="1008">SUM(AQ512:AU512)</f>
        <v>0</v>
      </c>
    </row>
    <row r="513" spans="1:48" ht="25.15" hidden="1" customHeight="1">
      <c r="A513" s="103"/>
      <c r="B513" s="35" t="s">
        <v>172</v>
      </c>
      <c r="C513" s="42"/>
      <c r="D513" s="43" t="s">
        <v>93</v>
      </c>
      <c r="E513" s="1325">
        <v>0</v>
      </c>
      <c r="F513" s="1089"/>
      <c r="G513" s="44"/>
      <c r="H513" s="1089"/>
      <c r="I513" s="1089"/>
      <c r="J513" s="44"/>
      <c r="K513" s="44"/>
      <c r="L513" s="1089"/>
      <c r="M513" s="1089"/>
      <c r="N513" s="1089"/>
      <c r="O513" s="1089"/>
      <c r="P513" s="1089"/>
      <c r="Q513" s="44"/>
      <c r="R513" s="44"/>
      <c r="S513" s="1089"/>
      <c r="T513" s="1089"/>
      <c r="U513" s="1089"/>
      <c r="V513" s="1089"/>
      <c r="W513" s="1089"/>
      <c r="X513" s="44"/>
      <c r="Y513" s="44"/>
      <c r="Z513" s="1089"/>
      <c r="AA513" s="1089"/>
      <c r="AB513" s="1089"/>
      <c r="AC513" s="1089"/>
      <c r="AD513" s="1089"/>
      <c r="AE513" s="44"/>
      <c r="AF513" s="44"/>
      <c r="AG513" s="1089"/>
      <c r="AH513" s="1089"/>
      <c r="AI513" s="1326"/>
      <c r="AJ513" s="45">
        <f>SUM(E513:AI513)</f>
        <v>0</v>
      </c>
      <c r="AK513" s="45"/>
      <c r="AL513" s="46">
        <f>+AJ513*AN511</f>
        <v>0</v>
      </c>
      <c r="AM513" s="1066">
        <f t="shared" si="920"/>
        <v>0</v>
      </c>
      <c r="AN513" s="31"/>
      <c r="AO513" s="632">
        <f>(AJ513+AJ515+AJ516+AJ517)*B515/1000</f>
        <v>0</v>
      </c>
      <c r="AP513" s="47" t="s">
        <v>94</v>
      </c>
      <c r="AQ513" s="48">
        <f>SUM(E513:I513)</f>
        <v>0</v>
      </c>
      <c r="AR513" s="49">
        <f>SUM(J513:P513)</f>
        <v>0</v>
      </c>
      <c r="AS513" s="49">
        <f>SUM(Q513:W513)</f>
        <v>0</v>
      </c>
      <c r="AT513" s="49">
        <f>SUM(X513:AD513)</f>
        <v>0</v>
      </c>
      <c r="AU513" s="49">
        <f>SUM(AE513:AI513)</f>
        <v>0</v>
      </c>
      <c r="AV513" s="50">
        <f t="shared" si="1008"/>
        <v>0</v>
      </c>
    </row>
    <row r="514" spans="1:48" ht="25.15" hidden="1" customHeight="1">
      <c r="A514" s="103"/>
      <c r="B514" s="26" t="s">
        <v>92</v>
      </c>
      <c r="C514" s="52" t="s">
        <v>95</v>
      </c>
      <c r="D514" s="53" t="s">
        <v>96</v>
      </c>
      <c r="E514" s="1327">
        <f t="shared" ref="E514" si="1009">+E513-E511</f>
        <v>0</v>
      </c>
      <c r="F514" s="1097">
        <f t="shared" ref="F514:AJ514" si="1010">+F513-F511</f>
        <v>0</v>
      </c>
      <c r="G514" s="1205">
        <f t="shared" si="1010"/>
        <v>0</v>
      </c>
      <c r="H514" s="1097">
        <f>+H513-H511</f>
        <v>0</v>
      </c>
      <c r="I514" s="1097">
        <f t="shared" si="1010"/>
        <v>0</v>
      </c>
      <c r="J514" s="1205">
        <f>+J513-J511</f>
        <v>0</v>
      </c>
      <c r="K514" s="1205">
        <f t="shared" si="1010"/>
        <v>0</v>
      </c>
      <c r="L514" s="1097">
        <f t="shared" si="1010"/>
        <v>0</v>
      </c>
      <c r="M514" s="1097">
        <f t="shared" si="1010"/>
        <v>0</v>
      </c>
      <c r="N514" s="1097">
        <f t="shared" si="1010"/>
        <v>0</v>
      </c>
      <c r="O514" s="1097">
        <f t="shared" si="1010"/>
        <v>0</v>
      </c>
      <c r="P514" s="1097">
        <f t="shared" si="1010"/>
        <v>0</v>
      </c>
      <c r="Q514" s="1205">
        <f t="shared" si="1010"/>
        <v>0</v>
      </c>
      <c r="R514" s="1205">
        <f t="shared" si="1010"/>
        <v>0</v>
      </c>
      <c r="S514" s="1097">
        <f t="shared" si="1010"/>
        <v>0</v>
      </c>
      <c r="T514" s="1097">
        <f t="shared" si="1010"/>
        <v>0</v>
      </c>
      <c r="U514" s="1097">
        <f t="shared" si="1010"/>
        <v>0</v>
      </c>
      <c r="V514" s="1097">
        <f t="shared" si="1010"/>
        <v>0</v>
      </c>
      <c r="W514" s="1097">
        <f>+W513-X511</f>
        <v>0</v>
      </c>
      <c r="X514" s="1205">
        <f>+X513-Y511</f>
        <v>0</v>
      </c>
      <c r="Y514" s="1205">
        <f t="shared" si="1010"/>
        <v>0</v>
      </c>
      <c r="Z514" s="1097">
        <f t="shared" si="1010"/>
        <v>0</v>
      </c>
      <c r="AA514" s="1097">
        <f t="shared" si="1010"/>
        <v>0</v>
      </c>
      <c r="AB514" s="1097">
        <f t="shared" si="1010"/>
        <v>0</v>
      </c>
      <c r="AC514" s="1097">
        <f t="shared" si="1010"/>
        <v>0</v>
      </c>
      <c r="AD514" s="1097">
        <f t="shared" si="1010"/>
        <v>0</v>
      </c>
      <c r="AE514" s="1205">
        <f t="shared" si="1010"/>
        <v>0</v>
      </c>
      <c r="AF514" s="1205">
        <f t="shared" si="1010"/>
        <v>0</v>
      </c>
      <c r="AG514" s="1097">
        <f t="shared" si="1010"/>
        <v>0</v>
      </c>
      <c r="AH514" s="1097">
        <f t="shared" si="1010"/>
        <v>0</v>
      </c>
      <c r="AI514" s="1328">
        <f t="shared" si="1010"/>
        <v>0</v>
      </c>
      <c r="AJ514" s="54">
        <f t="shared" si="1010"/>
        <v>0</v>
      </c>
      <c r="AK514" s="54"/>
      <c r="AL514" s="55">
        <f>+AJ514*AN511</f>
        <v>0</v>
      </c>
      <c r="AM514" s="1067">
        <f t="shared" si="920"/>
        <v>0</v>
      </c>
      <c r="AN514" s="31" t="s">
        <v>97</v>
      </c>
      <c r="AO514" s="622"/>
      <c r="AP514" s="39" t="s">
        <v>98</v>
      </c>
      <c r="AQ514" s="56">
        <f>AQ513-AQ512</f>
        <v>0</v>
      </c>
      <c r="AR514" s="70">
        <f>AR513-AR512</f>
        <v>0</v>
      </c>
      <c r="AS514" s="70">
        <f>AS513-AS512</f>
        <v>0</v>
      </c>
      <c r="AT514" s="70">
        <f>AT513-AT512</f>
        <v>0</v>
      </c>
      <c r="AU514" s="70">
        <f>AU513-AU512</f>
        <v>0</v>
      </c>
      <c r="AV514" s="57">
        <f t="shared" si="1008"/>
        <v>0</v>
      </c>
    </row>
    <row r="515" spans="1:48" ht="25.15" hidden="1" customHeight="1">
      <c r="A515" s="58"/>
      <c r="B515" s="59"/>
      <c r="C515" s="60" t="s">
        <v>100</v>
      </c>
      <c r="D515" s="61" t="s">
        <v>101</v>
      </c>
      <c r="E515" s="1367">
        <v>0</v>
      </c>
      <c r="F515" s="1099"/>
      <c r="G515" s="1208"/>
      <c r="H515" s="1099"/>
      <c r="I515" s="1099"/>
      <c r="J515" s="1208"/>
      <c r="K515" s="1208"/>
      <c r="L515" s="1099"/>
      <c r="M515" s="1099"/>
      <c r="N515" s="1099"/>
      <c r="O515" s="1099"/>
      <c r="P515" s="1099"/>
      <c r="Q515" s="1208"/>
      <c r="R515" s="1208"/>
      <c r="S515" s="1099"/>
      <c r="T515" s="1099"/>
      <c r="U515" s="1099"/>
      <c r="V515" s="1099"/>
      <c r="W515" s="1099"/>
      <c r="X515" s="1208"/>
      <c r="Y515" s="1208"/>
      <c r="Z515" s="1099"/>
      <c r="AA515" s="1099"/>
      <c r="AB515" s="1099"/>
      <c r="AC515" s="1099"/>
      <c r="AD515" s="1099"/>
      <c r="AE515" s="1208"/>
      <c r="AF515" s="1208"/>
      <c r="AG515" s="1099"/>
      <c r="AH515" s="1099"/>
      <c r="AI515" s="1330"/>
      <c r="AJ515" s="62">
        <f>SUM(E515:AI515)</f>
        <v>0</v>
      </c>
      <c r="AK515" s="62"/>
      <c r="AL515" s="63">
        <f>+AJ515*AN511</f>
        <v>0</v>
      </c>
      <c r="AM515" s="1068">
        <f t="shared" si="920"/>
        <v>0</v>
      </c>
      <c r="AN515" s="64" t="e">
        <f>+AJ515/AJ513*100</f>
        <v>#DIV/0!</v>
      </c>
      <c r="AO515" s="635" t="e">
        <f>AO513/AO511</f>
        <v>#VALUE!</v>
      </c>
      <c r="AP515" s="39" t="s">
        <v>102</v>
      </c>
      <c r="AQ515" s="56">
        <f>SUM(E515:I515)</f>
        <v>0</v>
      </c>
      <c r="AR515" s="70">
        <f>SUM(J515:P515)</f>
        <v>0</v>
      </c>
      <c r="AS515" s="70">
        <f>SUM(Q515:W515)</f>
        <v>0</v>
      </c>
      <c r="AT515" s="70">
        <f>SUM(X515:AD515)</f>
        <v>0</v>
      </c>
      <c r="AU515" s="70">
        <f>SUM(AE515:AI515)</f>
        <v>0</v>
      </c>
      <c r="AV515" s="57">
        <f t="shared" si="1008"/>
        <v>0</v>
      </c>
    </row>
    <row r="516" spans="1:48" ht="25.15" hidden="1" customHeight="1">
      <c r="A516" s="58" t="s">
        <v>99</v>
      </c>
      <c r="B516" s="65"/>
      <c r="C516" s="66"/>
      <c r="D516" s="67" t="s">
        <v>103</v>
      </c>
      <c r="E516" s="1113">
        <v>0</v>
      </c>
      <c r="F516" s="1101"/>
      <c r="G516" s="1209"/>
      <c r="H516" s="1101"/>
      <c r="I516" s="1101"/>
      <c r="J516" s="1209"/>
      <c r="K516" s="1209"/>
      <c r="L516" s="1101"/>
      <c r="M516" s="1101"/>
      <c r="N516" s="1101"/>
      <c r="O516" s="1101"/>
      <c r="P516" s="1101"/>
      <c r="Q516" s="1209"/>
      <c r="R516" s="1209"/>
      <c r="S516" s="1101"/>
      <c r="T516" s="1101"/>
      <c r="U516" s="1101"/>
      <c r="V516" s="1101"/>
      <c r="W516" s="1101"/>
      <c r="X516" s="1209"/>
      <c r="Y516" s="1209"/>
      <c r="Z516" s="1101"/>
      <c r="AA516" s="1101"/>
      <c r="AB516" s="1101"/>
      <c r="AC516" s="1101"/>
      <c r="AD516" s="1101"/>
      <c r="AE516" s="1209"/>
      <c r="AF516" s="1209"/>
      <c r="AG516" s="1101"/>
      <c r="AH516" s="1101"/>
      <c r="AI516" s="1332"/>
      <c r="AJ516" s="68">
        <f>SUM(E516:AI516)</f>
        <v>0</v>
      </c>
      <c r="AK516" s="68"/>
      <c r="AL516" s="69">
        <f>+AJ516*AN511</f>
        <v>0</v>
      </c>
      <c r="AM516" s="1069">
        <f t="shared" si="920"/>
        <v>0</v>
      </c>
      <c r="AN516" s="31"/>
      <c r="AO516" s="622"/>
      <c r="AP516" s="39" t="s">
        <v>19</v>
      </c>
      <c r="AQ516" s="56">
        <f>AQ515*AN511</f>
        <v>0</v>
      </c>
      <c r="AR516" s="56">
        <f>AR515*AN511</f>
        <v>0</v>
      </c>
      <c r="AS516" s="56">
        <f>AS515*AN511</f>
        <v>0</v>
      </c>
      <c r="AT516" s="56">
        <f>AT515*AN511</f>
        <v>0</v>
      </c>
      <c r="AU516" s="56">
        <f>AU515*AN511</f>
        <v>0</v>
      </c>
      <c r="AV516" s="57">
        <f t="shared" si="1008"/>
        <v>0</v>
      </c>
    </row>
    <row r="517" spans="1:48" ht="25.15" hidden="1" customHeight="1">
      <c r="A517" s="103"/>
      <c r="B517" s="65"/>
      <c r="C517" s="72" t="s">
        <v>104</v>
      </c>
      <c r="D517" s="73" t="s">
        <v>105</v>
      </c>
      <c r="E517" s="1115">
        <v>0</v>
      </c>
      <c r="F517" s="1103"/>
      <c r="G517" s="1210"/>
      <c r="H517" s="1103"/>
      <c r="I517" s="1103"/>
      <c r="J517" s="1210"/>
      <c r="K517" s="1210"/>
      <c r="L517" s="1103"/>
      <c r="M517" s="1103"/>
      <c r="N517" s="1103"/>
      <c r="O517" s="1103"/>
      <c r="P517" s="1103"/>
      <c r="Q517" s="1210"/>
      <c r="R517" s="1210"/>
      <c r="S517" s="1103"/>
      <c r="T517" s="1103"/>
      <c r="U517" s="1103"/>
      <c r="V517" s="1103"/>
      <c r="W517" s="1103"/>
      <c r="X517" s="1210"/>
      <c r="Y517" s="1210"/>
      <c r="Z517" s="1103"/>
      <c r="AA517" s="1103"/>
      <c r="AB517" s="1103"/>
      <c r="AC517" s="1103"/>
      <c r="AD517" s="1103"/>
      <c r="AE517" s="1210"/>
      <c r="AF517" s="1210"/>
      <c r="AG517" s="1103"/>
      <c r="AH517" s="1103"/>
      <c r="AI517" s="1352"/>
      <c r="AJ517" s="74">
        <f>SUM(E517:AI517)</f>
        <v>0</v>
      </c>
      <c r="AK517" s="74"/>
      <c r="AL517" s="75">
        <f>+AJ517*AN511</f>
        <v>0</v>
      </c>
      <c r="AM517" s="1070">
        <f t="shared" si="920"/>
        <v>0</v>
      </c>
      <c r="AN517" s="76"/>
      <c r="AO517" s="636"/>
      <c r="AP517" s="47" t="s">
        <v>106</v>
      </c>
      <c r="AQ517" s="48">
        <f>AQ513*AN511</f>
        <v>0</v>
      </c>
      <c r="AR517" s="48">
        <f>AR513*AN511</f>
        <v>0</v>
      </c>
      <c r="AS517" s="48">
        <f>AS513*AN511</f>
        <v>0</v>
      </c>
      <c r="AT517" s="48">
        <f>AT513*AN511</f>
        <v>0</v>
      </c>
      <c r="AU517" s="48">
        <f>AU513*AN511</f>
        <v>0</v>
      </c>
      <c r="AV517" s="50">
        <f t="shared" si="1008"/>
        <v>0</v>
      </c>
    </row>
    <row r="518" spans="1:48" ht="25.15" hidden="1" customHeight="1">
      <c r="A518" s="103"/>
      <c r="B518" s="65"/>
      <c r="C518" s="77">
        <v>300000</v>
      </c>
      <c r="D518" s="78" t="s">
        <v>107</v>
      </c>
      <c r="E518" s="1327">
        <v>1</v>
      </c>
      <c r="F518" s="1097">
        <v>1</v>
      </c>
      <c r="G518" s="1205">
        <v>1</v>
      </c>
      <c r="H518" s="1097">
        <v>1</v>
      </c>
      <c r="I518" s="1097">
        <v>1</v>
      </c>
      <c r="J518" s="1205">
        <v>1</v>
      </c>
      <c r="K518" s="1205">
        <v>1</v>
      </c>
      <c r="L518" s="1097">
        <v>1</v>
      </c>
      <c r="M518" s="1097">
        <v>1</v>
      </c>
      <c r="N518" s="1097">
        <v>1</v>
      </c>
      <c r="O518" s="1097">
        <v>1</v>
      </c>
      <c r="P518" s="1097">
        <v>1</v>
      </c>
      <c r="Q518" s="1205">
        <v>1</v>
      </c>
      <c r="R518" s="1205">
        <v>1</v>
      </c>
      <c r="S518" s="1097">
        <v>1</v>
      </c>
      <c r="T518" s="1097">
        <v>1</v>
      </c>
      <c r="U518" s="1097">
        <v>1</v>
      </c>
      <c r="V518" s="1097">
        <v>1</v>
      </c>
      <c r="W518" s="1097">
        <v>1</v>
      </c>
      <c r="X518" s="1205">
        <v>1</v>
      </c>
      <c r="Y518" s="1205">
        <v>1</v>
      </c>
      <c r="Z518" s="1097">
        <v>1</v>
      </c>
      <c r="AA518" s="1097">
        <v>1</v>
      </c>
      <c r="AB518" s="1097">
        <v>1</v>
      </c>
      <c r="AC518" s="1097">
        <v>1</v>
      </c>
      <c r="AD518" s="1097">
        <v>1</v>
      </c>
      <c r="AE518" s="1205">
        <v>1</v>
      </c>
      <c r="AF518" s="1205">
        <v>1</v>
      </c>
      <c r="AG518" s="1097">
        <v>1</v>
      </c>
      <c r="AH518" s="1097">
        <v>1</v>
      </c>
      <c r="AI518" s="1328">
        <v>1</v>
      </c>
      <c r="AJ518" s="79"/>
      <c r="AK518" s="79"/>
      <c r="AL518" s="55"/>
      <c r="AM518" s="1067">
        <f t="shared" si="920"/>
        <v>0</v>
      </c>
      <c r="AN518" s="31"/>
      <c r="AO518" s="622"/>
      <c r="AP518" s="23"/>
      <c r="AQ518" s="23"/>
      <c r="AR518" s="23"/>
      <c r="AS518" s="23"/>
      <c r="AT518" s="23"/>
      <c r="AU518" s="23"/>
      <c r="AV518" s="23"/>
    </row>
    <row r="519" spans="1:48" ht="25.15" hidden="1" customHeight="1">
      <c r="A519" s="103"/>
      <c r="B519" s="65"/>
      <c r="C519" s="80" t="s">
        <v>108</v>
      </c>
      <c r="D519" s="81" t="s">
        <v>109</v>
      </c>
      <c r="E519" s="1374">
        <f>SUM(E513+E515+E516+E517)/E518</f>
        <v>0</v>
      </c>
      <c r="F519" s="1104">
        <f>SUM(F513+F515+F516+F517)/F518</f>
        <v>0</v>
      </c>
      <c r="G519" s="1211">
        <f>SUM(G513+G515+G516+G517)/G518</f>
        <v>0</v>
      </c>
      <c r="H519" s="1104">
        <f t="shared" ref="H519:AH519" si="1011">SUM(H513+H515+H516+H517)/H518</f>
        <v>0</v>
      </c>
      <c r="I519" s="1104">
        <f t="shared" si="1011"/>
        <v>0</v>
      </c>
      <c r="J519" s="1211">
        <f t="shared" si="1011"/>
        <v>0</v>
      </c>
      <c r="K519" s="1211">
        <f t="shared" si="1011"/>
        <v>0</v>
      </c>
      <c r="L519" s="1104">
        <f t="shared" si="1011"/>
        <v>0</v>
      </c>
      <c r="M519" s="1104">
        <f t="shared" si="1011"/>
        <v>0</v>
      </c>
      <c r="N519" s="1104">
        <f t="shared" si="1011"/>
        <v>0</v>
      </c>
      <c r="O519" s="1104">
        <f t="shared" si="1011"/>
        <v>0</v>
      </c>
      <c r="P519" s="1104">
        <f t="shared" si="1011"/>
        <v>0</v>
      </c>
      <c r="Q519" s="1211">
        <f t="shared" si="1011"/>
        <v>0</v>
      </c>
      <c r="R519" s="1211">
        <f t="shared" si="1011"/>
        <v>0</v>
      </c>
      <c r="S519" s="1104">
        <f t="shared" si="1011"/>
        <v>0</v>
      </c>
      <c r="T519" s="1104">
        <f>SUM(T513+T515+T516+T517)/T518</f>
        <v>0</v>
      </c>
      <c r="U519" s="1104">
        <f t="shared" si="1011"/>
        <v>0</v>
      </c>
      <c r="V519" s="1104">
        <f t="shared" si="1011"/>
        <v>0</v>
      </c>
      <c r="W519" s="1104">
        <f t="shared" si="1011"/>
        <v>0</v>
      </c>
      <c r="X519" s="1211">
        <f t="shared" si="1011"/>
        <v>0</v>
      </c>
      <c r="Y519" s="1211">
        <f t="shared" si="1011"/>
        <v>0</v>
      </c>
      <c r="Z519" s="1104">
        <f t="shared" si="1011"/>
        <v>0</v>
      </c>
      <c r="AA519" s="1104">
        <f t="shared" si="1011"/>
        <v>0</v>
      </c>
      <c r="AB519" s="1104">
        <f t="shared" si="1011"/>
        <v>0</v>
      </c>
      <c r="AC519" s="1104">
        <f t="shared" si="1011"/>
        <v>0</v>
      </c>
      <c r="AD519" s="1104">
        <f t="shared" si="1011"/>
        <v>0</v>
      </c>
      <c r="AE519" s="1211">
        <f t="shared" si="1011"/>
        <v>0</v>
      </c>
      <c r="AF519" s="1211">
        <f t="shared" si="1011"/>
        <v>0</v>
      </c>
      <c r="AG519" s="1104">
        <f t="shared" si="1011"/>
        <v>0</v>
      </c>
      <c r="AH519" s="1104">
        <f t="shared" si="1011"/>
        <v>0</v>
      </c>
      <c r="AI519" s="1335">
        <f>SUM(AI513+AI515+AI517)/AI518</f>
        <v>0</v>
      </c>
      <c r="AJ519" s="104">
        <f>SUM(E519:AI519)</f>
        <v>0</v>
      </c>
      <c r="AK519" s="104"/>
      <c r="AL519" s="83"/>
      <c r="AM519" s="1068">
        <f t="shared" ref="AM519:AM582" si="1012">AL521</f>
        <v>0</v>
      </c>
      <c r="AN519" s="31"/>
      <c r="AO519" s="622"/>
      <c r="AP519" s="23"/>
      <c r="AQ519" s="23"/>
      <c r="AR519" s="23"/>
      <c r="AS519" s="23"/>
      <c r="AT519" s="23"/>
      <c r="AU519" s="23"/>
      <c r="AV519" s="23"/>
    </row>
    <row r="520" spans="1:48" ht="25.15" hidden="1" customHeight="1">
      <c r="A520" s="103"/>
      <c r="B520" s="59"/>
      <c r="C520" s="84">
        <f>+C518*0.8</f>
        <v>240000</v>
      </c>
      <c r="D520" s="85" t="s">
        <v>110</v>
      </c>
      <c r="E520" s="1105"/>
      <c r="F520" s="1106"/>
      <c r="G520" s="1211"/>
      <c r="H520" s="1104"/>
      <c r="I520" s="1104"/>
      <c r="J520" s="1211"/>
      <c r="K520" s="1211"/>
      <c r="L520" s="1104"/>
      <c r="M520" s="1104"/>
      <c r="N520" s="1104"/>
      <c r="O520" s="1107"/>
      <c r="P520" s="1104"/>
      <c r="Q520" s="1211"/>
      <c r="R520" s="1211"/>
      <c r="S520" s="1104"/>
      <c r="T520" s="1104"/>
      <c r="U520" s="1104"/>
      <c r="V520" s="1104"/>
      <c r="W520" s="1104"/>
      <c r="X520" s="1211"/>
      <c r="Y520" s="1211"/>
      <c r="Z520" s="1104"/>
      <c r="AA520" s="1089"/>
      <c r="AB520" s="1104"/>
      <c r="AC520" s="1104"/>
      <c r="AD520" s="1104"/>
      <c r="AE520" s="1211"/>
      <c r="AF520" s="1211"/>
      <c r="AG520" s="1104"/>
      <c r="AH520" s="1104"/>
      <c r="AI520" s="1353"/>
      <c r="AJ520" s="86"/>
      <c r="AK520" s="86"/>
      <c r="AL520" s="690"/>
      <c r="AM520" s="694">
        <f t="shared" si="1012"/>
        <v>0</v>
      </c>
      <c r="AN520" s="31"/>
      <c r="AO520" s="622"/>
      <c r="AP520" s="23"/>
      <c r="AQ520" s="23"/>
      <c r="AR520" s="23"/>
      <c r="AS520" s="23"/>
      <c r="AT520" s="23"/>
      <c r="AU520" s="23"/>
      <c r="AV520" s="23"/>
    </row>
    <row r="521" spans="1:48" ht="25.15" hidden="1" customHeight="1">
      <c r="A521" s="103"/>
      <c r="B521" s="105"/>
      <c r="C521" s="77"/>
      <c r="D521" s="88" t="s">
        <v>111</v>
      </c>
      <c r="E521" s="1108">
        <f>IF(E520="O/H",E519,0+E519)</f>
        <v>0</v>
      </c>
      <c r="F521" s="1089">
        <f t="shared" ref="F521:AI521" si="1013">IF(F520="O/H",F519,+E521+F519)</f>
        <v>0</v>
      </c>
      <c r="G521" s="44">
        <f t="shared" si="1013"/>
        <v>0</v>
      </c>
      <c r="H521" s="1089">
        <f t="shared" si="1013"/>
        <v>0</v>
      </c>
      <c r="I521" s="1089">
        <f t="shared" si="1013"/>
        <v>0</v>
      </c>
      <c r="J521" s="44">
        <f t="shared" si="1013"/>
        <v>0</v>
      </c>
      <c r="K521" s="44">
        <f t="shared" si="1013"/>
        <v>0</v>
      </c>
      <c r="L521" s="1089">
        <f t="shared" si="1013"/>
        <v>0</v>
      </c>
      <c r="M521" s="1089">
        <f t="shared" si="1013"/>
        <v>0</v>
      </c>
      <c r="N521" s="1089">
        <f t="shared" si="1013"/>
        <v>0</v>
      </c>
      <c r="O521" s="1089">
        <f t="shared" si="1013"/>
        <v>0</v>
      </c>
      <c r="P521" s="1089">
        <f t="shared" si="1013"/>
        <v>0</v>
      </c>
      <c r="Q521" s="44">
        <f t="shared" si="1013"/>
        <v>0</v>
      </c>
      <c r="R521" s="44">
        <f t="shared" si="1013"/>
        <v>0</v>
      </c>
      <c r="S521" s="1089">
        <f t="shared" si="1013"/>
        <v>0</v>
      </c>
      <c r="T521" s="1089">
        <f t="shared" si="1013"/>
        <v>0</v>
      </c>
      <c r="U521" s="1089">
        <f t="shared" si="1013"/>
        <v>0</v>
      </c>
      <c r="V521" s="1089">
        <f t="shared" si="1013"/>
        <v>0</v>
      </c>
      <c r="W521" s="1089">
        <f t="shared" si="1013"/>
        <v>0</v>
      </c>
      <c r="X521" s="44">
        <f t="shared" si="1013"/>
        <v>0</v>
      </c>
      <c r="Y521" s="44">
        <f t="shared" si="1013"/>
        <v>0</v>
      </c>
      <c r="Z521" s="1089">
        <f t="shared" si="1013"/>
        <v>0</v>
      </c>
      <c r="AA521" s="1089">
        <f t="shared" si="1013"/>
        <v>0</v>
      </c>
      <c r="AB521" s="1089">
        <f t="shared" si="1013"/>
        <v>0</v>
      </c>
      <c r="AC521" s="1089">
        <f t="shared" si="1013"/>
        <v>0</v>
      </c>
      <c r="AD521" s="1089">
        <f t="shared" si="1013"/>
        <v>0</v>
      </c>
      <c r="AE521" s="44">
        <f t="shared" si="1013"/>
        <v>0</v>
      </c>
      <c r="AF521" s="44">
        <f t="shared" si="1013"/>
        <v>0</v>
      </c>
      <c r="AG521" s="1089">
        <f t="shared" si="1013"/>
        <v>0</v>
      </c>
      <c r="AH521" s="1089">
        <f t="shared" si="1013"/>
        <v>0</v>
      </c>
      <c r="AI521" s="1326">
        <f t="shared" si="1013"/>
        <v>0</v>
      </c>
      <c r="AJ521" s="79"/>
      <c r="AK521" s="86"/>
      <c r="AL521" s="689"/>
      <c r="AM521" s="694">
        <f t="shared" si="1012"/>
        <v>0</v>
      </c>
      <c r="AN521" s="31"/>
      <c r="AO521" s="622"/>
      <c r="AP521" s="23"/>
      <c r="AQ521" s="23"/>
      <c r="AR521" s="23"/>
      <c r="AS521" s="23"/>
      <c r="AT521" s="23"/>
      <c r="AU521" s="23"/>
      <c r="AV521" s="23"/>
    </row>
    <row r="522" spans="1:48" s="23" customFormat="1" ht="20.65" hidden="1" customHeight="1">
      <c r="A522" s="274"/>
      <c r="B522" s="312"/>
      <c r="C522" s="308"/>
      <c r="D522" s="795" t="s">
        <v>112</v>
      </c>
      <c r="E522" s="1108">
        <f>IF(AND(ISNUMBER(E513)),191605+E519)</f>
        <v>191605</v>
      </c>
      <c r="F522" s="1089" t="str">
        <f>IF(AND(ISNUMBER(F513)),E522+F519,"")</f>
        <v/>
      </c>
      <c r="G522" s="44" t="str">
        <f t="shared" ref="G522" si="1014">IF(AND(ISNUMBER(G513)),F522+G519,"")</f>
        <v/>
      </c>
      <c r="H522" s="1089" t="str">
        <f t="shared" ref="H522" si="1015">IF(AND(ISNUMBER(H513)),G522+H519,"")</f>
        <v/>
      </c>
      <c r="I522" s="1089" t="str">
        <f>IF(AND(ISNUMBER(I513)),H522+I519,"")</f>
        <v/>
      </c>
      <c r="J522" s="44" t="str">
        <f>IF(AND(ISNUMBER(J513)),I522+J519,"")</f>
        <v/>
      </c>
      <c r="K522" s="44" t="str">
        <f>IF(AND(ISNUMBER(K513)),J522+K519,"")</f>
        <v/>
      </c>
      <c r="L522" s="1089" t="str">
        <f t="shared" ref="L522" si="1016">IF(AND(ISNUMBER(L513)),K522+L519,"")</f>
        <v/>
      </c>
      <c r="M522" s="1089" t="str">
        <f t="shared" ref="M522" si="1017">IF(AND(ISNUMBER(M513)),L522+M519,"")</f>
        <v/>
      </c>
      <c r="N522" s="1089" t="str">
        <f t="shared" ref="N522" si="1018">IF(AND(ISNUMBER(N513)),M522+N519,"")</f>
        <v/>
      </c>
      <c r="O522" s="1089" t="str">
        <f t="shared" ref="O522" si="1019">IF(AND(ISNUMBER(O513)),N522+O519,"")</f>
        <v/>
      </c>
      <c r="P522" s="1089" t="str">
        <f t="shared" ref="P522" si="1020">IF(AND(ISNUMBER(P513)),O522+P519,"")</f>
        <v/>
      </c>
      <c r="Q522" s="44" t="str">
        <f t="shared" ref="Q522" si="1021">IF(AND(ISNUMBER(Q513)),P522+Q519,"")</f>
        <v/>
      </c>
      <c r="R522" s="44" t="str">
        <f t="shared" ref="R522" si="1022">IF(AND(ISNUMBER(R513)),Q522+R519,"")</f>
        <v/>
      </c>
      <c r="S522" s="1089" t="str">
        <f t="shared" ref="S522" si="1023">IF(AND(ISNUMBER(S513)),R522+S519,"")</f>
        <v/>
      </c>
      <c r="T522" s="1089" t="str">
        <f t="shared" ref="T522" si="1024">IF(AND(ISNUMBER(T513)),S522+T519,"")</f>
        <v/>
      </c>
      <c r="U522" s="1089" t="str">
        <f t="shared" ref="U522" si="1025">IF(AND(ISNUMBER(U513)),T522+U519,"")</f>
        <v/>
      </c>
      <c r="V522" s="1089" t="str">
        <f t="shared" ref="V522" si="1026">IF(AND(ISNUMBER(V513)),U522+V519,"")</f>
        <v/>
      </c>
      <c r="W522" s="1089" t="str">
        <f t="shared" ref="W522" si="1027">IF(AND(ISNUMBER(W513)),V522+W519,"")</f>
        <v/>
      </c>
      <c r="X522" s="44" t="str">
        <f t="shared" ref="X522" si="1028">IF(AND(ISNUMBER(X513)),W522+X519,"")</f>
        <v/>
      </c>
      <c r="Y522" s="44" t="str">
        <f t="shared" ref="Y522" si="1029">IF(AND(ISNUMBER(Y513)),X522+Y519,"")</f>
        <v/>
      </c>
      <c r="Z522" s="1089" t="str">
        <f t="shared" ref="Z522" si="1030">IF(AND(ISNUMBER(Z513)),Y522+Z519,"")</f>
        <v/>
      </c>
      <c r="AA522" s="1089" t="str">
        <f t="shared" ref="AA522" si="1031">IF(AND(ISNUMBER(AA513)),Z522+AA519,"")</f>
        <v/>
      </c>
      <c r="AB522" s="1089" t="str">
        <f t="shared" ref="AB522" si="1032">IF(AND(ISNUMBER(AB513)),AA522+AB519,"")</f>
        <v/>
      </c>
      <c r="AC522" s="1089" t="str">
        <f t="shared" ref="AC522" si="1033">IF(AND(ISNUMBER(AC513)),AB522+AC519,"")</f>
        <v/>
      </c>
      <c r="AD522" s="1089" t="str">
        <f t="shared" ref="AD522" si="1034">IF(AND(ISNUMBER(AD513)),AC522+AD519,"")</f>
        <v/>
      </c>
      <c r="AE522" s="44" t="str">
        <f t="shared" ref="AE522" si="1035">IF(AND(ISNUMBER(AE513)),AD522+AE519,"")</f>
        <v/>
      </c>
      <c r="AF522" s="44" t="str">
        <f t="shared" ref="AF522" si="1036">IF(AND(ISNUMBER(AF513)),AE522+AF519,"")</f>
        <v/>
      </c>
      <c r="AG522" s="1089" t="str">
        <f t="shared" ref="AG522" si="1037">IF(AND(ISNUMBER(AG513)),AF522+AG519,"")</f>
        <v/>
      </c>
      <c r="AH522" s="1089" t="str">
        <f t="shared" ref="AH522" si="1038">IF(AND(ISNUMBER(AH513)),AG522+AH519,"")</f>
        <v/>
      </c>
      <c r="AI522" s="1089" t="str">
        <f t="shared" ref="AI522" si="1039">IF(AND(ISNUMBER(AI513)),AH522+AI519,"")</f>
        <v/>
      </c>
      <c r="AJ522" s="793"/>
      <c r="AK522" s="793"/>
      <c r="AL522" s="909"/>
      <c r="AM522" s="890">
        <f t="shared" si="1012"/>
        <v>0</v>
      </c>
      <c r="AN522" s="76"/>
      <c r="AO522" s="624"/>
      <c r="AP522" s="285"/>
      <c r="AQ522" s="285"/>
      <c r="AR522" s="285"/>
      <c r="AS522" s="285"/>
      <c r="AT522" s="286"/>
      <c r="AU522" s="285"/>
      <c r="AV522" s="287"/>
    </row>
    <row r="523" spans="1:48" ht="25.15" hidden="1" customHeight="1">
      <c r="A523" s="103"/>
      <c r="B523" s="89"/>
      <c r="C523" s="80"/>
      <c r="D523" s="90" t="s">
        <v>104</v>
      </c>
      <c r="E523" s="1108"/>
      <c r="F523" s="1089"/>
      <c r="G523" s="44"/>
      <c r="H523" s="1089"/>
      <c r="I523" s="1089"/>
      <c r="J523" s="44"/>
      <c r="K523" s="44"/>
      <c r="L523" s="1089"/>
      <c r="M523" s="1089"/>
      <c r="N523" s="1089"/>
      <c r="O523" s="1089"/>
      <c r="P523" s="1089"/>
      <c r="Q523" s="44"/>
      <c r="R523" s="44"/>
      <c r="S523" s="1089"/>
      <c r="T523" s="1089"/>
      <c r="U523" s="1089"/>
      <c r="V523" s="1089"/>
      <c r="W523" s="1089"/>
      <c r="X523" s="44"/>
      <c r="Y523" s="44"/>
      <c r="Z523" s="1089"/>
      <c r="AA523" s="1089"/>
      <c r="AB523" s="1089"/>
      <c r="AC523" s="1089"/>
      <c r="AD523" s="1089"/>
      <c r="AE523" s="44"/>
      <c r="AF523" s="44"/>
      <c r="AG523" s="1089"/>
      <c r="AH523" s="1089"/>
      <c r="AI523" s="1326"/>
      <c r="AJ523" s="79"/>
      <c r="AK523" s="79"/>
      <c r="AL523" s="63"/>
      <c r="AM523" s="1068">
        <f t="shared" si="1012"/>
        <v>0</v>
      </c>
      <c r="AN523" s="64"/>
      <c r="AO523" s="624"/>
      <c r="AP523" s="23"/>
      <c r="AQ523" s="23"/>
      <c r="AR523" s="23"/>
      <c r="AS523" s="23"/>
      <c r="AT523" s="23"/>
      <c r="AU523" s="23"/>
      <c r="AV523" s="23"/>
    </row>
    <row r="524" spans="1:48" ht="25.15" hidden="1" customHeight="1" thickBot="1">
      <c r="A524" s="106"/>
      <c r="B524" s="93"/>
      <c r="C524" s="94"/>
      <c r="D524" s="95" t="s">
        <v>111</v>
      </c>
      <c r="E524" s="1109">
        <f>IF(E523="O/H",E519,0+E519)</f>
        <v>0</v>
      </c>
      <c r="F524" s="1110">
        <f t="shared" ref="F524:AI524" si="1040">IF(F523="O/H",F519,+E524+F519)</f>
        <v>0</v>
      </c>
      <c r="G524" s="1212">
        <f t="shared" si="1040"/>
        <v>0</v>
      </c>
      <c r="H524" s="1110">
        <f t="shared" si="1040"/>
        <v>0</v>
      </c>
      <c r="I524" s="1110">
        <f t="shared" si="1040"/>
        <v>0</v>
      </c>
      <c r="J524" s="1212">
        <f t="shared" si="1040"/>
        <v>0</v>
      </c>
      <c r="K524" s="1212">
        <f t="shared" si="1040"/>
        <v>0</v>
      </c>
      <c r="L524" s="1110">
        <f t="shared" si="1040"/>
        <v>0</v>
      </c>
      <c r="M524" s="1110">
        <f t="shared" si="1040"/>
        <v>0</v>
      </c>
      <c r="N524" s="1110">
        <f t="shared" si="1040"/>
        <v>0</v>
      </c>
      <c r="O524" s="1110">
        <f t="shared" si="1040"/>
        <v>0</v>
      </c>
      <c r="P524" s="1110">
        <f t="shared" si="1040"/>
        <v>0</v>
      </c>
      <c r="Q524" s="1212">
        <f t="shared" si="1040"/>
        <v>0</v>
      </c>
      <c r="R524" s="1212">
        <f t="shared" si="1040"/>
        <v>0</v>
      </c>
      <c r="S524" s="1110">
        <f t="shared" si="1040"/>
        <v>0</v>
      </c>
      <c r="T524" s="1110">
        <f t="shared" si="1040"/>
        <v>0</v>
      </c>
      <c r="U524" s="1110">
        <f t="shared" si="1040"/>
        <v>0</v>
      </c>
      <c r="V524" s="1110">
        <f t="shared" si="1040"/>
        <v>0</v>
      </c>
      <c r="W524" s="1110">
        <f t="shared" si="1040"/>
        <v>0</v>
      </c>
      <c r="X524" s="1212">
        <f t="shared" si="1040"/>
        <v>0</v>
      </c>
      <c r="Y524" s="1212">
        <f t="shared" si="1040"/>
        <v>0</v>
      </c>
      <c r="Z524" s="1110">
        <f t="shared" si="1040"/>
        <v>0</v>
      </c>
      <c r="AA524" s="1110">
        <f t="shared" ref="AA524" si="1041">IF(AA523="O/H",AA519,+Z524+AA519)</f>
        <v>0</v>
      </c>
      <c r="AB524" s="1110">
        <f t="shared" ref="AB524" si="1042">IF(AB523="O/H",AB519,+AA524+AB519)</f>
        <v>0</v>
      </c>
      <c r="AC524" s="1110">
        <f t="shared" ref="AC524" si="1043">IF(AC523="O/H",AC519,+AB524+AC519)</f>
        <v>0</v>
      </c>
      <c r="AD524" s="1110">
        <f t="shared" ref="AD524" si="1044">IF(AD523="O/H",AD519,+AC524+AD519)</f>
        <v>0</v>
      </c>
      <c r="AE524" s="1212">
        <f t="shared" ref="AE524" si="1045">IF(AE523="O/H",AE519,+AD524+AE519)</f>
        <v>0</v>
      </c>
      <c r="AF524" s="1212">
        <f t="shared" si="1040"/>
        <v>0</v>
      </c>
      <c r="AG524" s="1110">
        <f t="shared" si="1040"/>
        <v>0</v>
      </c>
      <c r="AH524" s="1110">
        <f t="shared" si="1040"/>
        <v>0</v>
      </c>
      <c r="AI524" s="1340">
        <f t="shared" si="1040"/>
        <v>0</v>
      </c>
      <c r="AJ524" s="96"/>
      <c r="AK524" s="96"/>
      <c r="AL524" s="97"/>
      <c r="AM524" s="1071">
        <f t="shared" si="1012"/>
        <v>0</v>
      </c>
      <c r="AN524" s="98"/>
      <c r="AO524" s="625"/>
      <c r="AP524" s="23"/>
      <c r="AQ524" s="23"/>
      <c r="AR524" s="23"/>
      <c r="AS524" s="23"/>
      <c r="AT524" s="23"/>
      <c r="AU524" s="23"/>
      <c r="AV524" s="23"/>
    </row>
    <row r="525" spans="1:48" ht="25.15" hidden="1" customHeight="1" thickTop="1">
      <c r="A525" s="99"/>
      <c r="B525" s="26" t="s">
        <v>164</v>
      </c>
      <c r="C525" s="27"/>
      <c r="D525" s="28" t="s">
        <v>82</v>
      </c>
      <c r="E525" s="1111"/>
      <c r="F525" s="1111"/>
      <c r="G525" s="1201"/>
      <c r="H525" s="1111"/>
      <c r="I525" s="1111"/>
      <c r="J525" s="1201"/>
      <c r="K525" s="1201"/>
      <c r="L525" s="1111"/>
      <c r="M525" s="1111"/>
      <c r="N525" s="1111"/>
      <c r="O525" s="1111"/>
      <c r="P525" s="1111"/>
      <c r="Q525" s="1201"/>
      <c r="R525" s="1201"/>
      <c r="S525" s="1111"/>
      <c r="T525" s="1111"/>
      <c r="U525" s="1111"/>
      <c r="V525" s="1111"/>
      <c r="W525" s="1111"/>
      <c r="X525" s="1201"/>
      <c r="Y525" s="1201"/>
      <c r="Z525" s="1111"/>
      <c r="AA525" s="1111"/>
      <c r="AB525" s="1111"/>
      <c r="AC525" s="1111"/>
      <c r="AD525" s="1111"/>
      <c r="AE525" s="1201"/>
      <c r="AF525" s="1201"/>
      <c r="AG525" s="1111"/>
      <c r="AH525" s="1111"/>
      <c r="AI525" s="1412"/>
      <c r="AJ525" s="100">
        <f>SUM(Table75[[#This Row],[June''2026]:[Column27]])</f>
        <v>0</v>
      </c>
      <c r="AK525" s="100">
        <f t="shared" ref="AK525:AK579" si="1046">AJ527</f>
        <v>0</v>
      </c>
      <c r="AL525" s="101">
        <f>+AJ525*AN525</f>
        <v>0</v>
      </c>
      <c r="AM525" s="1072">
        <f t="shared" si="1012"/>
        <v>0</v>
      </c>
      <c r="AN525" s="102"/>
      <c r="AO525" s="622" t="e">
        <f>Table5[[#This Row],[Total]]*B529/1000</f>
        <v>#VALUE!</v>
      </c>
      <c r="AP525" s="32" t="s">
        <v>83</v>
      </c>
      <c r="AQ525" s="33" t="s">
        <v>84</v>
      </c>
      <c r="AR525" s="33" t="s">
        <v>85</v>
      </c>
      <c r="AS525" s="33" t="s">
        <v>86</v>
      </c>
      <c r="AT525" s="33" t="s">
        <v>87</v>
      </c>
      <c r="AU525" s="33" t="s">
        <v>88</v>
      </c>
      <c r="AV525" s="34" t="s">
        <v>68</v>
      </c>
    </row>
    <row r="526" spans="1:48" ht="25.15" hidden="1" customHeight="1">
      <c r="A526" s="103"/>
      <c r="B526" s="35" t="s">
        <v>173</v>
      </c>
      <c r="C526" s="36"/>
      <c r="D526" s="37" t="s">
        <v>90</v>
      </c>
      <c r="E526" s="1373">
        <f>IF(E525="",0,+ E525/E532)</f>
        <v>0</v>
      </c>
      <c r="F526" s="1096">
        <f t="shared" ref="F526:AI526" si="1047">IF(F525="",0, E526+F525/F532)</f>
        <v>0</v>
      </c>
      <c r="G526" s="1207">
        <f t="shared" si="1047"/>
        <v>0</v>
      </c>
      <c r="H526" s="1096">
        <f t="shared" si="1047"/>
        <v>0</v>
      </c>
      <c r="I526" s="1096">
        <f t="shared" si="1047"/>
        <v>0</v>
      </c>
      <c r="J526" s="1207">
        <f t="shared" si="1047"/>
        <v>0</v>
      </c>
      <c r="K526" s="1207">
        <f t="shared" si="1047"/>
        <v>0</v>
      </c>
      <c r="L526" s="1096">
        <f t="shared" si="1047"/>
        <v>0</v>
      </c>
      <c r="M526" s="1096">
        <f t="shared" si="1047"/>
        <v>0</v>
      </c>
      <c r="N526" s="1096">
        <f t="shared" si="1047"/>
        <v>0</v>
      </c>
      <c r="O526" s="1096">
        <f t="shared" si="1047"/>
        <v>0</v>
      </c>
      <c r="P526" s="1096">
        <f t="shared" si="1047"/>
        <v>0</v>
      </c>
      <c r="Q526" s="1207">
        <f t="shared" si="1047"/>
        <v>0</v>
      </c>
      <c r="R526" s="1207">
        <f t="shared" si="1047"/>
        <v>0</v>
      </c>
      <c r="S526" s="1096">
        <f t="shared" si="1047"/>
        <v>0</v>
      </c>
      <c r="T526" s="1096">
        <f t="shared" si="1047"/>
        <v>0</v>
      </c>
      <c r="U526" s="1096">
        <f t="shared" si="1047"/>
        <v>0</v>
      </c>
      <c r="V526" s="1096">
        <f t="shared" si="1047"/>
        <v>0</v>
      </c>
      <c r="W526" s="1096">
        <f t="shared" si="1047"/>
        <v>0</v>
      </c>
      <c r="X526" s="1207">
        <f t="shared" si="1047"/>
        <v>0</v>
      </c>
      <c r="Y526" s="1207">
        <f t="shared" si="1047"/>
        <v>0</v>
      </c>
      <c r="Z526" s="1096">
        <f t="shared" si="1047"/>
        <v>0</v>
      </c>
      <c r="AA526" s="1096">
        <f t="shared" si="1047"/>
        <v>0</v>
      </c>
      <c r="AB526" s="1096">
        <f t="shared" si="1047"/>
        <v>0</v>
      </c>
      <c r="AC526" s="1096">
        <f t="shared" si="1047"/>
        <v>0</v>
      </c>
      <c r="AD526" s="1096">
        <f t="shared" si="1047"/>
        <v>0</v>
      </c>
      <c r="AE526" s="1207">
        <f t="shared" si="1047"/>
        <v>0</v>
      </c>
      <c r="AF526" s="1207">
        <f t="shared" si="1047"/>
        <v>0</v>
      </c>
      <c r="AG526" s="1096">
        <f t="shared" si="1047"/>
        <v>0</v>
      </c>
      <c r="AH526" s="1096">
        <f t="shared" si="1047"/>
        <v>0</v>
      </c>
      <c r="AI526" s="1324">
        <f t="shared" si="1047"/>
        <v>0</v>
      </c>
      <c r="AJ526" s="38"/>
      <c r="AK526" s="29"/>
      <c r="AL526" s="30"/>
      <c r="AM526" s="694">
        <f t="shared" si="1012"/>
        <v>0</v>
      </c>
      <c r="AN526" s="31"/>
      <c r="AO526" s="630"/>
      <c r="AP526" s="39" t="s">
        <v>91</v>
      </c>
      <c r="AQ526" s="40">
        <f>SUM(E525:I525)</f>
        <v>0</v>
      </c>
      <c r="AR526" s="41">
        <f>SUM(J525:P525)</f>
        <v>0</v>
      </c>
      <c r="AS526" s="41">
        <f>SUM(Q525:W525)</f>
        <v>0</v>
      </c>
      <c r="AT526" s="41">
        <f>SUM(X525:AD525)</f>
        <v>0</v>
      </c>
      <c r="AU526" s="41">
        <f>SUM(AE525:AI525)</f>
        <v>0</v>
      </c>
      <c r="AV526" s="34">
        <f t="shared" ref="AV526:AV531" si="1048">SUM(AQ526:AU526)</f>
        <v>0</v>
      </c>
    </row>
    <row r="527" spans="1:48" ht="25.15" hidden="1" customHeight="1">
      <c r="A527" s="103"/>
      <c r="B527" s="26" t="s">
        <v>92</v>
      </c>
      <c r="C527" s="42"/>
      <c r="D527" s="43" t="s">
        <v>93</v>
      </c>
      <c r="E527" s="1325">
        <v>0</v>
      </c>
      <c r="F527" s="1089"/>
      <c r="G527" s="44"/>
      <c r="H527" s="1089"/>
      <c r="I527" s="1089"/>
      <c r="J527" s="44"/>
      <c r="K527" s="44"/>
      <c r="L527" s="1089"/>
      <c r="M527" s="1089"/>
      <c r="N527" s="1089"/>
      <c r="O527" s="1089"/>
      <c r="P527" s="1089"/>
      <c r="Q527" s="44"/>
      <c r="R527" s="44"/>
      <c r="S527" s="1089"/>
      <c r="T527" s="1089"/>
      <c r="U527" s="1089"/>
      <c r="V527" s="1089"/>
      <c r="W527" s="1089"/>
      <c r="X527" s="44"/>
      <c r="Y527" s="44"/>
      <c r="Z527" s="1089"/>
      <c r="AA527" s="1089"/>
      <c r="AB527" s="1089"/>
      <c r="AC527" s="1089"/>
      <c r="AD527" s="1089"/>
      <c r="AE527" s="44"/>
      <c r="AF527" s="44"/>
      <c r="AG527" s="1089"/>
      <c r="AH527" s="1089"/>
      <c r="AI527" s="1326"/>
      <c r="AJ527" s="45">
        <f>SUM(E527:AI527)</f>
        <v>0</v>
      </c>
      <c r="AK527" s="45"/>
      <c r="AL527" s="46">
        <f>+AJ527*AN525</f>
        <v>0</v>
      </c>
      <c r="AM527" s="1066">
        <f t="shared" si="1012"/>
        <v>0</v>
      </c>
      <c r="AN527" s="31"/>
      <c r="AO527" s="632">
        <f>(AJ527+AJ529+AJ530+AJ531)*B529/1000</f>
        <v>0</v>
      </c>
      <c r="AP527" s="47" t="s">
        <v>94</v>
      </c>
      <c r="AQ527" s="48">
        <f>SUM(E527:I527)</f>
        <v>0</v>
      </c>
      <c r="AR527" s="49">
        <f>SUM(J527:P527)</f>
        <v>0</v>
      </c>
      <c r="AS527" s="49">
        <f>SUM(Q527:W527)</f>
        <v>0</v>
      </c>
      <c r="AT527" s="49">
        <f>SUM(X527:AD527)</f>
        <v>0</v>
      </c>
      <c r="AU527" s="49">
        <f>SUM(AE527:AI527)</f>
        <v>0</v>
      </c>
      <c r="AV527" s="50">
        <f t="shared" si="1048"/>
        <v>0</v>
      </c>
    </row>
    <row r="528" spans="1:48" ht="25.15" hidden="1" customHeight="1">
      <c r="A528" s="103"/>
      <c r="B528" s="51"/>
      <c r="C528" s="52" t="s">
        <v>95</v>
      </c>
      <c r="D528" s="53" t="s">
        <v>96</v>
      </c>
      <c r="E528" s="1327">
        <f t="shared" ref="E528" si="1049">+E527-E525</f>
        <v>0</v>
      </c>
      <c r="F528" s="1097">
        <f t="shared" ref="F528:AJ528" si="1050">+F527-F525</f>
        <v>0</v>
      </c>
      <c r="G528" s="1205">
        <f t="shared" si="1050"/>
        <v>0</v>
      </c>
      <c r="H528" s="1097">
        <f>+H527-H525</f>
        <v>0</v>
      </c>
      <c r="I528" s="1097">
        <f t="shared" si="1050"/>
        <v>0</v>
      </c>
      <c r="J528" s="1205">
        <f>+J527-J525</f>
        <v>0</v>
      </c>
      <c r="K528" s="1205">
        <f t="shared" si="1050"/>
        <v>0</v>
      </c>
      <c r="L528" s="1097">
        <f t="shared" si="1050"/>
        <v>0</v>
      </c>
      <c r="M528" s="1097">
        <f t="shared" si="1050"/>
        <v>0</v>
      </c>
      <c r="N528" s="1097">
        <f t="shared" si="1050"/>
        <v>0</v>
      </c>
      <c r="O528" s="1097">
        <f t="shared" si="1050"/>
        <v>0</v>
      </c>
      <c r="P528" s="1097">
        <f t="shared" si="1050"/>
        <v>0</v>
      </c>
      <c r="Q528" s="1205">
        <f t="shared" si="1050"/>
        <v>0</v>
      </c>
      <c r="R528" s="1205">
        <f t="shared" si="1050"/>
        <v>0</v>
      </c>
      <c r="S528" s="1097">
        <f t="shared" si="1050"/>
        <v>0</v>
      </c>
      <c r="T528" s="1097">
        <f t="shared" si="1050"/>
        <v>0</v>
      </c>
      <c r="U528" s="1097">
        <f t="shared" si="1050"/>
        <v>0</v>
      </c>
      <c r="V528" s="1097">
        <f t="shared" si="1050"/>
        <v>0</v>
      </c>
      <c r="W528" s="1097">
        <f t="shared" si="1050"/>
        <v>0</v>
      </c>
      <c r="X528" s="1205">
        <f t="shared" si="1050"/>
        <v>0</v>
      </c>
      <c r="Y528" s="1205">
        <f t="shared" si="1050"/>
        <v>0</v>
      </c>
      <c r="Z528" s="1097">
        <f t="shared" si="1050"/>
        <v>0</v>
      </c>
      <c r="AA528" s="1097">
        <f t="shared" ref="AA528" si="1051">+AA527-AA525</f>
        <v>0</v>
      </c>
      <c r="AB528" s="1097">
        <f t="shared" si="1050"/>
        <v>0</v>
      </c>
      <c r="AC528" s="1097">
        <f t="shared" si="1050"/>
        <v>0</v>
      </c>
      <c r="AD528" s="1097">
        <f t="shared" si="1050"/>
        <v>0</v>
      </c>
      <c r="AE528" s="1205">
        <f t="shared" si="1050"/>
        <v>0</v>
      </c>
      <c r="AF528" s="1205">
        <f t="shared" si="1050"/>
        <v>0</v>
      </c>
      <c r="AG528" s="1097">
        <f t="shared" si="1050"/>
        <v>0</v>
      </c>
      <c r="AH528" s="1097">
        <f t="shared" si="1050"/>
        <v>0</v>
      </c>
      <c r="AI528" s="1328">
        <f t="shared" si="1050"/>
        <v>0</v>
      </c>
      <c r="AJ528" s="54">
        <f t="shared" si="1050"/>
        <v>0</v>
      </c>
      <c r="AK528" s="54"/>
      <c r="AL528" s="55">
        <f>+AJ528*AN525</f>
        <v>0</v>
      </c>
      <c r="AM528" s="1067">
        <f t="shared" si="1012"/>
        <v>0</v>
      </c>
      <c r="AN528" s="31" t="s">
        <v>97</v>
      </c>
      <c r="AO528" s="622"/>
      <c r="AP528" s="39" t="s">
        <v>98</v>
      </c>
      <c r="AQ528" s="56">
        <f>AQ527-AQ526</f>
        <v>0</v>
      </c>
      <c r="AR528" s="70">
        <f>AR527-AR526</f>
        <v>0</v>
      </c>
      <c r="AS528" s="70">
        <f>AS527-AS526</f>
        <v>0</v>
      </c>
      <c r="AT528" s="70">
        <f>AT527-AT526</f>
        <v>0</v>
      </c>
      <c r="AU528" s="70">
        <f>AU527-AU526</f>
        <v>0</v>
      </c>
      <c r="AV528" s="57">
        <f t="shared" si="1048"/>
        <v>0</v>
      </c>
    </row>
    <row r="529" spans="1:48" ht="25.15" hidden="1" customHeight="1">
      <c r="A529" s="58"/>
      <c r="B529" s="59"/>
      <c r="C529" s="60" t="s">
        <v>100</v>
      </c>
      <c r="D529" s="61" t="s">
        <v>101</v>
      </c>
      <c r="E529" s="1367">
        <v>0</v>
      </c>
      <c r="F529" s="1099"/>
      <c r="G529" s="1208"/>
      <c r="H529" s="1099"/>
      <c r="I529" s="1099"/>
      <c r="J529" s="1208"/>
      <c r="K529" s="1208"/>
      <c r="L529" s="1099"/>
      <c r="M529" s="1099"/>
      <c r="N529" s="1099"/>
      <c r="O529" s="1099"/>
      <c r="P529" s="1099"/>
      <c r="Q529" s="1208"/>
      <c r="R529" s="1208"/>
      <c r="S529" s="1099"/>
      <c r="T529" s="1099"/>
      <c r="U529" s="1099"/>
      <c r="V529" s="1099"/>
      <c r="W529" s="1099"/>
      <c r="X529" s="1208"/>
      <c r="Y529" s="1208"/>
      <c r="Z529" s="1099"/>
      <c r="AA529" s="1099"/>
      <c r="AB529" s="1099"/>
      <c r="AC529" s="1099"/>
      <c r="AD529" s="1099"/>
      <c r="AE529" s="1208"/>
      <c r="AF529" s="1208"/>
      <c r="AG529" s="1099"/>
      <c r="AH529" s="1099"/>
      <c r="AI529" s="1330"/>
      <c r="AJ529" s="62">
        <f>SUM(E529:AI529)</f>
        <v>0</v>
      </c>
      <c r="AK529" s="62"/>
      <c r="AL529" s="63">
        <f>+AJ529*AN525</f>
        <v>0</v>
      </c>
      <c r="AM529" s="1068">
        <f t="shared" si="1012"/>
        <v>0</v>
      </c>
      <c r="AN529" s="64" t="e">
        <f>+AJ529/AJ527*100</f>
        <v>#DIV/0!</v>
      </c>
      <c r="AO529" s="635" t="e">
        <f>AO527/AO525</f>
        <v>#VALUE!</v>
      </c>
      <c r="AP529" s="39" t="s">
        <v>102</v>
      </c>
      <c r="AQ529" s="56">
        <f>SUM(E529:I529)</f>
        <v>0</v>
      </c>
      <c r="AR529" s="70">
        <f>SUM(J529:P529)</f>
        <v>0</v>
      </c>
      <c r="AS529" s="70">
        <f>SUM(Q529:W529)</f>
        <v>0</v>
      </c>
      <c r="AT529" s="70">
        <f>SUM(X529:AD529)</f>
        <v>0</v>
      </c>
      <c r="AU529" s="70">
        <f>SUM(AE529:AI529)</f>
        <v>0</v>
      </c>
      <c r="AV529" s="57">
        <f t="shared" si="1048"/>
        <v>0</v>
      </c>
    </row>
    <row r="530" spans="1:48" ht="25.15" hidden="1" customHeight="1">
      <c r="A530" s="58" t="s">
        <v>99</v>
      </c>
      <c r="B530" s="65"/>
      <c r="C530" s="66"/>
      <c r="D530" s="67" t="s">
        <v>103</v>
      </c>
      <c r="E530" s="1113">
        <v>0</v>
      </c>
      <c r="F530" s="1101"/>
      <c r="G530" s="1209"/>
      <c r="H530" s="1101"/>
      <c r="I530" s="1101"/>
      <c r="J530" s="1209"/>
      <c r="K530" s="1209"/>
      <c r="L530" s="1101"/>
      <c r="M530" s="1101"/>
      <c r="N530" s="1101"/>
      <c r="O530" s="1101"/>
      <c r="P530" s="1101"/>
      <c r="Q530" s="1209"/>
      <c r="R530" s="1209"/>
      <c r="S530" s="1101"/>
      <c r="T530" s="1101"/>
      <c r="U530" s="1101"/>
      <c r="V530" s="1101"/>
      <c r="W530" s="1101"/>
      <c r="X530" s="1209"/>
      <c r="Y530" s="1209"/>
      <c r="Z530" s="1101"/>
      <c r="AA530" s="1101"/>
      <c r="AB530" s="1101"/>
      <c r="AC530" s="1101"/>
      <c r="AD530" s="1101"/>
      <c r="AE530" s="1209"/>
      <c r="AF530" s="1209"/>
      <c r="AG530" s="1101"/>
      <c r="AH530" s="1101"/>
      <c r="AI530" s="1332"/>
      <c r="AJ530" s="68">
        <f>SUM(E530:AI530)</f>
        <v>0</v>
      </c>
      <c r="AK530" s="68"/>
      <c r="AL530" s="69">
        <f>+AJ530*AN525</f>
        <v>0</v>
      </c>
      <c r="AM530" s="1069">
        <f t="shared" si="1012"/>
        <v>0</v>
      </c>
      <c r="AN530" s="31"/>
      <c r="AO530" s="622"/>
      <c r="AP530" s="39" t="s">
        <v>19</v>
      </c>
      <c r="AQ530" s="56">
        <f>AQ529*AN525</f>
        <v>0</v>
      </c>
      <c r="AR530" s="56">
        <f>AR529*AN525</f>
        <v>0</v>
      </c>
      <c r="AS530" s="56">
        <f>AS529*AN525</f>
        <v>0</v>
      </c>
      <c r="AT530" s="56">
        <f>AT529*AN525</f>
        <v>0</v>
      </c>
      <c r="AU530" s="56">
        <f>AU529*AN525</f>
        <v>0</v>
      </c>
      <c r="AV530" s="57">
        <f t="shared" si="1048"/>
        <v>0</v>
      </c>
    </row>
    <row r="531" spans="1:48" ht="25.15" hidden="1" customHeight="1">
      <c r="A531" s="103"/>
      <c r="B531" s="65"/>
      <c r="C531" s="72" t="s">
        <v>104</v>
      </c>
      <c r="D531" s="73" t="s">
        <v>105</v>
      </c>
      <c r="E531" s="1115">
        <v>0</v>
      </c>
      <c r="F531" s="1103"/>
      <c r="G531" s="1210"/>
      <c r="H531" s="1103"/>
      <c r="I531" s="1103"/>
      <c r="J531" s="1210"/>
      <c r="K531" s="1210"/>
      <c r="L531" s="1103"/>
      <c r="M531" s="1103"/>
      <c r="N531" s="1103"/>
      <c r="O531" s="1103"/>
      <c r="P531" s="1103"/>
      <c r="Q531" s="1210"/>
      <c r="R531" s="1210"/>
      <c r="S531" s="1103"/>
      <c r="T531" s="1103"/>
      <c r="U531" s="1103"/>
      <c r="V531" s="1103"/>
      <c r="W531" s="1103"/>
      <c r="X531" s="1210"/>
      <c r="Y531" s="1210"/>
      <c r="Z531" s="1103"/>
      <c r="AA531" s="1103"/>
      <c r="AB531" s="1103"/>
      <c r="AC531" s="1103"/>
      <c r="AD531" s="1103"/>
      <c r="AE531" s="1210"/>
      <c r="AF531" s="1210"/>
      <c r="AG531" s="1103"/>
      <c r="AH531" s="1103"/>
      <c r="AI531" s="1352"/>
      <c r="AJ531" s="74">
        <f>SUM(E531:AI531)</f>
        <v>0</v>
      </c>
      <c r="AK531" s="74"/>
      <c r="AL531" s="75">
        <f>+AJ531*AN525</f>
        <v>0</v>
      </c>
      <c r="AM531" s="1070">
        <f t="shared" si="1012"/>
        <v>0</v>
      </c>
      <c r="AN531" s="76"/>
      <c r="AO531" s="636"/>
      <c r="AP531" s="47" t="s">
        <v>106</v>
      </c>
      <c r="AQ531" s="48">
        <f>AQ527*AN525</f>
        <v>0</v>
      </c>
      <c r="AR531" s="48">
        <f>AR527*AN525</f>
        <v>0</v>
      </c>
      <c r="AS531" s="48">
        <f>AS527*AN525</f>
        <v>0</v>
      </c>
      <c r="AT531" s="48">
        <f>AT527*AN525</f>
        <v>0</v>
      </c>
      <c r="AU531" s="48">
        <f>AU527*AN525</f>
        <v>0</v>
      </c>
      <c r="AV531" s="50">
        <f t="shared" si="1048"/>
        <v>0</v>
      </c>
    </row>
    <row r="532" spans="1:48" ht="25.15" hidden="1" customHeight="1">
      <c r="A532" s="103"/>
      <c r="B532" s="65"/>
      <c r="C532" s="77">
        <v>300000</v>
      </c>
      <c r="D532" s="78" t="s">
        <v>107</v>
      </c>
      <c r="E532" s="1327">
        <v>1</v>
      </c>
      <c r="F532" s="1097">
        <v>1</v>
      </c>
      <c r="G532" s="1205">
        <v>1</v>
      </c>
      <c r="H532" s="1097">
        <v>1</v>
      </c>
      <c r="I532" s="1097">
        <v>1</v>
      </c>
      <c r="J532" s="1205">
        <v>1</v>
      </c>
      <c r="K532" s="1205">
        <v>1</v>
      </c>
      <c r="L532" s="1097">
        <v>1</v>
      </c>
      <c r="M532" s="1097">
        <v>1</v>
      </c>
      <c r="N532" s="1097">
        <v>1</v>
      </c>
      <c r="O532" s="1097">
        <v>1</v>
      </c>
      <c r="P532" s="1097">
        <v>1</v>
      </c>
      <c r="Q532" s="1205">
        <v>1</v>
      </c>
      <c r="R532" s="1205">
        <v>1</v>
      </c>
      <c r="S532" s="1097">
        <v>1</v>
      </c>
      <c r="T532" s="1097">
        <v>1</v>
      </c>
      <c r="U532" s="1097">
        <v>1</v>
      </c>
      <c r="V532" s="1097">
        <v>1</v>
      </c>
      <c r="W532" s="1097">
        <v>1</v>
      </c>
      <c r="X532" s="1205">
        <v>1</v>
      </c>
      <c r="Y532" s="1205">
        <v>1</v>
      </c>
      <c r="Z532" s="1097">
        <v>1</v>
      </c>
      <c r="AA532" s="1097">
        <v>1</v>
      </c>
      <c r="AB532" s="1097">
        <v>1</v>
      </c>
      <c r="AC532" s="1097">
        <v>1</v>
      </c>
      <c r="AD532" s="1097">
        <v>1</v>
      </c>
      <c r="AE532" s="1205">
        <v>1</v>
      </c>
      <c r="AF532" s="1205">
        <v>1</v>
      </c>
      <c r="AG532" s="1097">
        <v>1</v>
      </c>
      <c r="AH532" s="1097">
        <v>1</v>
      </c>
      <c r="AI532" s="1328">
        <v>1</v>
      </c>
      <c r="AJ532" s="79"/>
      <c r="AK532" s="79"/>
      <c r="AL532" s="55"/>
      <c r="AM532" s="1067">
        <f t="shared" si="1012"/>
        <v>0</v>
      </c>
      <c r="AN532" s="31"/>
      <c r="AO532" s="622"/>
      <c r="AP532" s="23"/>
      <c r="AQ532" s="23"/>
      <c r="AR532" s="23"/>
      <c r="AS532" s="23"/>
      <c r="AT532" s="23"/>
      <c r="AU532" s="23"/>
      <c r="AV532" s="23"/>
    </row>
    <row r="533" spans="1:48" ht="25.15" hidden="1" customHeight="1">
      <c r="A533" s="103"/>
      <c r="B533" s="65"/>
      <c r="C533" s="80" t="s">
        <v>108</v>
      </c>
      <c r="D533" s="81" t="s">
        <v>109</v>
      </c>
      <c r="E533" s="1374">
        <f>SUM(E527+E529+E530+E531)/E532</f>
        <v>0</v>
      </c>
      <c r="F533" s="1104">
        <f>SUM(F527+F529+F530+F531)/F532</f>
        <v>0</v>
      </c>
      <c r="G533" s="1211">
        <f>SUM(G527+G529+G530+G531)/G532</f>
        <v>0</v>
      </c>
      <c r="H533" s="1104">
        <f t="shared" ref="H533:AH533" si="1052">SUM(H527+H529+H530+H531)/H532</f>
        <v>0</v>
      </c>
      <c r="I533" s="1104">
        <f t="shared" si="1052"/>
        <v>0</v>
      </c>
      <c r="J533" s="1211">
        <f t="shared" si="1052"/>
        <v>0</v>
      </c>
      <c r="K533" s="1211">
        <f t="shared" si="1052"/>
        <v>0</v>
      </c>
      <c r="L533" s="1104">
        <f t="shared" si="1052"/>
        <v>0</v>
      </c>
      <c r="M533" s="1104">
        <f t="shared" si="1052"/>
        <v>0</v>
      </c>
      <c r="N533" s="1104">
        <f t="shared" si="1052"/>
        <v>0</v>
      </c>
      <c r="O533" s="1104">
        <f t="shared" si="1052"/>
        <v>0</v>
      </c>
      <c r="P533" s="1104">
        <f t="shared" si="1052"/>
        <v>0</v>
      </c>
      <c r="Q533" s="1211">
        <f t="shared" si="1052"/>
        <v>0</v>
      </c>
      <c r="R533" s="1211">
        <f t="shared" si="1052"/>
        <v>0</v>
      </c>
      <c r="S533" s="1104">
        <f t="shared" si="1052"/>
        <v>0</v>
      </c>
      <c r="T533" s="1104">
        <f t="shared" si="1052"/>
        <v>0</v>
      </c>
      <c r="U533" s="1104">
        <f t="shared" si="1052"/>
        <v>0</v>
      </c>
      <c r="V533" s="1104">
        <f t="shared" si="1052"/>
        <v>0</v>
      </c>
      <c r="W533" s="1104">
        <f t="shared" si="1052"/>
        <v>0</v>
      </c>
      <c r="X533" s="1211">
        <f t="shared" si="1052"/>
        <v>0</v>
      </c>
      <c r="Y533" s="1211">
        <f t="shared" si="1052"/>
        <v>0</v>
      </c>
      <c r="Z533" s="1104">
        <f t="shared" si="1052"/>
        <v>0</v>
      </c>
      <c r="AA533" s="1104">
        <f t="shared" si="1052"/>
        <v>0</v>
      </c>
      <c r="AB533" s="1104">
        <f t="shared" si="1052"/>
        <v>0</v>
      </c>
      <c r="AC533" s="1104">
        <f t="shared" si="1052"/>
        <v>0</v>
      </c>
      <c r="AD533" s="1104">
        <f t="shared" si="1052"/>
        <v>0</v>
      </c>
      <c r="AE533" s="1211">
        <f t="shared" si="1052"/>
        <v>0</v>
      </c>
      <c r="AF533" s="1211">
        <f t="shared" si="1052"/>
        <v>0</v>
      </c>
      <c r="AG533" s="1104">
        <f t="shared" si="1052"/>
        <v>0</v>
      </c>
      <c r="AH533" s="1104">
        <f t="shared" si="1052"/>
        <v>0</v>
      </c>
      <c r="AI533" s="1335">
        <f>SUM(AI527+AI529+AI530)/AI532</f>
        <v>0</v>
      </c>
      <c r="AJ533" s="104">
        <f>SUM(E533:AI533)</f>
        <v>0</v>
      </c>
      <c r="AK533" s="104"/>
      <c r="AL533" s="83"/>
      <c r="AM533" s="1068">
        <f t="shared" si="1012"/>
        <v>0</v>
      </c>
      <c r="AN533" s="31"/>
      <c r="AO533" s="622"/>
      <c r="AP533" s="23"/>
      <c r="AQ533" s="23"/>
      <c r="AR533" s="23"/>
      <c r="AS533" s="23"/>
      <c r="AT533" s="23"/>
      <c r="AU533" s="23"/>
      <c r="AV533" s="23"/>
    </row>
    <row r="534" spans="1:48" ht="25.15" hidden="1" customHeight="1">
      <c r="A534" s="103"/>
      <c r="B534" s="59"/>
      <c r="C534" s="84">
        <f>+C532*0.8</f>
        <v>240000</v>
      </c>
      <c r="D534" s="85" t="s">
        <v>110</v>
      </c>
      <c r="E534" s="1105"/>
      <c r="F534" s="1106"/>
      <c r="G534" s="1211"/>
      <c r="H534" s="1104"/>
      <c r="I534" s="1104"/>
      <c r="J534" s="1211"/>
      <c r="K534" s="1211"/>
      <c r="L534" s="1104"/>
      <c r="M534" s="1104"/>
      <c r="N534" s="1104"/>
      <c r="O534" s="1107"/>
      <c r="P534" s="1104"/>
      <c r="Q534" s="1211"/>
      <c r="R534" s="1211"/>
      <c r="S534" s="1104"/>
      <c r="T534" s="1104"/>
      <c r="U534" s="1104"/>
      <c r="V534" s="1104"/>
      <c r="W534" s="1104"/>
      <c r="X534" s="1211"/>
      <c r="Y534" s="1211"/>
      <c r="Z534" s="1104"/>
      <c r="AA534" s="1089"/>
      <c r="AB534" s="1104"/>
      <c r="AC534" s="1104"/>
      <c r="AD534" s="1104"/>
      <c r="AE534" s="1211"/>
      <c r="AF534" s="1211"/>
      <c r="AG534" s="1104"/>
      <c r="AH534" s="1104"/>
      <c r="AI534" s="1353"/>
      <c r="AJ534" s="86"/>
      <c r="AK534" s="86"/>
      <c r="AL534" s="690"/>
      <c r="AM534" s="694">
        <f t="shared" si="1012"/>
        <v>0</v>
      </c>
      <c r="AN534" s="31"/>
      <c r="AO534" s="622"/>
      <c r="AP534" s="23"/>
      <c r="AQ534" s="23"/>
      <c r="AR534" s="23"/>
      <c r="AS534" s="23"/>
      <c r="AT534" s="23"/>
      <c r="AU534" s="23"/>
      <c r="AV534" s="23"/>
    </row>
    <row r="535" spans="1:48" ht="25.15" hidden="1" customHeight="1">
      <c r="A535" s="103"/>
      <c r="B535" s="105"/>
      <c r="C535" s="77"/>
      <c r="D535" s="88" t="s">
        <v>111</v>
      </c>
      <c r="E535" s="1108">
        <f>IF(E534="O/H",E533,0+E533)</f>
        <v>0</v>
      </c>
      <c r="F535" s="1089">
        <f t="shared" ref="F535:AI535" si="1053">IF(F534="O/H",F533,+E535+F533)</f>
        <v>0</v>
      </c>
      <c r="G535" s="44">
        <f t="shared" si="1053"/>
        <v>0</v>
      </c>
      <c r="H535" s="1089">
        <f t="shared" si="1053"/>
        <v>0</v>
      </c>
      <c r="I535" s="1089">
        <f t="shared" si="1053"/>
        <v>0</v>
      </c>
      <c r="J535" s="44">
        <f t="shared" si="1053"/>
        <v>0</v>
      </c>
      <c r="K535" s="44">
        <f t="shared" si="1053"/>
        <v>0</v>
      </c>
      <c r="L535" s="1089">
        <f t="shared" si="1053"/>
        <v>0</v>
      </c>
      <c r="M535" s="1089">
        <f t="shared" si="1053"/>
        <v>0</v>
      </c>
      <c r="N535" s="1089">
        <f t="shared" si="1053"/>
        <v>0</v>
      </c>
      <c r="O535" s="1089">
        <f t="shared" si="1053"/>
        <v>0</v>
      </c>
      <c r="P535" s="1089">
        <f t="shared" si="1053"/>
        <v>0</v>
      </c>
      <c r="Q535" s="44">
        <f t="shared" si="1053"/>
        <v>0</v>
      </c>
      <c r="R535" s="44">
        <f t="shared" si="1053"/>
        <v>0</v>
      </c>
      <c r="S535" s="1089">
        <f t="shared" si="1053"/>
        <v>0</v>
      </c>
      <c r="T535" s="1089">
        <f t="shared" si="1053"/>
        <v>0</v>
      </c>
      <c r="U535" s="1089">
        <f t="shared" si="1053"/>
        <v>0</v>
      </c>
      <c r="V535" s="1089">
        <f t="shared" si="1053"/>
        <v>0</v>
      </c>
      <c r="W535" s="1089">
        <f t="shared" si="1053"/>
        <v>0</v>
      </c>
      <c r="X535" s="44">
        <f t="shared" si="1053"/>
        <v>0</v>
      </c>
      <c r="Y535" s="44">
        <f t="shared" si="1053"/>
        <v>0</v>
      </c>
      <c r="Z535" s="1089">
        <f t="shared" si="1053"/>
        <v>0</v>
      </c>
      <c r="AA535" s="1089">
        <f t="shared" si="1053"/>
        <v>0</v>
      </c>
      <c r="AB535" s="1089">
        <f t="shared" si="1053"/>
        <v>0</v>
      </c>
      <c r="AC535" s="1089">
        <f t="shared" si="1053"/>
        <v>0</v>
      </c>
      <c r="AD535" s="1089">
        <f t="shared" si="1053"/>
        <v>0</v>
      </c>
      <c r="AE535" s="44">
        <f t="shared" si="1053"/>
        <v>0</v>
      </c>
      <c r="AF535" s="44">
        <f t="shared" si="1053"/>
        <v>0</v>
      </c>
      <c r="AG535" s="1089">
        <f t="shared" si="1053"/>
        <v>0</v>
      </c>
      <c r="AH535" s="1089">
        <f t="shared" si="1053"/>
        <v>0</v>
      </c>
      <c r="AI535" s="1326">
        <f t="shared" si="1053"/>
        <v>0</v>
      </c>
      <c r="AJ535" s="79"/>
      <c r="AK535" s="86"/>
      <c r="AL535" s="689"/>
      <c r="AM535" s="694">
        <f t="shared" si="1012"/>
        <v>0</v>
      </c>
      <c r="AN535" s="31"/>
      <c r="AO535" s="622"/>
      <c r="AP535" s="23"/>
      <c r="AQ535" s="23"/>
      <c r="AR535" s="23"/>
      <c r="AS535" s="23"/>
      <c r="AT535" s="23"/>
      <c r="AU535" s="23"/>
      <c r="AV535" s="23"/>
    </row>
    <row r="536" spans="1:48" ht="25.15" hidden="1" customHeight="1">
      <c r="A536" s="103"/>
      <c r="B536" s="89"/>
      <c r="C536" s="80"/>
      <c r="D536" s="90" t="s">
        <v>104</v>
      </c>
      <c r="E536" s="1108"/>
      <c r="F536" s="1089"/>
      <c r="G536" s="44"/>
      <c r="H536" s="1089"/>
      <c r="I536" s="1089"/>
      <c r="J536" s="44"/>
      <c r="K536" s="44"/>
      <c r="L536" s="1089"/>
      <c r="M536" s="1089"/>
      <c r="N536" s="1089"/>
      <c r="O536" s="1089"/>
      <c r="P536" s="1089"/>
      <c r="Q536" s="44"/>
      <c r="R536" s="44"/>
      <c r="S536" s="1089"/>
      <c r="T536" s="1089"/>
      <c r="U536" s="1089"/>
      <c r="V536" s="1089"/>
      <c r="W536" s="1089"/>
      <c r="X536" s="44"/>
      <c r="Y536" s="44"/>
      <c r="Z536" s="1089"/>
      <c r="AA536" s="1089"/>
      <c r="AB536" s="1089"/>
      <c r="AC536" s="1089"/>
      <c r="AD536" s="1089"/>
      <c r="AE536" s="44"/>
      <c r="AF536" s="44"/>
      <c r="AG536" s="1089"/>
      <c r="AH536" s="1089"/>
      <c r="AI536" s="1326"/>
      <c r="AJ536" s="79"/>
      <c r="AK536" s="79"/>
      <c r="AL536" s="63"/>
      <c r="AM536" s="1068">
        <f t="shared" si="1012"/>
        <v>0</v>
      </c>
      <c r="AN536" s="64"/>
      <c r="AO536" s="624"/>
      <c r="AP536" s="23"/>
      <c r="AQ536" s="23"/>
      <c r="AR536" s="23"/>
      <c r="AS536" s="23"/>
      <c r="AT536" s="23"/>
      <c r="AU536" s="23"/>
      <c r="AV536" s="23"/>
    </row>
    <row r="537" spans="1:48" ht="24.75" hidden="1" customHeight="1" thickBot="1">
      <c r="A537" s="106"/>
      <c r="B537" s="93"/>
      <c r="C537" s="94"/>
      <c r="D537" s="95" t="s">
        <v>111</v>
      </c>
      <c r="E537" s="1109">
        <f>IF(E536="O/H",E533,0+E533)</f>
        <v>0</v>
      </c>
      <c r="F537" s="1110">
        <f t="shared" ref="F537:AI537" si="1054">IF(F536="O/H",F533,+E537+F533)</f>
        <v>0</v>
      </c>
      <c r="G537" s="1212">
        <f t="shared" si="1054"/>
        <v>0</v>
      </c>
      <c r="H537" s="1110">
        <f t="shared" si="1054"/>
        <v>0</v>
      </c>
      <c r="I537" s="1110">
        <f t="shared" si="1054"/>
        <v>0</v>
      </c>
      <c r="J537" s="1212">
        <f t="shared" si="1054"/>
        <v>0</v>
      </c>
      <c r="K537" s="1212">
        <f t="shared" si="1054"/>
        <v>0</v>
      </c>
      <c r="L537" s="1110">
        <f t="shared" si="1054"/>
        <v>0</v>
      </c>
      <c r="M537" s="1110">
        <f t="shared" si="1054"/>
        <v>0</v>
      </c>
      <c r="N537" s="1110">
        <f t="shared" si="1054"/>
        <v>0</v>
      </c>
      <c r="O537" s="1110">
        <f t="shared" si="1054"/>
        <v>0</v>
      </c>
      <c r="P537" s="1110">
        <f t="shared" si="1054"/>
        <v>0</v>
      </c>
      <c r="Q537" s="1212">
        <f t="shared" si="1054"/>
        <v>0</v>
      </c>
      <c r="R537" s="1212">
        <f t="shared" si="1054"/>
        <v>0</v>
      </c>
      <c r="S537" s="1110">
        <f t="shared" si="1054"/>
        <v>0</v>
      </c>
      <c r="T537" s="1110">
        <f t="shared" si="1054"/>
        <v>0</v>
      </c>
      <c r="U537" s="1110">
        <f t="shared" si="1054"/>
        <v>0</v>
      </c>
      <c r="V537" s="1110">
        <f t="shared" si="1054"/>
        <v>0</v>
      </c>
      <c r="W537" s="1110">
        <f t="shared" si="1054"/>
        <v>0</v>
      </c>
      <c r="X537" s="1212">
        <f t="shared" si="1054"/>
        <v>0</v>
      </c>
      <c r="Y537" s="1212">
        <f t="shared" si="1054"/>
        <v>0</v>
      </c>
      <c r="Z537" s="1110">
        <f t="shared" si="1054"/>
        <v>0</v>
      </c>
      <c r="AA537" s="1110">
        <f t="shared" ref="AA537" si="1055">IF(AA536="O/H",AA533,+Z537+AA533)</f>
        <v>0</v>
      </c>
      <c r="AB537" s="1110">
        <f t="shared" ref="AB537" si="1056">IF(AB536="O/H",AB533,+AA537+AB533)</f>
        <v>0</v>
      </c>
      <c r="AC537" s="1110">
        <f t="shared" ref="AC537" si="1057">IF(AC536="O/H",AC533,+AB537+AC533)</f>
        <v>0</v>
      </c>
      <c r="AD537" s="1110">
        <f t="shared" ref="AD537" si="1058">IF(AD536="O/H",AD533,+AC537+AD533)</f>
        <v>0</v>
      </c>
      <c r="AE537" s="1212">
        <f t="shared" ref="AE537" si="1059">IF(AE536="O/H",AE533,+AD537+AE533)</f>
        <v>0</v>
      </c>
      <c r="AF537" s="1212">
        <f t="shared" si="1054"/>
        <v>0</v>
      </c>
      <c r="AG537" s="1110">
        <f t="shared" si="1054"/>
        <v>0</v>
      </c>
      <c r="AH537" s="1110">
        <f t="shared" si="1054"/>
        <v>0</v>
      </c>
      <c r="AI537" s="1340">
        <f t="shared" si="1054"/>
        <v>0</v>
      </c>
      <c r="AJ537" s="96"/>
      <c r="AK537" s="96"/>
      <c r="AL537" s="97"/>
      <c r="AM537" s="1071">
        <f t="shared" si="1012"/>
        <v>0</v>
      </c>
      <c r="AN537" s="98"/>
      <c r="AO537" s="625"/>
      <c r="AP537" s="23"/>
      <c r="AQ537" s="23"/>
      <c r="AR537" s="23"/>
      <c r="AS537" s="23"/>
      <c r="AT537" s="23"/>
      <c r="AU537" s="23"/>
      <c r="AV537" s="23"/>
    </row>
    <row r="538" spans="1:48" ht="25.15" hidden="1" customHeight="1" thickTop="1">
      <c r="A538" s="99"/>
      <c r="B538" s="26" t="s">
        <v>538</v>
      </c>
      <c r="C538" s="27"/>
      <c r="D538" s="28" t="s">
        <v>82</v>
      </c>
      <c r="E538" s="1111"/>
      <c r="F538" s="1111"/>
      <c r="G538" s="1201"/>
      <c r="H538" s="1111"/>
      <c r="I538" s="1111"/>
      <c r="J538" s="1201"/>
      <c r="K538" s="1201"/>
      <c r="L538" s="1111"/>
      <c r="M538" s="1111"/>
      <c r="N538" s="1111"/>
      <c r="O538" s="1111"/>
      <c r="P538" s="1111"/>
      <c r="Q538" s="1201"/>
      <c r="R538" s="1201"/>
      <c r="S538" s="1111"/>
      <c r="T538" s="1111"/>
      <c r="U538" s="1111"/>
      <c r="V538" s="1111"/>
      <c r="W538" s="1111"/>
      <c r="X538" s="1201"/>
      <c r="Y538" s="1201"/>
      <c r="Z538" s="1111"/>
      <c r="AA538" s="1120"/>
      <c r="AB538" s="1120"/>
      <c r="AC538" s="1120"/>
      <c r="AD538" s="1120"/>
      <c r="AE538" s="1308"/>
      <c r="AF538" s="1201"/>
      <c r="AG538" s="1111"/>
      <c r="AH538" s="1111"/>
      <c r="AI538" s="1412"/>
      <c r="AJ538" s="100">
        <f>SUM(Table75[[#This Row],[June''2026]:[Column27]])</f>
        <v>0</v>
      </c>
      <c r="AK538" s="100">
        <f t="shared" si="1046"/>
        <v>0</v>
      </c>
      <c r="AL538" s="101">
        <f>+AJ538*AN538</f>
        <v>0</v>
      </c>
      <c r="AM538" s="1072">
        <f t="shared" si="1012"/>
        <v>0</v>
      </c>
      <c r="AN538" s="102">
        <v>26.582139999999999</v>
      </c>
      <c r="AO538" s="622" t="e">
        <f>Table5[[#This Row],[Total]]*B542/1000</f>
        <v>#VALUE!</v>
      </c>
      <c r="AP538" s="32" t="s">
        <v>179</v>
      </c>
      <c r="AQ538" s="33" t="s">
        <v>84</v>
      </c>
      <c r="AR538" s="33" t="s">
        <v>85</v>
      </c>
      <c r="AS538" s="33" t="s">
        <v>86</v>
      </c>
      <c r="AT538" s="33" t="s">
        <v>87</v>
      </c>
      <c r="AU538" s="33" t="s">
        <v>88</v>
      </c>
      <c r="AV538" s="34" t="s">
        <v>68</v>
      </c>
    </row>
    <row r="539" spans="1:48" ht="25.15" hidden="1" customHeight="1">
      <c r="A539" s="103"/>
      <c r="B539" s="35"/>
      <c r="C539" s="36"/>
      <c r="D539" s="37" t="s">
        <v>90</v>
      </c>
      <c r="E539" s="1373">
        <f>IF(E538="",0,+ E538/E545)</f>
        <v>0</v>
      </c>
      <c r="F539" s="1096">
        <f t="shared" ref="F539:AI539" si="1060">IF(F538="",0, E539+F538/F545)</f>
        <v>0</v>
      </c>
      <c r="G539" s="1207">
        <f t="shared" si="1060"/>
        <v>0</v>
      </c>
      <c r="H539" s="1096">
        <f t="shared" si="1060"/>
        <v>0</v>
      </c>
      <c r="I539" s="1096">
        <f t="shared" si="1060"/>
        <v>0</v>
      </c>
      <c r="J539" s="1207">
        <f t="shared" si="1060"/>
        <v>0</v>
      </c>
      <c r="K539" s="1207">
        <f t="shared" si="1060"/>
        <v>0</v>
      </c>
      <c r="L539" s="1096">
        <f t="shared" si="1060"/>
        <v>0</v>
      </c>
      <c r="M539" s="1096">
        <f t="shared" si="1060"/>
        <v>0</v>
      </c>
      <c r="N539" s="1096">
        <f t="shared" si="1060"/>
        <v>0</v>
      </c>
      <c r="O539" s="1096">
        <f t="shared" si="1060"/>
        <v>0</v>
      </c>
      <c r="P539" s="1096">
        <f t="shared" si="1060"/>
        <v>0</v>
      </c>
      <c r="Q539" s="1207">
        <f t="shared" si="1060"/>
        <v>0</v>
      </c>
      <c r="R539" s="1207">
        <f t="shared" si="1060"/>
        <v>0</v>
      </c>
      <c r="S539" s="1096">
        <f t="shared" si="1060"/>
        <v>0</v>
      </c>
      <c r="T539" s="1096">
        <f t="shared" si="1060"/>
        <v>0</v>
      </c>
      <c r="U539" s="1096">
        <f t="shared" si="1060"/>
        <v>0</v>
      </c>
      <c r="V539" s="1096">
        <f t="shared" si="1060"/>
        <v>0</v>
      </c>
      <c r="W539" s="1096">
        <f t="shared" si="1060"/>
        <v>0</v>
      </c>
      <c r="X539" s="1207">
        <f t="shared" si="1060"/>
        <v>0</v>
      </c>
      <c r="Y539" s="1207">
        <f t="shared" si="1060"/>
        <v>0</v>
      </c>
      <c r="Z539" s="1096">
        <f t="shared" si="1060"/>
        <v>0</v>
      </c>
      <c r="AA539" s="1096">
        <f t="shared" si="1060"/>
        <v>0</v>
      </c>
      <c r="AB539" s="1096">
        <f t="shared" si="1060"/>
        <v>0</v>
      </c>
      <c r="AC539" s="1096">
        <f t="shared" si="1060"/>
        <v>0</v>
      </c>
      <c r="AD539" s="1096">
        <f t="shared" si="1060"/>
        <v>0</v>
      </c>
      <c r="AE539" s="1207">
        <f t="shared" si="1060"/>
        <v>0</v>
      </c>
      <c r="AF539" s="1207">
        <f t="shared" si="1060"/>
        <v>0</v>
      </c>
      <c r="AG539" s="1096">
        <f t="shared" si="1060"/>
        <v>0</v>
      </c>
      <c r="AH539" s="1096">
        <v>0</v>
      </c>
      <c r="AI539" s="1324">
        <f t="shared" si="1060"/>
        <v>0</v>
      </c>
      <c r="AJ539" s="38"/>
      <c r="AK539" s="29"/>
      <c r="AL539" s="30"/>
      <c r="AM539" s="694">
        <f t="shared" si="1012"/>
        <v>0</v>
      </c>
      <c r="AN539" s="31"/>
      <c r="AO539" s="630"/>
      <c r="AP539" s="39" t="s">
        <v>91</v>
      </c>
      <c r="AQ539" s="40">
        <f>SUM(E538:F538)</f>
        <v>0</v>
      </c>
      <c r="AR539" s="41">
        <f>SUM(G538:M538)</f>
        <v>0</v>
      </c>
      <c r="AS539" s="41">
        <f>SUM(N538:T538)</f>
        <v>0</v>
      </c>
      <c r="AT539" s="41">
        <f>SUM(U538:AA538)</f>
        <v>0</v>
      </c>
      <c r="AU539" s="41">
        <f>SUM(AB538:AI538)</f>
        <v>0</v>
      </c>
      <c r="AV539" s="34">
        <f t="shared" ref="AV539:AV544" si="1061">SUM(AQ539:AU539)</f>
        <v>0</v>
      </c>
    </row>
    <row r="540" spans="1:48" ht="25.15" hidden="1" customHeight="1">
      <c r="A540" s="103"/>
      <c r="B540" s="26" t="s">
        <v>92</v>
      </c>
      <c r="C540" s="42"/>
      <c r="D540" s="43" t="s">
        <v>93</v>
      </c>
      <c r="E540" s="1325"/>
      <c r="F540" s="1089"/>
      <c r="G540" s="44"/>
      <c r="H540" s="1089"/>
      <c r="I540" s="1089"/>
      <c r="J540" s="44"/>
      <c r="K540" s="44"/>
      <c r="L540" s="1089"/>
      <c r="M540" s="1089"/>
      <c r="N540" s="1089"/>
      <c r="O540" s="1089"/>
      <c r="P540" s="1089"/>
      <c r="Q540" s="44"/>
      <c r="R540" s="44"/>
      <c r="S540" s="1089"/>
      <c r="T540" s="1089"/>
      <c r="U540" s="1089"/>
      <c r="V540" s="1089"/>
      <c r="W540" s="1089"/>
      <c r="X540" s="44"/>
      <c r="Y540" s="44"/>
      <c r="Z540" s="1089"/>
      <c r="AA540" s="1089"/>
      <c r="AB540" s="1089"/>
      <c r="AC540" s="1089"/>
      <c r="AD540" s="1089"/>
      <c r="AE540" s="44"/>
      <c r="AF540" s="44"/>
      <c r="AG540" s="1089"/>
      <c r="AH540" s="1089"/>
      <c r="AI540" s="1326"/>
      <c r="AJ540" s="45">
        <f>SUM(E540:AI540)</f>
        <v>0</v>
      </c>
      <c r="AK540" s="45"/>
      <c r="AL540" s="46">
        <f>+AJ540*AN538</f>
        <v>0</v>
      </c>
      <c r="AM540" s="1066">
        <f t="shared" si="1012"/>
        <v>0</v>
      </c>
      <c r="AN540" s="31"/>
      <c r="AO540" s="632">
        <f>(AJ540+AJ542+AJ543+AJ544)*B542/1000</f>
        <v>0</v>
      </c>
      <c r="AP540" s="47" t="s">
        <v>94</v>
      </c>
      <c r="AQ540" s="48">
        <f>SUM(E540:F540)</f>
        <v>0</v>
      </c>
      <c r="AR540" s="49">
        <f>SUM(G540:M540)</f>
        <v>0</v>
      </c>
      <c r="AS540" s="49">
        <f>SUM(N540:T540)</f>
        <v>0</v>
      </c>
      <c r="AT540" s="49">
        <f>SUM(U540:AA540)</f>
        <v>0</v>
      </c>
      <c r="AU540" s="49">
        <f>SUM(AB540:AI540)</f>
        <v>0</v>
      </c>
      <c r="AV540" s="50">
        <f t="shared" si="1061"/>
        <v>0</v>
      </c>
    </row>
    <row r="541" spans="1:48" ht="25.15" hidden="1" customHeight="1">
      <c r="A541" s="103"/>
      <c r="B541" s="51"/>
      <c r="C541" s="52" t="s">
        <v>95</v>
      </c>
      <c r="D541" s="53" t="s">
        <v>96</v>
      </c>
      <c r="E541" s="1327">
        <f t="shared" ref="E541:AJ541" si="1062">+E540-E538</f>
        <v>0</v>
      </c>
      <c r="F541" s="1097">
        <f t="shared" si="1062"/>
        <v>0</v>
      </c>
      <c r="G541" s="1205">
        <f t="shared" si="1062"/>
        <v>0</v>
      </c>
      <c r="H541" s="1097">
        <f t="shared" si="1062"/>
        <v>0</v>
      </c>
      <c r="I541" s="1097">
        <f t="shared" si="1062"/>
        <v>0</v>
      </c>
      <c r="J541" s="1205">
        <f t="shared" si="1062"/>
        <v>0</v>
      </c>
      <c r="K541" s="1205">
        <f t="shared" si="1062"/>
        <v>0</v>
      </c>
      <c r="L541" s="1097">
        <f t="shared" si="1062"/>
        <v>0</v>
      </c>
      <c r="M541" s="1097">
        <f t="shared" si="1062"/>
        <v>0</v>
      </c>
      <c r="N541" s="1097">
        <f t="shared" si="1062"/>
        <v>0</v>
      </c>
      <c r="O541" s="1097">
        <f t="shared" si="1062"/>
        <v>0</v>
      </c>
      <c r="P541" s="1097">
        <f t="shared" si="1062"/>
        <v>0</v>
      </c>
      <c r="Q541" s="1205">
        <f t="shared" si="1062"/>
        <v>0</v>
      </c>
      <c r="R541" s="1205">
        <f t="shared" si="1062"/>
        <v>0</v>
      </c>
      <c r="S541" s="1097">
        <f t="shared" si="1062"/>
        <v>0</v>
      </c>
      <c r="T541" s="1097">
        <f t="shared" si="1062"/>
        <v>0</v>
      </c>
      <c r="U541" s="1097">
        <f t="shared" si="1062"/>
        <v>0</v>
      </c>
      <c r="V541" s="1097">
        <f t="shared" si="1062"/>
        <v>0</v>
      </c>
      <c r="W541" s="1097">
        <f t="shared" si="1062"/>
        <v>0</v>
      </c>
      <c r="X541" s="1205">
        <f t="shared" si="1062"/>
        <v>0</v>
      </c>
      <c r="Y541" s="1205">
        <f t="shared" si="1062"/>
        <v>0</v>
      </c>
      <c r="Z541" s="1097">
        <f t="shared" si="1062"/>
        <v>0</v>
      </c>
      <c r="AA541" s="1097">
        <f t="shared" si="1062"/>
        <v>0</v>
      </c>
      <c r="AB541" s="1097">
        <f t="shared" si="1062"/>
        <v>0</v>
      </c>
      <c r="AC541" s="1097">
        <f t="shared" si="1062"/>
        <v>0</v>
      </c>
      <c r="AD541" s="1097">
        <f t="shared" si="1062"/>
        <v>0</v>
      </c>
      <c r="AE541" s="1205">
        <f t="shared" si="1062"/>
        <v>0</v>
      </c>
      <c r="AF541" s="1205">
        <f t="shared" si="1062"/>
        <v>0</v>
      </c>
      <c r="AG541" s="1097">
        <f t="shared" si="1062"/>
        <v>0</v>
      </c>
      <c r="AH541" s="1097">
        <f t="shared" si="1062"/>
        <v>0</v>
      </c>
      <c r="AI541" s="1328">
        <f t="shared" si="1062"/>
        <v>0</v>
      </c>
      <c r="AJ541" s="54">
        <f t="shared" si="1062"/>
        <v>0</v>
      </c>
      <c r="AK541" s="54"/>
      <c r="AL541" s="55">
        <f>+AJ541*AN538</f>
        <v>0</v>
      </c>
      <c r="AM541" s="1067">
        <f t="shared" si="1012"/>
        <v>0</v>
      </c>
      <c r="AN541" s="31" t="s">
        <v>97</v>
      </c>
      <c r="AO541" s="622"/>
      <c r="AP541" s="39" t="s">
        <v>98</v>
      </c>
      <c r="AQ541" s="56">
        <f>AQ540-AQ539</f>
        <v>0</v>
      </c>
      <c r="AR541" s="70">
        <f>AR540-AR539</f>
        <v>0</v>
      </c>
      <c r="AS541" s="70">
        <f>AS540-AS539</f>
        <v>0</v>
      </c>
      <c r="AT541" s="70">
        <f>AT540-AT539</f>
        <v>0</v>
      </c>
      <c r="AU541" s="70">
        <f>AU540-AU539</f>
        <v>0</v>
      </c>
      <c r="AV541" s="57">
        <f t="shared" si="1061"/>
        <v>0</v>
      </c>
    </row>
    <row r="542" spans="1:48" ht="25.15" hidden="1" customHeight="1">
      <c r="A542" s="58"/>
      <c r="B542" s="59"/>
      <c r="C542" s="60" t="s">
        <v>100</v>
      </c>
      <c r="D542" s="61" t="s">
        <v>101</v>
      </c>
      <c r="E542" s="1329"/>
      <c r="F542" s="1099"/>
      <c r="G542" s="1208"/>
      <c r="H542" s="1099"/>
      <c r="I542" s="1099"/>
      <c r="J542" s="1208"/>
      <c r="K542" s="1208"/>
      <c r="L542" s="1099"/>
      <c r="M542" s="1099"/>
      <c r="N542" s="1099"/>
      <c r="O542" s="1099"/>
      <c r="P542" s="1099"/>
      <c r="Q542" s="1208"/>
      <c r="R542" s="1208"/>
      <c r="S542" s="1099"/>
      <c r="T542" s="1099"/>
      <c r="U542" s="1099"/>
      <c r="V542" s="1099"/>
      <c r="W542" s="1099"/>
      <c r="X542" s="1208"/>
      <c r="Y542" s="1208"/>
      <c r="Z542" s="1099"/>
      <c r="AA542" s="1089"/>
      <c r="AB542" s="1099"/>
      <c r="AC542" s="1099"/>
      <c r="AD542" s="1099"/>
      <c r="AE542" s="1208"/>
      <c r="AF542" s="1208"/>
      <c r="AG542" s="1099"/>
      <c r="AH542" s="1099"/>
      <c r="AI542" s="1330"/>
      <c r="AJ542" s="62">
        <f>SUM(E542:AI542)</f>
        <v>0</v>
      </c>
      <c r="AK542" s="62"/>
      <c r="AL542" s="63">
        <f>+AJ542*AN538</f>
        <v>0</v>
      </c>
      <c r="AM542" s="1068">
        <f t="shared" si="1012"/>
        <v>0</v>
      </c>
      <c r="AN542" s="64" t="e">
        <f>+AJ542/AJ540*100</f>
        <v>#DIV/0!</v>
      </c>
      <c r="AO542" s="635" t="e">
        <f>AO540/AO538</f>
        <v>#VALUE!</v>
      </c>
      <c r="AP542" s="39" t="s">
        <v>102</v>
      </c>
      <c r="AQ542" s="56">
        <f>SUM(E542:F542)</f>
        <v>0</v>
      </c>
      <c r="AR542" s="70">
        <f>SUM(G542:M542)</f>
        <v>0</v>
      </c>
      <c r="AS542" s="70">
        <f>SUM(N542:T542)</f>
        <v>0</v>
      </c>
      <c r="AT542" s="70">
        <f>SUM(U542:AA542)</f>
        <v>0</v>
      </c>
      <c r="AU542" s="70">
        <f>SUM(AB542:AI542)</f>
        <v>0</v>
      </c>
      <c r="AV542" s="57">
        <f t="shared" si="1061"/>
        <v>0</v>
      </c>
    </row>
    <row r="543" spans="1:48" ht="25.15" hidden="1" customHeight="1">
      <c r="A543" s="58" t="s">
        <v>180</v>
      </c>
      <c r="B543" s="65"/>
      <c r="C543" s="66"/>
      <c r="D543" s="67" t="s">
        <v>103</v>
      </c>
      <c r="E543" s="1331"/>
      <c r="F543" s="1101"/>
      <c r="G543" s="1209"/>
      <c r="H543" s="1101"/>
      <c r="I543" s="1101"/>
      <c r="J543" s="1209"/>
      <c r="K543" s="1209"/>
      <c r="L543" s="1101"/>
      <c r="M543" s="1101"/>
      <c r="N543" s="1101"/>
      <c r="O543" s="1101"/>
      <c r="P543" s="1101"/>
      <c r="Q543" s="1209"/>
      <c r="R543" s="1209"/>
      <c r="S543" s="1101"/>
      <c r="T543" s="1101"/>
      <c r="U543" s="1101"/>
      <c r="V543" s="1101"/>
      <c r="W543" s="1101"/>
      <c r="X543" s="1209"/>
      <c r="Y543" s="1209"/>
      <c r="Z543" s="1101"/>
      <c r="AA543" s="1089"/>
      <c r="AB543" s="1101"/>
      <c r="AC543" s="1101"/>
      <c r="AD543" s="1101"/>
      <c r="AE543" s="1209"/>
      <c r="AF543" s="1209"/>
      <c r="AG543" s="1101"/>
      <c r="AH543" s="1101"/>
      <c r="AI543" s="1332"/>
      <c r="AJ543" s="68">
        <f>SUM(E543:AI543)</f>
        <v>0</v>
      </c>
      <c r="AK543" s="68"/>
      <c r="AL543" s="69">
        <f>+AJ543*AN538</f>
        <v>0</v>
      </c>
      <c r="AM543" s="1069">
        <f t="shared" si="1012"/>
        <v>0</v>
      </c>
      <c r="AN543" s="31"/>
      <c r="AO543" s="622"/>
      <c r="AP543" s="39" t="s">
        <v>19</v>
      </c>
      <c r="AQ543" s="56">
        <f>AQ542*AN538</f>
        <v>0</v>
      </c>
      <c r="AR543" s="56">
        <f>AR542*AN538</f>
        <v>0</v>
      </c>
      <c r="AS543" s="56">
        <f>AS542*AN538</f>
        <v>0</v>
      </c>
      <c r="AT543" s="56">
        <f>AT542*AN538</f>
        <v>0</v>
      </c>
      <c r="AU543" s="56">
        <f>AU542*AN538</f>
        <v>0</v>
      </c>
      <c r="AV543" s="57">
        <f t="shared" si="1061"/>
        <v>0</v>
      </c>
    </row>
    <row r="544" spans="1:48" ht="25.15" hidden="1" customHeight="1">
      <c r="A544" s="103"/>
      <c r="B544" s="65"/>
      <c r="C544" s="72" t="s">
        <v>104</v>
      </c>
      <c r="D544" s="73" t="s">
        <v>105</v>
      </c>
      <c r="E544" s="1378"/>
      <c r="F544" s="1103"/>
      <c r="G544" s="1210"/>
      <c r="H544" s="1103"/>
      <c r="I544" s="1103"/>
      <c r="J544" s="1210"/>
      <c r="K544" s="1210"/>
      <c r="L544" s="1103"/>
      <c r="M544" s="1103"/>
      <c r="N544" s="1103"/>
      <c r="O544" s="1103"/>
      <c r="P544" s="1103"/>
      <c r="Q544" s="1210"/>
      <c r="R544" s="1210"/>
      <c r="S544" s="1103"/>
      <c r="T544" s="1103"/>
      <c r="U544" s="1103"/>
      <c r="V544" s="1103"/>
      <c r="W544" s="1103"/>
      <c r="X544" s="1210"/>
      <c r="Y544" s="1210"/>
      <c r="Z544" s="1103"/>
      <c r="AA544" s="1089"/>
      <c r="AB544" s="1103"/>
      <c r="AC544" s="1103"/>
      <c r="AD544" s="1103"/>
      <c r="AE544" s="1210"/>
      <c r="AF544" s="1210"/>
      <c r="AG544" s="1103"/>
      <c r="AH544" s="1103"/>
      <c r="AI544" s="1352"/>
      <c r="AJ544" s="74">
        <f>SUM(E544:AI544)</f>
        <v>0</v>
      </c>
      <c r="AK544" s="74"/>
      <c r="AL544" s="75">
        <f>+AJ544*AN538</f>
        <v>0</v>
      </c>
      <c r="AM544" s="1070">
        <f t="shared" si="1012"/>
        <v>0</v>
      </c>
      <c r="AN544" s="76"/>
      <c r="AO544" s="636"/>
      <c r="AP544" s="47" t="s">
        <v>106</v>
      </c>
      <c r="AQ544" s="48">
        <f>AQ540*AN538</f>
        <v>0</v>
      </c>
      <c r="AR544" s="48">
        <f>AR540*AN538</f>
        <v>0</v>
      </c>
      <c r="AS544" s="48">
        <f>AS540*AN538</f>
        <v>0</v>
      </c>
      <c r="AT544" s="48">
        <f>AT540*AN538</f>
        <v>0</v>
      </c>
      <c r="AU544" s="48">
        <f>AU540*AN538</f>
        <v>0</v>
      </c>
      <c r="AV544" s="50">
        <f t="shared" si="1061"/>
        <v>0</v>
      </c>
    </row>
    <row r="545" spans="1:48" ht="25.15" hidden="1" customHeight="1">
      <c r="A545" s="103"/>
      <c r="B545" s="65"/>
      <c r="C545" s="77">
        <v>300000</v>
      </c>
      <c r="D545" s="78" t="s">
        <v>107</v>
      </c>
      <c r="E545" s="1327">
        <v>1</v>
      </c>
      <c r="F545" s="1097">
        <v>1</v>
      </c>
      <c r="G545" s="1205">
        <v>1</v>
      </c>
      <c r="H545" s="1097">
        <v>1</v>
      </c>
      <c r="I545" s="1097">
        <v>1</v>
      </c>
      <c r="J545" s="1205">
        <v>1</v>
      </c>
      <c r="K545" s="1205">
        <v>1</v>
      </c>
      <c r="L545" s="1097">
        <v>1</v>
      </c>
      <c r="M545" s="1097">
        <v>1</v>
      </c>
      <c r="N545" s="1097">
        <v>1</v>
      </c>
      <c r="O545" s="1097">
        <v>1</v>
      </c>
      <c r="P545" s="1097">
        <v>1</v>
      </c>
      <c r="Q545" s="1205">
        <v>1</v>
      </c>
      <c r="R545" s="1205">
        <v>1</v>
      </c>
      <c r="S545" s="1097">
        <v>1</v>
      </c>
      <c r="T545" s="1097">
        <v>1</v>
      </c>
      <c r="U545" s="1097">
        <v>1</v>
      </c>
      <c r="V545" s="1097">
        <v>1</v>
      </c>
      <c r="W545" s="1097">
        <v>1</v>
      </c>
      <c r="X545" s="1205">
        <v>1</v>
      </c>
      <c r="Y545" s="1205">
        <v>1</v>
      </c>
      <c r="Z545" s="1097">
        <v>1</v>
      </c>
      <c r="AA545" s="1097">
        <v>1</v>
      </c>
      <c r="AB545" s="1097">
        <v>1</v>
      </c>
      <c r="AC545" s="1097">
        <v>1</v>
      </c>
      <c r="AD545" s="1097">
        <v>1</v>
      </c>
      <c r="AE545" s="1205">
        <v>1</v>
      </c>
      <c r="AF545" s="1205">
        <v>1</v>
      </c>
      <c r="AG545" s="1097">
        <v>1</v>
      </c>
      <c r="AH545" s="1097">
        <v>1</v>
      </c>
      <c r="AI545" s="1328">
        <v>1</v>
      </c>
      <c r="AJ545" s="79"/>
      <c r="AK545" s="79"/>
      <c r="AL545" s="55"/>
      <c r="AM545" s="1067">
        <f t="shared" si="1012"/>
        <v>0</v>
      </c>
      <c r="AN545" s="31"/>
      <c r="AO545" s="622"/>
      <c r="AP545" s="23"/>
      <c r="AQ545" s="23"/>
      <c r="AR545" s="23"/>
      <c r="AS545" s="23"/>
      <c r="AT545" s="23"/>
      <c r="AU545" s="23"/>
      <c r="AV545" s="23"/>
    </row>
    <row r="546" spans="1:48" ht="25.15" hidden="1" customHeight="1">
      <c r="A546" s="103"/>
      <c r="B546" s="65"/>
      <c r="C546" s="80" t="s">
        <v>108</v>
      </c>
      <c r="D546" s="81" t="s">
        <v>109</v>
      </c>
      <c r="E546" s="1374">
        <f>SUM(E540+E542+E543+E544)/E545</f>
        <v>0</v>
      </c>
      <c r="F546" s="1104">
        <f>SUM(F540+F542+F543+F544)/F545</f>
        <v>0</v>
      </c>
      <c r="G546" s="1211">
        <f>SUM(G540+G542+G543+G544)/G545</f>
        <v>0</v>
      </c>
      <c r="H546" s="1104">
        <f t="shared" ref="H546:AH546" si="1063">SUM(H540+H542+H543+H544)/H545</f>
        <v>0</v>
      </c>
      <c r="I546" s="1104">
        <f t="shared" si="1063"/>
        <v>0</v>
      </c>
      <c r="J546" s="1211">
        <f t="shared" si="1063"/>
        <v>0</v>
      </c>
      <c r="K546" s="1211">
        <f t="shared" si="1063"/>
        <v>0</v>
      </c>
      <c r="L546" s="1104">
        <f t="shared" si="1063"/>
        <v>0</v>
      </c>
      <c r="M546" s="1104">
        <f t="shared" si="1063"/>
        <v>0</v>
      </c>
      <c r="N546" s="1104">
        <f t="shared" si="1063"/>
        <v>0</v>
      </c>
      <c r="O546" s="1104">
        <f t="shared" si="1063"/>
        <v>0</v>
      </c>
      <c r="P546" s="1104">
        <f t="shared" si="1063"/>
        <v>0</v>
      </c>
      <c r="Q546" s="1211">
        <f t="shared" si="1063"/>
        <v>0</v>
      </c>
      <c r="R546" s="1211">
        <f t="shared" si="1063"/>
        <v>0</v>
      </c>
      <c r="S546" s="1104">
        <f t="shared" si="1063"/>
        <v>0</v>
      </c>
      <c r="T546" s="1104">
        <f t="shared" si="1063"/>
        <v>0</v>
      </c>
      <c r="U546" s="1104">
        <f t="shared" si="1063"/>
        <v>0</v>
      </c>
      <c r="V546" s="1104">
        <f t="shared" si="1063"/>
        <v>0</v>
      </c>
      <c r="W546" s="1104">
        <f t="shared" si="1063"/>
        <v>0</v>
      </c>
      <c r="X546" s="1211">
        <f t="shared" si="1063"/>
        <v>0</v>
      </c>
      <c r="Y546" s="1211">
        <f t="shared" si="1063"/>
        <v>0</v>
      </c>
      <c r="Z546" s="1104">
        <f t="shared" si="1063"/>
        <v>0</v>
      </c>
      <c r="AA546" s="1104">
        <f t="shared" si="1063"/>
        <v>0</v>
      </c>
      <c r="AB546" s="1104">
        <f t="shared" si="1063"/>
        <v>0</v>
      </c>
      <c r="AC546" s="1104">
        <f t="shared" si="1063"/>
        <v>0</v>
      </c>
      <c r="AD546" s="1104">
        <f t="shared" si="1063"/>
        <v>0</v>
      </c>
      <c r="AE546" s="1211">
        <f t="shared" si="1063"/>
        <v>0</v>
      </c>
      <c r="AF546" s="1211">
        <f t="shared" si="1063"/>
        <v>0</v>
      </c>
      <c r="AG546" s="1104">
        <f t="shared" si="1063"/>
        <v>0</v>
      </c>
      <c r="AH546" s="1104">
        <f t="shared" si="1063"/>
        <v>0</v>
      </c>
      <c r="AI546" s="1335">
        <f>SUM(AI540+AI542+AI543)/AI545</f>
        <v>0</v>
      </c>
      <c r="AJ546" s="104">
        <f>SUM(E546:AI546)</f>
        <v>0</v>
      </c>
      <c r="AK546" s="104"/>
      <c r="AL546" s="83"/>
      <c r="AM546" s="1068">
        <f t="shared" si="1012"/>
        <v>0</v>
      </c>
      <c r="AN546" s="31"/>
      <c r="AO546" s="622"/>
      <c r="AP546" s="23"/>
      <c r="AQ546" s="23"/>
      <c r="AR546" s="23"/>
      <c r="AS546" s="23"/>
      <c r="AT546" s="23"/>
      <c r="AU546" s="23"/>
      <c r="AV546" s="23"/>
    </row>
    <row r="547" spans="1:48" ht="25.15" hidden="1" customHeight="1">
      <c r="A547" s="103"/>
      <c r="B547" s="59"/>
      <c r="C547" s="84">
        <f>+C545*0.8</f>
        <v>240000</v>
      </c>
      <c r="D547" s="85" t="s">
        <v>110</v>
      </c>
      <c r="E547" s="1105"/>
      <c r="F547" s="1106"/>
      <c r="G547" s="1211"/>
      <c r="H547" s="1104"/>
      <c r="I547" s="1104"/>
      <c r="J547" s="1211"/>
      <c r="K547" s="1211"/>
      <c r="L547" s="1104"/>
      <c r="M547" s="1104"/>
      <c r="N547" s="1104"/>
      <c r="O547" s="1107"/>
      <c r="P547" s="1104"/>
      <c r="Q547" s="1211"/>
      <c r="R547" s="1211"/>
      <c r="S547" s="1104"/>
      <c r="T547" s="1104"/>
      <c r="U547" s="1104"/>
      <c r="V547" s="1104"/>
      <c r="W547" s="1104"/>
      <c r="X547" s="1211"/>
      <c r="Y547" s="1211"/>
      <c r="Z547" s="1104"/>
      <c r="AA547" s="1089"/>
      <c r="AB547" s="1104"/>
      <c r="AC547" s="1104"/>
      <c r="AD547" s="1104"/>
      <c r="AE547" s="1211"/>
      <c r="AF547" s="1211"/>
      <c r="AG547" s="1104"/>
      <c r="AH547" s="1104"/>
      <c r="AI547" s="1353"/>
      <c r="AJ547" s="86"/>
      <c r="AK547" s="86"/>
      <c r="AL547" s="690"/>
      <c r="AM547" s="694">
        <f t="shared" si="1012"/>
        <v>0</v>
      </c>
      <c r="AN547" s="31"/>
      <c r="AO547" s="622"/>
      <c r="AP547" s="23"/>
      <c r="AQ547" s="23"/>
      <c r="AR547" s="23"/>
      <c r="AS547" s="23"/>
      <c r="AT547" s="23"/>
      <c r="AU547" s="23"/>
      <c r="AV547" s="23"/>
    </row>
    <row r="548" spans="1:48" ht="25.15" hidden="1" customHeight="1">
      <c r="A548" s="103"/>
      <c r="B548" s="105"/>
      <c r="C548" s="77"/>
      <c r="D548" s="88" t="s">
        <v>111</v>
      </c>
      <c r="E548" s="1108">
        <f>IF(E547="O/H",E546,0+E546)</f>
        <v>0</v>
      </c>
      <c r="F548" s="1089">
        <f t="shared" ref="F548:AI548" si="1064">IF(F547="O/H",F546,+E548+F546)</f>
        <v>0</v>
      </c>
      <c r="G548" s="44">
        <f t="shared" si="1064"/>
        <v>0</v>
      </c>
      <c r="H548" s="1089">
        <f t="shared" si="1064"/>
        <v>0</v>
      </c>
      <c r="I548" s="1089">
        <f t="shared" si="1064"/>
        <v>0</v>
      </c>
      <c r="J548" s="44">
        <f t="shared" si="1064"/>
        <v>0</v>
      </c>
      <c r="K548" s="44">
        <f t="shared" si="1064"/>
        <v>0</v>
      </c>
      <c r="L548" s="1089">
        <f t="shared" si="1064"/>
        <v>0</v>
      </c>
      <c r="M548" s="1089">
        <f t="shared" si="1064"/>
        <v>0</v>
      </c>
      <c r="N548" s="1089">
        <f t="shared" si="1064"/>
        <v>0</v>
      </c>
      <c r="O548" s="1089">
        <f t="shared" si="1064"/>
        <v>0</v>
      </c>
      <c r="P548" s="1089">
        <f t="shared" si="1064"/>
        <v>0</v>
      </c>
      <c r="Q548" s="44">
        <f t="shared" si="1064"/>
        <v>0</v>
      </c>
      <c r="R548" s="44">
        <f t="shared" si="1064"/>
        <v>0</v>
      </c>
      <c r="S548" s="1089">
        <f t="shared" si="1064"/>
        <v>0</v>
      </c>
      <c r="T548" s="1089">
        <f t="shared" si="1064"/>
        <v>0</v>
      </c>
      <c r="U548" s="1089">
        <f t="shared" si="1064"/>
        <v>0</v>
      </c>
      <c r="V548" s="1089">
        <f t="shared" si="1064"/>
        <v>0</v>
      </c>
      <c r="W548" s="1089">
        <f t="shared" si="1064"/>
        <v>0</v>
      </c>
      <c r="X548" s="44">
        <f t="shared" si="1064"/>
        <v>0</v>
      </c>
      <c r="Y548" s="44">
        <f t="shared" si="1064"/>
        <v>0</v>
      </c>
      <c r="Z548" s="1089">
        <f t="shared" si="1064"/>
        <v>0</v>
      </c>
      <c r="AA548" s="1089">
        <f t="shared" si="1064"/>
        <v>0</v>
      </c>
      <c r="AB548" s="1089">
        <f t="shared" si="1064"/>
        <v>0</v>
      </c>
      <c r="AC548" s="1089">
        <f t="shared" si="1064"/>
        <v>0</v>
      </c>
      <c r="AD548" s="1089">
        <f t="shared" si="1064"/>
        <v>0</v>
      </c>
      <c r="AE548" s="44">
        <f t="shared" si="1064"/>
        <v>0</v>
      </c>
      <c r="AF548" s="44">
        <f t="shared" si="1064"/>
        <v>0</v>
      </c>
      <c r="AG548" s="1089">
        <f t="shared" si="1064"/>
        <v>0</v>
      </c>
      <c r="AH548" s="1089">
        <f t="shared" si="1064"/>
        <v>0</v>
      </c>
      <c r="AI548" s="1326">
        <f t="shared" si="1064"/>
        <v>0</v>
      </c>
      <c r="AJ548" s="79"/>
      <c r="AK548" s="86"/>
      <c r="AL548" s="689"/>
      <c r="AM548" s="694">
        <f t="shared" si="1012"/>
        <v>0</v>
      </c>
      <c r="AN548" s="31"/>
      <c r="AO548" s="622"/>
      <c r="AP548" s="23"/>
      <c r="AQ548" s="23"/>
      <c r="AR548" s="23"/>
      <c r="AS548" s="23"/>
      <c r="AT548" s="23"/>
      <c r="AU548" s="23"/>
      <c r="AV548" s="23"/>
    </row>
    <row r="549" spans="1:48" s="23" customFormat="1" ht="20.65" hidden="1" customHeight="1">
      <c r="A549" s="274"/>
      <c r="B549" s="312"/>
      <c r="C549" s="308"/>
      <c r="D549" s="795" t="s">
        <v>112</v>
      </c>
      <c r="E549" s="1108" t="b">
        <f>IF(AND(ISNUMBER(E540)),191605+E546)</f>
        <v>0</v>
      </c>
      <c r="F549" s="1089" t="str">
        <f>IF(AND(ISNUMBER(F540)),E549+F546,"")</f>
        <v/>
      </c>
      <c r="G549" s="44" t="str">
        <f t="shared" ref="G549" si="1065">IF(AND(ISNUMBER(G540)),F549+G546,"")</f>
        <v/>
      </c>
      <c r="H549" s="1089" t="str">
        <f t="shared" ref="H549" si="1066">IF(AND(ISNUMBER(H540)),G549+H546,"")</f>
        <v/>
      </c>
      <c r="I549" s="1089" t="str">
        <f>IF(AND(ISNUMBER(I540)),H549+I546,"")</f>
        <v/>
      </c>
      <c r="J549" s="44" t="str">
        <f>IF(AND(ISNUMBER(J540)),I549+J546,"")</f>
        <v/>
      </c>
      <c r="K549" s="44" t="str">
        <f>IF(AND(ISNUMBER(K540)),J549+K546,"")</f>
        <v/>
      </c>
      <c r="L549" s="1089" t="str">
        <f t="shared" ref="L549" si="1067">IF(AND(ISNUMBER(L540)),K549+L546,"")</f>
        <v/>
      </c>
      <c r="M549" s="1089" t="str">
        <f t="shared" ref="M549" si="1068">IF(AND(ISNUMBER(M540)),L549+M546,"")</f>
        <v/>
      </c>
      <c r="N549" s="1089" t="str">
        <f t="shared" ref="N549" si="1069">IF(AND(ISNUMBER(N540)),M549+N546,"")</f>
        <v/>
      </c>
      <c r="O549" s="1089" t="str">
        <f t="shared" ref="O549" si="1070">IF(AND(ISNUMBER(O540)),N549+O546,"")</f>
        <v/>
      </c>
      <c r="P549" s="1089" t="str">
        <f t="shared" ref="P549" si="1071">IF(AND(ISNUMBER(P540)),O549+P546,"")</f>
        <v/>
      </c>
      <c r="Q549" s="44" t="str">
        <f t="shared" ref="Q549" si="1072">IF(AND(ISNUMBER(Q540)),P549+Q546,"")</f>
        <v/>
      </c>
      <c r="R549" s="44" t="str">
        <f t="shared" ref="R549" si="1073">IF(AND(ISNUMBER(R540)),Q549+R546,"")</f>
        <v/>
      </c>
      <c r="S549" s="1089" t="str">
        <f t="shared" ref="S549" si="1074">IF(AND(ISNUMBER(S540)),R549+S546,"")</f>
        <v/>
      </c>
      <c r="T549" s="1089" t="str">
        <f t="shared" ref="T549" si="1075">IF(AND(ISNUMBER(T540)),S549+T546,"")</f>
        <v/>
      </c>
      <c r="U549" s="1089" t="str">
        <f t="shared" ref="U549" si="1076">IF(AND(ISNUMBER(U540)),T549+U546,"")</f>
        <v/>
      </c>
      <c r="V549" s="1089" t="str">
        <f t="shared" ref="V549" si="1077">IF(AND(ISNUMBER(V540)),U549+V546,"")</f>
        <v/>
      </c>
      <c r="W549" s="1089" t="str">
        <f t="shared" ref="W549" si="1078">IF(AND(ISNUMBER(W540)),V549+W546,"")</f>
        <v/>
      </c>
      <c r="X549" s="44" t="str">
        <f t="shared" ref="X549" si="1079">IF(AND(ISNUMBER(X540)),W549+X546,"")</f>
        <v/>
      </c>
      <c r="Y549" s="44" t="str">
        <f t="shared" ref="Y549" si="1080">IF(AND(ISNUMBER(Y540)),X549+Y546,"")</f>
        <v/>
      </c>
      <c r="Z549" s="1089" t="str">
        <f t="shared" ref="Z549" si="1081">IF(AND(ISNUMBER(Z540)),Y549+Z546,"")</f>
        <v/>
      </c>
      <c r="AA549" s="1089" t="str">
        <f t="shared" ref="AA549" si="1082">IF(AND(ISNUMBER(AA540)),Z549+AA546,"")</f>
        <v/>
      </c>
      <c r="AB549" s="1089" t="str">
        <f t="shared" ref="AB549" si="1083">IF(AND(ISNUMBER(AB540)),AA549+AB546,"")</f>
        <v/>
      </c>
      <c r="AC549" s="1089" t="str">
        <f t="shared" ref="AC549" si="1084">IF(AND(ISNUMBER(AC540)),AB549+AC546,"")</f>
        <v/>
      </c>
      <c r="AD549" s="1089" t="str">
        <f t="shared" ref="AD549" si="1085">IF(AND(ISNUMBER(AD540)),AC549+AD546,"")</f>
        <v/>
      </c>
      <c r="AE549" s="44" t="str">
        <f t="shared" ref="AE549" si="1086">IF(AND(ISNUMBER(AE540)),AD549+AE546,"")</f>
        <v/>
      </c>
      <c r="AF549" s="44" t="str">
        <f t="shared" ref="AF549" si="1087">IF(AND(ISNUMBER(AF540)),AE549+AF546,"")</f>
        <v/>
      </c>
      <c r="AG549" s="1089" t="str">
        <f t="shared" ref="AG549" si="1088">IF(AND(ISNUMBER(AG540)),AF549+AG546,"")</f>
        <v/>
      </c>
      <c r="AH549" s="1089" t="str">
        <f t="shared" ref="AH549" si="1089">IF(AND(ISNUMBER(AH540)),AG549+AH546,"")</f>
        <v/>
      </c>
      <c r="AI549" s="1089" t="str">
        <f t="shared" ref="AI549" si="1090">IF(AND(ISNUMBER(AI540)),AH549+AI546,"")</f>
        <v/>
      </c>
      <c r="AJ549" s="793"/>
      <c r="AK549" s="793"/>
      <c r="AL549" s="909"/>
      <c r="AM549" s="890">
        <f t="shared" si="1012"/>
        <v>0</v>
      </c>
      <c r="AN549" s="76"/>
      <c r="AO549" s="624"/>
      <c r="AP549" s="285"/>
      <c r="AQ549" s="285"/>
      <c r="AR549" s="285"/>
      <c r="AS549" s="285"/>
      <c r="AT549" s="286"/>
      <c r="AU549" s="285"/>
      <c r="AV549" s="287"/>
    </row>
    <row r="550" spans="1:48" ht="25.15" hidden="1" customHeight="1">
      <c r="A550" s="103"/>
      <c r="B550" s="89"/>
      <c r="C550" s="80"/>
      <c r="D550" s="90" t="s">
        <v>104</v>
      </c>
      <c r="E550" s="1108"/>
      <c r="F550" s="1089"/>
      <c r="G550" s="44"/>
      <c r="H550" s="1089"/>
      <c r="I550" s="1089"/>
      <c r="J550" s="44"/>
      <c r="K550" s="44"/>
      <c r="L550" s="1089"/>
      <c r="M550" s="1089"/>
      <c r="N550" s="1089"/>
      <c r="O550" s="1089"/>
      <c r="P550" s="1089"/>
      <c r="Q550" s="44"/>
      <c r="R550" s="44"/>
      <c r="S550" s="1089"/>
      <c r="T550" s="1089"/>
      <c r="U550" s="1089"/>
      <c r="V550" s="1089"/>
      <c r="W550" s="1089"/>
      <c r="X550" s="44"/>
      <c r="Y550" s="44"/>
      <c r="Z550" s="1089"/>
      <c r="AA550" s="1089"/>
      <c r="AB550" s="1089"/>
      <c r="AC550" s="1089"/>
      <c r="AD550" s="1089"/>
      <c r="AE550" s="44"/>
      <c r="AF550" s="44"/>
      <c r="AG550" s="1089"/>
      <c r="AH550" s="1089"/>
      <c r="AI550" s="1326"/>
      <c r="AJ550" s="79"/>
      <c r="AK550" s="79"/>
      <c r="AL550" s="63"/>
      <c r="AM550" s="1068">
        <f t="shared" si="1012"/>
        <v>0</v>
      </c>
      <c r="AN550" s="64"/>
      <c r="AO550" s="624"/>
      <c r="AP550" s="23"/>
      <c r="AQ550" s="23"/>
      <c r="AR550" s="23"/>
      <c r="AS550" s="23"/>
      <c r="AT550" s="23"/>
      <c r="AU550" s="23"/>
      <c r="AV550" s="23"/>
    </row>
    <row r="551" spans="1:48" ht="25.15" hidden="1" customHeight="1" thickBot="1">
      <c r="A551" s="106"/>
      <c r="B551" s="93"/>
      <c r="C551" s="94"/>
      <c r="D551" s="95" t="s">
        <v>111</v>
      </c>
      <c r="E551" s="1109">
        <f>IF(E550="O/H",E546,55890+E546)</f>
        <v>55890</v>
      </c>
      <c r="F551" s="1110">
        <f t="shared" ref="F551:AI551" si="1091">IF(F550="O/H",F546,+E551+F546)</f>
        <v>55890</v>
      </c>
      <c r="G551" s="1212">
        <f t="shared" si="1091"/>
        <v>55890</v>
      </c>
      <c r="H551" s="1110">
        <f t="shared" si="1091"/>
        <v>55890</v>
      </c>
      <c r="I551" s="1110">
        <f t="shared" si="1091"/>
        <v>55890</v>
      </c>
      <c r="J551" s="1212">
        <f t="shared" si="1091"/>
        <v>55890</v>
      </c>
      <c r="K551" s="1212">
        <f t="shared" si="1091"/>
        <v>55890</v>
      </c>
      <c r="L551" s="1110">
        <f t="shared" si="1091"/>
        <v>55890</v>
      </c>
      <c r="M551" s="1110">
        <f t="shared" si="1091"/>
        <v>55890</v>
      </c>
      <c r="N551" s="1110">
        <f t="shared" si="1091"/>
        <v>55890</v>
      </c>
      <c r="O551" s="1110">
        <f t="shared" si="1091"/>
        <v>55890</v>
      </c>
      <c r="P551" s="1110">
        <f t="shared" si="1091"/>
        <v>55890</v>
      </c>
      <c r="Q551" s="1212">
        <f t="shared" si="1091"/>
        <v>55890</v>
      </c>
      <c r="R551" s="1212">
        <f t="shared" si="1091"/>
        <v>55890</v>
      </c>
      <c r="S551" s="1110">
        <f t="shared" si="1091"/>
        <v>55890</v>
      </c>
      <c r="T551" s="1110">
        <f t="shared" si="1091"/>
        <v>55890</v>
      </c>
      <c r="U551" s="1110">
        <f t="shared" si="1091"/>
        <v>55890</v>
      </c>
      <c r="V551" s="1110">
        <f t="shared" si="1091"/>
        <v>55890</v>
      </c>
      <c r="W551" s="1110">
        <f t="shared" si="1091"/>
        <v>55890</v>
      </c>
      <c r="X551" s="1212">
        <f t="shared" si="1091"/>
        <v>55890</v>
      </c>
      <c r="Y551" s="1212">
        <f t="shared" si="1091"/>
        <v>55890</v>
      </c>
      <c r="Z551" s="1110">
        <f t="shared" si="1091"/>
        <v>55890</v>
      </c>
      <c r="AA551" s="1110">
        <f t="shared" ref="AA551" si="1092">IF(AA550="O/H",AA546,+Z551+AA546)</f>
        <v>55890</v>
      </c>
      <c r="AB551" s="1110">
        <f t="shared" ref="AB551" si="1093">IF(AB550="O/H",AB546,+AA551+AB546)</f>
        <v>55890</v>
      </c>
      <c r="AC551" s="1110">
        <f t="shared" ref="AC551" si="1094">IF(AC550="O/H",AC546,+AB551+AC546)</f>
        <v>55890</v>
      </c>
      <c r="AD551" s="1110">
        <f t="shared" ref="AD551" si="1095">IF(AD550="O/H",AD546,+AC551+AD546)</f>
        <v>55890</v>
      </c>
      <c r="AE551" s="1212">
        <f t="shared" ref="AE551" si="1096">IF(AE550="O/H",AE546,+AD551+AE546)</f>
        <v>55890</v>
      </c>
      <c r="AF551" s="1212">
        <f t="shared" si="1091"/>
        <v>55890</v>
      </c>
      <c r="AG551" s="1110">
        <f t="shared" si="1091"/>
        <v>55890</v>
      </c>
      <c r="AH551" s="1110">
        <f t="shared" si="1091"/>
        <v>55890</v>
      </c>
      <c r="AI551" s="1340">
        <f t="shared" si="1091"/>
        <v>55890</v>
      </c>
      <c r="AJ551" s="96"/>
      <c r="AK551" s="96"/>
      <c r="AL551" s="97"/>
      <c r="AM551" s="1071">
        <f t="shared" si="1012"/>
        <v>0</v>
      </c>
      <c r="AN551" s="98"/>
      <c r="AO551" s="625"/>
      <c r="AP551" s="23"/>
      <c r="AQ551" s="23"/>
      <c r="AR551" s="23"/>
      <c r="AS551" s="23"/>
      <c r="AT551" s="23"/>
      <c r="AU551" s="23"/>
      <c r="AV551" s="23"/>
    </row>
    <row r="552" spans="1:48" ht="25.15" hidden="1" customHeight="1" thickTop="1">
      <c r="A552" s="99"/>
      <c r="B552" s="26" t="s">
        <v>539</v>
      </c>
      <c r="C552" s="27"/>
      <c r="D552" s="28" t="s">
        <v>82</v>
      </c>
      <c r="E552" s="1111"/>
      <c r="F552" s="1111"/>
      <c r="G552" s="1201"/>
      <c r="H552" s="1111"/>
      <c r="I552" s="1111"/>
      <c r="J552" s="1201"/>
      <c r="K552" s="1201"/>
      <c r="L552" s="1111"/>
      <c r="M552" s="1111"/>
      <c r="N552" s="1111"/>
      <c r="O552" s="1111"/>
      <c r="P552" s="1111"/>
      <c r="Q552" s="1201"/>
      <c r="R552" s="1201"/>
      <c r="S552" s="1111"/>
      <c r="T552" s="1111"/>
      <c r="U552" s="1111"/>
      <c r="V552" s="1111"/>
      <c r="W552" s="1111"/>
      <c r="X552" s="1201"/>
      <c r="Y552" s="1201"/>
      <c r="Z552" s="1111"/>
      <c r="AA552" s="1089"/>
      <c r="AB552" s="1111"/>
      <c r="AC552" s="1111"/>
      <c r="AD552" s="1111"/>
      <c r="AE552" s="1201"/>
      <c r="AF552" s="1201"/>
      <c r="AG552" s="1111"/>
      <c r="AH552" s="1111"/>
      <c r="AI552" s="1412"/>
      <c r="AJ552" s="100">
        <f>SUM(Table75[[#This Row],[June''2026]:[Column27]])</f>
        <v>0</v>
      </c>
      <c r="AK552" s="100"/>
      <c r="AL552" s="101">
        <f>+AJ552*AN552</f>
        <v>0</v>
      </c>
      <c r="AM552" s="1072">
        <f t="shared" si="1012"/>
        <v>0</v>
      </c>
      <c r="AN552" s="102"/>
      <c r="AO552" s="622" t="e">
        <f>Table5[[#This Row],[Total]]*B556/1000</f>
        <v>#VALUE!</v>
      </c>
      <c r="AP552" s="32" t="s">
        <v>179</v>
      </c>
      <c r="AQ552" s="33" t="s">
        <v>84</v>
      </c>
      <c r="AR552" s="33" t="s">
        <v>85</v>
      </c>
      <c r="AS552" s="33" t="s">
        <v>86</v>
      </c>
      <c r="AT552" s="33" t="s">
        <v>87</v>
      </c>
      <c r="AU552" s="33" t="s">
        <v>88</v>
      </c>
      <c r="AV552" s="34" t="s">
        <v>68</v>
      </c>
    </row>
    <row r="553" spans="1:48" ht="25.15" hidden="1" customHeight="1">
      <c r="A553" s="103"/>
      <c r="B553" s="35"/>
      <c r="C553" s="36"/>
      <c r="D553" s="37" t="s">
        <v>90</v>
      </c>
      <c r="E553" s="1373">
        <v>0</v>
      </c>
      <c r="F553" s="1096">
        <f t="shared" ref="F553:AI553" si="1097">IF(F552="",0, E553+F552/F559)</f>
        <v>0</v>
      </c>
      <c r="G553" s="1207">
        <f t="shared" si="1097"/>
        <v>0</v>
      </c>
      <c r="H553" s="1096">
        <f t="shared" si="1097"/>
        <v>0</v>
      </c>
      <c r="I553" s="1096">
        <f t="shared" si="1097"/>
        <v>0</v>
      </c>
      <c r="J553" s="1207">
        <f t="shared" si="1097"/>
        <v>0</v>
      </c>
      <c r="K553" s="1207">
        <f t="shared" si="1097"/>
        <v>0</v>
      </c>
      <c r="L553" s="1096">
        <f t="shared" si="1097"/>
        <v>0</v>
      </c>
      <c r="M553" s="1096">
        <f t="shared" si="1097"/>
        <v>0</v>
      </c>
      <c r="N553" s="1096">
        <f t="shared" si="1097"/>
        <v>0</v>
      </c>
      <c r="O553" s="1096">
        <f t="shared" si="1097"/>
        <v>0</v>
      </c>
      <c r="P553" s="1096">
        <f t="shared" si="1097"/>
        <v>0</v>
      </c>
      <c r="Q553" s="1207">
        <f t="shared" si="1097"/>
        <v>0</v>
      </c>
      <c r="R553" s="1207">
        <f t="shared" si="1097"/>
        <v>0</v>
      </c>
      <c r="S553" s="1096">
        <f t="shared" si="1097"/>
        <v>0</v>
      </c>
      <c r="T553" s="1096">
        <f t="shared" si="1097"/>
        <v>0</v>
      </c>
      <c r="U553" s="1096">
        <f t="shared" si="1097"/>
        <v>0</v>
      </c>
      <c r="V553" s="1096">
        <f t="shared" si="1097"/>
        <v>0</v>
      </c>
      <c r="W553" s="1096">
        <f t="shared" si="1097"/>
        <v>0</v>
      </c>
      <c r="X553" s="1207">
        <f t="shared" si="1097"/>
        <v>0</v>
      </c>
      <c r="Y553" s="1207">
        <f t="shared" si="1097"/>
        <v>0</v>
      </c>
      <c r="Z553" s="1096">
        <f t="shared" si="1097"/>
        <v>0</v>
      </c>
      <c r="AA553" s="1096">
        <f t="shared" si="1097"/>
        <v>0</v>
      </c>
      <c r="AB553" s="1096">
        <f t="shared" si="1097"/>
        <v>0</v>
      </c>
      <c r="AC553" s="1096">
        <f t="shared" si="1097"/>
        <v>0</v>
      </c>
      <c r="AD553" s="1096">
        <f t="shared" si="1097"/>
        <v>0</v>
      </c>
      <c r="AE553" s="1207">
        <f t="shared" si="1097"/>
        <v>0</v>
      </c>
      <c r="AF553" s="1207">
        <f t="shared" si="1097"/>
        <v>0</v>
      </c>
      <c r="AG553" s="1096">
        <f t="shared" si="1097"/>
        <v>0</v>
      </c>
      <c r="AH553" s="1096">
        <f t="shared" si="1097"/>
        <v>0</v>
      </c>
      <c r="AI553" s="1324">
        <f t="shared" si="1097"/>
        <v>0</v>
      </c>
      <c r="AJ553" s="38"/>
      <c r="AK553" s="29"/>
      <c r="AL553" s="30"/>
      <c r="AM553" s="694">
        <f t="shared" si="1012"/>
        <v>0</v>
      </c>
      <c r="AN553" s="31"/>
      <c r="AO553" s="630"/>
      <c r="AP553" s="39" t="s">
        <v>91</v>
      </c>
      <c r="AQ553" s="40">
        <f>SUM(E552:F552)</f>
        <v>0</v>
      </c>
      <c r="AR553" s="41">
        <f>SUM(G552:M552)</f>
        <v>0</v>
      </c>
      <c r="AS553" s="41">
        <f>SUM(N552:T552)</f>
        <v>0</v>
      </c>
      <c r="AT553" s="41">
        <f>SUM(U552:AA552)</f>
        <v>0</v>
      </c>
      <c r="AU553" s="41">
        <f>SUM(AB552:AI552)</f>
        <v>0</v>
      </c>
      <c r="AV553" s="34">
        <f t="shared" ref="AV553:AV558" si="1098">SUM(AQ553:AU553)</f>
        <v>0</v>
      </c>
    </row>
    <row r="554" spans="1:48" ht="25.15" hidden="1" customHeight="1">
      <c r="A554" s="103"/>
      <c r="B554" s="26" t="s">
        <v>92</v>
      </c>
      <c r="C554" s="42"/>
      <c r="D554" s="43" t="s">
        <v>93</v>
      </c>
      <c r="E554" s="1325"/>
      <c r="F554" s="1089"/>
      <c r="G554" s="44"/>
      <c r="H554" s="1089"/>
      <c r="I554" s="1089"/>
      <c r="J554" s="44"/>
      <c r="K554" s="44"/>
      <c r="L554" s="1089"/>
      <c r="M554" s="1089"/>
      <c r="N554" s="1089"/>
      <c r="O554" s="1089"/>
      <c r="P554" s="1089"/>
      <c r="Q554" s="44"/>
      <c r="R554" s="44"/>
      <c r="S554" s="1089"/>
      <c r="T554" s="1089"/>
      <c r="U554" s="1089"/>
      <c r="V554" s="1089"/>
      <c r="W554" s="1089"/>
      <c r="X554" s="44"/>
      <c r="Y554" s="44"/>
      <c r="Z554" s="1089"/>
      <c r="AA554" s="1089"/>
      <c r="AB554" s="1089"/>
      <c r="AC554" s="1089"/>
      <c r="AD554" s="1089"/>
      <c r="AE554" s="44"/>
      <c r="AF554" s="44"/>
      <c r="AG554" s="1089"/>
      <c r="AH554" s="1089"/>
      <c r="AI554" s="1326"/>
      <c r="AJ554" s="45">
        <f>SUM(E554:AI554)</f>
        <v>0</v>
      </c>
      <c r="AK554" s="45"/>
      <c r="AL554" s="46">
        <f>+AJ554*AN552</f>
        <v>0</v>
      </c>
      <c r="AM554" s="1066">
        <f t="shared" si="1012"/>
        <v>0</v>
      </c>
      <c r="AN554" s="31"/>
      <c r="AO554" s="632">
        <f>(AJ554+AJ556+AJ557+AJ558)*B556/1000</f>
        <v>0</v>
      </c>
      <c r="AP554" s="47" t="s">
        <v>94</v>
      </c>
      <c r="AQ554" s="48">
        <f>SUM(E554:F554)</f>
        <v>0</v>
      </c>
      <c r="AR554" s="49">
        <f>SUM(G554:M554)</f>
        <v>0</v>
      </c>
      <c r="AS554" s="49">
        <f>SUM(N554:T554)</f>
        <v>0</v>
      </c>
      <c r="AT554" s="49">
        <f>SUM(U554:AA554)</f>
        <v>0</v>
      </c>
      <c r="AU554" s="49">
        <f>SUM(AB554:AI554)</f>
        <v>0</v>
      </c>
      <c r="AV554" s="50">
        <f t="shared" si="1098"/>
        <v>0</v>
      </c>
    </row>
    <row r="555" spans="1:48" ht="25.15" hidden="1" customHeight="1">
      <c r="A555" s="103"/>
      <c r="B555" s="51"/>
      <c r="C555" s="52" t="s">
        <v>95</v>
      </c>
      <c r="D555" s="53" t="s">
        <v>96</v>
      </c>
      <c r="E555" s="1097">
        <f t="shared" ref="E555:AJ555" si="1099">+E554-E552</f>
        <v>0</v>
      </c>
      <c r="F555" s="1097">
        <f t="shared" si="1099"/>
        <v>0</v>
      </c>
      <c r="G555" s="1205">
        <f t="shared" si="1099"/>
        <v>0</v>
      </c>
      <c r="H555" s="1097">
        <f t="shared" si="1099"/>
        <v>0</v>
      </c>
      <c r="I555" s="1097">
        <f t="shared" si="1099"/>
        <v>0</v>
      </c>
      <c r="J555" s="1205">
        <f t="shared" si="1099"/>
        <v>0</v>
      </c>
      <c r="K555" s="1205">
        <f t="shared" si="1099"/>
        <v>0</v>
      </c>
      <c r="L555" s="1097">
        <f t="shared" si="1099"/>
        <v>0</v>
      </c>
      <c r="M555" s="1097">
        <f t="shared" si="1099"/>
        <v>0</v>
      </c>
      <c r="N555" s="1097">
        <f t="shared" si="1099"/>
        <v>0</v>
      </c>
      <c r="O555" s="1097">
        <f t="shared" si="1099"/>
        <v>0</v>
      </c>
      <c r="P555" s="1097">
        <f t="shared" si="1099"/>
        <v>0</v>
      </c>
      <c r="Q555" s="1205">
        <f t="shared" si="1099"/>
        <v>0</v>
      </c>
      <c r="R555" s="1205">
        <f t="shared" si="1099"/>
        <v>0</v>
      </c>
      <c r="S555" s="1097">
        <f t="shared" si="1099"/>
        <v>0</v>
      </c>
      <c r="T555" s="1097">
        <f t="shared" si="1099"/>
        <v>0</v>
      </c>
      <c r="U555" s="1097">
        <f t="shared" si="1099"/>
        <v>0</v>
      </c>
      <c r="V555" s="1097">
        <f t="shared" si="1099"/>
        <v>0</v>
      </c>
      <c r="W555" s="1097">
        <f t="shared" si="1099"/>
        <v>0</v>
      </c>
      <c r="X555" s="1205">
        <f t="shared" si="1099"/>
        <v>0</v>
      </c>
      <c r="Y555" s="1205">
        <f t="shared" si="1099"/>
        <v>0</v>
      </c>
      <c r="Z555" s="1097">
        <f t="shared" si="1099"/>
        <v>0</v>
      </c>
      <c r="AA555" s="1097">
        <f t="shared" si="1099"/>
        <v>0</v>
      </c>
      <c r="AB555" s="1097">
        <f t="shared" si="1099"/>
        <v>0</v>
      </c>
      <c r="AC555" s="1097">
        <f t="shared" si="1099"/>
        <v>0</v>
      </c>
      <c r="AD555" s="1097">
        <f t="shared" si="1099"/>
        <v>0</v>
      </c>
      <c r="AE555" s="1205">
        <f t="shared" si="1099"/>
        <v>0</v>
      </c>
      <c r="AF555" s="1205">
        <f t="shared" si="1099"/>
        <v>0</v>
      </c>
      <c r="AG555" s="1097">
        <f t="shared" si="1099"/>
        <v>0</v>
      </c>
      <c r="AH555" s="1097">
        <f t="shared" si="1099"/>
        <v>0</v>
      </c>
      <c r="AI555" s="1328">
        <f t="shared" si="1099"/>
        <v>0</v>
      </c>
      <c r="AJ555" s="54">
        <f t="shared" si="1099"/>
        <v>0</v>
      </c>
      <c r="AK555" s="54"/>
      <c r="AL555" s="55">
        <f>+AJ555*AN552</f>
        <v>0</v>
      </c>
      <c r="AM555" s="1067">
        <f t="shared" si="1012"/>
        <v>0</v>
      </c>
      <c r="AN555" s="31" t="s">
        <v>97</v>
      </c>
      <c r="AO555" s="622"/>
      <c r="AP555" s="39" t="s">
        <v>98</v>
      </c>
      <c r="AQ555" s="56">
        <f>AQ554-AQ553</f>
        <v>0</v>
      </c>
      <c r="AR555" s="70">
        <f>AR554-AR553</f>
        <v>0</v>
      </c>
      <c r="AS555" s="70">
        <f>AS554-AS553</f>
        <v>0</v>
      </c>
      <c r="AT555" s="70">
        <f>AT554-AT553</f>
        <v>0</v>
      </c>
      <c r="AU555" s="70">
        <f>AU554-AU553</f>
        <v>0</v>
      </c>
      <c r="AV555" s="57">
        <f t="shared" si="1098"/>
        <v>0</v>
      </c>
    </row>
    <row r="556" spans="1:48" ht="25.15" hidden="1" customHeight="1">
      <c r="A556" s="58"/>
      <c r="B556" s="59"/>
      <c r="C556" s="60" t="s">
        <v>100</v>
      </c>
      <c r="D556" s="61" t="s">
        <v>101</v>
      </c>
      <c r="E556" s="1329"/>
      <c r="F556" s="1099"/>
      <c r="G556" s="1208"/>
      <c r="H556" s="1099"/>
      <c r="I556" s="1099"/>
      <c r="J556" s="1208"/>
      <c r="K556" s="1208"/>
      <c r="L556" s="1099"/>
      <c r="M556" s="1099"/>
      <c r="N556" s="1099"/>
      <c r="O556" s="1099"/>
      <c r="P556" s="1099"/>
      <c r="Q556" s="1208"/>
      <c r="R556" s="1208"/>
      <c r="S556" s="1099"/>
      <c r="T556" s="1099"/>
      <c r="U556" s="1099"/>
      <c r="V556" s="1099"/>
      <c r="W556" s="1099"/>
      <c r="X556" s="1208"/>
      <c r="Y556" s="1208"/>
      <c r="Z556" s="1099"/>
      <c r="AA556" s="1089"/>
      <c r="AB556" s="1099"/>
      <c r="AC556" s="1099"/>
      <c r="AD556" s="1099"/>
      <c r="AE556" s="1208"/>
      <c r="AF556" s="1208"/>
      <c r="AG556" s="1099"/>
      <c r="AH556" s="1099"/>
      <c r="AI556" s="1330"/>
      <c r="AJ556" s="62">
        <f>SUM(E556:AI556)</f>
        <v>0</v>
      </c>
      <c r="AK556" s="62"/>
      <c r="AL556" s="63">
        <f>+AJ556*AN552</f>
        <v>0</v>
      </c>
      <c r="AM556" s="1068">
        <f t="shared" si="1012"/>
        <v>0</v>
      </c>
      <c r="AN556" s="64" t="e">
        <f>+AJ556/AJ554*100</f>
        <v>#DIV/0!</v>
      </c>
      <c r="AO556" s="635" t="e">
        <f>AO554/AO552</f>
        <v>#VALUE!</v>
      </c>
      <c r="AP556" s="39" t="s">
        <v>102</v>
      </c>
      <c r="AQ556" s="56">
        <f>SUM(E556:F556)</f>
        <v>0</v>
      </c>
      <c r="AR556" s="70">
        <f>SUM(G556:M556)</f>
        <v>0</v>
      </c>
      <c r="AS556" s="70">
        <f>SUM(N556:T556)</f>
        <v>0</v>
      </c>
      <c r="AT556" s="70">
        <f>SUM(U556:AA556)</f>
        <v>0</v>
      </c>
      <c r="AU556" s="70">
        <f>SUM(AB556:AI556)</f>
        <v>0</v>
      </c>
      <c r="AV556" s="57">
        <f t="shared" si="1098"/>
        <v>0</v>
      </c>
    </row>
    <row r="557" spans="1:48" ht="25.15" hidden="1" customHeight="1">
      <c r="A557" s="58" t="s">
        <v>180</v>
      </c>
      <c r="B557" s="65"/>
      <c r="C557" s="66"/>
      <c r="D557" s="67" t="s">
        <v>103</v>
      </c>
      <c r="E557" s="1331"/>
      <c r="F557" s="1101"/>
      <c r="G557" s="1209"/>
      <c r="H557" s="1101"/>
      <c r="I557" s="1101"/>
      <c r="J557" s="1209"/>
      <c r="K557" s="1209"/>
      <c r="L557" s="1101"/>
      <c r="M557" s="1101"/>
      <c r="N557" s="1101"/>
      <c r="O557" s="1101"/>
      <c r="P557" s="1101"/>
      <c r="Q557" s="1209"/>
      <c r="R557" s="1209"/>
      <c r="S557" s="1101"/>
      <c r="T557" s="1101"/>
      <c r="U557" s="1101"/>
      <c r="V557" s="1101"/>
      <c r="W557" s="1101"/>
      <c r="X557" s="1209"/>
      <c r="Y557" s="1209"/>
      <c r="Z557" s="1101"/>
      <c r="AA557" s="1089"/>
      <c r="AB557" s="1101"/>
      <c r="AC557" s="1101"/>
      <c r="AD557" s="1101"/>
      <c r="AE557" s="1209"/>
      <c r="AF557" s="1209"/>
      <c r="AG557" s="1101"/>
      <c r="AH557" s="1101"/>
      <c r="AI557" s="1332"/>
      <c r="AJ557" s="68">
        <f>SUM(E557:AI557)</f>
        <v>0</v>
      </c>
      <c r="AK557" s="68"/>
      <c r="AL557" s="69">
        <f>+AJ557*AN552</f>
        <v>0</v>
      </c>
      <c r="AM557" s="1069">
        <f t="shared" si="1012"/>
        <v>0</v>
      </c>
      <c r="AN557" s="31"/>
      <c r="AO557" s="622"/>
      <c r="AP557" s="39" t="s">
        <v>19</v>
      </c>
      <c r="AQ557" s="56">
        <f>AQ556*AN552</f>
        <v>0</v>
      </c>
      <c r="AR557" s="56">
        <f>AR556*AN552</f>
        <v>0</v>
      </c>
      <c r="AS557" s="56">
        <f>AS556*AN552</f>
        <v>0</v>
      </c>
      <c r="AT557" s="56">
        <f>AT556*AN552</f>
        <v>0</v>
      </c>
      <c r="AU557" s="56">
        <f>AU556*AN552</f>
        <v>0</v>
      </c>
      <c r="AV557" s="57">
        <f t="shared" si="1098"/>
        <v>0</v>
      </c>
    </row>
    <row r="558" spans="1:48" ht="25.15" hidden="1" customHeight="1">
      <c r="A558" s="103"/>
      <c r="B558" s="65"/>
      <c r="C558" s="72" t="s">
        <v>104</v>
      </c>
      <c r="D558" s="73" t="s">
        <v>105</v>
      </c>
      <c r="E558" s="1378"/>
      <c r="F558" s="1103"/>
      <c r="G558" s="1210"/>
      <c r="H558" s="1103"/>
      <c r="I558" s="1103"/>
      <c r="J558" s="1210"/>
      <c r="K558" s="1210"/>
      <c r="L558" s="1103"/>
      <c r="M558" s="1103"/>
      <c r="N558" s="1103"/>
      <c r="O558" s="1103"/>
      <c r="P558" s="1103"/>
      <c r="Q558" s="1210"/>
      <c r="R558" s="1210"/>
      <c r="S558" s="1103"/>
      <c r="T558" s="1103"/>
      <c r="U558" s="1103"/>
      <c r="V558" s="1103"/>
      <c r="W558" s="1103"/>
      <c r="X558" s="1210"/>
      <c r="Y558" s="1210"/>
      <c r="Z558" s="1103"/>
      <c r="AA558" s="1089"/>
      <c r="AB558" s="1103"/>
      <c r="AC558" s="1103"/>
      <c r="AD558" s="1103"/>
      <c r="AE558" s="1210"/>
      <c r="AF558" s="1210"/>
      <c r="AG558" s="1103"/>
      <c r="AH558" s="1103"/>
      <c r="AI558" s="1352"/>
      <c r="AJ558" s="74">
        <f>SUM(E558:AI558)</f>
        <v>0</v>
      </c>
      <c r="AK558" s="74"/>
      <c r="AL558" s="75">
        <f>+AJ558*AN552</f>
        <v>0</v>
      </c>
      <c r="AM558" s="1070">
        <f t="shared" si="1012"/>
        <v>0</v>
      </c>
      <c r="AN558" s="76"/>
      <c r="AO558" s="636"/>
      <c r="AP558" s="47" t="s">
        <v>106</v>
      </c>
      <c r="AQ558" s="48">
        <f>AQ554*AN552</f>
        <v>0</v>
      </c>
      <c r="AR558" s="48">
        <f>AR554*AN552</f>
        <v>0</v>
      </c>
      <c r="AS558" s="48">
        <f>AS554*AN552</f>
        <v>0</v>
      </c>
      <c r="AT558" s="48">
        <f>AT554*AN552</f>
        <v>0</v>
      </c>
      <c r="AU558" s="48">
        <f>AU554*AN552</f>
        <v>0</v>
      </c>
      <c r="AV558" s="50">
        <f t="shared" si="1098"/>
        <v>0</v>
      </c>
    </row>
    <row r="559" spans="1:48" ht="25.15" hidden="1" customHeight="1">
      <c r="A559" s="103"/>
      <c r="B559" s="65"/>
      <c r="C559" s="77">
        <v>300000</v>
      </c>
      <c r="D559" s="78" t="s">
        <v>107</v>
      </c>
      <c r="E559" s="1327">
        <v>1</v>
      </c>
      <c r="F559" s="1097">
        <v>1</v>
      </c>
      <c r="G559" s="1205">
        <v>1</v>
      </c>
      <c r="H559" s="1097">
        <v>1</v>
      </c>
      <c r="I559" s="1097">
        <v>1</v>
      </c>
      <c r="J559" s="1205">
        <v>1</v>
      </c>
      <c r="K559" s="1205">
        <v>1</v>
      </c>
      <c r="L559" s="1097">
        <v>1</v>
      </c>
      <c r="M559" s="1097">
        <v>1</v>
      </c>
      <c r="N559" s="1097">
        <v>1</v>
      </c>
      <c r="O559" s="1097">
        <v>1</v>
      </c>
      <c r="P559" s="1097">
        <v>1</v>
      </c>
      <c r="Q559" s="1205">
        <v>1</v>
      </c>
      <c r="R559" s="1205">
        <v>1</v>
      </c>
      <c r="S559" s="1097">
        <v>1</v>
      </c>
      <c r="T559" s="1097">
        <v>1</v>
      </c>
      <c r="U559" s="1097">
        <v>1</v>
      </c>
      <c r="V559" s="1097">
        <v>1</v>
      </c>
      <c r="W559" s="1097">
        <v>1</v>
      </c>
      <c r="X559" s="1205">
        <v>1</v>
      </c>
      <c r="Y559" s="1205">
        <v>1</v>
      </c>
      <c r="Z559" s="1097">
        <v>1</v>
      </c>
      <c r="AA559" s="1097">
        <v>1</v>
      </c>
      <c r="AB559" s="1097">
        <v>1</v>
      </c>
      <c r="AC559" s="1097">
        <v>1</v>
      </c>
      <c r="AD559" s="1097">
        <v>1</v>
      </c>
      <c r="AE559" s="1205">
        <v>1</v>
      </c>
      <c r="AF559" s="1205">
        <v>1</v>
      </c>
      <c r="AG559" s="1097">
        <v>1</v>
      </c>
      <c r="AH559" s="1097">
        <v>1</v>
      </c>
      <c r="AI559" s="1328">
        <v>1</v>
      </c>
      <c r="AJ559" s="79"/>
      <c r="AK559" s="79"/>
      <c r="AL559" s="55"/>
      <c r="AM559" s="1067">
        <f t="shared" si="1012"/>
        <v>0</v>
      </c>
      <c r="AN559" s="31"/>
      <c r="AO559" s="622"/>
      <c r="AP559" s="23"/>
      <c r="AQ559" s="23"/>
      <c r="AR559" s="23"/>
      <c r="AS559" s="23"/>
      <c r="AT559" s="23"/>
      <c r="AU559" s="23"/>
      <c r="AV559" s="23"/>
    </row>
    <row r="560" spans="1:48" ht="25.15" hidden="1" customHeight="1">
      <c r="A560" s="103"/>
      <c r="B560" s="65"/>
      <c r="C560" s="80" t="s">
        <v>108</v>
      </c>
      <c r="D560" s="81" t="s">
        <v>109</v>
      </c>
      <c r="E560" s="1374">
        <f>SUM(E554+E556+E557+E558)/E559</f>
        <v>0</v>
      </c>
      <c r="F560" s="1104">
        <f>SUM(F554+F556+F557+F558)/F559</f>
        <v>0</v>
      </c>
      <c r="G560" s="1211">
        <f>SUM(G554+G556+G557+G558)/G559</f>
        <v>0</v>
      </c>
      <c r="H560" s="1104">
        <v>0</v>
      </c>
      <c r="I560" s="1104">
        <f t="shared" ref="I560:AH560" si="1100">SUM(I554+I556+I557+I558)/I559</f>
        <v>0</v>
      </c>
      <c r="J560" s="1211">
        <f t="shared" si="1100"/>
        <v>0</v>
      </c>
      <c r="K560" s="1211">
        <f t="shared" si="1100"/>
        <v>0</v>
      </c>
      <c r="L560" s="1104">
        <f t="shared" si="1100"/>
        <v>0</v>
      </c>
      <c r="M560" s="1104">
        <f t="shared" si="1100"/>
        <v>0</v>
      </c>
      <c r="N560" s="1104">
        <f t="shared" si="1100"/>
        <v>0</v>
      </c>
      <c r="O560" s="1104">
        <f t="shared" si="1100"/>
        <v>0</v>
      </c>
      <c r="P560" s="1104">
        <f t="shared" si="1100"/>
        <v>0</v>
      </c>
      <c r="Q560" s="1211">
        <f t="shared" si="1100"/>
        <v>0</v>
      </c>
      <c r="R560" s="1211">
        <f t="shared" si="1100"/>
        <v>0</v>
      </c>
      <c r="S560" s="1104">
        <f t="shared" si="1100"/>
        <v>0</v>
      </c>
      <c r="T560" s="1104">
        <f t="shared" si="1100"/>
        <v>0</v>
      </c>
      <c r="U560" s="1104">
        <f t="shared" si="1100"/>
        <v>0</v>
      </c>
      <c r="V560" s="1104">
        <f t="shared" si="1100"/>
        <v>0</v>
      </c>
      <c r="W560" s="1104">
        <f t="shared" si="1100"/>
        <v>0</v>
      </c>
      <c r="X560" s="1211">
        <f t="shared" si="1100"/>
        <v>0</v>
      </c>
      <c r="Y560" s="1211">
        <f t="shared" si="1100"/>
        <v>0</v>
      </c>
      <c r="Z560" s="1104">
        <f t="shared" si="1100"/>
        <v>0</v>
      </c>
      <c r="AA560" s="1104">
        <f t="shared" si="1100"/>
        <v>0</v>
      </c>
      <c r="AB560" s="1104">
        <f t="shared" si="1100"/>
        <v>0</v>
      </c>
      <c r="AC560" s="1104">
        <f t="shared" si="1100"/>
        <v>0</v>
      </c>
      <c r="AD560" s="1104">
        <f t="shared" si="1100"/>
        <v>0</v>
      </c>
      <c r="AE560" s="1211">
        <f t="shared" si="1100"/>
        <v>0</v>
      </c>
      <c r="AF560" s="1211">
        <f t="shared" si="1100"/>
        <v>0</v>
      </c>
      <c r="AG560" s="1104">
        <f t="shared" si="1100"/>
        <v>0</v>
      </c>
      <c r="AH560" s="1104">
        <f t="shared" si="1100"/>
        <v>0</v>
      </c>
      <c r="AI560" s="1335">
        <f>SUM(AI554+AI556+AI557)/AI559</f>
        <v>0</v>
      </c>
      <c r="AJ560" s="104">
        <f>SUM(E560:AI560)</f>
        <v>0</v>
      </c>
      <c r="AK560" s="104"/>
      <c r="AL560" s="83"/>
      <c r="AM560" s="1068">
        <f t="shared" si="1012"/>
        <v>0</v>
      </c>
      <c r="AN560" s="31"/>
      <c r="AO560" s="622"/>
      <c r="AP560" s="23"/>
      <c r="AQ560" s="23"/>
      <c r="AR560" s="23"/>
      <c r="AS560" s="23"/>
      <c r="AT560" s="23"/>
      <c r="AU560" s="23"/>
      <c r="AV560" s="23"/>
    </row>
    <row r="561" spans="1:48" ht="25.15" hidden="1" customHeight="1">
      <c r="A561" s="103"/>
      <c r="B561" s="59"/>
      <c r="C561" s="84">
        <f>+C559*0.8</f>
        <v>240000</v>
      </c>
      <c r="D561" s="85" t="s">
        <v>110</v>
      </c>
      <c r="E561" s="1105"/>
      <c r="F561" s="1106"/>
      <c r="G561" s="1211"/>
      <c r="H561" s="1104"/>
      <c r="I561" s="1104"/>
      <c r="J561" s="1211"/>
      <c r="K561" s="1211"/>
      <c r="L561" s="1104"/>
      <c r="M561" s="1104"/>
      <c r="N561" s="1104"/>
      <c r="O561" s="1107"/>
      <c r="P561" s="1104"/>
      <c r="Q561" s="1211"/>
      <c r="R561" s="1211"/>
      <c r="S561" s="1104"/>
      <c r="T561" s="1104"/>
      <c r="U561" s="1104"/>
      <c r="V561" s="1104"/>
      <c r="W561" s="1104"/>
      <c r="X561" s="1211"/>
      <c r="Y561" s="1211"/>
      <c r="Z561" s="1104"/>
      <c r="AA561" s="1089"/>
      <c r="AB561" s="1104"/>
      <c r="AC561" s="1104"/>
      <c r="AD561" s="1104"/>
      <c r="AE561" s="1211"/>
      <c r="AF561" s="1211"/>
      <c r="AG561" s="1104"/>
      <c r="AH561" s="1104"/>
      <c r="AI561" s="1353"/>
      <c r="AJ561" s="86"/>
      <c r="AK561" s="86"/>
      <c r="AL561" s="690"/>
      <c r="AM561" s="694">
        <f t="shared" si="1012"/>
        <v>0</v>
      </c>
      <c r="AN561" s="31"/>
      <c r="AO561" s="622"/>
      <c r="AP561" s="23"/>
      <c r="AQ561" s="23"/>
      <c r="AR561" s="23"/>
      <c r="AS561" s="23"/>
      <c r="AT561" s="23"/>
      <c r="AU561" s="23"/>
      <c r="AV561" s="23"/>
    </row>
    <row r="562" spans="1:48" ht="25.15" hidden="1" customHeight="1">
      <c r="A562" s="103"/>
      <c r="B562" s="105"/>
      <c r="C562" s="77"/>
      <c r="D562" s="88" t="s">
        <v>111</v>
      </c>
      <c r="E562" s="1108">
        <f>IF(E561="O/H",E560,0+E560)</f>
        <v>0</v>
      </c>
      <c r="F562" s="1089">
        <f t="shared" ref="F562:AI562" si="1101">IF(F561="O/H",F560,+E562+F560)</f>
        <v>0</v>
      </c>
      <c r="G562" s="44">
        <f t="shared" si="1101"/>
        <v>0</v>
      </c>
      <c r="H562" s="1089">
        <f t="shared" si="1101"/>
        <v>0</v>
      </c>
      <c r="I562" s="1089">
        <f t="shared" si="1101"/>
        <v>0</v>
      </c>
      <c r="J562" s="44">
        <f t="shared" si="1101"/>
        <v>0</v>
      </c>
      <c r="K562" s="44">
        <f t="shared" si="1101"/>
        <v>0</v>
      </c>
      <c r="L562" s="1089">
        <f t="shared" si="1101"/>
        <v>0</v>
      </c>
      <c r="M562" s="1089">
        <f t="shared" si="1101"/>
        <v>0</v>
      </c>
      <c r="N562" s="1089">
        <f t="shared" si="1101"/>
        <v>0</v>
      </c>
      <c r="O562" s="1089">
        <f t="shared" si="1101"/>
        <v>0</v>
      </c>
      <c r="P562" s="1089">
        <f t="shared" si="1101"/>
        <v>0</v>
      </c>
      <c r="Q562" s="44">
        <f t="shared" si="1101"/>
        <v>0</v>
      </c>
      <c r="R562" s="44">
        <f t="shared" si="1101"/>
        <v>0</v>
      </c>
      <c r="S562" s="1089">
        <f t="shared" si="1101"/>
        <v>0</v>
      </c>
      <c r="T562" s="1089">
        <f t="shared" si="1101"/>
        <v>0</v>
      </c>
      <c r="U562" s="1089">
        <f t="shared" si="1101"/>
        <v>0</v>
      </c>
      <c r="V562" s="1089">
        <f t="shared" si="1101"/>
        <v>0</v>
      </c>
      <c r="W562" s="1089">
        <f t="shared" si="1101"/>
        <v>0</v>
      </c>
      <c r="X562" s="44">
        <f t="shared" si="1101"/>
        <v>0</v>
      </c>
      <c r="Y562" s="44">
        <f t="shared" si="1101"/>
        <v>0</v>
      </c>
      <c r="Z562" s="1089">
        <f t="shared" si="1101"/>
        <v>0</v>
      </c>
      <c r="AA562" s="1089">
        <f t="shared" si="1101"/>
        <v>0</v>
      </c>
      <c r="AB562" s="1089">
        <f t="shared" si="1101"/>
        <v>0</v>
      </c>
      <c r="AC562" s="1089">
        <f t="shared" si="1101"/>
        <v>0</v>
      </c>
      <c r="AD562" s="1089">
        <f t="shared" si="1101"/>
        <v>0</v>
      </c>
      <c r="AE562" s="44">
        <f t="shared" si="1101"/>
        <v>0</v>
      </c>
      <c r="AF562" s="44">
        <f t="shared" si="1101"/>
        <v>0</v>
      </c>
      <c r="AG562" s="1089">
        <f t="shared" si="1101"/>
        <v>0</v>
      </c>
      <c r="AH562" s="1089">
        <f t="shared" si="1101"/>
        <v>0</v>
      </c>
      <c r="AI562" s="1326">
        <f t="shared" si="1101"/>
        <v>0</v>
      </c>
      <c r="AJ562" s="79"/>
      <c r="AK562" s="86"/>
      <c r="AL562" s="689"/>
      <c r="AM562" s="694">
        <f t="shared" si="1012"/>
        <v>0</v>
      </c>
      <c r="AN562" s="31"/>
      <c r="AO562" s="622"/>
      <c r="AP562" s="23"/>
      <c r="AQ562" s="23"/>
      <c r="AR562" s="23"/>
      <c r="AS562" s="23"/>
      <c r="AT562" s="23"/>
      <c r="AU562" s="23"/>
      <c r="AV562" s="23"/>
    </row>
    <row r="563" spans="1:48" ht="25.15" hidden="1" customHeight="1">
      <c r="A563" s="103"/>
      <c r="B563" s="89"/>
      <c r="C563" s="80"/>
      <c r="D563" s="90" t="s">
        <v>104</v>
      </c>
      <c r="E563" s="1108"/>
      <c r="F563" s="1089"/>
      <c r="G563" s="44"/>
      <c r="H563" s="1089"/>
      <c r="I563" s="1089"/>
      <c r="J563" s="44"/>
      <c r="K563" s="44"/>
      <c r="L563" s="1089"/>
      <c r="M563" s="1089"/>
      <c r="N563" s="1089"/>
      <c r="O563" s="1089"/>
      <c r="P563" s="1089"/>
      <c r="Q563" s="44"/>
      <c r="R563" s="44"/>
      <c r="S563" s="1089"/>
      <c r="T563" s="1089"/>
      <c r="U563" s="1089"/>
      <c r="V563" s="1089"/>
      <c r="W563" s="1089"/>
      <c r="X563" s="44"/>
      <c r="Y563" s="44"/>
      <c r="Z563" s="1089"/>
      <c r="AA563" s="1089"/>
      <c r="AB563" s="1089"/>
      <c r="AC563" s="1089"/>
      <c r="AD563" s="1089"/>
      <c r="AE563" s="44"/>
      <c r="AF563" s="44"/>
      <c r="AG563" s="1089"/>
      <c r="AH563" s="1089"/>
      <c r="AI563" s="1326"/>
      <c r="AJ563" s="79"/>
      <c r="AK563" s="79"/>
      <c r="AL563" s="63"/>
      <c r="AM563" s="1068">
        <f t="shared" si="1012"/>
        <v>0</v>
      </c>
      <c r="AN563" s="64"/>
      <c r="AO563" s="624"/>
      <c r="AP563" s="23"/>
      <c r="AQ563" s="23"/>
      <c r="AR563" s="23"/>
      <c r="AS563" s="23"/>
      <c r="AT563" s="23"/>
      <c r="AU563" s="23"/>
      <c r="AV563" s="23"/>
    </row>
    <row r="564" spans="1:48" ht="25.15" hidden="1" customHeight="1" thickBot="1">
      <c r="A564" s="106"/>
      <c r="B564" s="93"/>
      <c r="C564" s="94"/>
      <c r="D564" s="95" t="s">
        <v>111</v>
      </c>
      <c r="E564" s="1109">
        <f>IF(E563="O/H",E560,55890+E560)</f>
        <v>55890</v>
      </c>
      <c r="F564" s="1110">
        <f t="shared" ref="F564:AI564" si="1102">IF(F563="O/H",F560,+E564+F560)</f>
        <v>55890</v>
      </c>
      <c r="G564" s="1212">
        <f t="shared" si="1102"/>
        <v>55890</v>
      </c>
      <c r="H564" s="1110">
        <f t="shared" si="1102"/>
        <v>55890</v>
      </c>
      <c r="I564" s="1110">
        <f t="shared" si="1102"/>
        <v>55890</v>
      </c>
      <c r="J564" s="1212">
        <f t="shared" si="1102"/>
        <v>55890</v>
      </c>
      <c r="K564" s="1212">
        <f t="shared" si="1102"/>
        <v>55890</v>
      </c>
      <c r="L564" s="1110">
        <f t="shared" si="1102"/>
        <v>55890</v>
      </c>
      <c r="M564" s="1110">
        <f t="shared" si="1102"/>
        <v>55890</v>
      </c>
      <c r="N564" s="1110">
        <f t="shared" si="1102"/>
        <v>55890</v>
      </c>
      <c r="O564" s="1110">
        <f t="shared" si="1102"/>
        <v>55890</v>
      </c>
      <c r="P564" s="1110">
        <f t="shared" si="1102"/>
        <v>55890</v>
      </c>
      <c r="Q564" s="1212">
        <f t="shared" si="1102"/>
        <v>55890</v>
      </c>
      <c r="R564" s="1212">
        <f t="shared" si="1102"/>
        <v>55890</v>
      </c>
      <c r="S564" s="1110">
        <f t="shared" si="1102"/>
        <v>55890</v>
      </c>
      <c r="T564" s="1110">
        <f t="shared" si="1102"/>
        <v>55890</v>
      </c>
      <c r="U564" s="1110">
        <f t="shared" si="1102"/>
        <v>55890</v>
      </c>
      <c r="V564" s="1110">
        <f t="shared" si="1102"/>
        <v>55890</v>
      </c>
      <c r="W564" s="1110">
        <f t="shared" si="1102"/>
        <v>55890</v>
      </c>
      <c r="X564" s="1212">
        <f t="shared" si="1102"/>
        <v>55890</v>
      </c>
      <c r="Y564" s="1212">
        <f t="shared" si="1102"/>
        <v>55890</v>
      </c>
      <c r="Z564" s="1110">
        <f t="shared" si="1102"/>
        <v>55890</v>
      </c>
      <c r="AA564" s="1110">
        <f t="shared" si="1102"/>
        <v>55890</v>
      </c>
      <c r="AB564" s="1110">
        <f t="shared" si="1102"/>
        <v>55890</v>
      </c>
      <c r="AC564" s="1110">
        <f t="shared" si="1102"/>
        <v>55890</v>
      </c>
      <c r="AD564" s="1110">
        <f t="shared" si="1102"/>
        <v>55890</v>
      </c>
      <c r="AE564" s="1212">
        <f t="shared" si="1102"/>
        <v>55890</v>
      </c>
      <c r="AF564" s="1212">
        <f t="shared" si="1102"/>
        <v>55890</v>
      </c>
      <c r="AG564" s="1110">
        <f t="shared" si="1102"/>
        <v>55890</v>
      </c>
      <c r="AH564" s="1110">
        <f t="shared" si="1102"/>
        <v>55890</v>
      </c>
      <c r="AI564" s="1340">
        <f t="shared" si="1102"/>
        <v>55890</v>
      </c>
      <c r="AJ564" s="96"/>
      <c r="AK564" s="96"/>
      <c r="AL564" s="97"/>
      <c r="AM564" s="1071">
        <f t="shared" si="1012"/>
        <v>0</v>
      </c>
      <c r="AN564" s="98"/>
      <c r="AO564" s="625"/>
      <c r="AP564" s="23"/>
      <c r="AQ564" s="23"/>
      <c r="AR564" s="23"/>
      <c r="AS564" s="23"/>
      <c r="AT564" s="23"/>
      <c r="AU564" s="23"/>
      <c r="AV564" s="23"/>
    </row>
    <row r="565" spans="1:48" ht="25.15" hidden="1" customHeight="1" thickTop="1">
      <c r="A565" s="99"/>
      <c r="B565" s="26" t="s">
        <v>174</v>
      </c>
      <c r="C565" s="27"/>
      <c r="D565" s="28" t="s">
        <v>82</v>
      </c>
      <c r="E565" s="1111"/>
      <c r="F565" s="1111"/>
      <c r="G565" s="1201"/>
      <c r="H565" s="1111"/>
      <c r="I565" s="1111"/>
      <c r="J565" s="1201"/>
      <c r="K565" s="1201"/>
      <c r="L565" s="1111"/>
      <c r="M565" s="1111"/>
      <c r="N565" s="1111"/>
      <c r="O565" s="1111"/>
      <c r="P565" s="1111"/>
      <c r="Q565" s="1201"/>
      <c r="R565" s="1201"/>
      <c r="S565" s="1111"/>
      <c r="T565" s="1111"/>
      <c r="U565" s="1111"/>
      <c r="V565" s="1111"/>
      <c r="W565" s="1111"/>
      <c r="X565" s="1201"/>
      <c r="Y565" s="1201"/>
      <c r="Z565" s="1111"/>
      <c r="AA565" s="1111"/>
      <c r="AB565" s="1111"/>
      <c r="AC565" s="1111"/>
      <c r="AD565" s="1111"/>
      <c r="AE565" s="1201"/>
      <c r="AF565" s="1201"/>
      <c r="AG565" s="1111"/>
      <c r="AH565" s="1111"/>
      <c r="AI565" s="1412"/>
      <c r="AJ565" s="100">
        <f>SUM(Table75[[#This Row],[June''2026]:[Column27]])</f>
        <v>0</v>
      </c>
      <c r="AK565" s="100">
        <f t="shared" si="1046"/>
        <v>0</v>
      </c>
      <c r="AL565" s="101">
        <f>+AJ565*AN565</f>
        <v>0</v>
      </c>
      <c r="AM565" s="1072">
        <f t="shared" si="1012"/>
        <v>0</v>
      </c>
      <c r="AN565" s="102"/>
      <c r="AO565" s="622" t="e">
        <f>Table5[[#This Row],[Total]]*B569/1000</f>
        <v>#VALUE!</v>
      </c>
      <c r="AP565" s="32" t="s">
        <v>179</v>
      </c>
      <c r="AQ565" s="33" t="s">
        <v>84</v>
      </c>
      <c r="AR565" s="33" t="s">
        <v>85</v>
      </c>
      <c r="AS565" s="33" t="s">
        <v>86</v>
      </c>
      <c r="AT565" s="33" t="s">
        <v>87</v>
      </c>
      <c r="AU565" s="33" t="s">
        <v>88</v>
      </c>
      <c r="AV565" s="34" t="s">
        <v>68</v>
      </c>
    </row>
    <row r="566" spans="1:48" ht="25.15" hidden="1" customHeight="1">
      <c r="A566" s="103"/>
      <c r="B566" s="35" t="s">
        <v>175</v>
      </c>
      <c r="C566" s="36"/>
      <c r="D566" s="37" t="s">
        <v>90</v>
      </c>
      <c r="E566" s="1373">
        <f>IF(E565="",0,+ E565/E572)</f>
        <v>0</v>
      </c>
      <c r="F566" s="1096">
        <f t="shared" ref="F566:AI566" si="1103">IF(F565="",0, E566+F565/F572)</f>
        <v>0</v>
      </c>
      <c r="G566" s="1207">
        <f t="shared" si="1103"/>
        <v>0</v>
      </c>
      <c r="H566" s="1096">
        <f t="shared" si="1103"/>
        <v>0</v>
      </c>
      <c r="I566" s="1096">
        <f t="shared" si="1103"/>
        <v>0</v>
      </c>
      <c r="J566" s="1207">
        <f t="shared" si="1103"/>
        <v>0</v>
      </c>
      <c r="K566" s="1207">
        <f t="shared" si="1103"/>
        <v>0</v>
      </c>
      <c r="L566" s="1096">
        <f t="shared" si="1103"/>
        <v>0</v>
      </c>
      <c r="M566" s="1096">
        <f t="shared" si="1103"/>
        <v>0</v>
      </c>
      <c r="N566" s="1096">
        <f t="shared" si="1103"/>
        <v>0</v>
      </c>
      <c r="O566" s="1096">
        <f t="shared" si="1103"/>
        <v>0</v>
      </c>
      <c r="P566" s="1096">
        <f t="shared" si="1103"/>
        <v>0</v>
      </c>
      <c r="Q566" s="1207">
        <f t="shared" si="1103"/>
        <v>0</v>
      </c>
      <c r="R566" s="1207">
        <f t="shared" si="1103"/>
        <v>0</v>
      </c>
      <c r="S566" s="1096">
        <f t="shared" si="1103"/>
        <v>0</v>
      </c>
      <c r="T566" s="1096">
        <f t="shared" si="1103"/>
        <v>0</v>
      </c>
      <c r="U566" s="1096">
        <f t="shared" si="1103"/>
        <v>0</v>
      </c>
      <c r="V566" s="1096">
        <f t="shared" si="1103"/>
        <v>0</v>
      </c>
      <c r="W566" s="1096">
        <f t="shared" si="1103"/>
        <v>0</v>
      </c>
      <c r="X566" s="1207">
        <f t="shared" si="1103"/>
        <v>0</v>
      </c>
      <c r="Y566" s="1207">
        <f t="shared" si="1103"/>
        <v>0</v>
      </c>
      <c r="Z566" s="1096">
        <f t="shared" si="1103"/>
        <v>0</v>
      </c>
      <c r="AA566" s="1096">
        <f t="shared" si="1103"/>
        <v>0</v>
      </c>
      <c r="AB566" s="1096">
        <f t="shared" si="1103"/>
        <v>0</v>
      </c>
      <c r="AC566" s="1096">
        <f t="shared" si="1103"/>
        <v>0</v>
      </c>
      <c r="AD566" s="1096">
        <f t="shared" si="1103"/>
        <v>0</v>
      </c>
      <c r="AE566" s="1207">
        <f t="shared" si="1103"/>
        <v>0</v>
      </c>
      <c r="AF566" s="1207">
        <f t="shared" si="1103"/>
        <v>0</v>
      </c>
      <c r="AG566" s="1096">
        <f t="shared" si="1103"/>
        <v>0</v>
      </c>
      <c r="AH566" s="1096">
        <f t="shared" si="1103"/>
        <v>0</v>
      </c>
      <c r="AI566" s="1324">
        <f t="shared" si="1103"/>
        <v>0</v>
      </c>
      <c r="AJ566" s="38"/>
      <c r="AK566" s="29"/>
      <c r="AL566" s="30"/>
      <c r="AM566" s="694">
        <f t="shared" si="1012"/>
        <v>0</v>
      </c>
      <c r="AN566" s="31"/>
      <c r="AO566" s="630"/>
      <c r="AP566" s="39" t="s">
        <v>91</v>
      </c>
      <c r="AQ566" s="40">
        <f>SUM(E565:H565)</f>
        <v>0</v>
      </c>
      <c r="AR566" s="41">
        <f>SUM(I565:O565)</f>
        <v>0</v>
      </c>
      <c r="AS566" s="41">
        <f>SUM(P565:V565)</f>
        <v>0</v>
      </c>
      <c r="AT566" s="41">
        <f>SUM(W565:AC565)</f>
        <v>0</v>
      </c>
      <c r="AU566" s="41">
        <f>SUM(AD565:AI565)</f>
        <v>0</v>
      </c>
      <c r="AV566" s="34">
        <f t="shared" ref="AV566:AV571" si="1104">SUM(AQ566:AU566)</f>
        <v>0</v>
      </c>
    </row>
    <row r="567" spans="1:48" ht="25.15" hidden="1" customHeight="1">
      <c r="A567" s="103"/>
      <c r="B567" s="26" t="s">
        <v>92</v>
      </c>
      <c r="C567" s="42"/>
      <c r="D567" s="43" t="s">
        <v>93</v>
      </c>
      <c r="E567" s="1325"/>
      <c r="F567" s="1089"/>
      <c r="G567" s="44"/>
      <c r="H567" s="1089"/>
      <c r="I567" s="1089"/>
      <c r="J567" s="44"/>
      <c r="K567" s="44"/>
      <c r="L567" s="1089"/>
      <c r="M567" s="1089"/>
      <c r="N567" s="1089"/>
      <c r="O567" s="1089"/>
      <c r="P567" s="1089"/>
      <c r="Q567" s="44"/>
      <c r="R567" s="44"/>
      <c r="S567" s="1089"/>
      <c r="T567" s="1089"/>
      <c r="U567" s="1089"/>
      <c r="V567" s="1089"/>
      <c r="W567" s="1089"/>
      <c r="X567" s="44"/>
      <c r="Y567" s="44"/>
      <c r="Z567" s="1089"/>
      <c r="AA567" s="1089"/>
      <c r="AB567" s="1089"/>
      <c r="AC567" s="1089"/>
      <c r="AD567" s="1089"/>
      <c r="AE567" s="44"/>
      <c r="AF567" s="44"/>
      <c r="AG567" s="1089"/>
      <c r="AH567" s="1089"/>
      <c r="AI567" s="1326"/>
      <c r="AJ567" s="45">
        <f>SUM(E567:AI567)</f>
        <v>0</v>
      </c>
      <c r="AK567" s="45"/>
      <c r="AL567" s="46">
        <f>+AJ567*AN565</f>
        <v>0</v>
      </c>
      <c r="AM567" s="1066">
        <f t="shared" si="1012"/>
        <v>0</v>
      </c>
      <c r="AN567" s="31"/>
      <c r="AO567" s="632">
        <f>(AJ567+AJ569+AJ570+AJ571)*B569/1000</f>
        <v>0</v>
      </c>
      <c r="AP567" s="47" t="s">
        <v>94</v>
      </c>
      <c r="AQ567" s="48">
        <f>SUM(E567:H567)</f>
        <v>0</v>
      </c>
      <c r="AR567" s="49">
        <f>SUM(I567:O567)</f>
        <v>0</v>
      </c>
      <c r="AS567" s="49">
        <f>SUM(P567:V567)</f>
        <v>0</v>
      </c>
      <c r="AT567" s="49">
        <f>SUM(W567:AC567)</f>
        <v>0</v>
      </c>
      <c r="AU567" s="49">
        <f>SUM(AD567:AI567)</f>
        <v>0</v>
      </c>
      <c r="AV567" s="50">
        <f t="shared" si="1104"/>
        <v>0</v>
      </c>
    </row>
    <row r="568" spans="1:48" ht="25.15" hidden="1" customHeight="1">
      <c r="A568" s="103"/>
      <c r="B568" s="51"/>
      <c r="C568" s="52" t="s">
        <v>95</v>
      </c>
      <c r="D568" s="53" t="s">
        <v>96</v>
      </c>
      <c r="E568" s="1327">
        <f t="shared" ref="E568:AJ568" si="1105">+E567-E565</f>
        <v>0</v>
      </c>
      <c r="F568" s="1097">
        <f t="shared" si="1105"/>
        <v>0</v>
      </c>
      <c r="G568" s="1205">
        <f t="shared" si="1105"/>
        <v>0</v>
      </c>
      <c r="H568" s="1097">
        <f t="shared" si="1105"/>
        <v>0</v>
      </c>
      <c r="I568" s="1097">
        <f t="shared" si="1105"/>
        <v>0</v>
      </c>
      <c r="J568" s="1205">
        <f>+J567-J565</f>
        <v>0</v>
      </c>
      <c r="K568" s="1205">
        <f t="shared" si="1105"/>
        <v>0</v>
      </c>
      <c r="L568" s="1097">
        <f t="shared" si="1105"/>
        <v>0</v>
      </c>
      <c r="M568" s="1097">
        <f t="shared" si="1105"/>
        <v>0</v>
      </c>
      <c r="N568" s="1097">
        <f t="shared" si="1105"/>
        <v>0</v>
      </c>
      <c r="O568" s="1097">
        <f t="shared" si="1105"/>
        <v>0</v>
      </c>
      <c r="P568" s="1097">
        <f t="shared" si="1105"/>
        <v>0</v>
      </c>
      <c r="Q568" s="1205">
        <f t="shared" si="1105"/>
        <v>0</v>
      </c>
      <c r="R568" s="1205">
        <f t="shared" si="1105"/>
        <v>0</v>
      </c>
      <c r="S568" s="1097">
        <f t="shared" si="1105"/>
        <v>0</v>
      </c>
      <c r="T568" s="1097">
        <f t="shared" si="1105"/>
        <v>0</v>
      </c>
      <c r="U568" s="1097">
        <f t="shared" si="1105"/>
        <v>0</v>
      </c>
      <c r="V568" s="1097">
        <f t="shared" si="1105"/>
        <v>0</v>
      </c>
      <c r="W568" s="1097">
        <f t="shared" si="1105"/>
        <v>0</v>
      </c>
      <c r="X568" s="1205">
        <f t="shared" si="1105"/>
        <v>0</v>
      </c>
      <c r="Y568" s="1205">
        <f t="shared" si="1105"/>
        <v>0</v>
      </c>
      <c r="Z568" s="1097">
        <f t="shared" si="1105"/>
        <v>0</v>
      </c>
      <c r="AA568" s="1097">
        <f t="shared" si="1105"/>
        <v>0</v>
      </c>
      <c r="AB568" s="1097">
        <f t="shared" si="1105"/>
        <v>0</v>
      </c>
      <c r="AC568" s="1097">
        <f t="shared" si="1105"/>
        <v>0</v>
      </c>
      <c r="AD568" s="1097">
        <f t="shared" si="1105"/>
        <v>0</v>
      </c>
      <c r="AE568" s="1205">
        <f t="shared" si="1105"/>
        <v>0</v>
      </c>
      <c r="AF568" s="1205">
        <f t="shared" si="1105"/>
        <v>0</v>
      </c>
      <c r="AG568" s="1097">
        <f t="shared" si="1105"/>
        <v>0</v>
      </c>
      <c r="AH568" s="1097">
        <f t="shared" si="1105"/>
        <v>0</v>
      </c>
      <c r="AI568" s="1328">
        <f t="shared" si="1105"/>
        <v>0</v>
      </c>
      <c r="AJ568" s="54">
        <f t="shared" si="1105"/>
        <v>0</v>
      </c>
      <c r="AK568" s="54"/>
      <c r="AL568" s="55">
        <f>+AJ568*AN565</f>
        <v>0</v>
      </c>
      <c r="AM568" s="1067">
        <f t="shared" si="1012"/>
        <v>0</v>
      </c>
      <c r="AN568" s="31" t="s">
        <v>97</v>
      </c>
      <c r="AO568" s="622"/>
      <c r="AP568" s="39" t="s">
        <v>98</v>
      </c>
      <c r="AQ568" s="56">
        <f>AQ567-AQ566</f>
        <v>0</v>
      </c>
      <c r="AR568" s="70">
        <f>AR567-AR566</f>
        <v>0</v>
      </c>
      <c r="AS568" s="70">
        <f>AS567-AS566</f>
        <v>0</v>
      </c>
      <c r="AT568" s="70">
        <f>AT567-AT566</f>
        <v>0</v>
      </c>
      <c r="AU568" s="70">
        <f>AU567-AU566</f>
        <v>0</v>
      </c>
      <c r="AV568" s="57">
        <f t="shared" si="1104"/>
        <v>0</v>
      </c>
    </row>
    <row r="569" spans="1:48" ht="25.15" hidden="1" customHeight="1">
      <c r="A569" s="58"/>
      <c r="B569" s="59"/>
      <c r="C569" s="60" t="s">
        <v>100</v>
      </c>
      <c r="D569" s="61" t="s">
        <v>101</v>
      </c>
      <c r="E569" s="1329"/>
      <c r="F569" s="1099"/>
      <c r="G569" s="1208"/>
      <c r="H569" s="1099"/>
      <c r="I569" s="1099"/>
      <c r="J569" s="1208"/>
      <c r="K569" s="1208"/>
      <c r="L569" s="1099"/>
      <c r="M569" s="1099"/>
      <c r="N569" s="1099"/>
      <c r="O569" s="1099"/>
      <c r="P569" s="1099"/>
      <c r="Q569" s="1208"/>
      <c r="R569" s="1208"/>
      <c r="S569" s="1099"/>
      <c r="T569" s="1099"/>
      <c r="U569" s="1099"/>
      <c r="V569" s="1099"/>
      <c r="W569" s="1099"/>
      <c r="X569" s="1208"/>
      <c r="Y569" s="1208"/>
      <c r="Z569" s="1099"/>
      <c r="AA569" s="1099"/>
      <c r="AB569" s="1099"/>
      <c r="AC569" s="1099"/>
      <c r="AD569" s="1099"/>
      <c r="AE569" s="1208"/>
      <c r="AF569" s="1208"/>
      <c r="AG569" s="1099"/>
      <c r="AH569" s="1099"/>
      <c r="AI569" s="1330"/>
      <c r="AJ569" s="62">
        <f>SUM(E569:AI569)</f>
        <v>0</v>
      </c>
      <c r="AK569" s="62"/>
      <c r="AL569" s="63">
        <f>+AJ569*AN565</f>
        <v>0</v>
      </c>
      <c r="AM569" s="1068">
        <f t="shared" si="1012"/>
        <v>0</v>
      </c>
      <c r="AN569" s="64" t="e">
        <f>+AJ569/AJ567*100</f>
        <v>#DIV/0!</v>
      </c>
      <c r="AO569" s="635" t="e">
        <f>AO567/AO565</f>
        <v>#VALUE!</v>
      </c>
      <c r="AP569" s="39" t="s">
        <v>102</v>
      </c>
      <c r="AQ569" s="56">
        <f>SUM(E569:H569)</f>
        <v>0</v>
      </c>
      <c r="AR569" s="70">
        <f>SUM(I569:O569)</f>
        <v>0</v>
      </c>
      <c r="AS569" s="70">
        <f>SUM(P569:V569)</f>
        <v>0</v>
      </c>
      <c r="AT569" s="70">
        <f>SUM(W569:AC569)</f>
        <v>0</v>
      </c>
      <c r="AU569" s="70">
        <f>SUM(AD569:AI569)</f>
        <v>0</v>
      </c>
      <c r="AV569" s="57">
        <f t="shared" si="1104"/>
        <v>0</v>
      </c>
    </row>
    <row r="570" spans="1:48" ht="25.15" hidden="1" customHeight="1">
      <c r="A570" s="58" t="s">
        <v>557</v>
      </c>
      <c r="B570" s="65"/>
      <c r="C570" s="66"/>
      <c r="D570" s="67" t="s">
        <v>103</v>
      </c>
      <c r="E570" s="1331"/>
      <c r="F570" s="1101"/>
      <c r="G570" s="1209"/>
      <c r="H570" s="1101"/>
      <c r="I570" s="1101"/>
      <c r="J570" s="1209"/>
      <c r="K570" s="1209"/>
      <c r="L570" s="1101"/>
      <c r="M570" s="1101"/>
      <c r="N570" s="1101"/>
      <c r="O570" s="1101"/>
      <c r="P570" s="1101"/>
      <c r="Q570" s="1209"/>
      <c r="R570" s="1209"/>
      <c r="S570" s="1101"/>
      <c r="T570" s="1101"/>
      <c r="U570" s="1101"/>
      <c r="V570" s="1101"/>
      <c r="W570" s="1101"/>
      <c r="X570" s="1209"/>
      <c r="Y570" s="1209"/>
      <c r="Z570" s="1101"/>
      <c r="AA570" s="1101"/>
      <c r="AB570" s="1101"/>
      <c r="AC570" s="1101"/>
      <c r="AD570" s="1101"/>
      <c r="AE570" s="1209"/>
      <c r="AF570" s="1209"/>
      <c r="AG570" s="1101"/>
      <c r="AH570" s="1101"/>
      <c r="AI570" s="1332"/>
      <c r="AJ570" s="68">
        <f>SUM(E570:AI570)</f>
        <v>0</v>
      </c>
      <c r="AK570" s="68"/>
      <c r="AL570" s="69">
        <f>+AJ570*AN565</f>
        <v>0</v>
      </c>
      <c r="AM570" s="1069">
        <f t="shared" si="1012"/>
        <v>0</v>
      </c>
      <c r="AN570" s="31"/>
      <c r="AO570" s="622"/>
      <c r="AP570" s="39" t="s">
        <v>19</v>
      </c>
      <c r="AQ570" s="56">
        <f>AQ569*AN565</f>
        <v>0</v>
      </c>
      <c r="AR570" s="56">
        <f>AR569*AN565</f>
        <v>0</v>
      </c>
      <c r="AS570" s="56">
        <f>AS569*AN565</f>
        <v>0</v>
      </c>
      <c r="AT570" s="56">
        <f>AT569*AN565</f>
        <v>0</v>
      </c>
      <c r="AU570" s="56">
        <f>AU569*AN565</f>
        <v>0</v>
      </c>
      <c r="AV570" s="57">
        <f t="shared" si="1104"/>
        <v>0</v>
      </c>
    </row>
    <row r="571" spans="1:48" ht="25.15" hidden="1" customHeight="1">
      <c r="A571" s="103"/>
      <c r="B571" s="65"/>
      <c r="C571" s="72" t="s">
        <v>104</v>
      </c>
      <c r="D571" s="73" t="s">
        <v>105</v>
      </c>
      <c r="E571" s="1378"/>
      <c r="F571" s="1103"/>
      <c r="G571" s="1210"/>
      <c r="H571" s="1103"/>
      <c r="I571" s="1103"/>
      <c r="J571" s="1210"/>
      <c r="K571" s="1210"/>
      <c r="L571" s="1103"/>
      <c r="M571" s="1103"/>
      <c r="N571" s="1103"/>
      <c r="O571" s="1103"/>
      <c r="P571" s="1103"/>
      <c r="Q571" s="1210"/>
      <c r="R571" s="1210"/>
      <c r="S571" s="1103"/>
      <c r="T571" s="1103"/>
      <c r="U571" s="1103"/>
      <c r="V571" s="1103"/>
      <c r="W571" s="1103"/>
      <c r="X571" s="1210"/>
      <c r="Y571" s="1210"/>
      <c r="Z571" s="1103"/>
      <c r="AA571" s="1103"/>
      <c r="AB571" s="1103"/>
      <c r="AC571" s="1103"/>
      <c r="AD571" s="1103"/>
      <c r="AE571" s="1210"/>
      <c r="AF571" s="1210"/>
      <c r="AG571" s="1103"/>
      <c r="AH571" s="1103"/>
      <c r="AI571" s="1352"/>
      <c r="AJ571" s="74">
        <f>SUM(E571:AI571)</f>
        <v>0</v>
      </c>
      <c r="AK571" s="74"/>
      <c r="AL571" s="75">
        <f>+AJ571*AN565</f>
        <v>0</v>
      </c>
      <c r="AM571" s="1070">
        <f t="shared" si="1012"/>
        <v>0</v>
      </c>
      <c r="AN571" s="76"/>
      <c r="AO571" s="636"/>
      <c r="AP571" s="47" t="s">
        <v>106</v>
      </c>
      <c r="AQ571" s="48">
        <f>AQ567*AN565</f>
        <v>0</v>
      </c>
      <c r="AR571" s="48">
        <f>AR567*AN565</f>
        <v>0</v>
      </c>
      <c r="AS571" s="48">
        <f>AS567*AN565</f>
        <v>0</v>
      </c>
      <c r="AT571" s="48">
        <f>AT567*AN565</f>
        <v>0</v>
      </c>
      <c r="AU571" s="48">
        <f>AU567*AN565</f>
        <v>0</v>
      </c>
      <c r="AV571" s="50">
        <f t="shared" si="1104"/>
        <v>0</v>
      </c>
    </row>
    <row r="572" spans="1:48" ht="25.15" hidden="1" customHeight="1">
      <c r="A572" s="103"/>
      <c r="B572" s="65"/>
      <c r="C572" s="77">
        <v>300000</v>
      </c>
      <c r="D572" s="78" t="s">
        <v>107</v>
      </c>
      <c r="E572" s="1327">
        <v>1</v>
      </c>
      <c r="F572" s="1097">
        <v>1</v>
      </c>
      <c r="G572" s="1205">
        <v>1</v>
      </c>
      <c r="H572" s="1097">
        <v>1</v>
      </c>
      <c r="I572" s="1097">
        <v>1</v>
      </c>
      <c r="J572" s="1205">
        <v>1</v>
      </c>
      <c r="K572" s="1205">
        <v>1</v>
      </c>
      <c r="L572" s="1097">
        <v>1</v>
      </c>
      <c r="M572" s="1097">
        <v>1</v>
      </c>
      <c r="N572" s="1097">
        <v>1</v>
      </c>
      <c r="O572" s="1097">
        <v>1</v>
      </c>
      <c r="P572" s="1097">
        <v>1</v>
      </c>
      <c r="Q572" s="1205">
        <v>1</v>
      </c>
      <c r="R572" s="1205">
        <v>1</v>
      </c>
      <c r="S572" s="1097">
        <v>1</v>
      </c>
      <c r="T572" s="1097">
        <v>1</v>
      </c>
      <c r="U572" s="1097">
        <v>1</v>
      </c>
      <c r="V572" s="1097">
        <v>1</v>
      </c>
      <c r="W572" s="1097">
        <v>1</v>
      </c>
      <c r="X572" s="1205">
        <v>1</v>
      </c>
      <c r="Y572" s="1205">
        <v>1</v>
      </c>
      <c r="Z572" s="1097">
        <v>1</v>
      </c>
      <c r="AA572" s="1097">
        <v>1</v>
      </c>
      <c r="AB572" s="1097">
        <v>1</v>
      </c>
      <c r="AC572" s="1097">
        <v>1</v>
      </c>
      <c r="AD572" s="1097">
        <v>1</v>
      </c>
      <c r="AE572" s="1205">
        <v>1</v>
      </c>
      <c r="AF572" s="1205">
        <v>1</v>
      </c>
      <c r="AG572" s="1097">
        <v>1</v>
      </c>
      <c r="AH572" s="1097">
        <v>1</v>
      </c>
      <c r="AI572" s="1328">
        <v>1</v>
      </c>
      <c r="AJ572" s="79"/>
      <c r="AK572" s="79"/>
      <c r="AL572" s="55"/>
      <c r="AM572" s="1067">
        <f t="shared" si="1012"/>
        <v>0</v>
      </c>
      <c r="AN572" s="31"/>
      <c r="AO572" s="622"/>
      <c r="AP572" s="23"/>
      <c r="AQ572" s="23"/>
      <c r="AR572" s="23"/>
      <c r="AS572" s="23"/>
      <c r="AT572" s="23"/>
      <c r="AU572" s="23"/>
      <c r="AV572" s="23"/>
    </row>
    <row r="573" spans="1:48" ht="25.15" hidden="1" customHeight="1">
      <c r="A573" s="103"/>
      <c r="B573" s="65"/>
      <c r="C573" s="80" t="s">
        <v>108</v>
      </c>
      <c r="D573" s="81" t="s">
        <v>109</v>
      </c>
      <c r="E573" s="1374">
        <f>SUM(E567+E569+E570+E571)/E572</f>
        <v>0</v>
      </c>
      <c r="F573" s="1104">
        <f>SUM(F567+F569+F570+F571)/F572</f>
        <v>0</v>
      </c>
      <c r="G573" s="1211">
        <f>SUM(G567+G569+G570+G571)/G572</f>
        <v>0</v>
      </c>
      <c r="H573" s="1104">
        <f t="shared" ref="H573:AH573" si="1106">SUM(H567+H569+H570+H571)/H572</f>
        <v>0</v>
      </c>
      <c r="I573" s="1104">
        <f t="shared" si="1106"/>
        <v>0</v>
      </c>
      <c r="J573" s="1211">
        <f t="shared" si="1106"/>
        <v>0</v>
      </c>
      <c r="K573" s="1211">
        <f t="shared" si="1106"/>
        <v>0</v>
      </c>
      <c r="L573" s="1104">
        <f t="shared" si="1106"/>
        <v>0</v>
      </c>
      <c r="M573" s="1104">
        <f t="shared" si="1106"/>
        <v>0</v>
      </c>
      <c r="N573" s="1104">
        <f t="shared" si="1106"/>
        <v>0</v>
      </c>
      <c r="O573" s="1104">
        <f t="shared" si="1106"/>
        <v>0</v>
      </c>
      <c r="P573" s="1104">
        <f t="shared" si="1106"/>
        <v>0</v>
      </c>
      <c r="Q573" s="1211">
        <f t="shared" si="1106"/>
        <v>0</v>
      </c>
      <c r="R573" s="1211">
        <f t="shared" si="1106"/>
        <v>0</v>
      </c>
      <c r="S573" s="1104">
        <f t="shared" si="1106"/>
        <v>0</v>
      </c>
      <c r="T573" s="1104">
        <f t="shared" si="1106"/>
        <v>0</v>
      </c>
      <c r="U573" s="1104">
        <f t="shared" si="1106"/>
        <v>0</v>
      </c>
      <c r="V573" s="1104">
        <f t="shared" si="1106"/>
        <v>0</v>
      </c>
      <c r="W573" s="1104">
        <f t="shared" si="1106"/>
        <v>0</v>
      </c>
      <c r="X573" s="1211">
        <f t="shared" si="1106"/>
        <v>0</v>
      </c>
      <c r="Y573" s="1211">
        <f t="shared" si="1106"/>
        <v>0</v>
      </c>
      <c r="Z573" s="1104">
        <f t="shared" si="1106"/>
        <v>0</v>
      </c>
      <c r="AA573" s="1104">
        <f t="shared" si="1106"/>
        <v>0</v>
      </c>
      <c r="AB573" s="1104">
        <f t="shared" si="1106"/>
        <v>0</v>
      </c>
      <c r="AC573" s="1104">
        <f t="shared" si="1106"/>
        <v>0</v>
      </c>
      <c r="AD573" s="1104">
        <f t="shared" si="1106"/>
        <v>0</v>
      </c>
      <c r="AE573" s="1211">
        <f t="shared" si="1106"/>
        <v>0</v>
      </c>
      <c r="AF573" s="1211">
        <f t="shared" si="1106"/>
        <v>0</v>
      </c>
      <c r="AG573" s="1104">
        <f t="shared" si="1106"/>
        <v>0</v>
      </c>
      <c r="AH573" s="1104">
        <f t="shared" si="1106"/>
        <v>0</v>
      </c>
      <c r="AI573" s="1335">
        <f>SUM(AI567+AI569+AI570)/AI572</f>
        <v>0</v>
      </c>
      <c r="AJ573" s="104">
        <f>SUM(E573:AI573)</f>
        <v>0</v>
      </c>
      <c r="AK573" s="104"/>
      <c r="AL573" s="83"/>
      <c r="AM573" s="1068">
        <f t="shared" si="1012"/>
        <v>0</v>
      </c>
      <c r="AN573" s="31"/>
      <c r="AO573" s="622"/>
      <c r="AP573" s="23"/>
      <c r="AQ573" s="23"/>
      <c r="AR573" s="23"/>
      <c r="AS573" s="23"/>
      <c r="AT573" s="23"/>
      <c r="AU573" s="23"/>
      <c r="AV573" s="23"/>
    </row>
    <row r="574" spans="1:48" ht="25.15" hidden="1" customHeight="1">
      <c r="A574" s="103"/>
      <c r="B574" s="59"/>
      <c r="C574" s="84">
        <f>+C572*0.8</f>
        <v>240000</v>
      </c>
      <c r="D574" s="85" t="s">
        <v>110</v>
      </c>
      <c r="E574" s="1105"/>
      <c r="F574" s="1106"/>
      <c r="G574" s="1211"/>
      <c r="H574" s="1104"/>
      <c r="I574" s="1104"/>
      <c r="J574" s="1211"/>
      <c r="K574" s="1211"/>
      <c r="L574" s="1104"/>
      <c r="M574" s="1104"/>
      <c r="N574" s="1104"/>
      <c r="O574" s="1107"/>
      <c r="P574" s="1104"/>
      <c r="Q574" s="1211"/>
      <c r="R574" s="1211"/>
      <c r="S574" s="1104"/>
      <c r="T574" s="1104"/>
      <c r="U574" s="1104"/>
      <c r="V574" s="1104"/>
      <c r="W574" s="1104"/>
      <c r="X574" s="1211"/>
      <c r="Y574" s="1211"/>
      <c r="Z574" s="1104"/>
      <c r="AA574" s="1104"/>
      <c r="AB574" s="1104"/>
      <c r="AC574" s="1104"/>
      <c r="AD574" s="1104"/>
      <c r="AE574" s="1211"/>
      <c r="AF574" s="1211"/>
      <c r="AG574" s="1104"/>
      <c r="AH574" s="1104"/>
      <c r="AI574" s="1353"/>
      <c r="AJ574" s="86"/>
      <c r="AK574" s="86"/>
      <c r="AL574" s="690"/>
      <c r="AM574" s="694">
        <f t="shared" si="1012"/>
        <v>0</v>
      </c>
      <c r="AN574" s="31"/>
      <c r="AO574" s="622"/>
      <c r="AP574" s="23"/>
      <c r="AQ574" s="23"/>
      <c r="AR574" s="23"/>
      <c r="AS574" s="23"/>
      <c r="AT574" s="23"/>
      <c r="AU574" s="23"/>
      <c r="AV574" s="23"/>
    </row>
    <row r="575" spans="1:48" ht="25.15" hidden="1" customHeight="1">
      <c r="A575" s="103"/>
      <c r="B575" s="105"/>
      <c r="C575" s="77"/>
      <c r="D575" s="88" t="s">
        <v>111</v>
      </c>
      <c r="E575" s="1108">
        <f>IF(E574="O/H",E573,0+E573)</f>
        <v>0</v>
      </c>
      <c r="F575" s="1089">
        <f t="shared" ref="F575:AI575" si="1107">IF(F574="O/H",F573,+E575+F573)</f>
        <v>0</v>
      </c>
      <c r="G575" s="44">
        <f t="shared" si="1107"/>
        <v>0</v>
      </c>
      <c r="H575" s="1089">
        <f t="shared" si="1107"/>
        <v>0</v>
      </c>
      <c r="I575" s="1089">
        <f t="shared" si="1107"/>
        <v>0</v>
      </c>
      <c r="J575" s="44">
        <f t="shared" si="1107"/>
        <v>0</v>
      </c>
      <c r="K575" s="44">
        <f t="shared" si="1107"/>
        <v>0</v>
      </c>
      <c r="L575" s="1089">
        <f t="shared" si="1107"/>
        <v>0</v>
      </c>
      <c r="M575" s="1089">
        <f t="shared" si="1107"/>
        <v>0</v>
      </c>
      <c r="N575" s="1089">
        <f t="shared" si="1107"/>
        <v>0</v>
      </c>
      <c r="O575" s="1089">
        <f t="shared" si="1107"/>
        <v>0</v>
      </c>
      <c r="P575" s="1089">
        <f t="shared" si="1107"/>
        <v>0</v>
      </c>
      <c r="Q575" s="44">
        <f t="shared" si="1107"/>
        <v>0</v>
      </c>
      <c r="R575" s="44">
        <f t="shared" si="1107"/>
        <v>0</v>
      </c>
      <c r="S575" s="1089">
        <f t="shared" si="1107"/>
        <v>0</v>
      </c>
      <c r="T575" s="1089">
        <f t="shared" si="1107"/>
        <v>0</v>
      </c>
      <c r="U575" s="1089">
        <f t="shared" si="1107"/>
        <v>0</v>
      </c>
      <c r="V575" s="1089">
        <f t="shared" si="1107"/>
        <v>0</v>
      </c>
      <c r="W575" s="1089">
        <f t="shared" si="1107"/>
        <v>0</v>
      </c>
      <c r="X575" s="44">
        <f t="shared" si="1107"/>
        <v>0</v>
      </c>
      <c r="Y575" s="44">
        <f t="shared" si="1107"/>
        <v>0</v>
      </c>
      <c r="Z575" s="1089">
        <f t="shared" si="1107"/>
        <v>0</v>
      </c>
      <c r="AA575" s="1089">
        <f t="shared" si="1107"/>
        <v>0</v>
      </c>
      <c r="AB575" s="1089">
        <f t="shared" si="1107"/>
        <v>0</v>
      </c>
      <c r="AC575" s="1089">
        <f t="shared" si="1107"/>
        <v>0</v>
      </c>
      <c r="AD575" s="1089">
        <f t="shared" si="1107"/>
        <v>0</v>
      </c>
      <c r="AE575" s="44">
        <f t="shared" si="1107"/>
        <v>0</v>
      </c>
      <c r="AF575" s="44">
        <f t="shared" si="1107"/>
        <v>0</v>
      </c>
      <c r="AG575" s="1089">
        <f t="shared" si="1107"/>
        <v>0</v>
      </c>
      <c r="AH575" s="1089">
        <f t="shared" si="1107"/>
        <v>0</v>
      </c>
      <c r="AI575" s="1326">
        <f t="shared" si="1107"/>
        <v>0</v>
      </c>
      <c r="AJ575" s="79"/>
      <c r="AK575" s="86"/>
      <c r="AL575" s="689"/>
      <c r="AM575" s="694">
        <f t="shared" si="1012"/>
        <v>0</v>
      </c>
      <c r="AN575" s="31"/>
      <c r="AO575" s="622"/>
      <c r="AP575" s="23"/>
      <c r="AQ575" s="23"/>
      <c r="AR575" s="23"/>
      <c r="AS575" s="23"/>
      <c r="AT575" s="23"/>
      <c r="AU575" s="23"/>
      <c r="AV575" s="23"/>
    </row>
    <row r="576" spans="1:48" s="23" customFormat="1" ht="20.65" hidden="1" customHeight="1">
      <c r="A576" s="274"/>
      <c r="B576" s="312"/>
      <c r="C576" s="308"/>
      <c r="D576" s="795" t="s">
        <v>112</v>
      </c>
      <c r="E576" s="1108" t="b">
        <f>IF(AND(ISNUMBER(E567)),191605+E573)</f>
        <v>0</v>
      </c>
      <c r="F576" s="1089" t="str">
        <f>IF(AND(ISNUMBER(F567)),E576+F573,"")</f>
        <v/>
      </c>
      <c r="G576" s="44" t="str">
        <f t="shared" ref="G576" si="1108">IF(AND(ISNUMBER(G567)),F576+G573,"")</f>
        <v/>
      </c>
      <c r="H576" s="1089" t="str">
        <f t="shared" ref="H576" si="1109">IF(AND(ISNUMBER(H567)),G576+H573,"")</f>
        <v/>
      </c>
      <c r="I576" s="1089" t="str">
        <f>IF(AND(ISNUMBER(I567)),H576+I573,"")</f>
        <v/>
      </c>
      <c r="J576" s="44" t="str">
        <f>IF(AND(ISNUMBER(J567)),I576+J573,"")</f>
        <v/>
      </c>
      <c r="K576" s="44" t="str">
        <f>IF(AND(ISNUMBER(K567)),J576+K573,"")</f>
        <v/>
      </c>
      <c r="L576" s="1089" t="str">
        <f t="shared" ref="L576" si="1110">IF(AND(ISNUMBER(L567)),K576+L573,"")</f>
        <v/>
      </c>
      <c r="M576" s="1089" t="str">
        <f t="shared" ref="M576" si="1111">IF(AND(ISNUMBER(M567)),L576+M573,"")</f>
        <v/>
      </c>
      <c r="N576" s="1089" t="str">
        <f t="shared" ref="N576" si="1112">IF(AND(ISNUMBER(N567)),M576+N573,"")</f>
        <v/>
      </c>
      <c r="O576" s="1089" t="str">
        <f t="shared" ref="O576" si="1113">IF(AND(ISNUMBER(O567)),N576+O573,"")</f>
        <v/>
      </c>
      <c r="P576" s="1089" t="str">
        <f t="shared" ref="P576" si="1114">IF(AND(ISNUMBER(P567)),O576+P573,"")</f>
        <v/>
      </c>
      <c r="Q576" s="44" t="str">
        <f t="shared" ref="Q576" si="1115">IF(AND(ISNUMBER(Q567)),P576+Q573,"")</f>
        <v/>
      </c>
      <c r="R576" s="44" t="str">
        <f t="shared" ref="R576" si="1116">IF(AND(ISNUMBER(R567)),Q576+R573,"")</f>
        <v/>
      </c>
      <c r="S576" s="1089" t="str">
        <f t="shared" ref="S576" si="1117">IF(AND(ISNUMBER(S567)),R576+S573,"")</f>
        <v/>
      </c>
      <c r="T576" s="1089" t="str">
        <f t="shared" ref="T576" si="1118">IF(AND(ISNUMBER(T567)),S576+T573,"")</f>
        <v/>
      </c>
      <c r="U576" s="1089" t="str">
        <f t="shared" ref="U576" si="1119">IF(AND(ISNUMBER(U567)),T576+U573,"")</f>
        <v/>
      </c>
      <c r="V576" s="1089" t="str">
        <f t="shared" ref="V576" si="1120">IF(AND(ISNUMBER(V567)),U576+V573,"")</f>
        <v/>
      </c>
      <c r="W576" s="1089" t="str">
        <f t="shared" ref="W576" si="1121">IF(AND(ISNUMBER(W567)),V576+W573,"")</f>
        <v/>
      </c>
      <c r="X576" s="44" t="str">
        <f t="shared" ref="X576" si="1122">IF(AND(ISNUMBER(X567)),W576+X573,"")</f>
        <v/>
      </c>
      <c r="Y576" s="44" t="str">
        <f t="shared" ref="Y576" si="1123">IF(AND(ISNUMBER(Y567)),X576+Y573,"")</f>
        <v/>
      </c>
      <c r="Z576" s="1089" t="str">
        <f t="shared" ref="Z576" si="1124">IF(AND(ISNUMBER(Z567)),Y576+Z573,"")</f>
        <v/>
      </c>
      <c r="AA576" s="1089" t="str">
        <f t="shared" ref="AA576" si="1125">IF(AND(ISNUMBER(AA567)),Z576+AA573,"")</f>
        <v/>
      </c>
      <c r="AB576" s="1089" t="str">
        <f t="shared" ref="AB576" si="1126">IF(AND(ISNUMBER(AB567)),AA576+AB573,"")</f>
        <v/>
      </c>
      <c r="AC576" s="1089" t="str">
        <f t="shared" ref="AC576" si="1127">IF(AND(ISNUMBER(AC567)),AB576+AC573,"")</f>
        <v/>
      </c>
      <c r="AD576" s="1089" t="str">
        <f t="shared" ref="AD576" si="1128">IF(AND(ISNUMBER(AD567)),AC576+AD573,"")</f>
        <v/>
      </c>
      <c r="AE576" s="44" t="str">
        <f t="shared" ref="AE576" si="1129">IF(AND(ISNUMBER(AE567)),AD576+AE573,"")</f>
        <v/>
      </c>
      <c r="AF576" s="44" t="str">
        <f t="shared" ref="AF576" si="1130">IF(AND(ISNUMBER(AF567)),AE576+AF573,"")</f>
        <v/>
      </c>
      <c r="AG576" s="1089" t="str">
        <f t="shared" ref="AG576" si="1131">IF(AND(ISNUMBER(AG567)),AF576+AG573,"")</f>
        <v/>
      </c>
      <c r="AH576" s="1089" t="str">
        <f t="shared" ref="AH576" si="1132">IF(AND(ISNUMBER(AH567)),AG576+AH573,"")</f>
        <v/>
      </c>
      <c r="AI576" s="1089" t="str">
        <f t="shared" ref="AI576" si="1133">IF(AND(ISNUMBER(AI567)),AH576+AI573,"")</f>
        <v/>
      </c>
      <c r="AJ576" s="793"/>
      <c r="AK576" s="793"/>
      <c r="AL576" s="909"/>
      <c r="AM576" s="890">
        <f t="shared" si="1012"/>
        <v>0</v>
      </c>
      <c r="AN576" s="76"/>
      <c r="AO576" s="624"/>
      <c r="AP576" s="285"/>
      <c r="AQ576" s="285"/>
      <c r="AR576" s="285"/>
      <c r="AS576" s="285"/>
      <c r="AT576" s="286"/>
      <c r="AU576" s="285"/>
      <c r="AV576" s="287"/>
    </row>
    <row r="577" spans="1:48" ht="25.15" hidden="1" customHeight="1">
      <c r="A577" s="103"/>
      <c r="B577" s="89"/>
      <c r="C577" s="80"/>
      <c r="D577" s="90" t="s">
        <v>104</v>
      </c>
      <c r="E577" s="1108"/>
      <c r="F577" s="1089"/>
      <c r="G577" s="44"/>
      <c r="H577" s="1089"/>
      <c r="I577" s="1089"/>
      <c r="J577" s="44"/>
      <c r="K577" s="44"/>
      <c r="L577" s="1089"/>
      <c r="M577" s="1089"/>
      <c r="N577" s="1089"/>
      <c r="O577" s="1089"/>
      <c r="P577" s="1089"/>
      <c r="Q577" s="44"/>
      <c r="R577" s="44"/>
      <c r="S577" s="1089"/>
      <c r="T577" s="1089"/>
      <c r="U577" s="1089"/>
      <c r="V577" s="1089"/>
      <c r="W577" s="1089"/>
      <c r="X577" s="44"/>
      <c r="Y577" s="44"/>
      <c r="Z577" s="1089"/>
      <c r="AA577" s="1089"/>
      <c r="AB577" s="1089"/>
      <c r="AC577" s="1089"/>
      <c r="AD577" s="1089"/>
      <c r="AE577" s="44"/>
      <c r="AF577" s="44"/>
      <c r="AG577" s="1089"/>
      <c r="AH577" s="1089"/>
      <c r="AI577" s="1326"/>
      <c r="AJ577" s="79"/>
      <c r="AK577" s="79"/>
      <c r="AL577" s="63"/>
      <c r="AM577" s="1068">
        <f t="shared" si="1012"/>
        <v>0</v>
      </c>
      <c r="AN577" s="64"/>
      <c r="AO577" s="624"/>
      <c r="AP577" s="23"/>
      <c r="AQ577" s="23"/>
      <c r="AR577" s="23"/>
      <c r="AS577" s="23"/>
      <c r="AT577" s="23"/>
      <c r="AU577" s="23"/>
      <c r="AV577" s="23"/>
    </row>
    <row r="578" spans="1:48" ht="25.15" hidden="1" customHeight="1" thickBot="1">
      <c r="A578" s="106"/>
      <c r="B578" s="93"/>
      <c r="C578" s="94"/>
      <c r="D578" s="95" t="s">
        <v>111</v>
      </c>
      <c r="E578" s="1109">
        <f>IF(E577="O/H",E573,0+E573)</f>
        <v>0</v>
      </c>
      <c r="F578" s="1110">
        <f t="shared" ref="F578:AI578" si="1134">IF(F577="O/H",F573,+E578+F573)</f>
        <v>0</v>
      </c>
      <c r="G578" s="1212">
        <f t="shared" si="1134"/>
        <v>0</v>
      </c>
      <c r="H578" s="1110">
        <f t="shared" si="1134"/>
        <v>0</v>
      </c>
      <c r="I578" s="1110">
        <f t="shared" si="1134"/>
        <v>0</v>
      </c>
      <c r="J578" s="1212">
        <f t="shared" si="1134"/>
        <v>0</v>
      </c>
      <c r="K578" s="1212">
        <f t="shared" si="1134"/>
        <v>0</v>
      </c>
      <c r="L578" s="1110">
        <f t="shared" si="1134"/>
        <v>0</v>
      </c>
      <c r="M578" s="1110">
        <f t="shared" si="1134"/>
        <v>0</v>
      </c>
      <c r="N578" s="1110">
        <f t="shared" si="1134"/>
        <v>0</v>
      </c>
      <c r="O578" s="1110">
        <f t="shared" si="1134"/>
        <v>0</v>
      </c>
      <c r="P578" s="1110">
        <f t="shared" si="1134"/>
        <v>0</v>
      </c>
      <c r="Q578" s="1212">
        <f t="shared" si="1134"/>
        <v>0</v>
      </c>
      <c r="R578" s="1212">
        <f t="shared" si="1134"/>
        <v>0</v>
      </c>
      <c r="S578" s="1110">
        <f t="shared" si="1134"/>
        <v>0</v>
      </c>
      <c r="T578" s="1110">
        <f t="shared" si="1134"/>
        <v>0</v>
      </c>
      <c r="U578" s="1110">
        <f t="shared" si="1134"/>
        <v>0</v>
      </c>
      <c r="V578" s="1110">
        <f t="shared" si="1134"/>
        <v>0</v>
      </c>
      <c r="W578" s="1110">
        <f t="shared" si="1134"/>
        <v>0</v>
      </c>
      <c r="X578" s="1212">
        <f t="shared" si="1134"/>
        <v>0</v>
      </c>
      <c r="Y578" s="1212">
        <f t="shared" si="1134"/>
        <v>0</v>
      </c>
      <c r="Z578" s="1110">
        <f t="shared" si="1134"/>
        <v>0</v>
      </c>
      <c r="AA578" s="1110">
        <f t="shared" si="1134"/>
        <v>0</v>
      </c>
      <c r="AB578" s="1110">
        <f t="shared" si="1134"/>
        <v>0</v>
      </c>
      <c r="AC578" s="1110">
        <f t="shared" si="1134"/>
        <v>0</v>
      </c>
      <c r="AD578" s="1110">
        <f t="shared" si="1134"/>
        <v>0</v>
      </c>
      <c r="AE578" s="1212">
        <f t="shared" si="1134"/>
        <v>0</v>
      </c>
      <c r="AF578" s="1212">
        <f t="shared" si="1134"/>
        <v>0</v>
      </c>
      <c r="AG578" s="1110">
        <f t="shared" si="1134"/>
        <v>0</v>
      </c>
      <c r="AH578" s="1110">
        <f t="shared" si="1134"/>
        <v>0</v>
      </c>
      <c r="AI578" s="1340">
        <f t="shared" si="1134"/>
        <v>0</v>
      </c>
      <c r="AJ578" s="96"/>
      <c r="AK578" s="96"/>
      <c r="AL578" s="97"/>
      <c r="AM578" s="1071">
        <f t="shared" si="1012"/>
        <v>0</v>
      </c>
      <c r="AN578" s="98"/>
      <c r="AO578" s="625"/>
      <c r="AP578" s="23"/>
      <c r="AQ578" s="23"/>
      <c r="AR578" s="23"/>
      <c r="AS578" s="23"/>
      <c r="AT578" s="23"/>
      <c r="AU578" s="23"/>
      <c r="AV578" s="23"/>
    </row>
    <row r="579" spans="1:48" ht="25.15" hidden="1" customHeight="1" thickTop="1">
      <c r="A579" s="99"/>
      <c r="B579" s="26" t="s">
        <v>176</v>
      </c>
      <c r="C579" s="27"/>
      <c r="D579" s="28" t="s">
        <v>82</v>
      </c>
      <c r="E579" s="1111"/>
      <c r="F579" s="1111"/>
      <c r="G579" s="1201"/>
      <c r="H579" s="1111"/>
      <c r="I579" s="1111"/>
      <c r="J579" s="1201"/>
      <c r="K579" s="1201"/>
      <c r="L579" s="1111"/>
      <c r="M579" s="1111"/>
      <c r="N579" s="1111"/>
      <c r="O579" s="1111"/>
      <c r="P579" s="1111"/>
      <c r="Q579" s="1201"/>
      <c r="R579" s="1201"/>
      <c r="S579" s="1111"/>
      <c r="T579" s="1111"/>
      <c r="U579" s="1111"/>
      <c r="V579" s="1111"/>
      <c r="W579" s="1111"/>
      <c r="X579" s="1201"/>
      <c r="Y579" s="1201"/>
      <c r="Z579" s="1111"/>
      <c r="AA579" s="1111"/>
      <c r="AB579" s="1111"/>
      <c r="AC579" s="1111"/>
      <c r="AD579" s="1111"/>
      <c r="AE579" s="1201"/>
      <c r="AF579" s="1201"/>
      <c r="AG579" s="1111"/>
      <c r="AH579" s="1111"/>
      <c r="AI579" s="1111"/>
      <c r="AJ579" s="100">
        <f>SUM(Table75[[#This Row],[June''2026]:[Column27]])</f>
        <v>0</v>
      </c>
      <c r="AK579" s="100">
        <f t="shared" si="1046"/>
        <v>0</v>
      </c>
      <c r="AL579" s="101">
        <f>+AJ579*AN579</f>
        <v>0</v>
      </c>
      <c r="AM579" s="1072">
        <f t="shared" si="1012"/>
        <v>0</v>
      </c>
      <c r="AN579" s="102"/>
      <c r="AO579" s="622" t="e">
        <f>Table5[[#This Row],[Total]]*B583/1000</f>
        <v>#VALUE!</v>
      </c>
      <c r="AP579" s="32" t="s">
        <v>179</v>
      </c>
      <c r="AQ579" s="33" t="s">
        <v>84</v>
      </c>
      <c r="AR579" s="33" t="s">
        <v>85</v>
      </c>
      <c r="AS579" s="33" t="s">
        <v>86</v>
      </c>
      <c r="AT579" s="33" t="s">
        <v>87</v>
      </c>
      <c r="AU579" s="33" t="s">
        <v>88</v>
      </c>
      <c r="AV579" s="34" t="s">
        <v>68</v>
      </c>
    </row>
    <row r="580" spans="1:48" ht="25.15" hidden="1" customHeight="1">
      <c r="A580" s="103"/>
      <c r="B580" s="35" t="s">
        <v>177</v>
      </c>
      <c r="C580" s="36"/>
      <c r="D580" s="37" t="s">
        <v>90</v>
      </c>
      <c r="E580" s="1373">
        <f>IF(E579="",0,+ E579/E586)</f>
        <v>0</v>
      </c>
      <c r="F580" s="1096">
        <f t="shared" ref="F580:AI580" si="1135">IF(F579="",0, E580+F579/F586)</f>
        <v>0</v>
      </c>
      <c r="G580" s="1207">
        <f t="shared" si="1135"/>
        <v>0</v>
      </c>
      <c r="H580" s="1096">
        <f t="shared" si="1135"/>
        <v>0</v>
      </c>
      <c r="I580" s="1096">
        <f t="shared" si="1135"/>
        <v>0</v>
      </c>
      <c r="J580" s="1207">
        <f t="shared" si="1135"/>
        <v>0</v>
      </c>
      <c r="K580" s="1207">
        <f t="shared" si="1135"/>
        <v>0</v>
      </c>
      <c r="L580" s="1096">
        <f t="shared" si="1135"/>
        <v>0</v>
      </c>
      <c r="M580" s="1096">
        <f t="shared" si="1135"/>
        <v>0</v>
      </c>
      <c r="N580" s="1096">
        <f t="shared" si="1135"/>
        <v>0</v>
      </c>
      <c r="O580" s="1096">
        <f t="shared" si="1135"/>
        <v>0</v>
      </c>
      <c r="P580" s="1096">
        <f t="shared" si="1135"/>
        <v>0</v>
      </c>
      <c r="Q580" s="1207">
        <f t="shared" si="1135"/>
        <v>0</v>
      </c>
      <c r="R580" s="1207">
        <f t="shared" si="1135"/>
        <v>0</v>
      </c>
      <c r="S580" s="1096">
        <f t="shared" si="1135"/>
        <v>0</v>
      </c>
      <c r="T580" s="1096">
        <f t="shared" si="1135"/>
        <v>0</v>
      </c>
      <c r="U580" s="1096">
        <f t="shared" si="1135"/>
        <v>0</v>
      </c>
      <c r="V580" s="1096">
        <f t="shared" si="1135"/>
        <v>0</v>
      </c>
      <c r="W580" s="1096">
        <f t="shared" si="1135"/>
        <v>0</v>
      </c>
      <c r="X580" s="1207">
        <f t="shared" si="1135"/>
        <v>0</v>
      </c>
      <c r="Y580" s="1207">
        <f t="shared" si="1135"/>
        <v>0</v>
      </c>
      <c r="Z580" s="1096">
        <f t="shared" si="1135"/>
        <v>0</v>
      </c>
      <c r="AA580" s="1096">
        <f t="shared" si="1135"/>
        <v>0</v>
      </c>
      <c r="AB580" s="1096">
        <f t="shared" si="1135"/>
        <v>0</v>
      </c>
      <c r="AC580" s="1096">
        <f t="shared" si="1135"/>
        <v>0</v>
      </c>
      <c r="AD580" s="1096">
        <f t="shared" si="1135"/>
        <v>0</v>
      </c>
      <c r="AE580" s="1207">
        <f t="shared" si="1135"/>
        <v>0</v>
      </c>
      <c r="AF580" s="1207">
        <f t="shared" si="1135"/>
        <v>0</v>
      </c>
      <c r="AG580" s="1096">
        <f t="shared" si="1135"/>
        <v>0</v>
      </c>
      <c r="AH580" s="1096">
        <f t="shared" si="1135"/>
        <v>0</v>
      </c>
      <c r="AI580" s="1324">
        <f t="shared" si="1135"/>
        <v>0</v>
      </c>
      <c r="AJ580" s="38"/>
      <c r="AK580" s="29"/>
      <c r="AL580" s="30"/>
      <c r="AM580" s="694">
        <f t="shared" si="1012"/>
        <v>0</v>
      </c>
      <c r="AN580" s="31"/>
      <c r="AO580" s="630"/>
      <c r="AP580" s="39" t="s">
        <v>91</v>
      </c>
      <c r="AQ580" s="40">
        <f>SUM(E579:H579)</f>
        <v>0</v>
      </c>
      <c r="AR580" s="41">
        <f>SUM(I579:O579)</f>
        <v>0</v>
      </c>
      <c r="AS580" s="41">
        <f>SUM(P579:V579)</f>
        <v>0</v>
      </c>
      <c r="AT580" s="41">
        <f>SUM(W579:AC579)</f>
        <v>0</v>
      </c>
      <c r="AU580" s="41">
        <f>SUM(AD579:AI579)</f>
        <v>0</v>
      </c>
      <c r="AV580" s="34">
        <f t="shared" ref="AV580:AV585" si="1136">SUM(AQ580:AU580)</f>
        <v>0</v>
      </c>
    </row>
    <row r="581" spans="1:48" ht="25.15" hidden="1" customHeight="1">
      <c r="A581" s="103"/>
      <c r="B581" s="26" t="s">
        <v>92</v>
      </c>
      <c r="C581" s="42"/>
      <c r="D581" s="43" t="s">
        <v>93</v>
      </c>
      <c r="E581" s="1325"/>
      <c r="F581" s="1089"/>
      <c r="G581" s="44"/>
      <c r="H581" s="1089"/>
      <c r="I581" s="1089"/>
      <c r="J581" s="44"/>
      <c r="K581" s="44"/>
      <c r="L581" s="1089"/>
      <c r="M581" s="1089"/>
      <c r="N581" s="1089"/>
      <c r="O581" s="1089"/>
      <c r="P581" s="1089"/>
      <c r="Q581" s="44"/>
      <c r="R581" s="44"/>
      <c r="S581" s="1089"/>
      <c r="T581" s="1089"/>
      <c r="U581" s="1089"/>
      <c r="V581" s="1089"/>
      <c r="W581" s="1089"/>
      <c r="X581" s="44"/>
      <c r="Y581" s="44"/>
      <c r="Z581" s="1089"/>
      <c r="AA581" s="1089"/>
      <c r="AB581" s="1089"/>
      <c r="AC581" s="1089"/>
      <c r="AD581" s="1089"/>
      <c r="AE581" s="44"/>
      <c r="AF581" s="44"/>
      <c r="AG581" s="1089"/>
      <c r="AH581" s="1089"/>
      <c r="AI581" s="1326"/>
      <c r="AJ581" s="45">
        <f>SUM(E581:AI581)</f>
        <v>0</v>
      </c>
      <c r="AK581" s="45"/>
      <c r="AL581" s="46">
        <f>+AJ581*AN579</f>
        <v>0</v>
      </c>
      <c r="AM581" s="1066">
        <f t="shared" si="1012"/>
        <v>0</v>
      </c>
      <c r="AN581" s="31"/>
      <c r="AO581" s="632">
        <f>(AJ581+AJ583+AJ584+AJ585)*B583/1000</f>
        <v>0</v>
      </c>
      <c r="AP581" s="47" t="s">
        <v>94</v>
      </c>
      <c r="AQ581" s="48">
        <f>SUM(E581:H581)</f>
        <v>0</v>
      </c>
      <c r="AR581" s="49">
        <f>SUM(I581:O581)</f>
        <v>0</v>
      </c>
      <c r="AS581" s="49">
        <f>SUM(P581:V581)</f>
        <v>0</v>
      </c>
      <c r="AT581" s="49">
        <f>SUM(W581:AC581)</f>
        <v>0</v>
      </c>
      <c r="AU581" s="49">
        <f>SUM(AD581:AI581)</f>
        <v>0</v>
      </c>
      <c r="AV581" s="50">
        <f t="shared" si="1136"/>
        <v>0</v>
      </c>
    </row>
    <row r="582" spans="1:48" ht="25.15" hidden="1" customHeight="1">
      <c r="A582" s="103"/>
      <c r="B582" s="51"/>
      <c r="C582" s="52" t="s">
        <v>95</v>
      </c>
      <c r="D582" s="53" t="s">
        <v>96</v>
      </c>
      <c r="E582" s="1327">
        <f t="shared" ref="E582:AJ582" si="1137">+E581-E579</f>
        <v>0</v>
      </c>
      <c r="F582" s="1097">
        <f t="shared" si="1137"/>
        <v>0</v>
      </c>
      <c r="G582" s="1205">
        <f t="shared" si="1137"/>
        <v>0</v>
      </c>
      <c r="H582" s="1097">
        <f t="shared" si="1137"/>
        <v>0</v>
      </c>
      <c r="I582" s="1097">
        <f t="shared" si="1137"/>
        <v>0</v>
      </c>
      <c r="J582" s="1205">
        <f>+J581-J579</f>
        <v>0</v>
      </c>
      <c r="K582" s="1205">
        <f t="shared" si="1137"/>
        <v>0</v>
      </c>
      <c r="L582" s="1097">
        <f t="shared" si="1137"/>
        <v>0</v>
      </c>
      <c r="M582" s="1097">
        <f t="shared" si="1137"/>
        <v>0</v>
      </c>
      <c r="N582" s="1097">
        <f t="shared" si="1137"/>
        <v>0</v>
      </c>
      <c r="O582" s="1097">
        <f t="shared" si="1137"/>
        <v>0</v>
      </c>
      <c r="P582" s="1097">
        <f t="shared" si="1137"/>
        <v>0</v>
      </c>
      <c r="Q582" s="1205">
        <f t="shared" si="1137"/>
        <v>0</v>
      </c>
      <c r="R582" s="1205">
        <f t="shared" si="1137"/>
        <v>0</v>
      </c>
      <c r="S582" s="1097">
        <f t="shared" si="1137"/>
        <v>0</v>
      </c>
      <c r="T582" s="1097">
        <f t="shared" si="1137"/>
        <v>0</v>
      </c>
      <c r="U582" s="1097">
        <f t="shared" si="1137"/>
        <v>0</v>
      </c>
      <c r="V582" s="1097">
        <f t="shared" si="1137"/>
        <v>0</v>
      </c>
      <c r="W582" s="1097">
        <f t="shared" si="1137"/>
        <v>0</v>
      </c>
      <c r="X582" s="1205">
        <f t="shared" si="1137"/>
        <v>0</v>
      </c>
      <c r="Y582" s="1205">
        <f t="shared" si="1137"/>
        <v>0</v>
      </c>
      <c r="Z582" s="1097">
        <f t="shared" si="1137"/>
        <v>0</v>
      </c>
      <c r="AA582" s="1097">
        <f t="shared" si="1137"/>
        <v>0</v>
      </c>
      <c r="AB582" s="1097">
        <f t="shared" si="1137"/>
        <v>0</v>
      </c>
      <c r="AC582" s="1097">
        <f t="shared" si="1137"/>
        <v>0</v>
      </c>
      <c r="AD582" s="1097">
        <f t="shared" si="1137"/>
        <v>0</v>
      </c>
      <c r="AE582" s="1205">
        <f t="shared" si="1137"/>
        <v>0</v>
      </c>
      <c r="AF582" s="1205">
        <f t="shared" si="1137"/>
        <v>0</v>
      </c>
      <c r="AG582" s="1097">
        <f t="shared" si="1137"/>
        <v>0</v>
      </c>
      <c r="AH582" s="1097">
        <f t="shared" si="1137"/>
        <v>0</v>
      </c>
      <c r="AI582" s="1328">
        <f t="shared" si="1137"/>
        <v>0</v>
      </c>
      <c r="AJ582" s="54">
        <f t="shared" si="1137"/>
        <v>0</v>
      </c>
      <c r="AK582" s="54"/>
      <c r="AL582" s="55">
        <f>+AJ582*AN579</f>
        <v>0</v>
      </c>
      <c r="AM582" s="1067">
        <f t="shared" si="1012"/>
        <v>0</v>
      </c>
      <c r="AN582" s="31" t="s">
        <v>97</v>
      </c>
      <c r="AO582" s="622"/>
      <c r="AP582" s="39" t="s">
        <v>98</v>
      </c>
      <c r="AQ582" s="56">
        <f>AQ581-AQ580</f>
        <v>0</v>
      </c>
      <c r="AR582" s="70">
        <f>AR581-AR580</f>
        <v>0</v>
      </c>
      <c r="AS582" s="70">
        <f>AS581-AS580</f>
        <v>0</v>
      </c>
      <c r="AT582" s="70">
        <f>AT581-AT580</f>
        <v>0</v>
      </c>
      <c r="AU582" s="70">
        <f>AU581-AU580</f>
        <v>0</v>
      </c>
      <c r="AV582" s="57">
        <f t="shared" si="1136"/>
        <v>0</v>
      </c>
    </row>
    <row r="583" spans="1:48" ht="25.15" hidden="1" customHeight="1">
      <c r="A583" s="58"/>
      <c r="B583" s="59"/>
      <c r="C583" s="60" t="s">
        <v>100</v>
      </c>
      <c r="D583" s="61" t="s">
        <v>101</v>
      </c>
      <c r="E583" s="1329"/>
      <c r="F583" s="1099"/>
      <c r="G583" s="1208"/>
      <c r="H583" s="1099"/>
      <c r="I583" s="1099"/>
      <c r="J583" s="1208"/>
      <c r="K583" s="1208"/>
      <c r="L583" s="1099"/>
      <c r="M583" s="1099"/>
      <c r="N583" s="1099"/>
      <c r="O583" s="1099"/>
      <c r="P583" s="1099"/>
      <c r="Q583" s="1208"/>
      <c r="R583" s="1208"/>
      <c r="S583" s="1099"/>
      <c r="T583" s="1099"/>
      <c r="U583" s="1099"/>
      <c r="V583" s="1099"/>
      <c r="W583" s="1099"/>
      <c r="X583" s="1208"/>
      <c r="Y583" s="1208"/>
      <c r="Z583" s="1099"/>
      <c r="AA583" s="1099"/>
      <c r="AB583" s="1099"/>
      <c r="AC583" s="1099"/>
      <c r="AD583" s="1099"/>
      <c r="AE583" s="1208"/>
      <c r="AF583" s="1208"/>
      <c r="AG583" s="1099"/>
      <c r="AH583" s="1099"/>
      <c r="AI583" s="1330"/>
      <c r="AJ583" s="62">
        <f>SUM(E583:AI583)</f>
        <v>0</v>
      </c>
      <c r="AK583" s="62"/>
      <c r="AL583" s="63">
        <f>+AJ583*AN579</f>
        <v>0</v>
      </c>
      <c r="AM583" s="1068">
        <f t="shared" ref="AM583:AM646" si="1138">AL585</f>
        <v>0</v>
      </c>
      <c r="AN583" s="64" t="e">
        <f>+AJ583/AJ581*100</f>
        <v>#DIV/0!</v>
      </c>
      <c r="AO583" s="635" t="e">
        <f>AO581/AO579</f>
        <v>#VALUE!</v>
      </c>
      <c r="AP583" s="39" t="s">
        <v>102</v>
      </c>
      <c r="AQ583" s="56">
        <f>SUM(E583:H583)</f>
        <v>0</v>
      </c>
      <c r="AR583" s="70">
        <f>SUM(I583:O583)</f>
        <v>0</v>
      </c>
      <c r="AS583" s="70">
        <f>SUM(P583:V583)</f>
        <v>0</v>
      </c>
      <c r="AT583" s="70">
        <f>SUM(W583:AC583)</f>
        <v>0</v>
      </c>
      <c r="AU583" s="70">
        <f>SUM(AD583:AI583)</f>
        <v>0</v>
      </c>
      <c r="AV583" s="57">
        <f t="shared" si="1136"/>
        <v>0</v>
      </c>
    </row>
    <row r="584" spans="1:48" ht="25.15" hidden="1" customHeight="1">
      <c r="A584" s="58" t="s">
        <v>557</v>
      </c>
      <c r="B584" s="65"/>
      <c r="C584" s="66"/>
      <c r="D584" s="67" t="s">
        <v>103</v>
      </c>
      <c r="E584" s="1331"/>
      <c r="F584" s="1101"/>
      <c r="G584" s="1209"/>
      <c r="H584" s="1101"/>
      <c r="I584" s="1101"/>
      <c r="J584" s="1209"/>
      <c r="K584" s="1209"/>
      <c r="L584" s="1101"/>
      <c r="M584" s="1101"/>
      <c r="N584" s="1101"/>
      <c r="O584" s="1101"/>
      <c r="P584" s="1101"/>
      <c r="Q584" s="1209"/>
      <c r="R584" s="1209"/>
      <c r="S584" s="1101"/>
      <c r="T584" s="1101"/>
      <c r="U584" s="1101"/>
      <c r="V584" s="1101"/>
      <c r="W584" s="1101"/>
      <c r="X584" s="1209"/>
      <c r="Y584" s="1209"/>
      <c r="Z584" s="1101"/>
      <c r="AA584" s="1101"/>
      <c r="AB584" s="1101"/>
      <c r="AC584" s="1101"/>
      <c r="AD584" s="1101"/>
      <c r="AE584" s="1209"/>
      <c r="AF584" s="1209"/>
      <c r="AG584" s="1101"/>
      <c r="AH584" s="1101"/>
      <c r="AI584" s="1332"/>
      <c r="AJ584" s="68">
        <f>SUM(E584:AI584)</f>
        <v>0</v>
      </c>
      <c r="AK584" s="68"/>
      <c r="AL584" s="69">
        <f>+AJ584*AN579</f>
        <v>0</v>
      </c>
      <c r="AM584" s="1069">
        <f t="shared" si="1138"/>
        <v>0</v>
      </c>
      <c r="AN584" s="31"/>
      <c r="AO584" s="622"/>
      <c r="AP584" s="39" t="s">
        <v>19</v>
      </c>
      <c r="AQ584" s="56">
        <f>AQ583*AN579</f>
        <v>0</v>
      </c>
      <c r="AR584" s="56">
        <f>AR583*AN579</f>
        <v>0</v>
      </c>
      <c r="AS584" s="56">
        <f>AS583*AN579</f>
        <v>0</v>
      </c>
      <c r="AT584" s="56">
        <f>AT583*AN579</f>
        <v>0</v>
      </c>
      <c r="AU584" s="56">
        <f>AU583*AN579</f>
        <v>0</v>
      </c>
      <c r="AV584" s="57">
        <f t="shared" si="1136"/>
        <v>0</v>
      </c>
    </row>
    <row r="585" spans="1:48" ht="25.15" hidden="1" customHeight="1">
      <c r="A585" s="103"/>
      <c r="B585" s="65"/>
      <c r="C585" s="72" t="s">
        <v>104</v>
      </c>
      <c r="D585" s="73" t="s">
        <v>105</v>
      </c>
      <c r="E585" s="1378"/>
      <c r="F585" s="1103"/>
      <c r="G585" s="1210"/>
      <c r="H585" s="1103"/>
      <c r="I585" s="1103"/>
      <c r="J585" s="1210"/>
      <c r="K585" s="1210"/>
      <c r="L585" s="1103"/>
      <c r="M585" s="1103"/>
      <c r="N585" s="1103"/>
      <c r="O585" s="1103"/>
      <c r="P585" s="1103"/>
      <c r="Q585" s="1210"/>
      <c r="R585" s="1210"/>
      <c r="S585" s="1103"/>
      <c r="T585" s="1103"/>
      <c r="U585" s="1103"/>
      <c r="V585" s="1103"/>
      <c r="W585" s="1103"/>
      <c r="X585" s="1210"/>
      <c r="Y585" s="1210"/>
      <c r="Z585" s="1103"/>
      <c r="AA585" s="1103"/>
      <c r="AB585" s="1103"/>
      <c r="AC585" s="1103"/>
      <c r="AD585" s="1103"/>
      <c r="AE585" s="1210"/>
      <c r="AF585" s="1210"/>
      <c r="AG585" s="1103"/>
      <c r="AH585" s="1103"/>
      <c r="AI585" s="1352"/>
      <c r="AJ585" s="74">
        <f>SUM(E585:AI585)</f>
        <v>0</v>
      </c>
      <c r="AK585" s="74"/>
      <c r="AL585" s="75">
        <f>+AJ585*AN579</f>
        <v>0</v>
      </c>
      <c r="AM585" s="1070">
        <f t="shared" si="1138"/>
        <v>0</v>
      </c>
      <c r="AN585" s="76"/>
      <c r="AO585" s="636"/>
      <c r="AP585" s="47" t="s">
        <v>106</v>
      </c>
      <c r="AQ585" s="48">
        <f>AQ581*AN579</f>
        <v>0</v>
      </c>
      <c r="AR585" s="48">
        <f>AR581*AN579</f>
        <v>0</v>
      </c>
      <c r="AS585" s="48">
        <f>AS581*AN579</f>
        <v>0</v>
      </c>
      <c r="AT585" s="48">
        <f>AT581*AN579</f>
        <v>0</v>
      </c>
      <c r="AU585" s="48">
        <f>AU581*AN579</f>
        <v>0</v>
      </c>
      <c r="AV585" s="50">
        <f t="shared" si="1136"/>
        <v>0</v>
      </c>
    </row>
    <row r="586" spans="1:48" ht="25.15" hidden="1" customHeight="1">
      <c r="A586" s="103"/>
      <c r="B586" s="65"/>
      <c r="C586" s="77">
        <v>300000</v>
      </c>
      <c r="D586" s="78" t="s">
        <v>107</v>
      </c>
      <c r="E586" s="1327">
        <v>1</v>
      </c>
      <c r="F586" s="1097">
        <v>1</v>
      </c>
      <c r="G586" s="1205">
        <v>1</v>
      </c>
      <c r="H586" s="1097">
        <v>1</v>
      </c>
      <c r="I586" s="1097">
        <v>1</v>
      </c>
      <c r="J586" s="1205">
        <v>1</v>
      </c>
      <c r="K586" s="1205">
        <v>1</v>
      </c>
      <c r="L586" s="1097">
        <v>1</v>
      </c>
      <c r="M586" s="1097">
        <v>1</v>
      </c>
      <c r="N586" s="1097">
        <v>1</v>
      </c>
      <c r="O586" s="1097">
        <v>1</v>
      </c>
      <c r="P586" s="1097">
        <v>1</v>
      </c>
      <c r="Q586" s="1205">
        <v>1</v>
      </c>
      <c r="R586" s="1205">
        <v>1</v>
      </c>
      <c r="S586" s="1097">
        <v>1</v>
      </c>
      <c r="T586" s="1097">
        <v>1</v>
      </c>
      <c r="U586" s="1097">
        <v>1</v>
      </c>
      <c r="V586" s="1097">
        <v>1</v>
      </c>
      <c r="W586" s="1097">
        <v>1</v>
      </c>
      <c r="X586" s="1205">
        <v>1</v>
      </c>
      <c r="Y586" s="1205">
        <v>1</v>
      </c>
      <c r="Z586" s="1097">
        <v>1</v>
      </c>
      <c r="AA586" s="1097">
        <v>1</v>
      </c>
      <c r="AB586" s="1097">
        <v>1</v>
      </c>
      <c r="AC586" s="1097">
        <v>1</v>
      </c>
      <c r="AD586" s="1097">
        <v>1</v>
      </c>
      <c r="AE586" s="1205">
        <v>1</v>
      </c>
      <c r="AF586" s="1205">
        <v>1</v>
      </c>
      <c r="AG586" s="1097">
        <v>1</v>
      </c>
      <c r="AH586" s="1097">
        <v>1</v>
      </c>
      <c r="AI586" s="1328">
        <v>1</v>
      </c>
      <c r="AJ586" s="79"/>
      <c r="AK586" s="79"/>
      <c r="AL586" s="55"/>
      <c r="AM586" s="1067">
        <f t="shared" si="1138"/>
        <v>0</v>
      </c>
      <c r="AN586" s="31"/>
      <c r="AO586" s="622"/>
      <c r="AP586" s="23"/>
      <c r="AQ586" s="23"/>
      <c r="AR586" s="23"/>
      <c r="AS586" s="23"/>
      <c r="AT586" s="23"/>
      <c r="AU586" s="23"/>
      <c r="AV586" s="23"/>
    </row>
    <row r="587" spans="1:48" ht="25.15" hidden="1" customHeight="1">
      <c r="A587" s="103"/>
      <c r="B587" s="65"/>
      <c r="C587" s="80" t="s">
        <v>108</v>
      </c>
      <c r="D587" s="81" t="s">
        <v>109</v>
      </c>
      <c r="E587" s="1374">
        <f>SUM(E581+E583+E584+E585)/E586</f>
        <v>0</v>
      </c>
      <c r="F587" s="1104">
        <f>SUM(F581+F583+F584+F585)/F586</f>
        <v>0</v>
      </c>
      <c r="G587" s="1211">
        <f>SUM(G581+G583+G584+G585)/G586</f>
        <v>0</v>
      </c>
      <c r="H587" s="1104">
        <f t="shared" ref="H587:AH587" si="1139">SUM(H581+H583+H584+H585)/H586</f>
        <v>0</v>
      </c>
      <c r="I587" s="1104">
        <f t="shared" si="1139"/>
        <v>0</v>
      </c>
      <c r="J587" s="1211">
        <f t="shared" si="1139"/>
        <v>0</v>
      </c>
      <c r="K587" s="1211">
        <f t="shared" si="1139"/>
        <v>0</v>
      </c>
      <c r="L587" s="1104">
        <f t="shared" si="1139"/>
        <v>0</v>
      </c>
      <c r="M587" s="1104">
        <f t="shared" si="1139"/>
        <v>0</v>
      </c>
      <c r="N587" s="1104">
        <f t="shared" si="1139"/>
        <v>0</v>
      </c>
      <c r="O587" s="1104">
        <f t="shared" si="1139"/>
        <v>0</v>
      </c>
      <c r="P587" s="1104">
        <f t="shared" si="1139"/>
        <v>0</v>
      </c>
      <c r="Q587" s="1211">
        <f t="shared" si="1139"/>
        <v>0</v>
      </c>
      <c r="R587" s="1211">
        <f t="shared" si="1139"/>
        <v>0</v>
      </c>
      <c r="S587" s="1104">
        <f t="shared" si="1139"/>
        <v>0</v>
      </c>
      <c r="T587" s="1104">
        <f t="shared" si="1139"/>
        <v>0</v>
      </c>
      <c r="U587" s="1104">
        <f t="shared" si="1139"/>
        <v>0</v>
      </c>
      <c r="V587" s="1104">
        <f t="shared" si="1139"/>
        <v>0</v>
      </c>
      <c r="W587" s="1104">
        <f t="shared" si="1139"/>
        <v>0</v>
      </c>
      <c r="X587" s="1211">
        <f t="shared" si="1139"/>
        <v>0</v>
      </c>
      <c r="Y587" s="1211">
        <f t="shared" si="1139"/>
        <v>0</v>
      </c>
      <c r="Z587" s="1104">
        <f t="shared" si="1139"/>
        <v>0</v>
      </c>
      <c r="AA587" s="1104">
        <f t="shared" si="1139"/>
        <v>0</v>
      </c>
      <c r="AB587" s="1104">
        <f t="shared" si="1139"/>
        <v>0</v>
      </c>
      <c r="AC587" s="1104">
        <f t="shared" si="1139"/>
        <v>0</v>
      </c>
      <c r="AD587" s="1104">
        <f t="shared" si="1139"/>
        <v>0</v>
      </c>
      <c r="AE587" s="1211">
        <f t="shared" si="1139"/>
        <v>0</v>
      </c>
      <c r="AF587" s="1211">
        <f t="shared" si="1139"/>
        <v>0</v>
      </c>
      <c r="AG587" s="1104">
        <f t="shared" si="1139"/>
        <v>0</v>
      </c>
      <c r="AH587" s="1104">
        <f t="shared" si="1139"/>
        <v>0</v>
      </c>
      <c r="AI587" s="1335">
        <f>SUM(AI581+AI583+AI584)/AI586</f>
        <v>0</v>
      </c>
      <c r="AJ587" s="104">
        <f>SUM(E587:AI587)</f>
        <v>0</v>
      </c>
      <c r="AK587" s="104"/>
      <c r="AL587" s="83"/>
      <c r="AM587" s="1068">
        <f t="shared" si="1138"/>
        <v>0</v>
      </c>
      <c r="AN587" s="31"/>
      <c r="AO587" s="622"/>
      <c r="AP587" s="23"/>
      <c r="AQ587" s="23"/>
      <c r="AR587" s="23"/>
      <c r="AS587" s="23"/>
      <c r="AT587" s="23"/>
      <c r="AU587" s="23"/>
      <c r="AV587" s="23"/>
    </row>
    <row r="588" spans="1:48" ht="25.15" hidden="1" customHeight="1">
      <c r="A588" s="103"/>
      <c r="B588" s="59"/>
      <c r="C588" s="84">
        <f>+C586*0.8</f>
        <v>240000</v>
      </c>
      <c r="D588" s="85" t="s">
        <v>110</v>
      </c>
      <c r="E588" s="1105"/>
      <c r="F588" s="1106"/>
      <c r="G588" s="1211"/>
      <c r="H588" s="1104"/>
      <c r="I588" s="1104"/>
      <c r="J588" s="1211"/>
      <c r="K588" s="1211"/>
      <c r="L588" s="1104"/>
      <c r="M588" s="1104"/>
      <c r="N588" s="1104"/>
      <c r="O588" s="1107"/>
      <c r="P588" s="1104"/>
      <c r="Q588" s="1211"/>
      <c r="R588" s="1211"/>
      <c r="S588" s="1104"/>
      <c r="T588" s="1104"/>
      <c r="U588" s="1104"/>
      <c r="V588" s="1104"/>
      <c r="W588" s="1104"/>
      <c r="X588" s="1211"/>
      <c r="Y588" s="1211"/>
      <c r="Z588" s="1104"/>
      <c r="AA588" s="1104"/>
      <c r="AB588" s="1104"/>
      <c r="AC588" s="1104"/>
      <c r="AD588" s="1104"/>
      <c r="AE588" s="1211"/>
      <c r="AF588" s="1211"/>
      <c r="AG588" s="1104"/>
      <c r="AH588" s="1104"/>
      <c r="AI588" s="1353"/>
      <c r="AJ588" s="86"/>
      <c r="AK588" s="86"/>
      <c r="AL588" s="690"/>
      <c r="AM588" s="694">
        <f t="shared" si="1138"/>
        <v>0</v>
      </c>
      <c r="AN588" s="31"/>
      <c r="AO588" s="622"/>
      <c r="AP588" s="23"/>
      <c r="AQ588" s="23"/>
      <c r="AR588" s="23"/>
      <c r="AS588" s="23"/>
      <c r="AT588" s="23"/>
      <c r="AU588" s="23"/>
      <c r="AV588" s="23"/>
    </row>
    <row r="589" spans="1:48" ht="25.15" hidden="1" customHeight="1">
      <c r="A589" s="103"/>
      <c r="B589" s="105"/>
      <c r="C589" s="77"/>
      <c r="D589" s="88" t="s">
        <v>111</v>
      </c>
      <c r="E589" s="1108">
        <f>IF(E588="O/H",E587,0+E587)</f>
        <v>0</v>
      </c>
      <c r="F589" s="1089">
        <f t="shared" ref="F589:AI589" si="1140">IF(F588="O/H",F587,+E589+F587)</f>
        <v>0</v>
      </c>
      <c r="G589" s="44">
        <f t="shared" si="1140"/>
        <v>0</v>
      </c>
      <c r="H589" s="1089">
        <f t="shared" si="1140"/>
        <v>0</v>
      </c>
      <c r="I589" s="1089">
        <f t="shared" si="1140"/>
        <v>0</v>
      </c>
      <c r="J589" s="44">
        <f t="shared" si="1140"/>
        <v>0</v>
      </c>
      <c r="K589" s="44">
        <f t="shared" si="1140"/>
        <v>0</v>
      </c>
      <c r="L589" s="1089">
        <f t="shared" si="1140"/>
        <v>0</v>
      </c>
      <c r="M589" s="1089">
        <f t="shared" si="1140"/>
        <v>0</v>
      </c>
      <c r="N589" s="1089">
        <f t="shared" si="1140"/>
        <v>0</v>
      </c>
      <c r="O589" s="1089">
        <f t="shared" si="1140"/>
        <v>0</v>
      </c>
      <c r="P589" s="1089">
        <f t="shared" si="1140"/>
        <v>0</v>
      </c>
      <c r="Q589" s="44">
        <f t="shared" si="1140"/>
        <v>0</v>
      </c>
      <c r="R589" s="44">
        <f t="shared" si="1140"/>
        <v>0</v>
      </c>
      <c r="S589" s="1089">
        <f t="shared" si="1140"/>
        <v>0</v>
      </c>
      <c r="T589" s="1089">
        <f t="shared" si="1140"/>
        <v>0</v>
      </c>
      <c r="U589" s="1089">
        <f t="shared" si="1140"/>
        <v>0</v>
      </c>
      <c r="V589" s="1089">
        <f t="shared" si="1140"/>
        <v>0</v>
      </c>
      <c r="W589" s="1089">
        <f t="shared" si="1140"/>
        <v>0</v>
      </c>
      <c r="X589" s="44">
        <f t="shared" si="1140"/>
        <v>0</v>
      </c>
      <c r="Y589" s="44">
        <f t="shared" si="1140"/>
        <v>0</v>
      </c>
      <c r="Z589" s="1089">
        <f t="shared" si="1140"/>
        <v>0</v>
      </c>
      <c r="AA589" s="1089">
        <f t="shared" si="1140"/>
        <v>0</v>
      </c>
      <c r="AB589" s="1089">
        <f t="shared" si="1140"/>
        <v>0</v>
      </c>
      <c r="AC589" s="1089">
        <f t="shared" si="1140"/>
        <v>0</v>
      </c>
      <c r="AD589" s="1089">
        <f t="shared" si="1140"/>
        <v>0</v>
      </c>
      <c r="AE589" s="44">
        <f t="shared" si="1140"/>
        <v>0</v>
      </c>
      <c r="AF589" s="44">
        <f t="shared" si="1140"/>
        <v>0</v>
      </c>
      <c r="AG589" s="1089">
        <f t="shared" si="1140"/>
        <v>0</v>
      </c>
      <c r="AH589" s="1089">
        <f t="shared" si="1140"/>
        <v>0</v>
      </c>
      <c r="AI589" s="1326">
        <f t="shared" si="1140"/>
        <v>0</v>
      </c>
      <c r="AJ589" s="79"/>
      <c r="AK589" s="86"/>
      <c r="AL589" s="689"/>
      <c r="AM589" s="694">
        <f t="shared" si="1138"/>
        <v>0</v>
      </c>
      <c r="AN589" s="31"/>
      <c r="AO589" s="622"/>
      <c r="AP589" s="23"/>
      <c r="AQ589" s="23"/>
      <c r="AR589" s="23"/>
      <c r="AS589" s="23"/>
      <c r="AT589" s="23"/>
      <c r="AU589" s="23"/>
      <c r="AV589" s="23"/>
    </row>
    <row r="590" spans="1:48" ht="25.15" hidden="1" customHeight="1">
      <c r="A590" s="103"/>
      <c r="B590" s="89"/>
      <c r="C590" s="80"/>
      <c r="D590" s="90" t="s">
        <v>104</v>
      </c>
      <c r="E590" s="1108"/>
      <c r="F590" s="1089"/>
      <c r="G590" s="44"/>
      <c r="H590" s="1089"/>
      <c r="I590" s="1089"/>
      <c r="J590" s="44"/>
      <c r="K590" s="44"/>
      <c r="L590" s="1089"/>
      <c r="M590" s="1089"/>
      <c r="N590" s="1089"/>
      <c r="O590" s="1089"/>
      <c r="P590" s="1089"/>
      <c r="Q590" s="44"/>
      <c r="R590" s="44"/>
      <c r="S590" s="1089"/>
      <c r="T590" s="1089"/>
      <c r="U590" s="1089"/>
      <c r="V590" s="1089"/>
      <c r="W590" s="1089"/>
      <c r="X590" s="44"/>
      <c r="Y590" s="44"/>
      <c r="Z590" s="1089"/>
      <c r="AA590" s="1089"/>
      <c r="AB590" s="1089"/>
      <c r="AC590" s="1089"/>
      <c r="AD590" s="1089"/>
      <c r="AE590" s="44"/>
      <c r="AF590" s="44"/>
      <c r="AG590" s="1089"/>
      <c r="AH590" s="1089"/>
      <c r="AI590" s="1326"/>
      <c r="AJ590" s="79"/>
      <c r="AK590" s="79"/>
      <c r="AL590" s="63"/>
      <c r="AM590" s="1068">
        <f t="shared" si="1138"/>
        <v>0</v>
      </c>
      <c r="AN590" s="64"/>
      <c r="AO590" s="624"/>
      <c r="AP590" s="23"/>
      <c r="AQ590" s="23"/>
      <c r="AR590" s="23"/>
      <c r="AS590" s="23"/>
      <c r="AT590" s="23"/>
      <c r="AU590" s="23"/>
      <c r="AV590" s="23"/>
    </row>
    <row r="591" spans="1:48" ht="24.75" hidden="1" customHeight="1" thickBot="1">
      <c r="A591" s="106"/>
      <c r="B591" s="93"/>
      <c r="C591" s="94"/>
      <c r="D591" s="95" t="s">
        <v>111</v>
      </c>
      <c r="E591" s="1109">
        <f>IF(E590="O/H",E587,0+E587)</f>
        <v>0</v>
      </c>
      <c r="F591" s="1110">
        <f t="shared" ref="F591:AI591" si="1141">IF(F590="O/H",F587,+E591+F587)</f>
        <v>0</v>
      </c>
      <c r="G591" s="1212">
        <f t="shared" si="1141"/>
        <v>0</v>
      </c>
      <c r="H591" s="1110">
        <f t="shared" si="1141"/>
        <v>0</v>
      </c>
      <c r="I591" s="1110">
        <f t="shared" si="1141"/>
        <v>0</v>
      </c>
      <c r="J591" s="1212">
        <f t="shared" si="1141"/>
        <v>0</v>
      </c>
      <c r="K591" s="1212">
        <f t="shared" si="1141"/>
        <v>0</v>
      </c>
      <c r="L591" s="1110">
        <f t="shared" si="1141"/>
        <v>0</v>
      </c>
      <c r="M591" s="1110">
        <f t="shared" si="1141"/>
        <v>0</v>
      </c>
      <c r="N591" s="1110">
        <f t="shared" si="1141"/>
        <v>0</v>
      </c>
      <c r="O591" s="1110">
        <f t="shared" si="1141"/>
        <v>0</v>
      </c>
      <c r="P591" s="1110">
        <f t="shared" si="1141"/>
        <v>0</v>
      </c>
      <c r="Q591" s="1212">
        <f t="shared" si="1141"/>
        <v>0</v>
      </c>
      <c r="R591" s="1212">
        <f t="shared" si="1141"/>
        <v>0</v>
      </c>
      <c r="S591" s="1110">
        <f t="shared" si="1141"/>
        <v>0</v>
      </c>
      <c r="T591" s="1110">
        <f t="shared" si="1141"/>
        <v>0</v>
      </c>
      <c r="U591" s="1110">
        <f t="shared" si="1141"/>
        <v>0</v>
      </c>
      <c r="V591" s="1110">
        <f t="shared" si="1141"/>
        <v>0</v>
      </c>
      <c r="W591" s="1110">
        <f t="shared" si="1141"/>
        <v>0</v>
      </c>
      <c r="X591" s="1212">
        <f t="shared" si="1141"/>
        <v>0</v>
      </c>
      <c r="Y591" s="1212">
        <f t="shared" si="1141"/>
        <v>0</v>
      </c>
      <c r="Z591" s="1110">
        <f t="shared" si="1141"/>
        <v>0</v>
      </c>
      <c r="AA591" s="1110">
        <f t="shared" si="1141"/>
        <v>0</v>
      </c>
      <c r="AB591" s="1110">
        <f t="shared" si="1141"/>
        <v>0</v>
      </c>
      <c r="AC591" s="1110">
        <f t="shared" si="1141"/>
        <v>0</v>
      </c>
      <c r="AD591" s="1110">
        <f t="shared" si="1141"/>
        <v>0</v>
      </c>
      <c r="AE591" s="1212">
        <f t="shared" si="1141"/>
        <v>0</v>
      </c>
      <c r="AF591" s="1212">
        <f t="shared" si="1141"/>
        <v>0</v>
      </c>
      <c r="AG591" s="1110">
        <f t="shared" si="1141"/>
        <v>0</v>
      </c>
      <c r="AH591" s="1110">
        <f t="shared" si="1141"/>
        <v>0</v>
      </c>
      <c r="AI591" s="1340">
        <f t="shared" si="1141"/>
        <v>0</v>
      </c>
      <c r="AJ591" s="96"/>
      <c r="AK591" s="96"/>
      <c r="AL591" s="97"/>
      <c r="AM591" s="1071">
        <f t="shared" si="1138"/>
        <v>0</v>
      </c>
      <c r="AN591" s="98"/>
      <c r="AO591" s="625"/>
      <c r="AP591" s="23"/>
      <c r="AQ591" s="23"/>
      <c r="AR591" s="23"/>
      <c r="AS591" s="23"/>
      <c r="AT591" s="23"/>
      <c r="AU591" s="23"/>
      <c r="AV591" s="23"/>
    </row>
    <row r="592" spans="1:48" ht="25.15" hidden="1" customHeight="1" thickTop="1">
      <c r="A592" s="99"/>
      <c r="B592" s="26" t="s">
        <v>144</v>
      </c>
      <c r="C592" s="27"/>
      <c r="D592" s="28" t="s">
        <v>82</v>
      </c>
      <c r="E592" s="1111"/>
      <c r="F592" s="1111"/>
      <c r="G592" s="1201"/>
      <c r="H592" s="1111"/>
      <c r="I592" s="1111"/>
      <c r="J592" s="1201"/>
      <c r="K592" s="1201"/>
      <c r="L592" s="1111"/>
      <c r="M592" s="1111"/>
      <c r="N592" s="1111"/>
      <c r="O592" s="1111"/>
      <c r="P592" s="1111"/>
      <c r="Q592" s="1201"/>
      <c r="R592" s="1201"/>
      <c r="S592" s="1111"/>
      <c r="T592" s="1111"/>
      <c r="U592" s="1111"/>
      <c r="V592" s="1111"/>
      <c r="W592" s="1111"/>
      <c r="X592" s="1201"/>
      <c r="Y592" s="1201"/>
      <c r="Z592" s="1111"/>
      <c r="AA592" s="1111"/>
      <c r="AB592" s="1111"/>
      <c r="AC592" s="1111"/>
      <c r="AD592" s="1111"/>
      <c r="AE592" s="1201"/>
      <c r="AF592" s="1201"/>
      <c r="AG592" s="1111"/>
      <c r="AH592" s="1111"/>
      <c r="AI592" s="1111">
        <v>0</v>
      </c>
      <c r="AJ592" s="100">
        <f>SUM(Table75[[#This Row],[June''2026]:[Column27]])</f>
        <v>0</v>
      </c>
      <c r="AK592" s="100">
        <f t="shared" ref="AK592:AK633" si="1142">AJ594</f>
        <v>0</v>
      </c>
      <c r="AL592" s="101">
        <f>+AJ592*AN592</f>
        <v>0</v>
      </c>
      <c r="AM592" s="1072">
        <f t="shared" si="1138"/>
        <v>0</v>
      </c>
      <c r="AN592" s="102"/>
      <c r="AO592" s="622" t="e">
        <f>Table5[[#This Row],[Total]]*B596/1000</f>
        <v>#VALUE!</v>
      </c>
      <c r="AP592" s="32" t="s">
        <v>145</v>
      </c>
      <c r="AQ592" s="33" t="s">
        <v>84</v>
      </c>
      <c r="AR592" s="33" t="s">
        <v>85</v>
      </c>
      <c r="AS592" s="33" t="s">
        <v>86</v>
      </c>
      <c r="AT592" s="33" t="s">
        <v>87</v>
      </c>
      <c r="AU592" s="33" t="s">
        <v>88</v>
      </c>
      <c r="AV592" s="34" t="s">
        <v>68</v>
      </c>
    </row>
    <row r="593" spans="1:48" ht="25.15" hidden="1" customHeight="1">
      <c r="A593" s="103"/>
      <c r="B593" s="35" t="s">
        <v>146</v>
      </c>
      <c r="C593" s="36"/>
      <c r="D593" s="37" t="s">
        <v>90</v>
      </c>
      <c r="E593" s="1373">
        <f>IF(E592="",0,+ E592/E599)</f>
        <v>0</v>
      </c>
      <c r="F593" s="1096">
        <f t="shared" ref="F593:AI593" si="1143">IF(F592="",0, E593+F592/F599)</f>
        <v>0</v>
      </c>
      <c r="G593" s="1207">
        <f t="shared" si="1143"/>
        <v>0</v>
      </c>
      <c r="H593" s="1096">
        <f t="shared" si="1143"/>
        <v>0</v>
      </c>
      <c r="I593" s="1096">
        <f t="shared" si="1143"/>
        <v>0</v>
      </c>
      <c r="J593" s="1207">
        <f t="shared" si="1143"/>
        <v>0</v>
      </c>
      <c r="K593" s="1207">
        <f t="shared" si="1143"/>
        <v>0</v>
      </c>
      <c r="L593" s="1096">
        <f t="shared" si="1143"/>
        <v>0</v>
      </c>
      <c r="M593" s="1096">
        <f t="shared" si="1143"/>
        <v>0</v>
      </c>
      <c r="N593" s="1096">
        <f t="shared" si="1143"/>
        <v>0</v>
      </c>
      <c r="O593" s="1096">
        <f t="shared" si="1143"/>
        <v>0</v>
      </c>
      <c r="P593" s="1096">
        <f t="shared" si="1143"/>
        <v>0</v>
      </c>
      <c r="Q593" s="1207">
        <f t="shared" si="1143"/>
        <v>0</v>
      </c>
      <c r="R593" s="1207">
        <f t="shared" si="1143"/>
        <v>0</v>
      </c>
      <c r="S593" s="1096">
        <f t="shared" si="1143"/>
        <v>0</v>
      </c>
      <c r="T593" s="1096">
        <f t="shared" si="1143"/>
        <v>0</v>
      </c>
      <c r="U593" s="1096">
        <f t="shared" si="1143"/>
        <v>0</v>
      </c>
      <c r="V593" s="1096">
        <f t="shared" si="1143"/>
        <v>0</v>
      </c>
      <c r="W593" s="1096">
        <f t="shared" si="1143"/>
        <v>0</v>
      </c>
      <c r="X593" s="1207">
        <f t="shared" si="1143"/>
        <v>0</v>
      </c>
      <c r="Y593" s="1207">
        <f t="shared" si="1143"/>
        <v>0</v>
      </c>
      <c r="Z593" s="1096">
        <f t="shared" si="1143"/>
        <v>0</v>
      </c>
      <c r="AA593" s="1096">
        <f t="shared" si="1143"/>
        <v>0</v>
      </c>
      <c r="AB593" s="1096">
        <f t="shared" si="1143"/>
        <v>0</v>
      </c>
      <c r="AC593" s="1096">
        <f t="shared" si="1143"/>
        <v>0</v>
      </c>
      <c r="AD593" s="1096">
        <f t="shared" si="1143"/>
        <v>0</v>
      </c>
      <c r="AE593" s="1207">
        <f t="shared" si="1143"/>
        <v>0</v>
      </c>
      <c r="AF593" s="1207">
        <f t="shared" si="1143"/>
        <v>0</v>
      </c>
      <c r="AG593" s="1096">
        <f t="shared" si="1143"/>
        <v>0</v>
      </c>
      <c r="AH593" s="1096">
        <f t="shared" si="1143"/>
        <v>0</v>
      </c>
      <c r="AI593" s="1324">
        <f t="shared" si="1143"/>
        <v>0</v>
      </c>
      <c r="AJ593" s="38"/>
      <c r="AK593" s="29"/>
      <c r="AL593" s="30"/>
      <c r="AM593" s="694">
        <f t="shared" si="1138"/>
        <v>0</v>
      </c>
      <c r="AN593" s="31"/>
      <c r="AO593" s="630"/>
      <c r="AP593" s="39" t="s">
        <v>91</v>
      </c>
      <c r="AQ593" s="40">
        <f>SUM(E592:I592)</f>
        <v>0</v>
      </c>
      <c r="AR593" s="41">
        <f>SUM(J592:P592)</f>
        <v>0</v>
      </c>
      <c r="AS593" s="41">
        <f>SUM(Q592:W592)</f>
        <v>0</v>
      </c>
      <c r="AT593" s="41">
        <f>SUM(X592:AD592)</f>
        <v>0</v>
      </c>
      <c r="AU593" s="41">
        <f>SUM(AE592:AI592)</f>
        <v>0</v>
      </c>
      <c r="AV593" s="34">
        <f t="shared" ref="AV593:AV598" si="1144">SUM(AQ593:AU593)</f>
        <v>0</v>
      </c>
    </row>
    <row r="594" spans="1:48" ht="25.15" hidden="1" customHeight="1">
      <c r="A594" s="103"/>
      <c r="B594" s="26" t="s">
        <v>92</v>
      </c>
      <c r="C594" s="42"/>
      <c r="D594" s="43" t="s">
        <v>93</v>
      </c>
      <c r="E594" s="1325"/>
      <c r="F594" s="1089"/>
      <c r="G594" s="44"/>
      <c r="H594" s="1089"/>
      <c r="I594" s="1089"/>
      <c r="J594" s="44"/>
      <c r="K594" s="44"/>
      <c r="L594" s="1089"/>
      <c r="M594" s="1089"/>
      <c r="N594" s="1089"/>
      <c r="O594" s="1089"/>
      <c r="P594" s="1089"/>
      <c r="Q594" s="44"/>
      <c r="R594" s="44"/>
      <c r="S594" s="1089"/>
      <c r="T594" s="1089"/>
      <c r="U594" s="1089"/>
      <c r="V594" s="1089"/>
      <c r="W594" s="1089"/>
      <c r="X594" s="44"/>
      <c r="Y594" s="44"/>
      <c r="Z594" s="1089"/>
      <c r="AA594" s="1089"/>
      <c r="AB594" s="1089"/>
      <c r="AC594" s="1089"/>
      <c r="AD594" s="1089"/>
      <c r="AE594" s="44"/>
      <c r="AF594" s="44"/>
      <c r="AG594" s="1089"/>
      <c r="AH594" s="1089"/>
      <c r="AI594" s="1326"/>
      <c r="AJ594" s="45">
        <f>SUM(E594:AI594)</f>
        <v>0</v>
      </c>
      <c r="AK594" s="45"/>
      <c r="AL594" s="46">
        <f>+AJ594*AN592</f>
        <v>0</v>
      </c>
      <c r="AM594" s="1066">
        <f t="shared" si="1138"/>
        <v>0</v>
      </c>
      <c r="AN594" s="31"/>
      <c r="AO594" s="632">
        <f>(AJ594+AJ596+AJ597+AJ598)*B596/1000</f>
        <v>0</v>
      </c>
      <c r="AP594" s="47" t="s">
        <v>94</v>
      </c>
      <c r="AQ594" s="48">
        <f>SUM(E594:I594)</f>
        <v>0</v>
      </c>
      <c r="AR594" s="49">
        <f>SUM(J594:P594)</f>
        <v>0</v>
      </c>
      <c r="AS594" s="49">
        <f>SUM(Q594:W594)</f>
        <v>0</v>
      </c>
      <c r="AT594" s="49">
        <f>SUM(X594:AD594)</f>
        <v>0</v>
      </c>
      <c r="AU594" s="49">
        <f>SUM(AE594:AI594)</f>
        <v>0</v>
      </c>
      <c r="AV594" s="50">
        <f t="shared" si="1144"/>
        <v>0</v>
      </c>
    </row>
    <row r="595" spans="1:48" ht="25.15" hidden="1" customHeight="1">
      <c r="A595" s="103"/>
      <c r="B595" s="51"/>
      <c r="C595" s="52" t="s">
        <v>95</v>
      </c>
      <c r="D595" s="53" t="s">
        <v>96</v>
      </c>
      <c r="E595" s="1327">
        <f t="shared" ref="E595:G595" si="1145">+E594-E592</f>
        <v>0</v>
      </c>
      <c r="F595" s="1097">
        <f t="shared" si="1145"/>
        <v>0</v>
      </c>
      <c r="G595" s="1205">
        <f t="shared" si="1145"/>
        <v>0</v>
      </c>
      <c r="H595" s="1097">
        <f t="shared" ref="H595:K595" si="1146">+H594-H592</f>
        <v>0</v>
      </c>
      <c r="I595" s="1097">
        <f t="shared" si="1146"/>
        <v>0</v>
      </c>
      <c r="J595" s="1205">
        <f t="shared" si="1146"/>
        <v>0</v>
      </c>
      <c r="K595" s="1205">
        <f t="shared" si="1146"/>
        <v>0</v>
      </c>
      <c r="L595" s="1097">
        <f t="shared" ref="L595:AJ595" si="1147">+L594-L592</f>
        <v>0</v>
      </c>
      <c r="M595" s="1097">
        <f t="shared" si="1147"/>
        <v>0</v>
      </c>
      <c r="N595" s="1097">
        <f t="shared" si="1147"/>
        <v>0</v>
      </c>
      <c r="O595" s="1097">
        <f t="shared" si="1147"/>
        <v>0</v>
      </c>
      <c r="P595" s="1097">
        <f t="shared" si="1147"/>
        <v>0</v>
      </c>
      <c r="Q595" s="1205">
        <f t="shared" si="1147"/>
        <v>0</v>
      </c>
      <c r="R595" s="1205">
        <f t="shared" si="1147"/>
        <v>0</v>
      </c>
      <c r="S595" s="1097">
        <f t="shared" si="1147"/>
        <v>0</v>
      </c>
      <c r="T595" s="1097">
        <f t="shared" si="1147"/>
        <v>0</v>
      </c>
      <c r="U595" s="1097">
        <f t="shared" si="1147"/>
        <v>0</v>
      </c>
      <c r="V595" s="1097">
        <f t="shared" si="1147"/>
        <v>0</v>
      </c>
      <c r="W595" s="1097">
        <f t="shared" si="1147"/>
        <v>0</v>
      </c>
      <c r="X595" s="1205">
        <f t="shared" si="1147"/>
        <v>0</v>
      </c>
      <c r="Y595" s="1205">
        <f t="shared" si="1147"/>
        <v>0</v>
      </c>
      <c r="Z595" s="1097">
        <f t="shared" si="1147"/>
        <v>0</v>
      </c>
      <c r="AA595" s="1097">
        <f t="shared" si="1147"/>
        <v>0</v>
      </c>
      <c r="AB595" s="1097">
        <f t="shared" si="1147"/>
        <v>0</v>
      </c>
      <c r="AC595" s="1097">
        <f t="shared" si="1147"/>
        <v>0</v>
      </c>
      <c r="AD595" s="1097">
        <f t="shared" si="1147"/>
        <v>0</v>
      </c>
      <c r="AE595" s="1205">
        <f t="shared" si="1147"/>
        <v>0</v>
      </c>
      <c r="AF595" s="1205">
        <f t="shared" si="1147"/>
        <v>0</v>
      </c>
      <c r="AG595" s="1097">
        <f t="shared" si="1147"/>
        <v>0</v>
      </c>
      <c r="AH595" s="1097">
        <f t="shared" si="1147"/>
        <v>0</v>
      </c>
      <c r="AI595" s="1328">
        <f t="shared" si="1147"/>
        <v>0</v>
      </c>
      <c r="AJ595" s="54">
        <f t="shared" si="1147"/>
        <v>0</v>
      </c>
      <c r="AK595" s="54"/>
      <c r="AL595" s="55">
        <f>+AJ595*AN592</f>
        <v>0</v>
      </c>
      <c r="AM595" s="1067">
        <f t="shared" si="1138"/>
        <v>0</v>
      </c>
      <c r="AN595" s="31" t="s">
        <v>97</v>
      </c>
      <c r="AO595" s="622"/>
      <c r="AP595" s="39" t="s">
        <v>98</v>
      </c>
      <c r="AQ595" s="56">
        <f>AQ594-AQ593</f>
        <v>0</v>
      </c>
      <c r="AR595" s="70">
        <f>AR594-AR593</f>
        <v>0</v>
      </c>
      <c r="AS595" s="70">
        <f>AS594-AS593</f>
        <v>0</v>
      </c>
      <c r="AT595" s="70">
        <f>AT594-AT593</f>
        <v>0</v>
      </c>
      <c r="AU595" s="70">
        <f>AU594-AU593</f>
        <v>0</v>
      </c>
      <c r="AV595" s="57">
        <f t="shared" si="1144"/>
        <v>0</v>
      </c>
    </row>
    <row r="596" spans="1:48" ht="25.15" hidden="1" customHeight="1">
      <c r="A596" s="58"/>
      <c r="B596" s="59"/>
      <c r="C596" s="60" t="s">
        <v>100</v>
      </c>
      <c r="D596" s="61" t="s">
        <v>101</v>
      </c>
      <c r="E596" s="1329"/>
      <c r="F596" s="1099"/>
      <c r="G596" s="1208"/>
      <c r="H596" s="1099"/>
      <c r="I596" s="1099"/>
      <c r="J596" s="1208"/>
      <c r="K596" s="1208"/>
      <c r="L596" s="1099"/>
      <c r="M596" s="1099"/>
      <c r="N596" s="1099"/>
      <c r="O596" s="1099"/>
      <c r="P596" s="1099"/>
      <c r="Q596" s="1208"/>
      <c r="R596" s="1208"/>
      <c r="S596" s="1099"/>
      <c r="T596" s="1099"/>
      <c r="U596" s="1099"/>
      <c r="V596" s="1099"/>
      <c r="W596" s="1099"/>
      <c r="X596" s="1208"/>
      <c r="Y596" s="1208"/>
      <c r="Z596" s="1099"/>
      <c r="AA596" s="1099"/>
      <c r="AB596" s="1099"/>
      <c r="AC596" s="1099"/>
      <c r="AD596" s="1099"/>
      <c r="AE596" s="1208"/>
      <c r="AF596" s="1208"/>
      <c r="AG596" s="1099"/>
      <c r="AH596" s="1099"/>
      <c r="AI596" s="1330"/>
      <c r="AJ596" s="62">
        <f>SUM(E596:AI596)</f>
        <v>0</v>
      </c>
      <c r="AK596" s="62"/>
      <c r="AL596" s="63">
        <f>+AJ596*AN592</f>
        <v>0</v>
      </c>
      <c r="AM596" s="1068">
        <f t="shared" si="1138"/>
        <v>0</v>
      </c>
      <c r="AN596" s="64" t="e">
        <f>+AJ596/AJ594*100</f>
        <v>#DIV/0!</v>
      </c>
      <c r="AO596" s="635" t="e">
        <f>AO594/AO592</f>
        <v>#VALUE!</v>
      </c>
      <c r="AP596" s="39" t="s">
        <v>102</v>
      </c>
      <c r="AQ596" s="56">
        <f>SUM(E596:I596)</f>
        <v>0</v>
      </c>
      <c r="AR596" s="70">
        <f>SUM(J596:P596)</f>
        <v>0</v>
      </c>
      <c r="AS596" s="70">
        <f>SUM(Q596:W596)</f>
        <v>0</v>
      </c>
      <c r="AT596" s="70">
        <f>SUM(X596:AD596)</f>
        <v>0</v>
      </c>
      <c r="AU596" s="70">
        <f>SUM(AE596:AI596)</f>
        <v>0</v>
      </c>
      <c r="AV596" s="57">
        <f t="shared" si="1144"/>
        <v>0</v>
      </c>
    </row>
    <row r="597" spans="1:48" ht="25.15" hidden="1" customHeight="1">
      <c r="A597" s="58" t="s">
        <v>178</v>
      </c>
      <c r="B597" s="65"/>
      <c r="C597" s="66"/>
      <c r="D597" s="67" t="s">
        <v>103</v>
      </c>
      <c r="E597" s="1331"/>
      <c r="F597" s="1101"/>
      <c r="G597" s="1209"/>
      <c r="H597" s="1101"/>
      <c r="I597" s="1101"/>
      <c r="J597" s="1209"/>
      <c r="K597" s="1209"/>
      <c r="L597" s="1101"/>
      <c r="M597" s="1101"/>
      <c r="N597" s="1101"/>
      <c r="O597" s="1101"/>
      <c r="P597" s="1101"/>
      <c r="Q597" s="1209"/>
      <c r="R597" s="1209"/>
      <c r="S597" s="1101"/>
      <c r="T597" s="1101"/>
      <c r="U597" s="1101"/>
      <c r="V597" s="1101"/>
      <c r="W597" s="1101"/>
      <c r="X597" s="1209"/>
      <c r="Y597" s="1209"/>
      <c r="Z597" s="1101"/>
      <c r="AA597" s="1101"/>
      <c r="AB597" s="1101"/>
      <c r="AC597" s="1101"/>
      <c r="AD597" s="1101"/>
      <c r="AE597" s="1209"/>
      <c r="AF597" s="1209"/>
      <c r="AG597" s="1101"/>
      <c r="AH597" s="1101"/>
      <c r="AI597" s="1332"/>
      <c r="AJ597" s="68">
        <f>SUM(E597:AI597)</f>
        <v>0</v>
      </c>
      <c r="AK597" s="68"/>
      <c r="AL597" s="69">
        <f>+AJ597*AN592</f>
        <v>0</v>
      </c>
      <c r="AM597" s="1069">
        <f t="shared" si="1138"/>
        <v>0</v>
      </c>
      <c r="AN597" s="31"/>
      <c r="AO597" s="622"/>
      <c r="AP597" s="39" t="s">
        <v>19</v>
      </c>
      <c r="AQ597" s="56">
        <f>AQ596*AN592</f>
        <v>0</v>
      </c>
      <c r="AR597" s="56">
        <f>AR596*AN592</f>
        <v>0</v>
      </c>
      <c r="AS597" s="56">
        <f>AS596*AN592</f>
        <v>0</v>
      </c>
      <c r="AT597" s="56">
        <f>AT596*AN592</f>
        <v>0</v>
      </c>
      <c r="AU597" s="56">
        <f>AU596*AN592</f>
        <v>0</v>
      </c>
      <c r="AV597" s="57">
        <f t="shared" si="1144"/>
        <v>0</v>
      </c>
    </row>
    <row r="598" spans="1:48" ht="25.15" hidden="1" customHeight="1">
      <c r="A598" s="103"/>
      <c r="B598" s="65"/>
      <c r="C598" s="72" t="s">
        <v>104</v>
      </c>
      <c r="D598" s="73" t="s">
        <v>105</v>
      </c>
      <c r="E598" s="1378"/>
      <c r="F598" s="1103"/>
      <c r="G598" s="1210"/>
      <c r="H598" s="1103"/>
      <c r="I598" s="1103"/>
      <c r="J598" s="1210"/>
      <c r="K598" s="1210"/>
      <c r="L598" s="1103"/>
      <c r="M598" s="1103"/>
      <c r="N598" s="1103"/>
      <c r="O598" s="1103"/>
      <c r="P598" s="1103"/>
      <c r="Q598" s="1210"/>
      <c r="R598" s="1210"/>
      <c r="S598" s="1103"/>
      <c r="T598" s="1103"/>
      <c r="U598" s="1103"/>
      <c r="V598" s="1103"/>
      <c r="W598" s="1103"/>
      <c r="X598" s="1210"/>
      <c r="Y598" s="1210"/>
      <c r="Z598" s="1103"/>
      <c r="AA598" s="1103"/>
      <c r="AB598" s="1103"/>
      <c r="AC598" s="1103"/>
      <c r="AD598" s="1103"/>
      <c r="AE598" s="1210"/>
      <c r="AF598" s="1210"/>
      <c r="AG598" s="1103"/>
      <c r="AH598" s="1103"/>
      <c r="AI598" s="1352"/>
      <c r="AJ598" s="74">
        <f>SUM(E598:AI598)</f>
        <v>0</v>
      </c>
      <c r="AK598" s="74"/>
      <c r="AL598" s="75">
        <f>+AJ598*AN592</f>
        <v>0</v>
      </c>
      <c r="AM598" s="1070">
        <f t="shared" si="1138"/>
        <v>0</v>
      </c>
      <c r="AN598" s="76"/>
      <c r="AO598" s="636"/>
      <c r="AP598" s="47" t="s">
        <v>106</v>
      </c>
      <c r="AQ598" s="48">
        <f>AQ594*AN592</f>
        <v>0</v>
      </c>
      <c r="AR598" s="48">
        <f>AR594*AN592</f>
        <v>0</v>
      </c>
      <c r="AS598" s="48">
        <f>AS594*AN592</f>
        <v>0</v>
      </c>
      <c r="AT598" s="48">
        <f>AT594*AN592</f>
        <v>0</v>
      </c>
      <c r="AU598" s="48">
        <f>AU594*AN592</f>
        <v>0</v>
      </c>
      <c r="AV598" s="50">
        <f t="shared" si="1144"/>
        <v>0</v>
      </c>
    </row>
    <row r="599" spans="1:48" ht="25.15" hidden="1" customHeight="1">
      <c r="A599" s="103"/>
      <c r="B599" s="65"/>
      <c r="C599" s="77">
        <v>300000</v>
      </c>
      <c r="D599" s="78" t="s">
        <v>107</v>
      </c>
      <c r="E599" s="1327">
        <v>1</v>
      </c>
      <c r="F599" s="1097">
        <v>1</v>
      </c>
      <c r="G599" s="1205">
        <v>1</v>
      </c>
      <c r="H599" s="1097">
        <v>1</v>
      </c>
      <c r="I599" s="1097">
        <v>1</v>
      </c>
      <c r="J599" s="1205">
        <v>1</v>
      </c>
      <c r="K599" s="1205">
        <v>1</v>
      </c>
      <c r="L599" s="1097">
        <v>1</v>
      </c>
      <c r="M599" s="1097">
        <v>1</v>
      </c>
      <c r="N599" s="1097">
        <v>1</v>
      </c>
      <c r="O599" s="1097">
        <v>1</v>
      </c>
      <c r="P599" s="1097">
        <v>1</v>
      </c>
      <c r="Q599" s="1205">
        <v>1</v>
      </c>
      <c r="R599" s="1205">
        <v>1</v>
      </c>
      <c r="S599" s="1097">
        <v>1</v>
      </c>
      <c r="T599" s="1097">
        <v>1</v>
      </c>
      <c r="U599" s="1097">
        <v>1</v>
      </c>
      <c r="V599" s="1097">
        <v>1</v>
      </c>
      <c r="W599" s="1097">
        <v>1</v>
      </c>
      <c r="X599" s="1205">
        <v>1</v>
      </c>
      <c r="Y599" s="1205">
        <v>1</v>
      </c>
      <c r="Z599" s="1097">
        <v>1</v>
      </c>
      <c r="AA599" s="1097">
        <v>1</v>
      </c>
      <c r="AB599" s="1097">
        <v>1</v>
      </c>
      <c r="AC599" s="1097">
        <v>1</v>
      </c>
      <c r="AD599" s="1097">
        <v>1</v>
      </c>
      <c r="AE599" s="1205">
        <v>1</v>
      </c>
      <c r="AF599" s="1205">
        <v>1</v>
      </c>
      <c r="AG599" s="1097">
        <v>1</v>
      </c>
      <c r="AH599" s="1097">
        <v>1</v>
      </c>
      <c r="AI599" s="1328">
        <v>1</v>
      </c>
      <c r="AJ599" s="79"/>
      <c r="AK599" s="79"/>
      <c r="AL599" s="55"/>
      <c r="AM599" s="1067">
        <f t="shared" si="1138"/>
        <v>0</v>
      </c>
      <c r="AN599" s="31"/>
      <c r="AO599" s="622"/>
      <c r="AP599" s="23"/>
      <c r="AQ599" s="23"/>
      <c r="AR599" s="23"/>
      <c r="AS599" s="23"/>
      <c r="AT599" s="23"/>
      <c r="AU599" s="23"/>
      <c r="AV599" s="23"/>
    </row>
    <row r="600" spans="1:48" ht="25.15" hidden="1" customHeight="1">
      <c r="A600" s="103"/>
      <c r="B600" s="65"/>
      <c r="C600" s="80" t="s">
        <v>108</v>
      </c>
      <c r="D600" s="81" t="s">
        <v>109</v>
      </c>
      <c r="E600" s="1374">
        <f>SUM(E594+E596+E597+E598)/E599</f>
        <v>0</v>
      </c>
      <c r="F600" s="1104">
        <f>SUM(F594+F596+F597+F598)/F599</f>
        <v>0</v>
      </c>
      <c r="G600" s="1211">
        <f>SUM(G594+G596+G597+G598)/G599</f>
        <v>0</v>
      </c>
      <c r="H600" s="1104">
        <f t="shared" ref="H600:AH600" si="1148">SUM(H594+H596+H597+H598)/H599</f>
        <v>0</v>
      </c>
      <c r="I600" s="1104">
        <f t="shared" si="1148"/>
        <v>0</v>
      </c>
      <c r="J600" s="1211">
        <f t="shared" si="1148"/>
        <v>0</v>
      </c>
      <c r="K600" s="1211">
        <f t="shared" si="1148"/>
        <v>0</v>
      </c>
      <c r="L600" s="1104">
        <f t="shared" si="1148"/>
        <v>0</v>
      </c>
      <c r="M600" s="1104">
        <f t="shared" si="1148"/>
        <v>0</v>
      </c>
      <c r="N600" s="1104">
        <f t="shared" si="1148"/>
        <v>0</v>
      </c>
      <c r="O600" s="1104">
        <f t="shared" si="1148"/>
        <v>0</v>
      </c>
      <c r="P600" s="1104">
        <f t="shared" si="1148"/>
        <v>0</v>
      </c>
      <c r="Q600" s="1211">
        <f t="shared" si="1148"/>
        <v>0</v>
      </c>
      <c r="R600" s="1211">
        <f t="shared" si="1148"/>
        <v>0</v>
      </c>
      <c r="S600" s="1104">
        <f t="shared" si="1148"/>
        <v>0</v>
      </c>
      <c r="T600" s="1104">
        <f t="shared" si="1148"/>
        <v>0</v>
      </c>
      <c r="U600" s="1104">
        <f t="shared" si="1148"/>
        <v>0</v>
      </c>
      <c r="V600" s="1104">
        <f t="shared" si="1148"/>
        <v>0</v>
      </c>
      <c r="W600" s="1104">
        <f t="shared" si="1148"/>
        <v>0</v>
      </c>
      <c r="X600" s="1211">
        <f t="shared" si="1148"/>
        <v>0</v>
      </c>
      <c r="Y600" s="1211">
        <f t="shared" si="1148"/>
        <v>0</v>
      </c>
      <c r="Z600" s="1104">
        <f t="shared" si="1148"/>
        <v>0</v>
      </c>
      <c r="AA600" s="1104">
        <f t="shared" si="1148"/>
        <v>0</v>
      </c>
      <c r="AB600" s="1104">
        <f t="shared" si="1148"/>
        <v>0</v>
      </c>
      <c r="AC600" s="1104">
        <f t="shared" si="1148"/>
        <v>0</v>
      </c>
      <c r="AD600" s="1104">
        <f t="shared" si="1148"/>
        <v>0</v>
      </c>
      <c r="AE600" s="1211">
        <f t="shared" si="1148"/>
        <v>0</v>
      </c>
      <c r="AF600" s="1211">
        <f t="shared" si="1148"/>
        <v>0</v>
      </c>
      <c r="AG600" s="1104">
        <f t="shared" si="1148"/>
        <v>0</v>
      </c>
      <c r="AH600" s="1104">
        <f t="shared" si="1148"/>
        <v>0</v>
      </c>
      <c r="AI600" s="1335">
        <f>SUM(AI594+AI596+AI597)/AI599</f>
        <v>0</v>
      </c>
      <c r="AJ600" s="104">
        <f>SUM(E600:AI600)</f>
        <v>0</v>
      </c>
      <c r="AK600" s="104"/>
      <c r="AL600" s="83"/>
      <c r="AM600" s="1068">
        <f t="shared" si="1138"/>
        <v>0</v>
      </c>
      <c r="AN600" s="31"/>
      <c r="AO600" s="622"/>
      <c r="AP600" s="23"/>
      <c r="AQ600" s="23"/>
      <c r="AR600" s="23"/>
      <c r="AS600" s="23"/>
      <c r="AT600" s="23"/>
      <c r="AU600" s="23"/>
      <c r="AV600" s="23"/>
    </row>
    <row r="601" spans="1:48" ht="25.15" hidden="1" customHeight="1">
      <c r="A601" s="103"/>
      <c r="B601" s="59"/>
      <c r="C601" s="84">
        <f>+C599*0.8</f>
        <v>240000</v>
      </c>
      <c r="D601" s="85" t="s">
        <v>110</v>
      </c>
      <c r="E601" s="1105"/>
      <c r="F601" s="1106"/>
      <c r="G601" s="1211"/>
      <c r="H601" s="1104"/>
      <c r="I601" s="1104"/>
      <c r="J601" s="1211"/>
      <c r="K601" s="1211"/>
      <c r="L601" s="1104"/>
      <c r="M601" s="1104"/>
      <c r="N601" s="1104"/>
      <c r="O601" s="1107"/>
      <c r="P601" s="1104"/>
      <c r="Q601" s="1211"/>
      <c r="R601" s="1211"/>
      <c r="S601" s="1104"/>
      <c r="T601" s="1104"/>
      <c r="U601" s="1104"/>
      <c r="V601" s="1104"/>
      <c r="W601" s="1104"/>
      <c r="X601" s="1211"/>
      <c r="Y601" s="1211"/>
      <c r="Z601" s="1104"/>
      <c r="AA601" s="1104"/>
      <c r="AB601" s="1104"/>
      <c r="AC601" s="1104"/>
      <c r="AD601" s="1104"/>
      <c r="AE601" s="1211"/>
      <c r="AF601" s="1211"/>
      <c r="AG601" s="1104"/>
      <c r="AH601" s="1104"/>
      <c r="AI601" s="1353"/>
      <c r="AJ601" s="86"/>
      <c r="AK601" s="86"/>
      <c r="AL601" s="690"/>
      <c r="AM601" s="694">
        <f t="shared" si="1138"/>
        <v>0</v>
      </c>
      <c r="AN601" s="31"/>
      <c r="AO601" s="622"/>
      <c r="AP601" s="23"/>
      <c r="AQ601" s="23"/>
      <c r="AR601" s="23"/>
      <c r="AS601" s="23"/>
      <c r="AT601" s="23"/>
      <c r="AU601" s="23"/>
      <c r="AV601" s="23"/>
    </row>
    <row r="602" spans="1:48" ht="24" hidden="1" customHeight="1">
      <c r="A602" s="103"/>
      <c r="B602" s="105"/>
      <c r="C602" s="77"/>
      <c r="D602" s="88" t="s">
        <v>111</v>
      </c>
      <c r="E602" s="1108">
        <f>IF(E601="O/H",E600,0+E600)</f>
        <v>0</v>
      </c>
      <c r="F602" s="1089">
        <f t="shared" ref="F602:AI602" si="1149">IF(F601="O/H",F600,+E602+F600)</f>
        <v>0</v>
      </c>
      <c r="G602" s="44">
        <f t="shared" si="1149"/>
        <v>0</v>
      </c>
      <c r="H602" s="1089">
        <f t="shared" si="1149"/>
        <v>0</v>
      </c>
      <c r="I602" s="1089">
        <f t="shared" si="1149"/>
        <v>0</v>
      </c>
      <c r="J602" s="44">
        <f t="shared" si="1149"/>
        <v>0</v>
      </c>
      <c r="K602" s="44">
        <f t="shared" si="1149"/>
        <v>0</v>
      </c>
      <c r="L602" s="1089">
        <f t="shared" si="1149"/>
        <v>0</v>
      </c>
      <c r="M602" s="1089">
        <f t="shared" si="1149"/>
        <v>0</v>
      </c>
      <c r="N602" s="1089">
        <f t="shared" si="1149"/>
        <v>0</v>
      </c>
      <c r="O602" s="1089">
        <f t="shared" si="1149"/>
        <v>0</v>
      </c>
      <c r="P602" s="1089">
        <f t="shared" si="1149"/>
        <v>0</v>
      </c>
      <c r="Q602" s="44">
        <f t="shared" si="1149"/>
        <v>0</v>
      </c>
      <c r="R602" s="44">
        <f t="shared" si="1149"/>
        <v>0</v>
      </c>
      <c r="S602" s="1089">
        <f t="shared" si="1149"/>
        <v>0</v>
      </c>
      <c r="T602" s="1089">
        <f t="shared" si="1149"/>
        <v>0</v>
      </c>
      <c r="U602" s="1089">
        <f t="shared" si="1149"/>
        <v>0</v>
      </c>
      <c r="V602" s="1089">
        <f t="shared" si="1149"/>
        <v>0</v>
      </c>
      <c r="W602" s="1089">
        <f t="shared" si="1149"/>
        <v>0</v>
      </c>
      <c r="X602" s="44">
        <f t="shared" si="1149"/>
        <v>0</v>
      </c>
      <c r="Y602" s="44">
        <f t="shared" si="1149"/>
        <v>0</v>
      </c>
      <c r="Z602" s="1089">
        <f t="shared" si="1149"/>
        <v>0</v>
      </c>
      <c r="AA602" s="1089">
        <f t="shared" si="1149"/>
        <v>0</v>
      </c>
      <c r="AB602" s="1089">
        <f t="shared" si="1149"/>
        <v>0</v>
      </c>
      <c r="AC602" s="1089">
        <f t="shared" si="1149"/>
        <v>0</v>
      </c>
      <c r="AD602" s="1089">
        <f t="shared" si="1149"/>
        <v>0</v>
      </c>
      <c r="AE602" s="44">
        <f t="shared" si="1149"/>
        <v>0</v>
      </c>
      <c r="AF602" s="44">
        <f t="shared" si="1149"/>
        <v>0</v>
      </c>
      <c r="AG602" s="1089">
        <f t="shared" si="1149"/>
        <v>0</v>
      </c>
      <c r="AH602" s="1089">
        <f t="shared" si="1149"/>
        <v>0</v>
      </c>
      <c r="AI602" s="1326">
        <f t="shared" si="1149"/>
        <v>0</v>
      </c>
      <c r="AJ602" s="79"/>
      <c r="AK602" s="86"/>
      <c r="AL602" s="689"/>
      <c r="AM602" s="694">
        <f t="shared" si="1138"/>
        <v>0</v>
      </c>
      <c r="AN602" s="31"/>
      <c r="AO602" s="622"/>
      <c r="AP602" s="23"/>
      <c r="AQ602" s="23"/>
      <c r="AR602" s="23"/>
      <c r="AS602" s="23"/>
      <c r="AT602" s="23"/>
      <c r="AU602" s="23"/>
      <c r="AV602" s="23"/>
    </row>
    <row r="603" spans="1:48" s="23" customFormat="1" ht="20.65" hidden="1" customHeight="1">
      <c r="A603" s="274"/>
      <c r="B603" s="312"/>
      <c r="C603" s="308"/>
      <c r="D603" s="795" t="s">
        <v>112</v>
      </c>
      <c r="E603" s="1108" t="b">
        <f>IF(AND(ISNUMBER(E594)),305845+E600)</f>
        <v>0</v>
      </c>
      <c r="F603" s="1089" t="str">
        <f>IF(AND(ISNUMBER(F594)),E603+F600,"")</f>
        <v/>
      </c>
      <c r="G603" s="44" t="str">
        <f t="shared" ref="G603" si="1150">IF(AND(ISNUMBER(G594)),F603+G600,"")</f>
        <v/>
      </c>
      <c r="H603" s="1089" t="str">
        <f t="shared" ref="H603" si="1151">IF(AND(ISNUMBER(H594)),G603+H600,"")</f>
        <v/>
      </c>
      <c r="I603" s="1089" t="str">
        <f>IF(AND(ISNUMBER(I594)),H603+I600,"")</f>
        <v/>
      </c>
      <c r="J603" s="44" t="str">
        <f>IF(AND(ISNUMBER(J594)),I603+J600,"")</f>
        <v/>
      </c>
      <c r="K603" s="44" t="str">
        <f>IF(AND(ISNUMBER(K594)),J603+K600,"")</f>
        <v/>
      </c>
      <c r="L603" s="1089" t="str">
        <f t="shared" ref="L603" si="1152">IF(AND(ISNUMBER(L594)),K603+L600,"")</f>
        <v/>
      </c>
      <c r="M603" s="1089" t="str">
        <f t="shared" ref="M603" si="1153">IF(AND(ISNUMBER(M594)),L603+M600,"")</f>
        <v/>
      </c>
      <c r="N603" s="1089" t="str">
        <f t="shared" ref="N603" si="1154">IF(AND(ISNUMBER(N594)),M603+N600,"")</f>
        <v/>
      </c>
      <c r="O603" s="1089" t="str">
        <f t="shared" ref="O603" si="1155">IF(AND(ISNUMBER(O594)),N603+O600,"")</f>
        <v/>
      </c>
      <c r="P603" s="1089" t="str">
        <f t="shared" ref="P603" si="1156">IF(AND(ISNUMBER(P594)),O603+P600,"")</f>
        <v/>
      </c>
      <c r="Q603" s="44" t="str">
        <f t="shared" ref="Q603" si="1157">IF(AND(ISNUMBER(Q594)),P603+Q600,"")</f>
        <v/>
      </c>
      <c r="R603" s="44" t="str">
        <f t="shared" ref="R603" si="1158">IF(AND(ISNUMBER(R594)),Q603+R600,"")</f>
        <v/>
      </c>
      <c r="S603" s="1089" t="str">
        <f t="shared" ref="S603" si="1159">IF(AND(ISNUMBER(S594)),R603+S600,"")</f>
        <v/>
      </c>
      <c r="T603" s="1089" t="str">
        <f t="shared" ref="T603" si="1160">IF(AND(ISNUMBER(T594)),S603+T600,"")</f>
        <v/>
      </c>
      <c r="U603" s="1089" t="str">
        <f t="shared" ref="U603" si="1161">IF(AND(ISNUMBER(U594)),T603+U600,"")</f>
        <v/>
      </c>
      <c r="V603" s="1089" t="str">
        <f t="shared" ref="V603" si="1162">IF(AND(ISNUMBER(V594)),U603+V600,"")</f>
        <v/>
      </c>
      <c r="W603" s="1089" t="str">
        <f t="shared" ref="W603" si="1163">IF(AND(ISNUMBER(W594)),V603+W600,"")</f>
        <v/>
      </c>
      <c r="X603" s="44" t="str">
        <f t="shared" ref="X603" si="1164">IF(AND(ISNUMBER(X594)),W603+X600,"")</f>
        <v/>
      </c>
      <c r="Y603" s="44" t="str">
        <f t="shared" ref="Y603" si="1165">IF(AND(ISNUMBER(Y594)),X603+Y600,"")</f>
        <v/>
      </c>
      <c r="Z603" s="1089" t="str">
        <f t="shared" ref="Z603" si="1166">IF(AND(ISNUMBER(Z594)),Y603+Z600,"")</f>
        <v/>
      </c>
      <c r="AA603" s="1089" t="str">
        <f t="shared" ref="AA603" si="1167">IF(AND(ISNUMBER(AA594)),Z603+AA600,"")</f>
        <v/>
      </c>
      <c r="AB603" s="1089" t="str">
        <f t="shared" ref="AB603" si="1168">IF(AND(ISNUMBER(AB594)),AA603+AB600,"")</f>
        <v/>
      </c>
      <c r="AC603" s="1089" t="str">
        <f t="shared" ref="AC603" si="1169">IF(AND(ISNUMBER(AC594)),AB603+AC600,"")</f>
        <v/>
      </c>
      <c r="AD603" s="1089" t="str">
        <f t="shared" ref="AD603" si="1170">IF(AND(ISNUMBER(AD594)),AC603+AD600,"")</f>
        <v/>
      </c>
      <c r="AE603" s="44" t="str">
        <f t="shared" ref="AE603" si="1171">IF(AND(ISNUMBER(AE594)),AD603+AE600,"")</f>
        <v/>
      </c>
      <c r="AF603" s="44" t="str">
        <f t="shared" ref="AF603" si="1172">IF(AND(ISNUMBER(AF594)),AE603+AF600,"")</f>
        <v/>
      </c>
      <c r="AG603" s="1089" t="str">
        <f t="shared" ref="AG603" si="1173">IF(AND(ISNUMBER(AG594)),AF603+AG600,"")</f>
        <v/>
      </c>
      <c r="AH603" s="1089" t="str">
        <f t="shared" ref="AH603" si="1174">IF(AND(ISNUMBER(AH594)),AG603+AH600,"")</f>
        <v/>
      </c>
      <c r="AI603" s="1089" t="str">
        <f t="shared" ref="AI603" si="1175">IF(AND(ISNUMBER(AI594)),AH603+AI600,"")</f>
        <v/>
      </c>
      <c r="AJ603" s="793"/>
      <c r="AK603" s="793"/>
      <c r="AL603" s="909"/>
      <c r="AM603" s="890">
        <f t="shared" si="1138"/>
        <v>0</v>
      </c>
      <c r="AN603" s="76"/>
      <c r="AO603" s="624"/>
      <c r="AP603" s="285"/>
      <c r="AQ603" s="285"/>
      <c r="AR603" s="285"/>
      <c r="AS603" s="285"/>
      <c r="AT603" s="286"/>
      <c r="AU603" s="285"/>
      <c r="AV603" s="287"/>
    </row>
    <row r="604" spans="1:48" ht="25.15" hidden="1" customHeight="1">
      <c r="A604" s="103"/>
      <c r="B604" s="89"/>
      <c r="C604" s="80"/>
      <c r="D604" s="90" t="s">
        <v>104</v>
      </c>
      <c r="E604" s="1108"/>
      <c r="F604" s="1089"/>
      <c r="G604" s="44"/>
      <c r="H604" s="1089"/>
      <c r="I604" s="1089"/>
      <c r="J604" s="44"/>
      <c r="K604" s="44"/>
      <c r="L604" s="1089"/>
      <c r="M604" s="1089"/>
      <c r="N604" s="1089"/>
      <c r="O604" s="1089"/>
      <c r="P604" s="1089"/>
      <c r="Q604" s="44"/>
      <c r="R604" s="44"/>
      <c r="S604" s="1089"/>
      <c r="T604" s="1089"/>
      <c r="U604" s="1089"/>
      <c r="V604" s="1089"/>
      <c r="W604" s="1089"/>
      <c r="X604" s="44"/>
      <c r="Y604" s="44"/>
      <c r="Z604" s="1089"/>
      <c r="AA604" s="1089"/>
      <c r="AB604" s="1089"/>
      <c r="AC604" s="1089"/>
      <c r="AD604" s="1089"/>
      <c r="AE604" s="44"/>
      <c r="AF604" s="44"/>
      <c r="AG604" s="1089"/>
      <c r="AH604" s="1089"/>
      <c r="AI604" s="1326"/>
      <c r="AJ604" s="79"/>
      <c r="AK604" s="79"/>
      <c r="AL604" s="63"/>
      <c r="AM604" s="1068">
        <f t="shared" si="1138"/>
        <v>0</v>
      </c>
      <c r="AN604" s="64"/>
      <c r="AO604" s="624"/>
      <c r="AP604" s="23"/>
      <c r="AQ604" s="23"/>
      <c r="AR604" s="23"/>
      <c r="AS604" s="23"/>
      <c r="AT604" s="23"/>
      <c r="AU604" s="23"/>
      <c r="AV604" s="23"/>
    </row>
    <row r="605" spans="1:48" ht="25.15" hidden="1" customHeight="1" thickBot="1">
      <c r="A605" s="106"/>
      <c r="B605" s="93"/>
      <c r="C605" s="94"/>
      <c r="D605" s="95" t="s">
        <v>111</v>
      </c>
      <c r="E605" s="1109">
        <f>IF(E604="O/H",E600,55890+E600)</f>
        <v>55890</v>
      </c>
      <c r="F605" s="1110">
        <f t="shared" ref="F605:AI605" si="1176">IF(F604="O/H",F600,+E605+F600)</f>
        <v>55890</v>
      </c>
      <c r="G605" s="1212">
        <f t="shared" si="1176"/>
        <v>55890</v>
      </c>
      <c r="H605" s="1110">
        <f t="shared" si="1176"/>
        <v>55890</v>
      </c>
      <c r="I605" s="1110">
        <f t="shared" si="1176"/>
        <v>55890</v>
      </c>
      <c r="J605" s="1212">
        <f t="shared" si="1176"/>
        <v>55890</v>
      </c>
      <c r="K605" s="1212">
        <f t="shared" si="1176"/>
        <v>55890</v>
      </c>
      <c r="L605" s="1110">
        <f t="shared" si="1176"/>
        <v>55890</v>
      </c>
      <c r="M605" s="1110">
        <f t="shared" si="1176"/>
        <v>55890</v>
      </c>
      <c r="N605" s="1110">
        <f t="shared" si="1176"/>
        <v>55890</v>
      </c>
      <c r="O605" s="1110">
        <f t="shared" si="1176"/>
        <v>55890</v>
      </c>
      <c r="P605" s="1110">
        <f t="shared" si="1176"/>
        <v>55890</v>
      </c>
      <c r="Q605" s="1212">
        <f t="shared" si="1176"/>
        <v>55890</v>
      </c>
      <c r="R605" s="1212">
        <f t="shared" si="1176"/>
        <v>55890</v>
      </c>
      <c r="S605" s="1110">
        <f t="shared" si="1176"/>
        <v>55890</v>
      </c>
      <c r="T605" s="1110">
        <f t="shared" si="1176"/>
        <v>55890</v>
      </c>
      <c r="U605" s="1110">
        <f t="shared" si="1176"/>
        <v>55890</v>
      </c>
      <c r="V605" s="1110">
        <f t="shared" si="1176"/>
        <v>55890</v>
      </c>
      <c r="W605" s="1110">
        <f t="shared" si="1176"/>
        <v>55890</v>
      </c>
      <c r="X605" s="1212">
        <f t="shared" si="1176"/>
        <v>55890</v>
      </c>
      <c r="Y605" s="1212">
        <f t="shared" si="1176"/>
        <v>55890</v>
      </c>
      <c r="Z605" s="1110">
        <f t="shared" si="1176"/>
        <v>55890</v>
      </c>
      <c r="AA605" s="1110">
        <f t="shared" si="1176"/>
        <v>55890</v>
      </c>
      <c r="AB605" s="1110">
        <f t="shared" si="1176"/>
        <v>55890</v>
      </c>
      <c r="AC605" s="1110">
        <f t="shared" si="1176"/>
        <v>55890</v>
      </c>
      <c r="AD605" s="1110">
        <f t="shared" si="1176"/>
        <v>55890</v>
      </c>
      <c r="AE605" s="1212">
        <f t="shared" si="1176"/>
        <v>55890</v>
      </c>
      <c r="AF605" s="1212">
        <f t="shared" si="1176"/>
        <v>55890</v>
      </c>
      <c r="AG605" s="1110">
        <f t="shared" si="1176"/>
        <v>55890</v>
      </c>
      <c r="AH605" s="1110">
        <f t="shared" si="1176"/>
        <v>55890</v>
      </c>
      <c r="AI605" s="1340">
        <f t="shared" si="1176"/>
        <v>55890</v>
      </c>
      <c r="AJ605" s="96"/>
      <c r="AK605" s="96"/>
      <c r="AL605" s="97"/>
      <c r="AM605" s="1071">
        <f t="shared" si="1138"/>
        <v>0</v>
      </c>
      <c r="AN605" s="98"/>
      <c r="AO605" s="625"/>
      <c r="AP605" s="23"/>
      <c r="AQ605" s="23"/>
      <c r="AR605" s="23"/>
      <c r="AS605" s="23"/>
      <c r="AT605" s="23"/>
      <c r="AU605" s="23"/>
      <c r="AV605" s="23"/>
    </row>
    <row r="606" spans="1:48" ht="25.15" hidden="1" customHeight="1" thickTop="1">
      <c r="A606" s="99"/>
      <c r="B606" s="26" t="s">
        <v>148</v>
      </c>
      <c r="C606" s="27"/>
      <c r="D606" s="28" t="s">
        <v>82</v>
      </c>
      <c r="E606" s="1111"/>
      <c r="F606" s="1111"/>
      <c r="G606" s="1201"/>
      <c r="H606" s="1111"/>
      <c r="I606" s="1111"/>
      <c r="J606" s="1201"/>
      <c r="K606" s="1201"/>
      <c r="L606" s="1111"/>
      <c r="M606" s="1111"/>
      <c r="N606" s="1111"/>
      <c r="O606" s="1111"/>
      <c r="P606" s="1111"/>
      <c r="Q606" s="1201"/>
      <c r="R606" s="1201"/>
      <c r="S606" s="1111"/>
      <c r="T606" s="1111"/>
      <c r="U606" s="1111"/>
      <c r="V606" s="1111"/>
      <c r="W606" s="1111"/>
      <c r="X606" s="1201"/>
      <c r="Y606" s="1201"/>
      <c r="Z606" s="1111"/>
      <c r="AA606" s="1111"/>
      <c r="AB606" s="1111"/>
      <c r="AC606" s="1111"/>
      <c r="AD606" s="1111"/>
      <c r="AE606" s="1201"/>
      <c r="AF606" s="1201"/>
      <c r="AG606" s="1111"/>
      <c r="AH606" s="1111"/>
      <c r="AI606" s="1111">
        <v>0</v>
      </c>
      <c r="AJ606" s="100">
        <f>SUM(Table75[[#This Row],[June''2026]:[Column27]])</f>
        <v>0</v>
      </c>
      <c r="AK606" s="100">
        <f t="shared" si="1142"/>
        <v>0</v>
      </c>
      <c r="AL606" s="101">
        <f>+AJ606*AN606</f>
        <v>0</v>
      </c>
      <c r="AM606" s="1072">
        <f t="shared" si="1138"/>
        <v>0</v>
      </c>
      <c r="AN606" s="102"/>
      <c r="AO606" s="622" t="e">
        <f>Table5[[#This Row],[Total]]*B610/1000</f>
        <v>#VALUE!</v>
      </c>
      <c r="AP606" s="32" t="s">
        <v>145</v>
      </c>
      <c r="AQ606" s="33" t="s">
        <v>84</v>
      </c>
      <c r="AR606" s="33" t="s">
        <v>85</v>
      </c>
      <c r="AS606" s="33" t="s">
        <v>86</v>
      </c>
      <c r="AT606" s="33" t="s">
        <v>87</v>
      </c>
      <c r="AU606" s="33" t="s">
        <v>88</v>
      </c>
      <c r="AV606" s="34" t="s">
        <v>68</v>
      </c>
    </row>
    <row r="607" spans="1:48" ht="25.15" hidden="1" customHeight="1">
      <c r="A607" s="103"/>
      <c r="B607" s="35" t="s">
        <v>149</v>
      </c>
      <c r="C607" s="36"/>
      <c r="D607" s="37" t="s">
        <v>90</v>
      </c>
      <c r="E607" s="1373">
        <f>IF(E606="",0,+ E606/E613)</f>
        <v>0</v>
      </c>
      <c r="F607" s="1096">
        <f t="shared" ref="F607:AI607" si="1177">IF(F606="",0, E607+F606/F613)</f>
        <v>0</v>
      </c>
      <c r="G607" s="1207">
        <f t="shared" si="1177"/>
        <v>0</v>
      </c>
      <c r="H607" s="1096">
        <f t="shared" si="1177"/>
        <v>0</v>
      </c>
      <c r="I607" s="1096">
        <f t="shared" si="1177"/>
        <v>0</v>
      </c>
      <c r="J607" s="1207">
        <f t="shared" si="1177"/>
        <v>0</v>
      </c>
      <c r="K607" s="1207">
        <f t="shared" si="1177"/>
        <v>0</v>
      </c>
      <c r="L607" s="1096">
        <f t="shared" si="1177"/>
        <v>0</v>
      </c>
      <c r="M607" s="1096">
        <f t="shared" si="1177"/>
        <v>0</v>
      </c>
      <c r="N607" s="1096">
        <f t="shared" si="1177"/>
        <v>0</v>
      </c>
      <c r="O607" s="1096">
        <f t="shared" si="1177"/>
        <v>0</v>
      </c>
      <c r="P607" s="1096">
        <f t="shared" si="1177"/>
        <v>0</v>
      </c>
      <c r="Q607" s="1207">
        <f t="shared" si="1177"/>
        <v>0</v>
      </c>
      <c r="R607" s="1207">
        <f t="shared" si="1177"/>
        <v>0</v>
      </c>
      <c r="S607" s="1096">
        <f t="shared" si="1177"/>
        <v>0</v>
      </c>
      <c r="T607" s="1096">
        <f t="shared" si="1177"/>
        <v>0</v>
      </c>
      <c r="U607" s="1096">
        <f t="shared" si="1177"/>
        <v>0</v>
      </c>
      <c r="V607" s="1096">
        <f t="shared" si="1177"/>
        <v>0</v>
      </c>
      <c r="W607" s="1096">
        <f t="shared" si="1177"/>
        <v>0</v>
      </c>
      <c r="X607" s="1207">
        <f t="shared" si="1177"/>
        <v>0</v>
      </c>
      <c r="Y607" s="1207">
        <f t="shared" si="1177"/>
        <v>0</v>
      </c>
      <c r="Z607" s="1096">
        <f t="shared" si="1177"/>
        <v>0</v>
      </c>
      <c r="AA607" s="1096">
        <f t="shared" si="1177"/>
        <v>0</v>
      </c>
      <c r="AB607" s="1096">
        <f t="shared" si="1177"/>
        <v>0</v>
      </c>
      <c r="AC607" s="1096">
        <f t="shared" si="1177"/>
        <v>0</v>
      </c>
      <c r="AD607" s="1096">
        <f t="shared" si="1177"/>
        <v>0</v>
      </c>
      <c r="AE607" s="1207">
        <f t="shared" si="1177"/>
        <v>0</v>
      </c>
      <c r="AF607" s="1207">
        <f t="shared" si="1177"/>
        <v>0</v>
      </c>
      <c r="AG607" s="1096">
        <f t="shared" si="1177"/>
        <v>0</v>
      </c>
      <c r="AH607" s="1096">
        <f t="shared" si="1177"/>
        <v>0</v>
      </c>
      <c r="AI607" s="1324">
        <f t="shared" si="1177"/>
        <v>0</v>
      </c>
      <c r="AJ607" s="38"/>
      <c r="AK607" s="29"/>
      <c r="AL607" s="30"/>
      <c r="AM607" s="694">
        <f t="shared" si="1138"/>
        <v>0</v>
      </c>
      <c r="AN607" s="31"/>
      <c r="AO607" s="630"/>
      <c r="AP607" s="39" t="s">
        <v>91</v>
      </c>
      <c r="AQ607" s="40">
        <f>SUM(E606:I606)</f>
        <v>0</v>
      </c>
      <c r="AR607" s="41">
        <f>SUM(J606:P606)</f>
        <v>0</v>
      </c>
      <c r="AS607" s="41">
        <f>SUM(Q606:W606)</f>
        <v>0</v>
      </c>
      <c r="AT607" s="41">
        <f>SUM(X606:AD606)</f>
        <v>0</v>
      </c>
      <c r="AU607" s="41">
        <f>SUM(AE606:AI606)</f>
        <v>0</v>
      </c>
      <c r="AV607" s="34">
        <f t="shared" ref="AV607:AV612" si="1178">SUM(AQ607:AU607)</f>
        <v>0</v>
      </c>
    </row>
    <row r="608" spans="1:48" ht="25.15" hidden="1" customHeight="1">
      <c r="A608" s="103"/>
      <c r="B608" s="26" t="s">
        <v>92</v>
      </c>
      <c r="C608" s="42"/>
      <c r="D608" s="43" t="s">
        <v>93</v>
      </c>
      <c r="E608" s="1325"/>
      <c r="F608" s="1089"/>
      <c r="G608" s="44"/>
      <c r="H608" s="1089"/>
      <c r="I608" s="1089"/>
      <c r="J608" s="44"/>
      <c r="K608" s="44"/>
      <c r="L608" s="1089"/>
      <c r="M608" s="1089"/>
      <c r="N608" s="1089"/>
      <c r="O608" s="1089"/>
      <c r="P608" s="1089"/>
      <c r="Q608" s="44"/>
      <c r="R608" s="44"/>
      <c r="S608" s="1089"/>
      <c r="T608" s="1089"/>
      <c r="U608" s="1089"/>
      <c r="V608" s="1089"/>
      <c r="W608" s="1089"/>
      <c r="X608" s="44"/>
      <c r="Y608" s="44"/>
      <c r="Z608" s="1089"/>
      <c r="AA608" s="1089"/>
      <c r="AB608" s="1089"/>
      <c r="AC608" s="1089"/>
      <c r="AD608" s="1089"/>
      <c r="AE608" s="44"/>
      <c r="AF608" s="44"/>
      <c r="AG608" s="1089"/>
      <c r="AH608" s="1089"/>
      <c r="AI608" s="1326"/>
      <c r="AJ608" s="45">
        <f>SUM(E608:AI608)</f>
        <v>0</v>
      </c>
      <c r="AK608" s="45"/>
      <c r="AL608" s="46">
        <f>+AJ608*AN606</f>
        <v>0</v>
      </c>
      <c r="AM608" s="1066">
        <f t="shared" si="1138"/>
        <v>0</v>
      </c>
      <c r="AN608" s="31"/>
      <c r="AO608" s="632">
        <f>(AJ608+AJ610+AJ611+AJ612)*B610/1000</f>
        <v>0</v>
      </c>
      <c r="AP608" s="47" t="s">
        <v>94</v>
      </c>
      <c r="AQ608" s="48">
        <f>SUM(E608:I608)</f>
        <v>0</v>
      </c>
      <c r="AR608" s="49">
        <f>SUM(J608:P608)</f>
        <v>0</v>
      </c>
      <c r="AS608" s="49">
        <f>SUM(Q608:W608)</f>
        <v>0</v>
      </c>
      <c r="AT608" s="49">
        <f>SUM(X608:AD608)</f>
        <v>0</v>
      </c>
      <c r="AU608" s="49">
        <f>SUM(AE608:AI608)</f>
        <v>0</v>
      </c>
      <c r="AV608" s="50">
        <f t="shared" si="1178"/>
        <v>0</v>
      </c>
    </row>
    <row r="609" spans="1:48" ht="25.15" hidden="1" customHeight="1">
      <c r="A609" s="103"/>
      <c r="B609" s="51"/>
      <c r="C609" s="52" t="s">
        <v>95</v>
      </c>
      <c r="D609" s="53" t="s">
        <v>96</v>
      </c>
      <c r="E609" s="1327">
        <f t="shared" ref="E609:K609" si="1179">+E608-E606</f>
        <v>0</v>
      </c>
      <c r="F609" s="1097">
        <f t="shared" si="1179"/>
        <v>0</v>
      </c>
      <c r="G609" s="1205">
        <f t="shared" si="1179"/>
        <v>0</v>
      </c>
      <c r="H609" s="1097">
        <f t="shared" si="1179"/>
        <v>0</v>
      </c>
      <c r="I609" s="1097">
        <f t="shared" si="1179"/>
        <v>0</v>
      </c>
      <c r="J609" s="1205">
        <f t="shared" si="1179"/>
        <v>0</v>
      </c>
      <c r="K609" s="1205">
        <f t="shared" si="1179"/>
        <v>0</v>
      </c>
      <c r="L609" s="1097">
        <f t="shared" ref="L609:AJ609" si="1180">+L608-L606</f>
        <v>0</v>
      </c>
      <c r="M609" s="1097">
        <f t="shared" si="1180"/>
        <v>0</v>
      </c>
      <c r="N609" s="1097">
        <f t="shared" si="1180"/>
        <v>0</v>
      </c>
      <c r="O609" s="1097">
        <f t="shared" si="1180"/>
        <v>0</v>
      </c>
      <c r="P609" s="1097">
        <v>0</v>
      </c>
      <c r="Q609" s="1205">
        <v>0</v>
      </c>
      <c r="R609" s="1205">
        <f t="shared" si="1180"/>
        <v>0</v>
      </c>
      <c r="S609" s="1097">
        <f t="shared" si="1180"/>
        <v>0</v>
      </c>
      <c r="T609" s="1097">
        <f t="shared" si="1180"/>
        <v>0</v>
      </c>
      <c r="U609" s="1097">
        <f t="shared" si="1180"/>
        <v>0</v>
      </c>
      <c r="V609" s="1097">
        <f t="shared" si="1180"/>
        <v>0</v>
      </c>
      <c r="W609" s="1097">
        <f t="shared" si="1180"/>
        <v>0</v>
      </c>
      <c r="X609" s="1205">
        <f t="shared" si="1180"/>
        <v>0</v>
      </c>
      <c r="Y609" s="1205">
        <f t="shared" si="1180"/>
        <v>0</v>
      </c>
      <c r="Z609" s="1097">
        <f t="shared" si="1180"/>
        <v>0</v>
      </c>
      <c r="AA609" s="1097">
        <f t="shared" si="1180"/>
        <v>0</v>
      </c>
      <c r="AB609" s="1097">
        <f t="shared" si="1180"/>
        <v>0</v>
      </c>
      <c r="AC609" s="1097">
        <f t="shared" si="1180"/>
        <v>0</v>
      </c>
      <c r="AD609" s="1097">
        <f t="shared" si="1180"/>
        <v>0</v>
      </c>
      <c r="AE609" s="1205">
        <f t="shared" si="1180"/>
        <v>0</v>
      </c>
      <c r="AF609" s="1205">
        <f t="shared" si="1180"/>
        <v>0</v>
      </c>
      <c r="AG609" s="1097">
        <f t="shared" si="1180"/>
        <v>0</v>
      </c>
      <c r="AH609" s="1097">
        <f t="shared" si="1180"/>
        <v>0</v>
      </c>
      <c r="AI609" s="1328">
        <f t="shared" si="1180"/>
        <v>0</v>
      </c>
      <c r="AJ609" s="54">
        <f t="shared" si="1180"/>
        <v>0</v>
      </c>
      <c r="AK609" s="54"/>
      <c r="AL609" s="55">
        <f>+AJ609*AN606</f>
        <v>0</v>
      </c>
      <c r="AM609" s="1067">
        <f t="shared" si="1138"/>
        <v>0</v>
      </c>
      <c r="AN609" s="31" t="s">
        <v>97</v>
      </c>
      <c r="AO609" s="622"/>
      <c r="AP609" s="39" t="s">
        <v>98</v>
      </c>
      <c r="AQ609" s="56">
        <f>AQ608-AQ607</f>
        <v>0</v>
      </c>
      <c r="AR609" s="70">
        <f>AR608-AR607</f>
        <v>0</v>
      </c>
      <c r="AS609" s="70">
        <f>AS608-AS607</f>
        <v>0</v>
      </c>
      <c r="AT609" s="70">
        <f>AT608-AT607</f>
        <v>0</v>
      </c>
      <c r="AU609" s="70">
        <f>AU608-AU607</f>
        <v>0</v>
      </c>
      <c r="AV609" s="57">
        <f t="shared" si="1178"/>
        <v>0</v>
      </c>
    </row>
    <row r="610" spans="1:48" ht="25.15" hidden="1" customHeight="1">
      <c r="A610" s="58"/>
      <c r="B610" s="59"/>
      <c r="C610" s="60" t="s">
        <v>100</v>
      </c>
      <c r="D610" s="61" t="s">
        <v>101</v>
      </c>
      <c r="E610" s="1329"/>
      <c r="F610" s="1099"/>
      <c r="G610" s="1208"/>
      <c r="H610" s="1099"/>
      <c r="I610" s="1099"/>
      <c r="J610" s="1208"/>
      <c r="K610" s="1208"/>
      <c r="L610" s="1099"/>
      <c r="M610" s="1099"/>
      <c r="N610" s="1099"/>
      <c r="O610" s="1099"/>
      <c r="P610" s="1099"/>
      <c r="Q610" s="1208"/>
      <c r="R610" s="1208"/>
      <c r="S610" s="1099"/>
      <c r="T610" s="1099"/>
      <c r="U610" s="1099"/>
      <c r="V610" s="1099"/>
      <c r="W610" s="1099"/>
      <c r="X610" s="1208"/>
      <c r="Y610" s="1208"/>
      <c r="Z610" s="1099"/>
      <c r="AA610" s="1099"/>
      <c r="AB610" s="1099"/>
      <c r="AC610" s="1099"/>
      <c r="AD610" s="1099"/>
      <c r="AE610" s="1208"/>
      <c r="AF610" s="1208"/>
      <c r="AG610" s="1099"/>
      <c r="AH610" s="1099"/>
      <c r="AI610" s="1330"/>
      <c r="AJ610" s="62">
        <f>SUM(E610:AI610)</f>
        <v>0</v>
      </c>
      <c r="AK610" s="62"/>
      <c r="AL610" s="63">
        <f>+AJ610*AN606</f>
        <v>0</v>
      </c>
      <c r="AM610" s="1068">
        <f t="shared" si="1138"/>
        <v>0</v>
      </c>
      <c r="AN610" s="64" t="e">
        <f>+AJ610/AJ608*100</f>
        <v>#DIV/0!</v>
      </c>
      <c r="AO610" s="635" t="e">
        <f>AO608/AO606</f>
        <v>#VALUE!</v>
      </c>
      <c r="AP610" s="39" t="s">
        <v>102</v>
      </c>
      <c r="AQ610" s="56">
        <f>SUM(E610:I610)</f>
        <v>0</v>
      </c>
      <c r="AR610" s="70">
        <f>SUM(J610:P610)</f>
        <v>0</v>
      </c>
      <c r="AS610" s="70">
        <f>SUM(Q610:W610)</f>
        <v>0</v>
      </c>
      <c r="AT610" s="70">
        <f>SUM(X610:AD610)</f>
        <v>0</v>
      </c>
      <c r="AU610" s="70">
        <f>SUM(AE610:AI610)</f>
        <v>0</v>
      </c>
      <c r="AV610" s="57">
        <f t="shared" si="1178"/>
        <v>0</v>
      </c>
    </row>
    <row r="611" spans="1:48" ht="25.15" hidden="1" customHeight="1">
      <c r="A611" s="58" t="s">
        <v>178</v>
      </c>
      <c r="B611" s="65"/>
      <c r="C611" s="66"/>
      <c r="D611" s="67" t="s">
        <v>103</v>
      </c>
      <c r="E611" s="1331"/>
      <c r="F611" s="1101"/>
      <c r="G611" s="1209"/>
      <c r="H611" s="1101"/>
      <c r="I611" s="1101"/>
      <c r="J611" s="1209"/>
      <c r="K611" s="1209"/>
      <c r="L611" s="1101"/>
      <c r="M611" s="1101"/>
      <c r="N611" s="1101"/>
      <c r="O611" s="1101"/>
      <c r="P611" s="1101"/>
      <c r="Q611" s="1209"/>
      <c r="R611" s="1209"/>
      <c r="S611" s="1101"/>
      <c r="T611" s="1101"/>
      <c r="U611" s="1101"/>
      <c r="V611" s="1101"/>
      <c r="W611" s="1101"/>
      <c r="X611" s="1209"/>
      <c r="Y611" s="1209"/>
      <c r="Z611" s="1101"/>
      <c r="AA611" s="1101"/>
      <c r="AB611" s="1101"/>
      <c r="AC611" s="1101"/>
      <c r="AD611" s="1101"/>
      <c r="AE611" s="1209"/>
      <c r="AF611" s="1209"/>
      <c r="AG611" s="1101"/>
      <c r="AH611" s="1101"/>
      <c r="AI611" s="1332"/>
      <c r="AJ611" s="68">
        <f>SUM(E611:AI611)</f>
        <v>0</v>
      </c>
      <c r="AK611" s="68"/>
      <c r="AL611" s="69">
        <f>+AJ611*AN606</f>
        <v>0</v>
      </c>
      <c r="AM611" s="1069">
        <f t="shared" si="1138"/>
        <v>0</v>
      </c>
      <c r="AN611" s="31"/>
      <c r="AO611" s="622"/>
      <c r="AP611" s="39" t="s">
        <v>19</v>
      </c>
      <c r="AQ611" s="56">
        <f>AQ610*AN606</f>
        <v>0</v>
      </c>
      <c r="AR611" s="56">
        <f>AR610*AN606</f>
        <v>0</v>
      </c>
      <c r="AS611" s="56">
        <f>AS610*AN606</f>
        <v>0</v>
      </c>
      <c r="AT611" s="56">
        <f>AT610*AN606</f>
        <v>0</v>
      </c>
      <c r="AU611" s="56">
        <f>AU610*AN606</f>
        <v>0</v>
      </c>
      <c r="AV611" s="57">
        <f t="shared" si="1178"/>
        <v>0</v>
      </c>
    </row>
    <row r="612" spans="1:48" ht="25.15" hidden="1" customHeight="1">
      <c r="A612" s="103"/>
      <c r="B612" s="65"/>
      <c r="C612" s="72" t="s">
        <v>104</v>
      </c>
      <c r="D612" s="73" t="s">
        <v>105</v>
      </c>
      <c r="E612" s="1378"/>
      <c r="F612" s="1103"/>
      <c r="G612" s="1210"/>
      <c r="H612" s="1103"/>
      <c r="I612" s="1103"/>
      <c r="J612" s="1210"/>
      <c r="K612" s="1210"/>
      <c r="L612" s="1103"/>
      <c r="M612" s="1103"/>
      <c r="N612" s="1103"/>
      <c r="O612" s="1103"/>
      <c r="P612" s="1103"/>
      <c r="Q612" s="1210"/>
      <c r="R612" s="1210"/>
      <c r="S612" s="1103"/>
      <c r="T612" s="1103"/>
      <c r="U612" s="1103"/>
      <c r="V612" s="1103"/>
      <c r="W612" s="1103"/>
      <c r="X612" s="1210"/>
      <c r="Y612" s="1210"/>
      <c r="Z612" s="1103"/>
      <c r="AA612" s="1103"/>
      <c r="AB612" s="1103"/>
      <c r="AC612" s="1103"/>
      <c r="AD612" s="1103"/>
      <c r="AE612" s="1210"/>
      <c r="AF612" s="1210"/>
      <c r="AG612" s="1103"/>
      <c r="AH612" s="1103"/>
      <c r="AI612" s="1352"/>
      <c r="AJ612" s="74">
        <f>SUM(E612:AI612)</f>
        <v>0</v>
      </c>
      <c r="AK612" s="74"/>
      <c r="AL612" s="75">
        <f>+AJ612*AN606</f>
        <v>0</v>
      </c>
      <c r="AM612" s="1070">
        <f t="shared" si="1138"/>
        <v>0</v>
      </c>
      <c r="AN612" s="76"/>
      <c r="AO612" s="636"/>
      <c r="AP612" s="47" t="s">
        <v>106</v>
      </c>
      <c r="AQ612" s="48">
        <f>AQ608*AN606</f>
        <v>0</v>
      </c>
      <c r="AR612" s="48">
        <f>AR608*AN606</f>
        <v>0</v>
      </c>
      <c r="AS612" s="48">
        <f>AS608*AN606</f>
        <v>0</v>
      </c>
      <c r="AT612" s="48">
        <f>AT608*AN606</f>
        <v>0</v>
      </c>
      <c r="AU612" s="48">
        <f>AU608*AN606</f>
        <v>0</v>
      </c>
      <c r="AV612" s="50">
        <f t="shared" si="1178"/>
        <v>0</v>
      </c>
    </row>
    <row r="613" spans="1:48" ht="25.15" hidden="1" customHeight="1">
      <c r="A613" s="103"/>
      <c r="B613" s="65"/>
      <c r="C613" s="77">
        <v>300000</v>
      </c>
      <c r="D613" s="78" t="s">
        <v>107</v>
      </c>
      <c r="E613" s="1327">
        <v>1</v>
      </c>
      <c r="F613" s="1097">
        <v>1</v>
      </c>
      <c r="G613" s="1205">
        <v>1</v>
      </c>
      <c r="H613" s="1097">
        <v>1</v>
      </c>
      <c r="I613" s="1097">
        <v>1</v>
      </c>
      <c r="J613" s="1205">
        <v>1</v>
      </c>
      <c r="K613" s="1205">
        <v>1</v>
      </c>
      <c r="L613" s="1097">
        <v>1</v>
      </c>
      <c r="M613" s="1097">
        <v>1</v>
      </c>
      <c r="N613" s="1097">
        <v>1</v>
      </c>
      <c r="O613" s="1097">
        <v>1</v>
      </c>
      <c r="P613" s="1097">
        <v>1</v>
      </c>
      <c r="Q613" s="1205">
        <v>1</v>
      </c>
      <c r="R613" s="1205">
        <v>1</v>
      </c>
      <c r="S613" s="1097">
        <v>1</v>
      </c>
      <c r="T613" s="1097">
        <v>1</v>
      </c>
      <c r="U613" s="1097">
        <v>1</v>
      </c>
      <c r="V613" s="1097">
        <v>1</v>
      </c>
      <c r="W613" s="1097">
        <v>1</v>
      </c>
      <c r="X613" s="1205">
        <v>1</v>
      </c>
      <c r="Y613" s="1205">
        <v>1</v>
      </c>
      <c r="Z613" s="1097">
        <v>1</v>
      </c>
      <c r="AA613" s="1097">
        <v>1</v>
      </c>
      <c r="AB613" s="1097">
        <v>1</v>
      </c>
      <c r="AC613" s="1097">
        <v>1</v>
      </c>
      <c r="AD613" s="1097">
        <v>1</v>
      </c>
      <c r="AE613" s="1205">
        <v>1</v>
      </c>
      <c r="AF613" s="1205">
        <v>1</v>
      </c>
      <c r="AG613" s="1097">
        <v>1</v>
      </c>
      <c r="AH613" s="1097">
        <v>1</v>
      </c>
      <c r="AI613" s="1328">
        <v>1</v>
      </c>
      <c r="AJ613" s="79"/>
      <c r="AK613" s="79"/>
      <c r="AL613" s="55"/>
      <c r="AM613" s="1067">
        <f t="shared" si="1138"/>
        <v>0</v>
      </c>
      <c r="AN613" s="31"/>
      <c r="AO613" s="622"/>
      <c r="AP613" s="23"/>
      <c r="AQ613" s="23"/>
      <c r="AR613" s="23"/>
      <c r="AS613" s="23"/>
      <c r="AT613" s="23"/>
      <c r="AU613" s="23"/>
      <c r="AV613" s="23"/>
    </row>
    <row r="614" spans="1:48" ht="25.15" hidden="1" customHeight="1">
      <c r="A614" s="103"/>
      <c r="B614" s="65"/>
      <c r="C614" s="80" t="s">
        <v>108</v>
      </c>
      <c r="D614" s="81" t="s">
        <v>109</v>
      </c>
      <c r="E614" s="1374">
        <f>SUM(E608+E610+E611+E612)/E613</f>
        <v>0</v>
      </c>
      <c r="F614" s="1104">
        <f>SUM(F608+F610+F611+F612)/F613</f>
        <v>0</v>
      </c>
      <c r="G614" s="1211">
        <f>SUM(G608+G610+G611+G612)/G613</f>
        <v>0</v>
      </c>
      <c r="H614" s="1104">
        <f t="shared" ref="H614:AH614" si="1181">SUM(H608+H610+H611+H612)/H613</f>
        <v>0</v>
      </c>
      <c r="I614" s="1104">
        <f t="shared" si="1181"/>
        <v>0</v>
      </c>
      <c r="J614" s="1211">
        <f t="shared" si="1181"/>
        <v>0</v>
      </c>
      <c r="K614" s="1211">
        <f t="shared" si="1181"/>
        <v>0</v>
      </c>
      <c r="L614" s="1104">
        <f t="shared" si="1181"/>
        <v>0</v>
      </c>
      <c r="M614" s="1104">
        <f t="shared" si="1181"/>
        <v>0</v>
      </c>
      <c r="N614" s="1104">
        <f t="shared" si="1181"/>
        <v>0</v>
      </c>
      <c r="O614" s="1104">
        <f t="shared" si="1181"/>
        <v>0</v>
      </c>
      <c r="P614" s="1104">
        <f t="shared" si="1181"/>
        <v>0</v>
      </c>
      <c r="Q614" s="1211">
        <f t="shared" si="1181"/>
        <v>0</v>
      </c>
      <c r="R614" s="1211">
        <f t="shared" si="1181"/>
        <v>0</v>
      </c>
      <c r="S614" s="1104">
        <f t="shared" si="1181"/>
        <v>0</v>
      </c>
      <c r="T614" s="1104">
        <f t="shared" si="1181"/>
        <v>0</v>
      </c>
      <c r="U614" s="1104">
        <f t="shared" si="1181"/>
        <v>0</v>
      </c>
      <c r="V614" s="1104">
        <f t="shared" si="1181"/>
        <v>0</v>
      </c>
      <c r="W614" s="1104">
        <f t="shared" si="1181"/>
        <v>0</v>
      </c>
      <c r="X614" s="1211">
        <f t="shared" si="1181"/>
        <v>0</v>
      </c>
      <c r="Y614" s="1211">
        <f t="shared" si="1181"/>
        <v>0</v>
      </c>
      <c r="Z614" s="1104">
        <f t="shared" si="1181"/>
        <v>0</v>
      </c>
      <c r="AA614" s="1104">
        <f t="shared" si="1181"/>
        <v>0</v>
      </c>
      <c r="AB614" s="1104">
        <f t="shared" si="1181"/>
        <v>0</v>
      </c>
      <c r="AC614" s="1104">
        <f t="shared" si="1181"/>
        <v>0</v>
      </c>
      <c r="AD614" s="1104">
        <f t="shared" si="1181"/>
        <v>0</v>
      </c>
      <c r="AE614" s="1211">
        <f t="shared" si="1181"/>
        <v>0</v>
      </c>
      <c r="AF614" s="1211">
        <f t="shared" si="1181"/>
        <v>0</v>
      </c>
      <c r="AG614" s="1104">
        <f t="shared" si="1181"/>
        <v>0</v>
      </c>
      <c r="AH614" s="1104">
        <f t="shared" si="1181"/>
        <v>0</v>
      </c>
      <c r="AI614" s="1335">
        <f>SUM(AI608+AI610+AI611)/AI613</f>
        <v>0</v>
      </c>
      <c r="AJ614" s="104">
        <f>SUM(E614:AI614)</f>
        <v>0</v>
      </c>
      <c r="AK614" s="104"/>
      <c r="AL614" s="83"/>
      <c r="AM614" s="1068">
        <f t="shared" si="1138"/>
        <v>0</v>
      </c>
      <c r="AN614" s="31"/>
      <c r="AO614" s="622"/>
      <c r="AP614" s="23"/>
      <c r="AQ614" s="23"/>
      <c r="AR614" s="23"/>
      <c r="AS614" s="23"/>
      <c r="AT614" s="23"/>
      <c r="AU614" s="23"/>
      <c r="AV614" s="23"/>
    </row>
    <row r="615" spans="1:48" ht="25.15" hidden="1" customHeight="1">
      <c r="A615" s="103"/>
      <c r="B615" s="59"/>
      <c r="C615" s="84">
        <f>+C613*0.8</f>
        <v>240000</v>
      </c>
      <c r="D615" s="85" t="s">
        <v>110</v>
      </c>
      <c r="E615" s="1105"/>
      <c r="F615" s="1106"/>
      <c r="G615" s="1211"/>
      <c r="H615" s="1104"/>
      <c r="I615" s="1104"/>
      <c r="J615" s="1211"/>
      <c r="K615" s="1211"/>
      <c r="L615" s="1104"/>
      <c r="M615" s="1104"/>
      <c r="N615" s="1104"/>
      <c r="O615" s="1107"/>
      <c r="P615" s="1104"/>
      <c r="Q615" s="1211"/>
      <c r="R615" s="1211"/>
      <c r="S615" s="1104"/>
      <c r="T615" s="1104"/>
      <c r="U615" s="1104"/>
      <c r="V615" s="1104"/>
      <c r="W615" s="1104"/>
      <c r="X615" s="1211"/>
      <c r="Y615" s="1211"/>
      <c r="Z615" s="1104"/>
      <c r="AA615" s="1104"/>
      <c r="AB615" s="1104"/>
      <c r="AC615" s="1104"/>
      <c r="AD615" s="1104"/>
      <c r="AE615" s="1211"/>
      <c r="AF615" s="1211"/>
      <c r="AG615" s="1104"/>
      <c r="AH615" s="1104"/>
      <c r="AI615" s="1353"/>
      <c r="AJ615" s="86"/>
      <c r="AK615" s="86"/>
      <c r="AL615" s="690"/>
      <c r="AM615" s="694">
        <f t="shared" si="1138"/>
        <v>0</v>
      </c>
      <c r="AN615" s="31"/>
      <c r="AO615" s="622"/>
      <c r="AP615" s="23"/>
      <c r="AQ615" s="23"/>
      <c r="AR615" s="23"/>
      <c r="AS615" s="23"/>
      <c r="AT615" s="23"/>
      <c r="AU615" s="23"/>
      <c r="AV615" s="23"/>
    </row>
    <row r="616" spans="1:48" ht="25.15" hidden="1" customHeight="1">
      <c r="A616" s="103"/>
      <c r="B616" s="105"/>
      <c r="C616" s="77"/>
      <c r="D616" s="88" t="s">
        <v>111</v>
      </c>
      <c r="E616" s="1108">
        <f>IF(E615="O/H",E614,0+E614)</f>
        <v>0</v>
      </c>
      <c r="F616" s="1089">
        <f t="shared" ref="F616:AI616" si="1182">IF(F615="O/H",F614,+E616+F614)</f>
        <v>0</v>
      </c>
      <c r="G616" s="44">
        <f t="shared" si="1182"/>
        <v>0</v>
      </c>
      <c r="H616" s="1089">
        <f t="shared" si="1182"/>
        <v>0</v>
      </c>
      <c r="I616" s="1089">
        <f t="shared" si="1182"/>
        <v>0</v>
      </c>
      <c r="J616" s="44">
        <f t="shared" si="1182"/>
        <v>0</v>
      </c>
      <c r="K616" s="44">
        <f t="shared" si="1182"/>
        <v>0</v>
      </c>
      <c r="L616" s="1089">
        <f t="shared" si="1182"/>
        <v>0</v>
      </c>
      <c r="M616" s="1089">
        <f t="shared" si="1182"/>
        <v>0</v>
      </c>
      <c r="N616" s="1089">
        <f t="shared" si="1182"/>
        <v>0</v>
      </c>
      <c r="O616" s="1089">
        <f t="shared" si="1182"/>
        <v>0</v>
      </c>
      <c r="P616" s="1089">
        <f t="shared" si="1182"/>
        <v>0</v>
      </c>
      <c r="Q616" s="44">
        <f t="shared" si="1182"/>
        <v>0</v>
      </c>
      <c r="R616" s="44">
        <f t="shared" si="1182"/>
        <v>0</v>
      </c>
      <c r="S616" s="1089">
        <f t="shared" si="1182"/>
        <v>0</v>
      </c>
      <c r="T616" s="1089">
        <f t="shared" si="1182"/>
        <v>0</v>
      </c>
      <c r="U616" s="1089">
        <f t="shared" si="1182"/>
        <v>0</v>
      </c>
      <c r="V616" s="1089">
        <f t="shared" si="1182"/>
        <v>0</v>
      </c>
      <c r="W616" s="1089">
        <f t="shared" si="1182"/>
        <v>0</v>
      </c>
      <c r="X616" s="44">
        <f t="shared" si="1182"/>
        <v>0</v>
      </c>
      <c r="Y616" s="44">
        <f t="shared" si="1182"/>
        <v>0</v>
      </c>
      <c r="Z616" s="1089">
        <f t="shared" si="1182"/>
        <v>0</v>
      </c>
      <c r="AA616" s="1089">
        <f t="shared" si="1182"/>
        <v>0</v>
      </c>
      <c r="AB616" s="1089">
        <f t="shared" si="1182"/>
        <v>0</v>
      </c>
      <c r="AC616" s="1089">
        <f t="shared" si="1182"/>
        <v>0</v>
      </c>
      <c r="AD616" s="1089">
        <f t="shared" si="1182"/>
        <v>0</v>
      </c>
      <c r="AE616" s="44">
        <f t="shared" si="1182"/>
        <v>0</v>
      </c>
      <c r="AF616" s="44">
        <f t="shared" si="1182"/>
        <v>0</v>
      </c>
      <c r="AG616" s="1089">
        <f t="shared" si="1182"/>
        <v>0</v>
      </c>
      <c r="AH616" s="1089">
        <f t="shared" si="1182"/>
        <v>0</v>
      </c>
      <c r="AI616" s="1326">
        <f t="shared" si="1182"/>
        <v>0</v>
      </c>
      <c r="AJ616" s="79"/>
      <c r="AK616" s="86"/>
      <c r="AL616" s="689"/>
      <c r="AM616" s="694">
        <f t="shared" si="1138"/>
        <v>0</v>
      </c>
      <c r="AN616" s="31"/>
      <c r="AO616" s="622"/>
      <c r="AP616" s="23"/>
      <c r="AQ616" s="23"/>
      <c r="AR616" s="23"/>
      <c r="AS616" s="23"/>
      <c r="AT616" s="23"/>
      <c r="AU616" s="23"/>
      <c r="AV616" s="23"/>
    </row>
    <row r="617" spans="1:48" s="23" customFormat="1" ht="20.65" hidden="1" customHeight="1">
      <c r="A617" s="274"/>
      <c r="B617" s="312"/>
      <c r="C617" s="308"/>
      <c r="D617" s="795" t="s">
        <v>112</v>
      </c>
      <c r="E617" s="1108" t="b">
        <f>IF(AND(ISNUMBER(E608)),305845+E614)</f>
        <v>0</v>
      </c>
      <c r="F617" s="1089" t="str">
        <f>IF(AND(ISNUMBER(F608)),E617+F614,"")</f>
        <v/>
      </c>
      <c r="G617" s="44" t="str">
        <f t="shared" ref="G617" si="1183">IF(AND(ISNUMBER(G608)),F617+G614,"")</f>
        <v/>
      </c>
      <c r="H617" s="1089" t="str">
        <f t="shared" ref="H617" si="1184">IF(AND(ISNUMBER(H608)),G617+H614,"")</f>
        <v/>
      </c>
      <c r="I617" s="1089" t="str">
        <f>IF(AND(ISNUMBER(I608)),H617+I614,"")</f>
        <v/>
      </c>
      <c r="J617" s="44" t="str">
        <f>IF(AND(ISNUMBER(J608)),I617+J614,"")</f>
        <v/>
      </c>
      <c r="K617" s="44" t="str">
        <f>IF(AND(ISNUMBER(K608)),J617+K614,"")</f>
        <v/>
      </c>
      <c r="L617" s="1089" t="str">
        <f t="shared" ref="L617" si="1185">IF(AND(ISNUMBER(L608)),K617+L614,"")</f>
        <v/>
      </c>
      <c r="M617" s="1089" t="str">
        <f t="shared" ref="M617" si="1186">IF(AND(ISNUMBER(M608)),L617+M614,"")</f>
        <v/>
      </c>
      <c r="N617" s="1089" t="str">
        <f t="shared" ref="N617" si="1187">IF(AND(ISNUMBER(N608)),M617+N614,"")</f>
        <v/>
      </c>
      <c r="O617" s="1089" t="str">
        <f t="shared" ref="O617" si="1188">IF(AND(ISNUMBER(O608)),N617+O614,"")</f>
        <v/>
      </c>
      <c r="P617" s="1089" t="str">
        <f t="shared" ref="P617" si="1189">IF(AND(ISNUMBER(P608)),O617+P614,"")</f>
        <v/>
      </c>
      <c r="Q617" s="44" t="str">
        <f t="shared" ref="Q617" si="1190">IF(AND(ISNUMBER(Q608)),P617+Q614,"")</f>
        <v/>
      </c>
      <c r="R617" s="44" t="str">
        <f t="shared" ref="R617" si="1191">IF(AND(ISNUMBER(R608)),Q617+R614,"")</f>
        <v/>
      </c>
      <c r="S617" s="1089" t="str">
        <f t="shared" ref="S617" si="1192">IF(AND(ISNUMBER(S608)),R617+S614,"")</f>
        <v/>
      </c>
      <c r="T617" s="1089" t="str">
        <f t="shared" ref="T617" si="1193">IF(AND(ISNUMBER(T608)),S617+T614,"")</f>
        <v/>
      </c>
      <c r="U617" s="1089" t="str">
        <f t="shared" ref="U617" si="1194">IF(AND(ISNUMBER(U608)),T617+U614,"")</f>
        <v/>
      </c>
      <c r="V617" s="1089" t="str">
        <f t="shared" ref="V617" si="1195">IF(AND(ISNUMBER(V608)),U617+V614,"")</f>
        <v/>
      </c>
      <c r="W617" s="1089" t="str">
        <f t="shared" ref="W617" si="1196">IF(AND(ISNUMBER(W608)),V617+W614,"")</f>
        <v/>
      </c>
      <c r="X617" s="44" t="str">
        <f t="shared" ref="X617" si="1197">IF(AND(ISNUMBER(X608)),W617+X614,"")</f>
        <v/>
      </c>
      <c r="Y617" s="44" t="str">
        <f t="shared" ref="Y617" si="1198">IF(AND(ISNUMBER(Y608)),X617+Y614,"")</f>
        <v/>
      </c>
      <c r="Z617" s="1089" t="str">
        <f t="shared" ref="Z617" si="1199">IF(AND(ISNUMBER(Z608)),Y617+Z614,"")</f>
        <v/>
      </c>
      <c r="AA617" s="1089" t="str">
        <f t="shared" ref="AA617" si="1200">IF(AND(ISNUMBER(AA608)),Z617+AA614,"")</f>
        <v/>
      </c>
      <c r="AB617" s="1089" t="str">
        <f t="shared" ref="AB617" si="1201">IF(AND(ISNUMBER(AB608)),AA617+AB614,"")</f>
        <v/>
      </c>
      <c r="AC617" s="1089" t="str">
        <f t="shared" ref="AC617" si="1202">IF(AND(ISNUMBER(AC608)),AB617+AC614,"")</f>
        <v/>
      </c>
      <c r="AD617" s="1089" t="str">
        <f t="shared" ref="AD617" si="1203">IF(AND(ISNUMBER(AD608)),AC617+AD614,"")</f>
        <v/>
      </c>
      <c r="AE617" s="44" t="str">
        <f t="shared" ref="AE617" si="1204">IF(AND(ISNUMBER(AE608)),AD617+AE614,"")</f>
        <v/>
      </c>
      <c r="AF617" s="44" t="str">
        <f t="shared" ref="AF617" si="1205">IF(AND(ISNUMBER(AF608)),AE617+AF614,"")</f>
        <v/>
      </c>
      <c r="AG617" s="1089" t="str">
        <f t="shared" ref="AG617" si="1206">IF(AND(ISNUMBER(AG608)),AF617+AG614,"")</f>
        <v/>
      </c>
      <c r="AH617" s="1089" t="str">
        <f t="shared" ref="AH617" si="1207">IF(AND(ISNUMBER(AH608)),AG617+AH614,"")</f>
        <v/>
      </c>
      <c r="AI617" s="1089" t="str">
        <f t="shared" ref="AI617" si="1208">IF(AND(ISNUMBER(AI608)),AH617+AI614,"")</f>
        <v/>
      </c>
      <c r="AJ617" s="793"/>
      <c r="AK617" s="793"/>
      <c r="AL617" s="909"/>
      <c r="AM617" s="890">
        <f t="shared" si="1138"/>
        <v>0</v>
      </c>
      <c r="AN617" s="76"/>
      <c r="AO617" s="624"/>
      <c r="AP617" s="285"/>
      <c r="AQ617" s="285"/>
      <c r="AR617" s="285"/>
      <c r="AS617" s="285"/>
      <c r="AT617" s="286"/>
      <c r="AU617" s="285"/>
      <c r="AV617" s="287"/>
    </row>
    <row r="618" spans="1:48" ht="25.15" hidden="1" customHeight="1">
      <c r="A618" s="103"/>
      <c r="B618" s="89"/>
      <c r="C618" s="80"/>
      <c r="D618" s="90" t="s">
        <v>104</v>
      </c>
      <c r="E618" s="1108"/>
      <c r="F618" s="1089"/>
      <c r="G618" s="44"/>
      <c r="H618" s="1089"/>
      <c r="I618" s="1089"/>
      <c r="J618" s="44"/>
      <c r="K618" s="44"/>
      <c r="L618" s="1089"/>
      <c r="M618" s="1089"/>
      <c r="N618" s="1089"/>
      <c r="O618" s="1089"/>
      <c r="P618" s="1089"/>
      <c r="Q618" s="44"/>
      <c r="R618" s="44"/>
      <c r="S618" s="1089"/>
      <c r="T618" s="1089"/>
      <c r="U618" s="1089"/>
      <c r="V618" s="1089"/>
      <c r="W618" s="1089"/>
      <c r="X618" s="44"/>
      <c r="Y618" s="44"/>
      <c r="Z618" s="1089"/>
      <c r="AA618" s="1089"/>
      <c r="AB618" s="1089"/>
      <c r="AC618" s="1089"/>
      <c r="AD618" s="1089"/>
      <c r="AE618" s="44"/>
      <c r="AF618" s="44"/>
      <c r="AG618" s="1089"/>
      <c r="AH618" s="1089"/>
      <c r="AI618" s="1326"/>
      <c r="AJ618" s="79"/>
      <c r="AK618" s="79"/>
      <c r="AL618" s="63"/>
      <c r="AM618" s="1068">
        <f t="shared" si="1138"/>
        <v>0</v>
      </c>
      <c r="AN618" s="64"/>
      <c r="AO618" s="624"/>
      <c r="AP618" s="23"/>
      <c r="AQ618" s="23"/>
      <c r="AR618" s="23"/>
      <c r="AS618" s="23"/>
      <c r="AT618" s="23"/>
      <c r="AU618" s="23"/>
      <c r="AV618" s="23"/>
    </row>
    <row r="619" spans="1:48" ht="25.15" hidden="1" customHeight="1" thickBot="1">
      <c r="A619" s="106"/>
      <c r="B619" s="93"/>
      <c r="C619" s="94"/>
      <c r="D619" s="95" t="s">
        <v>111</v>
      </c>
      <c r="E619" s="1109">
        <f>IF(E618="O/H",E614,55890+E614)</f>
        <v>55890</v>
      </c>
      <c r="F619" s="1110">
        <f t="shared" ref="F619:AI619" si="1209">IF(F618="O/H",F614,+E619+F614)</f>
        <v>55890</v>
      </c>
      <c r="G619" s="1212">
        <f t="shared" si="1209"/>
        <v>55890</v>
      </c>
      <c r="H619" s="1110">
        <f t="shared" si="1209"/>
        <v>55890</v>
      </c>
      <c r="I619" s="1110">
        <f t="shared" si="1209"/>
        <v>55890</v>
      </c>
      <c r="J619" s="1212">
        <f t="shared" si="1209"/>
        <v>55890</v>
      </c>
      <c r="K619" s="1212">
        <f t="shared" si="1209"/>
        <v>55890</v>
      </c>
      <c r="L619" s="1110">
        <f t="shared" si="1209"/>
        <v>55890</v>
      </c>
      <c r="M619" s="1110">
        <f t="shared" si="1209"/>
        <v>55890</v>
      </c>
      <c r="N619" s="1110">
        <f t="shared" si="1209"/>
        <v>55890</v>
      </c>
      <c r="O619" s="1110">
        <f t="shared" si="1209"/>
        <v>55890</v>
      </c>
      <c r="P619" s="1110">
        <f t="shared" si="1209"/>
        <v>55890</v>
      </c>
      <c r="Q619" s="1212">
        <f t="shared" si="1209"/>
        <v>55890</v>
      </c>
      <c r="R619" s="1212">
        <f t="shared" si="1209"/>
        <v>55890</v>
      </c>
      <c r="S619" s="1110">
        <f t="shared" si="1209"/>
        <v>55890</v>
      </c>
      <c r="T619" s="1110">
        <f t="shared" si="1209"/>
        <v>55890</v>
      </c>
      <c r="U619" s="1110">
        <f t="shared" si="1209"/>
        <v>55890</v>
      </c>
      <c r="V619" s="1110">
        <f t="shared" si="1209"/>
        <v>55890</v>
      </c>
      <c r="W619" s="1110">
        <f t="shared" si="1209"/>
        <v>55890</v>
      </c>
      <c r="X619" s="1212">
        <f t="shared" si="1209"/>
        <v>55890</v>
      </c>
      <c r="Y619" s="1212">
        <f t="shared" si="1209"/>
        <v>55890</v>
      </c>
      <c r="Z619" s="1110">
        <f t="shared" si="1209"/>
        <v>55890</v>
      </c>
      <c r="AA619" s="1110">
        <f t="shared" si="1209"/>
        <v>55890</v>
      </c>
      <c r="AB619" s="1110">
        <f t="shared" si="1209"/>
        <v>55890</v>
      </c>
      <c r="AC619" s="1110">
        <f t="shared" si="1209"/>
        <v>55890</v>
      </c>
      <c r="AD619" s="1110">
        <f t="shared" si="1209"/>
        <v>55890</v>
      </c>
      <c r="AE619" s="1212">
        <f t="shared" si="1209"/>
        <v>55890</v>
      </c>
      <c r="AF619" s="1212">
        <f t="shared" si="1209"/>
        <v>55890</v>
      </c>
      <c r="AG619" s="1110">
        <f t="shared" si="1209"/>
        <v>55890</v>
      </c>
      <c r="AH619" s="1110">
        <f t="shared" si="1209"/>
        <v>55890</v>
      </c>
      <c r="AI619" s="1340">
        <f t="shared" si="1209"/>
        <v>55890</v>
      </c>
      <c r="AJ619" s="96"/>
      <c r="AK619" s="96"/>
      <c r="AL619" s="97"/>
      <c r="AM619" s="1071">
        <f t="shared" si="1138"/>
        <v>0</v>
      </c>
      <c r="AN619" s="98"/>
      <c r="AO619" s="625"/>
      <c r="AP619" s="23"/>
      <c r="AQ619" s="23"/>
      <c r="AR619" s="23"/>
      <c r="AS619" s="23"/>
      <c r="AT619" s="23"/>
      <c r="AU619" s="23"/>
      <c r="AV619" s="23"/>
    </row>
    <row r="620" spans="1:48" ht="25.15" hidden="1" customHeight="1" thickTop="1">
      <c r="A620" s="99"/>
      <c r="B620" s="26" t="s">
        <v>151</v>
      </c>
      <c r="C620" s="27"/>
      <c r="D620" s="28" t="s">
        <v>82</v>
      </c>
      <c r="E620" s="1111"/>
      <c r="F620" s="1111"/>
      <c r="G620" s="1201"/>
      <c r="H620" s="1111"/>
      <c r="I620" s="1111"/>
      <c r="J620" s="1201"/>
      <c r="K620" s="1201"/>
      <c r="L620" s="1111"/>
      <c r="M620" s="1111"/>
      <c r="N620" s="1111"/>
      <c r="O620" s="1111"/>
      <c r="P620" s="1111"/>
      <c r="Q620" s="1201"/>
      <c r="R620" s="1201"/>
      <c r="S620" s="1111"/>
      <c r="T620" s="1111"/>
      <c r="U620" s="1111"/>
      <c r="V620" s="1111"/>
      <c r="W620" s="1111"/>
      <c r="X620" s="1201"/>
      <c r="Y620" s="1201"/>
      <c r="Z620" s="1111"/>
      <c r="AA620" s="1111"/>
      <c r="AB620" s="1111"/>
      <c r="AC620" s="1111"/>
      <c r="AD620" s="1111"/>
      <c r="AE620" s="1201"/>
      <c r="AF620" s="1201"/>
      <c r="AG620" s="1111"/>
      <c r="AH620" s="1111"/>
      <c r="AI620" s="1111"/>
      <c r="AJ620" s="100">
        <f>SUM(Table75[[#This Row],[June''2026]:[Column27]])</f>
        <v>0</v>
      </c>
      <c r="AK620" s="100">
        <f t="shared" si="1142"/>
        <v>0</v>
      </c>
      <c r="AL620" s="101">
        <f>+AJ620*AN620</f>
        <v>0</v>
      </c>
      <c r="AM620" s="1072">
        <f t="shared" si="1138"/>
        <v>0</v>
      </c>
      <c r="AN620" s="102"/>
      <c r="AO620" s="622" t="e">
        <f>Table5[[#This Row],[Total]]*B624/1000</f>
        <v>#VALUE!</v>
      </c>
      <c r="AP620" s="32" t="s">
        <v>145</v>
      </c>
      <c r="AQ620" s="33" t="s">
        <v>84</v>
      </c>
      <c r="AR620" s="33" t="s">
        <v>85</v>
      </c>
      <c r="AS620" s="33" t="s">
        <v>86</v>
      </c>
      <c r="AT620" s="33" t="s">
        <v>87</v>
      </c>
      <c r="AU620" s="33" t="s">
        <v>88</v>
      </c>
      <c r="AV620" s="34" t="s">
        <v>68</v>
      </c>
    </row>
    <row r="621" spans="1:48" ht="25.15" hidden="1" customHeight="1">
      <c r="A621" s="103"/>
      <c r="B621" s="35" t="s">
        <v>152</v>
      </c>
      <c r="C621" s="36"/>
      <c r="D621" s="37" t="s">
        <v>90</v>
      </c>
      <c r="E621" s="1373">
        <f>IF(E620="",0,+ E620/E627)</f>
        <v>0</v>
      </c>
      <c r="F621" s="1096">
        <f t="shared" ref="F621:AI621" si="1210">IF(F620="",0, E621+F620/F627)</f>
        <v>0</v>
      </c>
      <c r="G621" s="1207">
        <f t="shared" si="1210"/>
        <v>0</v>
      </c>
      <c r="H621" s="1096">
        <f t="shared" si="1210"/>
        <v>0</v>
      </c>
      <c r="I621" s="1096">
        <f t="shared" si="1210"/>
        <v>0</v>
      </c>
      <c r="J621" s="1207">
        <f t="shared" si="1210"/>
        <v>0</v>
      </c>
      <c r="K621" s="1207">
        <f t="shared" si="1210"/>
        <v>0</v>
      </c>
      <c r="L621" s="1096">
        <f t="shared" si="1210"/>
        <v>0</v>
      </c>
      <c r="M621" s="1096">
        <f t="shared" si="1210"/>
        <v>0</v>
      </c>
      <c r="N621" s="1096">
        <f t="shared" si="1210"/>
        <v>0</v>
      </c>
      <c r="O621" s="1096">
        <f t="shared" si="1210"/>
        <v>0</v>
      </c>
      <c r="P621" s="1096">
        <f t="shared" si="1210"/>
        <v>0</v>
      </c>
      <c r="Q621" s="1207">
        <f t="shared" si="1210"/>
        <v>0</v>
      </c>
      <c r="R621" s="1207">
        <f t="shared" si="1210"/>
        <v>0</v>
      </c>
      <c r="S621" s="1096">
        <f t="shared" si="1210"/>
        <v>0</v>
      </c>
      <c r="T621" s="1096">
        <f t="shared" si="1210"/>
        <v>0</v>
      </c>
      <c r="U621" s="1096">
        <f t="shared" si="1210"/>
        <v>0</v>
      </c>
      <c r="V621" s="1096">
        <f t="shared" si="1210"/>
        <v>0</v>
      </c>
      <c r="W621" s="1096">
        <f t="shared" si="1210"/>
        <v>0</v>
      </c>
      <c r="X621" s="1207">
        <f t="shared" si="1210"/>
        <v>0</v>
      </c>
      <c r="Y621" s="1207">
        <f t="shared" si="1210"/>
        <v>0</v>
      </c>
      <c r="Z621" s="1096">
        <f t="shared" si="1210"/>
        <v>0</v>
      </c>
      <c r="AA621" s="1096">
        <f t="shared" si="1210"/>
        <v>0</v>
      </c>
      <c r="AB621" s="1096">
        <f t="shared" si="1210"/>
        <v>0</v>
      </c>
      <c r="AC621" s="1096">
        <f t="shared" si="1210"/>
        <v>0</v>
      </c>
      <c r="AD621" s="1096">
        <f t="shared" si="1210"/>
        <v>0</v>
      </c>
      <c r="AE621" s="1207">
        <f t="shared" si="1210"/>
        <v>0</v>
      </c>
      <c r="AF621" s="1207">
        <f t="shared" si="1210"/>
        <v>0</v>
      </c>
      <c r="AG621" s="1096">
        <f t="shared" si="1210"/>
        <v>0</v>
      </c>
      <c r="AH621" s="1096">
        <f t="shared" si="1210"/>
        <v>0</v>
      </c>
      <c r="AI621" s="1324">
        <f t="shared" si="1210"/>
        <v>0</v>
      </c>
      <c r="AJ621" s="38"/>
      <c r="AK621" s="29"/>
      <c r="AL621" s="30"/>
      <c r="AM621" s="694">
        <f t="shared" si="1138"/>
        <v>0</v>
      </c>
      <c r="AN621" s="31"/>
      <c r="AO621" s="630"/>
      <c r="AP621" s="39" t="s">
        <v>91</v>
      </c>
      <c r="AQ621" s="40">
        <f>SUM(E620:I620)</f>
        <v>0</v>
      </c>
      <c r="AR621" s="41">
        <f>SUM(J620:P620)</f>
        <v>0</v>
      </c>
      <c r="AS621" s="41">
        <f>SUM(Q620:W620)</f>
        <v>0</v>
      </c>
      <c r="AT621" s="41">
        <f>SUM(X620:AD620)</f>
        <v>0</v>
      </c>
      <c r="AU621" s="41">
        <f>SUM(AE620:AI620)</f>
        <v>0</v>
      </c>
      <c r="AV621" s="34">
        <f t="shared" ref="AV621:AV626" si="1211">SUM(AQ621:AU621)</f>
        <v>0</v>
      </c>
    </row>
    <row r="622" spans="1:48" ht="25.15" hidden="1" customHeight="1">
      <c r="A622" s="103"/>
      <c r="B622" s="26" t="s">
        <v>92</v>
      </c>
      <c r="C622" s="42"/>
      <c r="D622" s="43" t="s">
        <v>93</v>
      </c>
      <c r="E622" s="1325"/>
      <c r="F622" s="1089"/>
      <c r="G622" s="44"/>
      <c r="H622" s="1089"/>
      <c r="I622" s="1089"/>
      <c r="J622" s="44"/>
      <c r="K622" s="44"/>
      <c r="L622" s="1089"/>
      <c r="M622" s="1089"/>
      <c r="N622" s="1089"/>
      <c r="O622" s="1089"/>
      <c r="P622" s="1089"/>
      <c r="Q622" s="44"/>
      <c r="R622" s="44"/>
      <c r="S622" s="1089"/>
      <c r="T622" s="1089"/>
      <c r="U622" s="1089"/>
      <c r="V622" s="1089"/>
      <c r="W622" s="1089"/>
      <c r="X622" s="44"/>
      <c r="Y622" s="44"/>
      <c r="Z622" s="1089"/>
      <c r="AA622" s="1089"/>
      <c r="AB622" s="1089"/>
      <c r="AC622" s="1089"/>
      <c r="AD622" s="1089"/>
      <c r="AE622" s="44"/>
      <c r="AF622" s="44"/>
      <c r="AG622" s="1089"/>
      <c r="AH622" s="1089"/>
      <c r="AI622" s="1326"/>
      <c r="AJ622" s="45">
        <f>SUM(E622:AI622)</f>
        <v>0</v>
      </c>
      <c r="AK622" s="45"/>
      <c r="AL622" s="46">
        <f>+AJ622*AN620</f>
        <v>0</v>
      </c>
      <c r="AM622" s="1066">
        <f t="shared" si="1138"/>
        <v>0</v>
      </c>
      <c r="AN622" s="31"/>
      <c r="AO622" s="632">
        <f>(AJ622+AJ624+AJ625+AJ626)*B624/1000</f>
        <v>0</v>
      </c>
      <c r="AP622" s="47" t="s">
        <v>94</v>
      </c>
      <c r="AQ622" s="48">
        <f>SUM(E622:I622)</f>
        <v>0</v>
      </c>
      <c r="AR622" s="49">
        <f>SUM(J622:P622)</f>
        <v>0</v>
      </c>
      <c r="AS622" s="49">
        <f>SUM(Q622:W622)</f>
        <v>0</v>
      </c>
      <c r="AT622" s="49">
        <f>SUM(X622:AD622)</f>
        <v>0</v>
      </c>
      <c r="AU622" s="49">
        <f>SUM(AE622:AI622)</f>
        <v>0</v>
      </c>
      <c r="AV622" s="50">
        <f t="shared" si="1211"/>
        <v>0</v>
      </c>
    </row>
    <row r="623" spans="1:48" ht="25.15" hidden="1" customHeight="1">
      <c r="A623" s="103"/>
      <c r="B623" s="51"/>
      <c r="C623" s="52" t="s">
        <v>95</v>
      </c>
      <c r="D623" s="53" t="s">
        <v>96</v>
      </c>
      <c r="E623" s="1327">
        <f t="shared" ref="E623:K623" si="1212">+E622-E620</f>
        <v>0</v>
      </c>
      <c r="F623" s="1097">
        <f t="shared" si="1212"/>
        <v>0</v>
      </c>
      <c r="G623" s="1205">
        <f t="shared" si="1212"/>
        <v>0</v>
      </c>
      <c r="H623" s="1097">
        <f t="shared" si="1212"/>
        <v>0</v>
      </c>
      <c r="I623" s="1097">
        <f t="shared" si="1212"/>
        <v>0</v>
      </c>
      <c r="J623" s="1205">
        <f t="shared" si="1212"/>
        <v>0</v>
      </c>
      <c r="K623" s="1205">
        <f t="shared" si="1212"/>
        <v>0</v>
      </c>
      <c r="L623" s="1097">
        <f t="shared" ref="L623:AJ623" si="1213">+L622-L620</f>
        <v>0</v>
      </c>
      <c r="M623" s="1097">
        <f t="shared" si="1213"/>
        <v>0</v>
      </c>
      <c r="N623" s="1097">
        <f t="shared" si="1213"/>
        <v>0</v>
      </c>
      <c r="O623" s="1097">
        <f t="shared" si="1213"/>
        <v>0</v>
      </c>
      <c r="P623" s="1097">
        <f t="shared" si="1213"/>
        <v>0</v>
      </c>
      <c r="Q623" s="1205">
        <f t="shared" si="1213"/>
        <v>0</v>
      </c>
      <c r="R623" s="1205">
        <f t="shared" si="1213"/>
        <v>0</v>
      </c>
      <c r="S623" s="1097">
        <f t="shared" si="1213"/>
        <v>0</v>
      </c>
      <c r="T623" s="1097">
        <f t="shared" si="1213"/>
        <v>0</v>
      </c>
      <c r="U623" s="1097">
        <f t="shared" si="1213"/>
        <v>0</v>
      </c>
      <c r="V623" s="1097">
        <f t="shared" si="1213"/>
        <v>0</v>
      </c>
      <c r="W623" s="1097">
        <f t="shared" si="1213"/>
        <v>0</v>
      </c>
      <c r="X623" s="1205">
        <f t="shared" si="1213"/>
        <v>0</v>
      </c>
      <c r="Y623" s="1205">
        <f t="shared" si="1213"/>
        <v>0</v>
      </c>
      <c r="Z623" s="1097">
        <f t="shared" si="1213"/>
        <v>0</v>
      </c>
      <c r="AA623" s="1097">
        <f t="shared" si="1213"/>
        <v>0</v>
      </c>
      <c r="AB623" s="1097">
        <f t="shared" si="1213"/>
        <v>0</v>
      </c>
      <c r="AC623" s="1097">
        <f t="shared" si="1213"/>
        <v>0</v>
      </c>
      <c r="AD623" s="1097">
        <f t="shared" si="1213"/>
        <v>0</v>
      </c>
      <c r="AE623" s="1205">
        <f t="shared" si="1213"/>
        <v>0</v>
      </c>
      <c r="AF623" s="1205">
        <f t="shared" si="1213"/>
        <v>0</v>
      </c>
      <c r="AG623" s="1097">
        <f t="shared" si="1213"/>
        <v>0</v>
      </c>
      <c r="AH623" s="1097">
        <f t="shared" si="1213"/>
        <v>0</v>
      </c>
      <c r="AI623" s="1328">
        <f t="shared" si="1213"/>
        <v>0</v>
      </c>
      <c r="AJ623" s="54">
        <f t="shared" si="1213"/>
        <v>0</v>
      </c>
      <c r="AK623" s="54"/>
      <c r="AL623" s="55">
        <f>+AJ623*AN620</f>
        <v>0</v>
      </c>
      <c r="AM623" s="1067">
        <f t="shared" si="1138"/>
        <v>0</v>
      </c>
      <c r="AN623" s="31" t="s">
        <v>97</v>
      </c>
      <c r="AO623" s="622"/>
      <c r="AP623" s="39" t="s">
        <v>98</v>
      </c>
      <c r="AQ623" s="56">
        <f>AQ622-AQ621</f>
        <v>0</v>
      </c>
      <c r="AR623" s="70">
        <f>AR622-AR621</f>
        <v>0</v>
      </c>
      <c r="AS623" s="70">
        <f>AS622-AS621</f>
        <v>0</v>
      </c>
      <c r="AT623" s="70">
        <f>AT622-AT621</f>
        <v>0</v>
      </c>
      <c r="AU623" s="70">
        <f>AU622-AU621</f>
        <v>0</v>
      </c>
      <c r="AV623" s="57">
        <f t="shared" si="1211"/>
        <v>0</v>
      </c>
    </row>
    <row r="624" spans="1:48" ht="25.15" hidden="1" customHeight="1">
      <c r="A624" s="58"/>
      <c r="B624" s="59"/>
      <c r="C624" s="60" t="s">
        <v>100</v>
      </c>
      <c r="D624" s="61" t="s">
        <v>101</v>
      </c>
      <c r="E624" s="1329"/>
      <c r="F624" s="1099"/>
      <c r="G624" s="1208"/>
      <c r="H624" s="1099"/>
      <c r="I624" s="1099"/>
      <c r="J624" s="1208"/>
      <c r="K624" s="1208"/>
      <c r="L624" s="1099"/>
      <c r="M624" s="1099"/>
      <c r="N624" s="1099"/>
      <c r="O624" s="1099"/>
      <c r="P624" s="1099"/>
      <c r="Q624" s="1208"/>
      <c r="R624" s="1208"/>
      <c r="S624" s="1099"/>
      <c r="T624" s="1099"/>
      <c r="U624" s="1099"/>
      <c r="V624" s="1099"/>
      <c r="W624" s="1099"/>
      <c r="X624" s="1208"/>
      <c r="Y624" s="1208"/>
      <c r="Z624" s="1099"/>
      <c r="AA624" s="1099"/>
      <c r="AB624" s="1099"/>
      <c r="AC624" s="1099"/>
      <c r="AD624" s="1099"/>
      <c r="AE624" s="1208"/>
      <c r="AF624" s="1208"/>
      <c r="AG624" s="1099"/>
      <c r="AH624" s="1099"/>
      <c r="AI624" s="1330"/>
      <c r="AJ624" s="62">
        <f>SUM(E624:AI624)</f>
        <v>0</v>
      </c>
      <c r="AK624" s="62"/>
      <c r="AL624" s="63">
        <f>+AJ624*AN620</f>
        <v>0</v>
      </c>
      <c r="AM624" s="1068">
        <f t="shared" si="1138"/>
        <v>0</v>
      </c>
      <c r="AN624" s="64" t="e">
        <f>+AJ624/AJ622*100</f>
        <v>#DIV/0!</v>
      </c>
      <c r="AO624" s="635" t="e">
        <f>AO622/AO620</f>
        <v>#VALUE!</v>
      </c>
      <c r="AP624" s="39" t="s">
        <v>102</v>
      </c>
      <c r="AQ624" s="56">
        <f>SUM(E624:I624)</f>
        <v>0</v>
      </c>
      <c r="AR624" s="70">
        <f>SUM(J624:P624)</f>
        <v>0</v>
      </c>
      <c r="AS624" s="70">
        <f>SUM(Q624:W624)</f>
        <v>0</v>
      </c>
      <c r="AT624" s="70">
        <f>SUM(X624:AD624)</f>
        <v>0</v>
      </c>
      <c r="AU624" s="70">
        <f>SUM(AE624:AI624)</f>
        <v>0</v>
      </c>
      <c r="AV624" s="57">
        <f t="shared" si="1211"/>
        <v>0</v>
      </c>
    </row>
    <row r="625" spans="1:48" ht="25.15" hidden="1" customHeight="1">
      <c r="A625" s="58" t="s">
        <v>178</v>
      </c>
      <c r="B625" s="65"/>
      <c r="C625" s="66"/>
      <c r="D625" s="67" t="s">
        <v>103</v>
      </c>
      <c r="E625" s="1331"/>
      <c r="F625" s="1101"/>
      <c r="G625" s="1209"/>
      <c r="H625" s="1101"/>
      <c r="I625" s="1101"/>
      <c r="J625" s="1209"/>
      <c r="K625" s="1209"/>
      <c r="L625" s="1101"/>
      <c r="M625" s="1101"/>
      <c r="N625" s="1101"/>
      <c r="O625" s="1101"/>
      <c r="P625" s="1101"/>
      <c r="Q625" s="1209"/>
      <c r="R625" s="1209"/>
      <c r="S625" s="1101"/>
      <c r="T625" s="1101"/>
      <c r="U625" s="1101"/>
      <c r="V625" s="1101"/>
      <c r="W625" s="1101"/>
      <c r="X625" s="1209"/>
      <c r="Y625" s="1209"/>
      <c r="Z625" s="1101"/>
      <c r="AA625" s="1101"/>
      <c r="AB625" s="1101"/>
      <c r="AC625" s="1101"/>
      <c r="AD625" s="1101"/>
      <c r="AE625" s="1209"/>
      <c r="AF625" s="1209"/>
      <c r="AG625" s="1101"/>
      <c r="AH625" s="1101"/>
      <c r="AI625" s="1332"/>
      <c r="AJ625" s="68">
        <f>SUM(E625:AI625)</f>
        <v>0</v>
      </c>
      <c r="AK625" s="68"/>
      <c r="AL625" s="69">
        <f>+AJ625*AN620</f>
        <v>0</v>
      </c>
      <c r="AM625" s="1069">
        <f t="shared" si="1138"/>
        <v>0</v>
      </c>
      <c r="AN625" s="31"/>
      <c r="AO625" s="622"/>
      <c r="AP625" s="39" t="s">
        <v>19</v>
      </c>
      <c r="AQ625" s="56">
        <f>AQ624*AN620</f>
        <v>0</v>
      </c>
      <c r="AR625" s="56">
        <f>AR624*AN620</f>
        <v>0</v>
      </c>
      <c r="AS625" s="56">
        <f>AS624*AN620</f>
        <v>0</v>
      </c>
      <c r="AT625" s="56">
        <f>AT624*AN620</f>
        <v>0</v>
      </c>
      <c r="AU625" s="56">
        <f>AU624*AN620</f>
        <v>0</v>
      </c>
      <c r="AV625" s="57">
        <f t="shared" si="1211"/>
        <v>0</v>
      </c>
    </row>
    <row r="626" spans="1:48" ht="25.15" hidden="1" customHeight="1">
      <c r="A626" s="103"/>
      <c r="B626" s="65"/>
      <c r="C626" s="72" t="s">
        <v>104</v>
      </c>
      <c r="D626" s="73" t="s">
        <v>105</v>
      </c>
      <c r="E626" s="1378"/>
      <c r="F626" s="1103"/>
      <c r="G626" s="1210"/>
      <c r="H626" s="1103"/>
      <c r="I626" s="1103"/>
      <c r="J626" s="1210"/>
      <c r="K626" s="1210"/>
      <c r="L626" s="1103"/>
      <c r="M626" s="1103"/>
      <c r="N626" s="1103"/>
      <c r="O626" s="1103"/>
      <c r="P626" s="1103"/>
      <c r="Q626" s="1210"/>
      <c r="R626" s="1210"/>
      <c r="S626" s="1103"/>
      <c r="T626" s="1103"/>
      <c r="U626" s="1103"/>
      <c r="V626" s="1103"/>
      <c r="W626" s="1103"/>
      <c r="X626" s="1210"/>
      <c r="Y626" s="1210"/>
      <c r="Z626" s="1103"/>
      <c r="AA626" s="1103"/>
      <c r="AB626" s="1103"/>
      <c r="AC626" s="1103"/>
      <c r="AD626" s="1103"/>
      <c r="AE626" s="1210"/>
      <c r="AF626" s="1210"/>
      <c r="AG626" s="1103"/>
      <c r="AH626" s="1103"/>
      <c r="AI626" s="1352"/>
      <c r="AJ626" s="74">
        <f>SUM(E626:AI626)</f>
        <v>0</v>
      </c>
      <c r="AK626" s="74"/>
      <c r="AL626" s="75">
        <f>+AJ626*AN620</f>
        <v>0</v>
      </c>
      <c r="AM626" s="1070">
        <f t="shared" si="1138"/>
        <v>0</v>
      </c>
      <c r="AN626" s="76"/>
      <c r="AO626" s="636"/>
      <c r="AP626" s="47" t="s">
        <v>106</v>
      </c>
      <c r="AQ626" s="48">
        <f>AQ622*AN620</f>
        <v>0</v>
      </c>
      <c r="AR626" s="48">
        <f>AR622*AN620</f>
        <v>0</v>
      </c>
      <c r="AS626" s="48">
        <f>AS622*AN620</f>
        <v>0</v>
      </c>
      <c r="AT626" s="48">
        <f>AT622*AN620</f>
        <v>0</v>
      </c>
      <c r="AU626" s="48">
        <f>AU622*AN620</f>
        <v>0</v>
      </c>
      <c r="AV626" s="50">
        <f t="shared" si="1211"/>
        <v>0</v>
      </c>
    </row>
    <row r="627" spans="1:48" ht="18.75" hidden="1" customHeight="1">
      <c r="A627" s="103"/>
      <c r="B627" s="65"/>
      <c r="C627" s="77">
        <v>300000</v>
      </c>
      <c r="D627" s="78" t="s">
        <v>107</v>
      </c>
      <c r="E627" s="1327">
        <v>1</v>
      </c>
      <c r="F627" s="1097">
        <v>1</v>
      </c>
      <c r="G627" s="1205">
        <v>1</v>
      </c>
      <c r="H627" s="1097">
        <v>1</v>
      </c>
      <c r="I627" s="1097">
        <v>1</v>
      </c>
      <c r="J627" s="1205">
        <v>1</v>
      </c>
      <c r="K627" s="1205">
        <v>1</v>
      </c>
      <c r="L627" s="1097">
        <v>1</v>
      </c>
      <c r="M627" s="1097">
        <v>1</v>
      </c>
      <c r="N627" s="1097">
        <v>1</v>
      </c>
      <c r="O627" s="1097">
        <v>1</v>
      </c>
      <c r="P627" s="1097">
        <v>1</v>
      </c>
      <c r="Q627" s="1205">
        <v>1</v>
      </c>
      <c r="R627" s="1205">
        <v>1</v>
      </c>
      <c r="S627" s="1097">
        <v>1</v>
      </c>
      <c r="T627" s="1097">
        <v>1</v>
      </c>
      <c r="U627" s="1097">
        <v>1</v>
      </c>
      <c r="V627" s="1097">
        <v>1</v>
      </c>
      <c r="W627" s="1097">
        <v>1</v>
      </c>
      <c r="X627" s="1205">
        <v>1</v>
      </c>
      <c r="Y627" s="1205">
        <v>1</v>
      </c>
      <c r="Z627" s="1097">
        <v>1</v>
      </c>
      <c r="AA627" s="1097">
        <v>1</v>
      </c>
      <c r="AB627" s="1097">
        <v>1</v>
      </c>
      <c r="AC627" s="1097">
        <v>1</v>
      </c>
      <c r="AD627" s="1097">
        <v>1</v>
      </c>
      <c r="AE627" s="1205">
        <v>1</v>
      </c>
      <c r="AF627" s="1205">
        <v>1</v>
      </c>
      <c r="AG627" s="1097">
        <v>1</v>
      </c>
      <c r="AH627" s="1097">
        <v>1</v>
      </c>
      <c r="AI627" s="1328">
        <v>1</v>
      </c>
      <c r="AJ627" s="79"/>
      <c r="AK627" s="79"/>
      <c r="AL627" s="55"/>
      <c r="AM627" s="1067">
        <f t="shared" si="1138"/>
        <v>0</v>
      </c>
      <c r="AN627" s="31"/>
      <c r="AO627" s="622"/>
      <c r="AP627" s="23"/>
      <c r="AQ627" s="23"/>
      <c r="AR627" s="23"/>
      <c r="AS627" s="23"/>
      <c r="AT627" s="23"/>
      <c r="AU627" s="23"/>
      <c r="AV627" s="23"/>
    </row>
    <row r="628" spans="1:48" ht="18.75" hidden="1" customHeight="1">
      <c r="A628" s="103"/>
      <c r="B628" s="65"/>
      <c r="C628" s="80" t="s">
        <v>108</v>
      </c>
      <c r="D628" s="81" t="s">
        <v>109</v>
      </c>
      <c r="E628" s="1374">
        <f>SUM(E622+E624+E625+E626)/E627</f>
        <v>0</v>
      </c>
      <c r="F628" s="1104">
        <f>SUM(F622+F624+F625+F626)/F627</f>
        <v>0</v>
      </c>
      <c r="G628" s="1211">
        <f>SUM(G622+G624+G625+G626)/G627</f>
        <v>0</v>
      </c>
      <c r="H628" s="1104">
        <f t="shared" ref="H628:AH628" si="1214">SUM(H622+H624+H625+H626)/H627</f>
        <v>0</v>
      </c>
      <c r="I628" s="1104">
        <f t="shared" si="1214"/>
        <v>0</v>
      </c>
      <c r="J628" s="1211">
        <f t="shared" si="1214"/>
        <v>0</v>
      </c>
      <c r="K628" s="1211">
        <f t="shared" si="1214"/>
        <v>0</v>
      </c>
      <c r="L628" s="1104">
        <f t="shared" si="1214"/>
        <v>0</v>
      </c>
      <c r="M628" s="1104">
        <f t="shared" si="1214"/>
        <v>0</v>
      </c>
      <c r="N628" s="1104">
        <f t="shared" si="1214"/>
        <v>0</v>
      </c>
      <c r="O628" s="1104">
        <f t="shared" si="1214"/>
        <v>0</v>
      </c>
      <c r="P628" s="1104">
        <f t="shared" si="1214"/>
        <v>0</v>
      </c>
      <c r="Q628" s="1211">
        <f t="shared" si="1214"/>
        <v>0</v>
      </c>
      <c r="R628" s="1211">
        <f t="shared" si="1214"/>
        <v>0</v>
      </c>
      <c r="S628" s="1104">
        <f t="shared" si="1214"/>
        <v>0</v>
      </c>
      <c r="T628" s="1104">
        <f t="shared" si="1214"/>
        <v>0</v>
      </c>
      <c r="U628" s="1104">
        <f t="shared" si="1214"/>
        <v>0</v>
      </c>
      <c r="V628" s="1104">
        <f t="shared" si="1214"/>
        <v>0</v>
      </c>
      <c r="W628" s="1104">
        <f t="shared" si="1214"/>
        <v>0</v>
      </c>
      <c r="X628" s="1211">
        <f t="shared" si="1214"/>
        <v>0</v>
      </c>
      <c r="Y628" s="1211">
        <f t="shared" si="1214"/>
        <v>0</v>
      </c>
      <c r="Z628" s="1104">
        <f t="shared" si="1214"/>
        <v>0</v>
      </c>
      <c r="AA628" s="1104">
        <f t="shared" si="1214"/>
        <v>0</v>
      </c>
      <c r="AB628" s="1104">
        <f t="shared" si="1214"/>
        <v>0</v>
      </c>
      <c r="AC628" s="1104">
        <f t="shared" si="1214"/>
        <v>0</v>
      </c>
      <c r="AD628" s="1104">
        <f t="shared" si="1214"/>
        <v>0</v>
      </c>
      <c r="AE628" s="1211">
        <f t="shared" si="1214"/>
        <v>0</v>
      </c>
      <c r="AF628" s="1211">
        <f t="shared" si="1214"/>
        <v>0</v>
      </c>
      <c r="AG628" s="1104">
        <f t="shared" si="1214"/>
        <v>0</v>
      </c>
      <c r="AH628" s="1104">
        <f t="shared" si="1214"/>
        <v>0</v>
      </c>
      <c r="AI628" s="1335">
        <f>SUM(AI622+AI624+AI625)/AI627</f>
        <v>0</v>
      </c>
      <c r="AJ628" s="104">
        <f>SUM(E628:AI628)</f>
        <v>0</v>
      </c>
      <c r="AK628" s="104"/>
      <c r="AL628" s="83"/>
      <c r="AM628" s="1068">
        <f t="shared" si="1138"/>
        <v>0</v>
      </c>
      <c r="AN628" s="31"/>
      <c r="AO628" s="622"/>
      <c r="AP628" s="23"/>
      <c r="AQ628" s="23"/>
      <c r="AR628" s="23"/>
      <c r="AS628" s="23"/>
      <c r="AT628" s="23"/>
      <c r="AU628" s="23"/>
      <c r="AV628" s="23"/>
    </row>
    <row r="629" spans="1:48" ht="18.75" hidden="1" customHeight="1">
      <c r="A629" s="103"/>
      <c r="B629" s="59"/>
      <c r="C629" s="84">
        <f>+C627*0.8</f>
        <v>240000</v>
      </c>
      <c r="D629" s="85" t="s">
        <v>110</v>
      </c>
      <c r="E629" s="1105"/>
      <c r="F629" s="1106"/>
      <c r="G629" s="1211"/>
      <c r="H629" s="1104"/>
      <c r="I629" s="1104"/>
      <c r="J629" s="1211"/>
      <c r="K629" s="1211"/>
      <c r="L629" s="1104"/>
      <c r="M629" s="1104"/>
      <c r="N629" s="1104"/>
      <c r="O629" s="1107"/>
      <c r="P629" s="1104"/>
      <c r="Q629" s="1211"/>
      <c r="R629" s="1211"/>
      <c r="S629" s="1104"/>
      <c r="T629" s="1104"/>
      <c r="U629" s="1104"/>
      <c r="V629" s="1104"/>
      <c r="W629" s="1104"/>
      <c r="X629" s="1211"/>
      <c r="Y629" s="1211"/>
      <c r="Z629" s="1104"/>
      <c r="AA629" s="1104"/>
      <c r="AB629" s="1104"/>
      <c r="AC629" s="1104"/>
      <c r="AD629" s="1104"/>
      <c r="AE629" s="1211"/>
      <c r="AF629" s="1211"/>
      <c r="AG629" s="1104"/>
      <c r="AH629" s="1104"/>
      <c r="AI629" s="1353"/>
      <c r="AJ629" s="86"/>
      <c r="AK629" s="86"/>
      <c r="AL629" s="690"/>
      <c r="AM629" s="694">
        <f t="shared" si="1138"/>
        <v>0</v>
      </c>
      <c r="AN629" s="31"/>
      <c r="AO629" s="622"/>
      <c r="AP629" s="23"/>
      <c r="AQ629" s="23"/>
      <c r="AR629" s="23"/>
      <c r="AS629" s="23"/>
      <c r="AT629" s="23"/>
      <c r="AU629" s="23"/>
      <c r="AV629" s="23"/>
    </row>
    <row r="630" spans="1:48" ht="18.75" hidden="1" customHeight="1">
      <c r="A630" s="103"/>
      <c r="B630" s="105"/>
      <c r="C630" s="77"/>
      <c r="D630" s="88" t="s">
        <v>111</v>
      </c>
      <c r="E630" s="1108">
        <f>IF(E629="O/H",E628,0+E628)</f>
        <v>0</v>
      </c>
      <c r="F630" s="1089">
        <f t="shared" ref="F630:AI630" si="1215">IF(F629="O/H",F628,+E630+F628)</f>
        <v>0</v>
      </c>
      <c r="G630" s="44">
        <f t="shared" si="1215"/>
        <v>0</v>
      </c>
      <c r="H630" s="1089">
        <f t="shared" si="1215"/>
        <v>0</v>
      </c>
      <c r="I630" s="1089">
        <f t="shared" si="1215"/>
        <v>0</v>
      </c>
      <c r="J630" s="44">
        <f t="shared" si="1215"/>
        <v>0</v>
      </c>
      <c r="K630" s="44">
        <f t="shared" si="1215"/>
        <v>0</v>
      </c>
      <c r="L630" s="1089">
        <f t="shared" si="1215"/>
        <v>0</v>
      </c>
      <c r="M630" s="1089">
        <f t="shared" si="1215"/>
        <v>0</v>
      </c>
      <c r="N630" s="1089">
        <f t="shared" si="1215"/>
        <v>0</v>
      </c>
      <c r="O630" s="1089">
        <f t="shared" si="1215"/>
        <v>0</v>
      </c>
      <c r="P630" s="1089">
        <f t="shared" si="1215"/>
        <v>0</v>
      </c>
      <c r="Q630" s="44">
        <f t="shared" si="1215"/>
        <v>0</v>
      </c>
      <c r="R630" s="44">
        <f t="shared" si="1215"/>
        <v>0</v>
      </c>
      <c r="S630" s="1089">
        <f t="shared" si="1215"/>
        <v>0</v>
      </c>
      <c r="T630" s="1089">
        <f t="shared" si="1215"/>
        <v>0</v>
      </c>
      <c r="U630" s="1089">
        <f t="shared" si="1215"/>
        <v>0</v>
      </c>
      <c r="V630" s="1089">
        <f t="shared" si="1215"/>
        <v>0</v>
      </c>
      <c r="W630" s="1089">
        <f t="shared" si="1215"/>
        <v>0</v>
      </c>
      <c r="X630" s="44">
        <f t="shared" si="1215"/>
        <v>0</v>
      </c>
      <c r="Y630" s="44">
        <f t="shared" si="1215"/>
        <v>0</v>
      </c>
      <c r="Z630" s="1089">
        <f t="shared" si="1215"/>
        <v>0</v>
      </c>
      <c r="AA630" s="1089">
        <f t="shared" si="1215"/>
        <v>0</v>
      </c>
      <c r="AB630" s="1089">
        <f t="shared" si="1215"/>
        <v>0</v>
      </c>
      <c r="AC630" s="1089">
        <f t="shared" si="1215"/>
        <v>0</v>
      </c>
      <c r="AD630" s="1089">
        <f t="shared" si="1215"/>
        <v>0</v>
      </c>
      <c r="AE630" s="44">
        <f t="shared" si="1215"/>
        <v>0</v>
      </c>
      <c r="AF630" s="44">
        <f t="shared" si="1215"/>
        <v>0</v>
      </c>
      <c r="AG630" s="1089">
        <f t="shared" si="1215"/>
        <v>0</v>
      </c>
      <c r="AH630" s="1089">
        <f t="shared" si="1215"/>
        <v>0</v>
      </c>
      <c r="AI630" s="1326">
        <f t="shared" si="1215"/>
        <v>0</v>
      </c>
      <c r="AJ630" s="79"/>
      <c r="AK630" s="86"/>
      <c r="AL630" s="689"/>
      <c r="AM630" s="694">
        <f t="shared" si="1138"/>
        <v>0</v>
      </c>
      <c r="AN630" s="31"/>
      <c r="AO630" s="622"/>
      <c r="AP630" s="23"/>
      <c r="AQ630" s="23"/>
      <c r="AR630" s="23"/>
      <c r="AS630" s="23"/>
      <c r="AT630" s="23"/>
      <c r="AU630" s="23"/>
      <c r="AV630" s="23"/>
    </row>
    <row r="631" spans="1:48" ht="18.75" hidden="1" customHeight="1">
      <c r="A631" s="103"/>
      <c r="B631" s="89"/>
      <c r="C631" s="80"/>
      <c r="D631" s="90" t="s">
        <v>104</v>
      </c>
      <c r="E631" s="1108"/>
      <c r="F631" s="1089"/>
      <c r="G631" s="44"/>
      <c r="H631" s="1089"/>
      <c r="I631" s="1089"/>
      <c r="J631" s="44"/>
      <c r="K631" s="44"/>
      <c r="L631" s="1089"/>
      <c r="M631" s="1089"/>
      <c r="N631" s="1089"/>
      <c r="O631" s="1089"/>
      <c r="P631" s="1089"/>
      <c r="Q631" s="44"/>
      <c r="R631" s="44"/>
      <c r="S631" s="1089"/>
      <c r="T631" s="1089"/>
      <c r="U631" s="1089"/>
      <c r="V631" s="1089"/>
      <c r="W631" s="1089"/>
      <c r="X631" s="44"/>
      <c r="Y631" s="44"/>
      <c r="Z631" s="1089"/>
      <c r="AA631" s="1089"/>
      <c r="AB631" s="1089"/>
      <c r="AC631" s="1089"/>
      <c r="AD631" s="1089"/>
      <c r="AE631" s="44"/>
      <c r="AF631" s="44"/>
      <c r="AG631" s="1089"/>
      <c r="AH631" s="1089"/>
      <c r="AI631" s="1326"/>
      <c r="AJ631" s="79"/>
      <c r="AK631" s="79"/>
      <c r="AL631" s="63"/>
      <c r="AM631" s="1068">
        <f t="shared" si="1138"/>
        <v>0</v>
      </c>
      <c r="AN631" s="64"/>
      <c r="AO631" s="624"/>
      <c r="AP631" s="23"/>
      <c r="AQ631" s="23"/>
      <c r="AR631" s="23"/>
      <c r="AS631" s="23"/>
      <c r="AT631" s="23"/>
      <c r="AU631" s="23"/>
      <c r="AV631" s="23"/>
    </row>
    <row r="632" spans="1:48" ht="18.75" hidden="1" customHeight="1" thickBot="1">
      <c r="A632" s="106"/>
      <c r="B632" s="93"/>
      <c r="C632" s="94"/>
      <c r="D632" s="95" t="s">
        <v>111</v>
      </c>
      <c r="E632" s="1109">
        <f>IF(E631="O/H",E628,55890+E628)</f>
        <v>55890</v>
      </c>
      <c r="F632" s="1110">
        <f t="shared" ref="F632:AI632" si="1216">IF(F631="O/H",F628,+E632+F628)</f>
        <v>55890</v>
      </c>
      <c r="G632" s="1212">
        <f t="shared" si="1216"/>
        <v>55890</v>
      </c>
      <c r="H632" s="1110">
        <f t="shared" si="1216"/>
        <v>55890</v>
      </c>
      <c r="I632" s="1110">
        <f t="shared" si="1216"/>
        <v>55890</v>
      </c>
      <c r="J632" s="1212">
        <f t="shared" si="1216"/>
        <v>55890</v>
      </c>
      <c r="K632" s="1212">
        <f t="shared" si="1216"/>
        <v>55890</v>
      </c>
      <c r="L632" s="1110">
        <f t="shared" si="1216"/>
        <v>55890</v>
      </c>
      <c r="M632" s="1110">
        <f t="shared" si="1216"/>
        <v>55890</v>
      </c>
      <c r="N632" s="1110">
        <f t="shared" si="1216"/>
        <v>55890</v>
      </c>
      <c r="O632" s="1110">
        <f t="shared" si="1216"/>
        <v>55890</v>
      </c>
      <c r="P632" s="1110">
        <f t="shared" si="1216"/>
        <v>55890</v>
      </c>
      <c r="Q632" s="1212">
        <f t="shared" si="1216"/>
        <v>55890</v>
      </c>
      <c r="R632" s="1212">
        <f t="shared" si="1216"/>
        <v>55890</v>
      </c>
      <c r="S632" s="1110">
        <f t="shared" si="1216"/>
        <v>55890</v>
      </c>
      <c r="T632" s="1110">
        <f t="shared" si="1216"/>
        <v>55890</v>
      </c>
      <c r="U632" s="1110">
        <f t="shared" si="1216"/>
        <v>55890</v>
      </c>
      <c r="V632" s="1110">
        <f t="shared" si="1216"/>
        <v>55890</v>
      </c>
      <c r="W632" s="1110">
        <f t="shared" si="1216"/>
        <v>55890</v>
      </c>
      <c r="X632" s="1212">
        <f t="shared" si="1216"/>
        <v>55890</v>
      </c>
      <c r="Y632" s="1212">
        <f t="shared" si="1216"/>
        <v>55890</v>
      </c>
      <c r="Z632" s="1110">
        <f t="shared" si="1216"/>
        <v>55890</v>
      </c>
      <c r="AA632" s="1110">
        <f t="shared" si="1216"/>
        <v>55890</v>
      </c>
      <c r="AB632" s="1110">
        <f t="shared" si="1216"/>
        <v>55890</v>
      </c>
      <c r="AC632" s="1110">
        <f t="shared" si="1216"/>
        <v>55890</v>
      </c>
      <c r="AD632" s="1110">
        <f t="shared" si="1216"/>
        <v>55890</v>
      </c>
      <c r="AE632" s="1212">
        <f t="shared" si="1216"/>
        <v>55890</v>
      </c>
      <c r="AF632" s="1212">
        <f t="shared" si="1216"/>
        <v>55890</v>
      </c>
      <c r="AG632" s="1110">
        <f t="shared" si="1216"/>
        <v>55890</v>
      </c>
      <c r="AH632" s="1110">
        <f t="shared" si="1216"/>
        <v>55890</v>
      </c>
      <c r="AI632" s="1340">
        <f t="shared" si="1216"/>
        <v>55890</v>
      </c>
      <c r="AJ632" s="96"/>
      <c r="AK632" s="96"/>
      <c r="AL632" s="97"/>
      <c r="AM632" s="1071">
        <f t="shared" si="1138"/>
        <v>0</v>
      </c>
      <c r="AN632" s="98"/>
      <c r="AO632" s="625"/>
      <c r="AP632" s="23"/>
      <c r="AQ632" s="23"/>
      <c r="AR632" s="23"/>
      <c r="AS632" s="23"/>
      <c r="AT632" s="23"/>
      <c r="AU632" s="23"/>
      <c r="AV632" s="23"/>
    </row>
    <row r="633" spans="1:48" ht="25.15" hidden="1" customHeight="1" thickTop="1">
      <c r="A633" s="99"/>
      <c r="B633" s="26" t="s">
        <v>525</v>
      </c>
      <c r="C633" s="27"/>
      <c r="D633" s="28" t="s">
        <v>82</v>
      </c>
      <c r="E633" s="1111"/>
      <c r="F633" s="1111"/>
      <c r="G633" s="1201"/>
      <c r="H633" s="1111"/>
      <c r="I633" s="1111"/>
      <c r="J633" s="1201"/>
      <c r="K633" s="1201"/>
      <c r="L633" s="1111"/>
      <c r="M633" s="1111"/>
      <c r="N633" s="1111"/>
      <c r="O633" s="1111"/>
      <c r="P633" s="1111"/>
      <c r="Q633" s="1201"/>
      <c r="R633" s="1201"/>
      <c r="S633" s="1111"/>
      <c r="T633" s="1111"/>
      <c r="U633" s="1111"/>
      <c r="V633" s="1111"/>
      <c r="W633" s="1111"/>
      <c r="X633" s="1201"/>
      <c r="Y633" s="1201"/>
      <c r="Z633" s="1111"/>
      <c r="AA633" s="1111"/>
      <c r="AB633" s="1111"/>
      <c r="AC633" s="1111"/>
      <c r="AD633" s="1111"/>
      <c r="AE633" s="1201"/>
      <c r="AF633" s="1201"/>
      <c r="AG633" s="1111"/>
      <c r="AH633" s="1111"/>
      <c r="AI633" s="1111"/>
      <c r="AJ633" s="100">
        <f>SUM(Table75[[#This Row],[June''2026]:[Column27]])</f>
        <v>0</v>
      </c>
      <c r="AK633" s="100">
        <f t="shared" si="1142"/>
        <v>0</v>
      </c>
      <c r="AL633" s="101">
        <f>+AJ633*AN633</f>
        <v>0</v>
      </c>
      <c r="AM633" s="1072">
        <f t="shared" si="1138"/>
        <v>0</v>
      </c>
      <c r="AN633" s="102">
        <v>29.853210000000001</v>
      </c>
      <c r="AO633" s="622" t="e">
        <f>Table5[[#This Row],[Total]]*B637/1000</f>
        <v>#VALUE!</v>
      </c>
      <c r="AP633" s="32" t="s">
        <v>179</v>
      </c>
      <c r="AQ633" s="33" t="s">
        <v>84</v>
      </c>
      <c r="AR633" s="33" t="s">
        <v>85</v>
      </c>
      <c r="AS633" s="33" t="s">
        <v>86</v>
      </c>
      <c r="AT633" s="33" t="s">
        <v>87</v>
      </c>
      <c r="AU633" s="33" t="s">
        <v>88</v>
      </c>
      <c r="AV633" s="34" t="s">
        <v>68</v>
      </c>
    </row>
    <row r="634" spans="1:48" ht="25.15" hidden="1" customHeight="1">
      <c r="A634" s="103"/>
      <c r="B634" s="35"/>
      <c r="C634" s="36"/>
      <c r="D634" s="37" t="s">
        <v>90</v>
      </c>
      <c r="E634" s="1373">
        <f>IF(E633="",0,+ E633/E640)</f>
        <v>0</v>
      </c>
      <c r="F634" s="1096">
        <f t="shared" ref="F634:AI634" si="1217">IF(F633="",0, E634+F633/F640)</f>
        <v>0</v>
      </c>
      <c r="G634" s="1207">
        <f t="shared" si="1217"/>
        <v>0</v>
      </c>
      <c r="H634" s="1096">
        <f t="shared" si="1217"/>
        <v>0</v>
      </c>
      <c r="I634" s="1096">
        <f t="shared" si="1217"/>
        <v>0</v>
      </c>
      <c r="J634" s="1207">
        <f t="shared" si="1217"/>
        <v>0</v>
      </c>
      <c r="K634" s="1207">
        <f t="shared" si="1217"/>
        <v>0</v>
      </c>
      <c r="L634" s="1096">
        <f t="shared" si="1217"/>
        <v>0</v>
      </c>
      <c r="M634" s="1096">
        <f t="shared" si="1217"/>
        <v>0</v>
      </c>
      <c r="N634" s="1096">
        <f t="shared" si="1217"/>
        <v>0</v>
      </c>
      <c r="O634" s="1096">
        <f t="shared" si="1217"/>
        <v>0</v>
      </c>
      <c r="P634" s="1096">
        <f t="shared" si="1217"/>
        <v>0</v>
      </c>
      <c r="Q634" s="1207">
        <f t="shared" si="1217"/>
        <v>0</v>
      </c>
      <c r="R634" s="1207">
        <f t="shared" si="1217"/>
        <v>0</v>
      </c>
      <c r="S634" s="1096">
        <f t="shared" si="1217"/>
        <v>0</v>
      </c>
      <c r="T634" s="1096">
        <f t="shared" si="1217"/>
        <v>0</v>
      </c>
      <c r="U634" s="1096">
        <f t="shared" si="1217"/>
        <v>0</v>
      </c>
      <c r="V634" s="1096">
        <f t="shared" si="1217"/>
        <v>0</v>
      </c>
      <c r="W634" s="1096">
        <f t="shared" si="1217"/>
        <v>0</v>
      </c>
      <c r="X634" s="1207">
        <f t="shared" si="1217"/>
        <v>0</v>
      </c>
      <c r="Y634" s="1207">
        <f t="shared" si="1217"/>
        <v>0</v>
      </c>
      <c r="Z634" s="1096">
        <f t="shared" si="1217"/>
        <v>0</v>
      </c>
      <c r="AA634" s="1096">
        <f t="shared" si="1217"/>
        <v>0</v>
      </c>
      <c r="AB634" s="1096">
        <f t="shared" si="1217"/>
        <v>0</v>
      </c>
      <c r="AC634" s="1096">
        <f t="shared" si="1217"/>
        <v>0</v>
      </c>
      <c r="AD634" s="1096">
        <f t="shared" si="1217"/>
        <v>0</v>
      </c>
      <c r="AE634" s="1207">
        <f t="shared" si="1217"/>
        <v>0</v>
      </c>
      <c r="AF634" s="1207">
        <f t="shared" si="1217"/>
        <v>0</v>
      </c>
      <c r="AG634" s="1096">
        <f t="shared" si="1217"/>
        <v>0</v>
      </c>
      <c r="AH634" s="1096">
        <f t="shared" si="1217"/>
        <v>0</v>
      </c>
      <c r="AI634" s="1324">
        <f t="shared" si="1217"/>
        <v>0</v>
      </c>
      <c r="AJ634" s="38"/>
      <c r="AK634" s="29"/>
      <c r="AL634" s="30"/>
      <c r="AM634" s="694">
        <f t="shared" si="1138"/>
        <v>0</v>
      </c>
      <c r="AN634" s="31"/>
      <c r="AO634" s="630"/>
      <c r="AP634" s="39" t="s">
        <v>91</v>
      </c>
      <c r="AQ634" s="40">
        <f>SUM(E633:I633)</f>
        <v>0</v>
      </c>
      <c r="AR634" s="41">
        <f>SUM(J633:P633)</f>
        <v>0</v>
      </c>
      <c r="AS634" s="41">
        <f>SUM(Q633:W633)</f>
        <v>0</v>
      </c>
      <c r="AT634" s="41">
        <f>SUM(X633:AD633)</f>
        <v>0</v>
      </c>
      <c r="AU634" s="41">
        <f>SUM(AE633:AI633)</f>
        <v>0</v>
      </c>
      <c r="AV634" s="34">
        <f t="shared" ref="AV634:AV639" si="1218">SUM(AQ634:AU634)</f>
        <v>0</v>
      </c>
    </row>
    <row r="635" spans="1:48" ht="25.15" hidden="1" customHeight="1">
      <c r="A635" s="103"/>
      <c r="B635" s="26" t="s">
        <v>92</v>
      </c>
      <c r="C635" s="42"/>
      <c r="D635" s="43" t="s">
        <v>93</v>
      </c>
      <c r="E635" s="1325"/>
      <c r="F635" s="1089"/>
      <c r="G635" s="44"/>
      <c r="H635" s="1089"/>
      <c r="I635" s="1089"/>
      <c r="J635" s="44"/>
      <c r="K635" s="44"/>
      <c r="L635" s="1089"/>
      <c r="M635" s="1089"/>
      <c r="N635" s="1089"/>
      <c r="O635" s="1089"/>
      <c r="P635" s="1089"/>
      <c r="Q635" s="44"/>
      <c r="R635" s="44"/>
      <c r="S635" s="1089"/>
      <c r="T635" s="1089"/>
      <c r="U635" s="1089"/>
      <c r="V635" s="1089"/>
      <c r="W635" s="1089"/>
      <c r="X635" s="44"/>
      <c r="Y635" s="44"/>
      <c r="Z635" s="1089"/>
      <c r="AA635" s="1089"/>
      <c r="AB635" s="1089"/>
      <c r="AC635" s="1089"/>
      <c r="AD635" s="1089"/>
      <c r="AE635" s="44"/>
      <c r="AF635" s="44"/>
      <c r="AG635" s="1089"/>
      <c r="AH635" s="1089"/>
      <c r="AI635" s="1326"/>
      <c r="AJ635" s="45">
        <f>SUM(E635:AI635)</f>
        <v>0</v>
      </c>
      <c r="AK635" s="45"/>
      <c r="AL635" s="46">
        <f>+AJ635*AN633</f>
        <v>0</v>
      </c>
      <c r="AM635" s="1066">
        <f t="shared" si="1138"/>
        <v>0</v>
      </c>
      <c r="AN635" s="31"/>
      <c r="AO635" s="632">
        <f>(AJ635+AJ637+AJ638+AJ639)*B637/1000</f>
        <v>0</v>
      </c>
      <c r="AP635" s="47" t="s">
        <v>94</v>
      </c>
      <c r="AQ635" s="48">
        <f>SUM(E635:I635)</f>
        <v>0</v>
      </c>
      <c r="AR635" s="49">
        <f>SUM(J635:P635)</f>
        <v>0</v>
      </c>
      <c r="AS635" s="49">
        <f>SUM(Q635:W635)</f>
        <v>0</v>
      </c>
      <c r="AT635" s="49">
        <f>SUM(X635:AD635)</f>
        <v>0</v>
      </c>
      <c r="AU635" s="49">
        <f>SUM(AE635:AI635)</f>
        <v>0</v>
      </c>
      <c r="AV635" s="50">
        <f t="shared" si="1218"/>
        <v>0</v>
      </c>
    </row>
    <row r="636" spans="1:48" ht="25.15" hidden="1" customHeight="1">
      <c r="A636" s="103"/>
      <c r="B636" s="51"/>
      <c r="C636" s="52" t="s">
        <v>95</v>
      </c>
      <c r="D636" s="53" t="s">
        <v>96</v>
      </c>
      <c r="E636" s="1327">
        <f t="shared" ref="E636:AJ636" si="1219">+E635-E633</f>
        <v>0</v>
      </c>
      <c r="F636" s="1097">
        <f t="shared" si="1219"/>
        <v>0</v>
      </c>
      <c r="G636" s="1205">
        <f t="shared" si="1219"/>
        <v>0</v>
      </c>
      <c r="H636" s="1097">
        <f t="shared" si="1219"/>
        <v>0</v>
      </c>
      <c r="I636" s="1097">
        <f t="shared" si="1219"/>
        <v>0</v>
      </c>
      <c r="J636" s="1205">
        <f t="shared" si="1219"/>
        <v>0</v>
      </c>
      <c r="K636" s="1205">
        <f t="shared" si="1219"/>
        <v>0</v>
      </c>
      <c r="L636" s="1097">
        <f t="shared" si="1219"/>
        <v>0</v>
      </c>
      <c r="M636" s="1097">
        <f t="shared" si="1219"/>
        <v>0</v>
      </c>
      <c r="N636" s="1097">
        <f t="shared" si="1219"/>
        <v>0</v>
      </c>
      <c r="O636" s="1097">
        <f t="shared" si="1219"/>
        <v>0</v>
      </c>
      <c r="P636" s="1097">
        <f t="shared" si="1219"/>
        <v>0</v>
      </c>
      <c r="Q636" s="1205">
        <f t="shared" si="1219"/>
        <v>0</v>
      </c>
      <c r="R636" s="1205">
        <f t="shared" ref="R636:S636" si="1220">+R635-R633</f>
        <v>0</v>
      </c>
      <c r="S636" s="1097">
        <f t="shared" si="1220"/>
        <v>0</v>
      </c>
      <c r="T636" s="1097">
        <f t="shared" si="1219"/>
        <v>0</v>
      </c>
      <c r="U636" s="1097">
        <f t="shared" si="1219"/>
        <v>0</v>
      </c>
      <c r="V636" s="1097">
        <f t="shared" si="1219"/>
        <v>0</v>
      </c>
      <c r="W636" s="1097">
        <f t="shared" si="1219"/>
        <v>0</v>
      </c>
      <c r="X636" s="1205">
        <f t="shared" si="1219"/>
        <v>0</v>
      </c>
      <c r="Y636" s="1205">
        <f t="shared" si="1219"/>
        <v>0</v>
      </c>
      <c r="Z636" s="1097">
        <f t="shared" si="1219"/>
        <v>0</v>
      </c>
      <c r="AA636" s="1097">
        <f t="shared" si="1219"/>
        <v>0</v>
      </c>
      <c r="AB636" s="1097">
        <f t="shared" si="1219"/>
        <v>0</v>
      </c>
      <c r="AC636" s="1097">
        <f t="shared" si="1219"/>
        <v>0</v>
      </c>
      <c r="AD636" s="1097">
        <f t="shared" si="1219"/>
        <v>0</v>
      </c>
      <c r="AE636" s="1205">
        <f t="shared" si="1219"/>
        <v>0</v>
      </c>
      <c r="AF636" s="1205">
        <f t="shared" si="1219"/>
        <v>0</v>
      </c>
      <c r="AG636" s="1097">
        <f t="shared" si="1219"/>
        <v>0</v>
      </c>
      <c r="AH636" s="1097">
        <f t="shared" si="1219"/>
        <v>0</v>
      </c>
      <c r="AI636" s="1328">
        <f t="shared" si="1219"/>
        <v>0</v>
      </c>
      <c r="AJ636" s="54">
        <f t="shared" si="1219"/>
        <v>0</v>
      </c>
      <c r="AK636" s="54"/>
      <c r="AL636" s="55">
        <f>+AJ636*AN633</f>
        <v>0</v>
      </c>
      <c r="AM636" s="1067">
        <f t="shared" si="1138"/>
        <v>0</v>
      </c>
      <c r="AN636" s="31" t="s">
        <v>97</v>
      </c>
      <c r="AO636" s="622"/>
      <c r="AP636" s="39" t="s">
        <v>98</v>
      </c>
      <c r="AQ636" s="56">
        <f>AQ635-AQ634</f>
        <v>0</v>
      </c>
      <c r="AR636" s="70">
        <f>AR635-AR634</f>
        <v>0</v>
      </c>
      <c r="AS636" s="70">
        <f>AS635-AS634</f>
        <v>0</v>
      </c>
      <c r="AT636" s="70">
        <f>AT635-AT634</f>
        <v>0</v>
      </c>
      <c r="AU636" s="70">
        <f>AU635-AU634</f>
        <v>0</v>
      </c>
      <c r="AV636" s="57">
        <f t="shared" si="1218"/>
        <v>0</v>
      </c>
    </row>
    <row r="637" spans="1:48" ht="25.15" hidden="1" customHeight="1">
      <c r="A637" s="58"/>
      <c r="B637" s="59"/>
      <c r="C637" s="60" t="s">
        <v>100</v>
      </c>
      <c r="D637" s="61" t="s">
        <v>101</v>
      </c>
      <c r="E637" s="1329"/>
      <c r="F637" s="1099"/>
      <c r="G637" s="1208"/>
      <c r="H637" s="1099"/>
      <c r="I637" s="1099"/>
      <c r="J637" s="1208"/>
      <c r="K637" s="1208"/>
      <c r="L637" s="1099"/>
      <c r="M637" s="1099"/>
      <c r="N637" s="1099"/>
      <c r="O637" s="1099"/>
      <c r="P637" s="1099"/>
      <c r="Q637" s="1208"/>
      <c r="R637" s="1213"/>
      <c r="S637" s="1112"/>
      <c r="T637" s="1099"/>
      <c r="U637" s="1099"/>
      <c r="V637" s="1099"/>
      <c r="W637" s="1099"/>
      <c r="X637" s="1208"/>
      <c r="Y637" s="1208"/>
      <c r="Z637" s="1099"/>
      <c r="AA637" s="1099"/>
      <c r="AB637" s="1099"/>
      <c r="AC637" s="1099"/>
      <c r="AD637" s="1099"/>
      <c r="AE637" s="1208"/>
      <c r="AF637" s="1208"/>
      <c r="AG637" s="1099"/>
      <c r="AH637" s="1099"/>
      <c r="AI637" s="1330"/>
      <c r="AJ637" s="62">
        <f>SUM(E637:AI637)</f>
        <v>0</v>
      </c>
      <c r="AK637" s="62"/>
      <c r="AL637" s="63">
        <f>+AJ637*AN633</f>
        <v>0</v>
      </c>
      <c r="AM637" s="1068">
        <f t="shared" si="1138"/>
        <v>0</v>
      </c>
      <c r="AN637" s="64" t="e">
        <f>+AJ637/AJ635*100</f>
        <v>#DIV/0!</v>
      </c>
      <c r="AO637" s="635" t="e">
        <f>AO635/AO633</f>
        <v>#VALUE!</v>
      </c>
      <c r="AP637" s="39" t="s">
        <v>102</v>
      </c>
      <c r="AQ637" s="56">
        <f>SUM(E637:I637)</f>
        <v>0</v>
      </c>
      <c r="AR637" s="70">
        <f>SUM(J637:P637)</f>
        <v>0</v>
      </c>
      <c r="AS637" s="70">
        <f>SUM(Q637:W637)</f>
        <v>0</v>
      </c>
      <c r="AT637" s="70">
        <f>SUM(X637:AD637)</f>
        <v>0</v>
      </c>
      <c r="AU637" s="70">
        <f>SUM(AE637:AI637)</f>
        <v>0</v>
      </c>
      <c r="AV637" s="57">
        <f t="shared" si="1218"/>
        <v>0</v>
      </c>
    </row>
    <row r="638" spans="1:48" ht="25.15" hidden="1" customHeight="1">
      <c r="A638" s="58" t="s">
        <v>180</v>
      </c>
      <c r="B638" s="65"/>
      <c r="C638" s="66"/>
      <c r="D638" s="67" t="s">
        <v>103</v>
      </c>
      <c r="E638" s="1331"/>
      <c r="F638" s="1101"/>
      <c r="G638" s="1209"/>
      <c r="H638" s="1101"/>
      <c r="I638" s="1101"/>
      <c r="J638" s="1209"/>
      <c r="K638" s="1209"/>
      <c r="L638" s="1101"/>
      <c r="M638" s="1101"/>
      <c r="N638" s="1101"/>
      <c r="O638" s="1101"/>
      <c r="P638" s="1101"/>
      <c r="Q638" s="1209"/>
      <c r="R638" s="1214"/>
      <c r="S638" s="1114"/>
      <c r="T638" s="1101"/>
      <c r="U638" s="1101"/>
      <c r="V638" s="1101"/>
      <c r="W638" s="1101"/>
      <c r="X638" s="1209"/>
      <c r="Y638" s="1209"/>
      <c r="Z638" s="1101"/>
      <c r="AA638" s="1101"/>
      <c r="AB638" s="1101"/>
      <c r="AC638" s="1101"/>
      <c r="AD638" s="1101"/>
      <c r="AE638" s="1209"/>
      <c r="AF638" s="1209"/>
      <c r="AG638" s="1101"/>
      <c r="AH638" s="1101"/>
      <c r="AI638" s="1332"/>
      <c r="AJ638" s="68">
        <f>SUM(E638:AI638)</f>
        <v>0</v>
      </c>
      <c r="AK638" s="68"/>
      <c r="AL638" s="69">
        <f>+AJ638*AN633</f>
        <v>0</v>
      </c>
      <c r="AM638" s="1069">
        <f t="shared" si="1138"/>
        <v>0</v>
      </c>
      <c r="AN638" s="31"/>
      <c r="AO638" s="622"/>
      <c r="AP638" s="39" t="s">
        <v>19</v>
      </c>
      <c r="AQ638" s="56">
        <f>AQ637*AN633</f>
        <v>0</v>
      </c>
      <c r="AR638" s="56">
        <f>AR637*AN633</f>
        <v>0</v>
      </c>
      <c r="AS638" s="56">
        <f>AS637*AN633</f>
        <v>0</v>
      </c>
      <c r="AT638" s="56">
        <f>AT637*AN633</f>
        <v>0</v>
      </c>
      <c r="AU638" s="56">
        <f>AU637*AN633</f>
        <v>0</v>
      </c>
      <c r="AV638" s="57">
        <f t="shared" si="1218"/>
        <v>0</v>
      </c>
    </row>
    <row r="639" spans="1:48" ht="25.15" hidden="1" customHeight="1">
      <c r="A639" s="103"/>
      <c r="B639" s="65"/>
      <c r="C639" s="72" t="s">
        <v>104</v>
      </c>
      <c r="D639" s="73" t="s">
        <v>105</v>
      </c>
      <c r="E639" s="1378"/>
      <c r="F639" s="1103"/>
      <c r="G639" s="1210"/>
      <c r="H639" s="1103"/>
      <c r="I639" s="1103"/>
      <c r="J639" s="1210"/>
      <c r="K639" s="1210"/>
      <c r="L639" s="1103"/>
      <c r="M639" s="1103"/>
      <c r="N639" s="1103"/>
      <c r="O639" s="1103"/>
      <c r="P639" s="1103"/>
      <c r="Q639" s="1210"/>
      <c r="R639" s="1215"/>
      <c r="S639" s="1116"/>
      <c r="T639" s="1103"/>
      <c r="U639" s="1103"/>
      <c r="V639" s="1103"/>
      <c r="W639" s="1103"/>
      <c r="X639" s="1210"/>
      <c r="Y639" s="1210"/>
      <c r="Z639" s="1103"/>
      <c r="AA639" s="1103"/>
      <c r="AB639" s="1103"/>
      <c r="AC639" s="1103"/>
      <c r="AD639" s="1103"/>
      <c r="AE639" s="1210"/>
      <c r="AF639" s="1210"/>
      <c r="AG639" s="1103"/>
      <c r="AH639" s="1103"/>
      <c r="AI639" s="1352"/>
      <c r="AJ639" s="74">
        <f>SUM(E639:AI639)</f>
        <v>0</v>
      </c>
      <c r="AK639" s="74"/>
      <c r="AL639" s="75">
        <f>+AJ639*AN633</f>
        <v>0</v>
      </c>
      <c r="AM639" s="1070">
        <f t="shared" si="1138"/>
        <v>0</v>
      </c>
      <c r="AN639" s="76"/>
      <c r="AO639" s="636"/>
      <c r="AP639" s="47" t="s">
        <v>106</v>
      </c>
      <c r="AQ639" s="48">
        <f>AQ635*AN633</f>
        <v>0</v>
      </c>
      <c r="AR639" s="48">
        <f>AR635*AN633</f>
        <v>0</v>
      </c>
      <c r="AS639" s="48">
        <f>AS635*AN633</f>
        <v>0</v>
      </c>
      <c r="AT639" s="48">
        <f>AT635*AN633</f>
        <v>0</v>
      </c>
      <c r="AU639" s="48">
        <f>AU635*AN633</f>
        <v>0</v>
      </c>
      <c r="AV639" s="50">
        <f t="shared" si="1218"/>
        <v>0</v>
      </c>
    </row>
    <row r="640" spans="1:48" ht="25.15" hidden="1" customHeight="1">
      <c r="A640" s="103"/>
      <c r="B640" s="65"/>
      <c r="C640" s="77">
        <v>300000</v>
      </c>
      <c r="D640" s="78" t="s">
        <v>107</v>
      </c>
      <c r="E640" s="1327">
        <v>1</v>
      </c>
      <c r="F640" s="1097">
        <v>1</v>
      </c>
      <c r="G640" s="1205">
        <v>1</v>
      </c>
      <c r="H640" s="1097">
        <v>1</v>
      </c>
      <c r="I640" s="1097">
        <v>1</v>
      </c>
      <c r="J640" s="1205">
        <v>1</v>
      </c>
      <c r="K640" s="1205">
        <v>1</v>
      </c>
      <c r="L640" s="1097">
        <v>1</v>
      </c>
      <c r="M640" s="1097">
        <v>1</v>
      </c>
      <c r="N640" s="1097">
        <v>1</v>
      </c>
      <c r="O640" s="1097">
        <v>1</v>
      </c>
      <c r="P640" s="1097">
        <v>1</v>
      </c>
      <c r="Q640" s="1205">
        <v>1</v>
      </c>
      <c r="R640" s="1205">
        <v>1</v>
      </c>
      <c r="S640" s="1097">
        <v>1</v>
      </c>
      <c r="T640" s="1097">
        <v>1</v>
      </c>
      <c r="U640" s="1097">
        <v>1</v>
      </c>
      <c r="V640" s="1097">
        <v>1</v>
      </c>
      <c r="W640" s="1097">
        <v>1</v>
      </c>
      <c r="X640" s="1205">
        <v>1</v>
      </c>
      <c r="Y640" s="1205">
        <v>1</v>
      </c>
      <c r="Z640" s="1097">
        <v>1</v>
      </c>
      <c r="AA640" s="1097">
        <v>1</v>
      </c>
      <c r="AB640" s="1097">
        <v>1</v>
      </c>
      <c r="AC640" s="1097">
        <v>1</v>
      </c>
      <c r="AD640" s="1097">
        <v>1</v>
      </c>
      <c r="AE640" s="1205">
        <v>1</v>
      </c>
      <c r="AF640" s="1205">
        <v>1</v>
      </c>
      <c r="AG640" s="1097">
        <v>1</v>
      </c>
      <c r="AH640" s="1097">
        <v>1</v>
      </c>
      <c r="AI640" s="1328">
        <v>1</v>
      </c>
      <c r="AJ640" s="79"/>
      <c r="AK640" s="79"/>
      <c r="AL640" s="55"/>
      <c r="AM640" s="1067">
        <f t="shared" si="1138"/>
        <v>0</v>
      </c>
      <c r="AN640" s="31"/>
      <c r="AO640" s="622"/>
      <c r="AP640" s="23"/>
      <c r="AQ640" s="23"/>
      <c r="AR640" s="23"/>
      <c r="AS640" s="23"/>
      <c r="AT640" s="23"/>
      <c r="AU640" s="23"/>
      <c r="AV640" s="23"/>
    </row>
    <row r="641" spans="1:48" ht="25.15" hidden="1" customHeight="1">
      <c r="A641" s="103"/>
      <c r="B641" s="65"/>
      <c r="C641" s="80" t="s">
        <v>108</v>
      </c>
      <c r="D641" s="81" t="s">
        <v>109</v>
      </c>
      <c r="E641" s="1374">
        <f>SUM(E635+E637+E638+E639)/E640</f>
        <v>0</v>
      </c>
      <c r="F641" s="1104">
        <f>SUM(F635+F637+F638+F639)/F640</f>
        <v>0</v>
      </c>
      <c r="G641" s="1211">
        <f>SUM(G635+G637+G638+G639)/G640</f>
        <v>0</v>
      </c>
      <c r="H641" s="1104">
        <f t="shared" ref="H641:AH641" si="1221">SUM(H635+H637+H638+H639)/H640</f>
        <v>0</v>
      </c>
      <c r="I641" s="1104">
        <f t="shared" si="1221"/>
        <v>0</v>
      </c>
      <c r="J641" s="1211">
        <f t="shared" si="1221"/>
        <v>0</v>
      </c>
      <c r="K641" s="1211">
        <f t="shared" si="1221"/>
        <v>0</v>
      </c>
      <c r="L641" s="1104">
        <f t="shared" si="1221"/>
        <v>0</v>
      </c>
      <c r="M641" s="1104">
        <f t="shared" si="1221"/>
        <v>0</v>
      </c>
      <c r="N641" s="1104">
        <f t="shared" si="1221"/>
        <v>0</v>
      </c>
      <c r="O641" s="1104">
        <f t="shared" si="1221"/>
        <v>0</v>
      </c>
      <c r="P641" s="1104">
        <f t="shared" si="1221"/>
        <v>0</v>
      </c>
      <c r="Q641" s="1211">
        <f t="shared" si="1221"/>
        <v>0</v>
      </c>
      <c r="R641" s="1211">
        <f t="shared" si="1221"/>
        <v>0</v>
      </c>
      <c r="S641" s="1104">
        <f t="shared" si="1221"/>
        <v>0</v>
      </c>
      <c r="T641" s="1104">
        <f t="shared" si="1221"/>
        <v>0</v>
      </c>
      <c r="U641" s="1104">
        <f t="shared" si="1221"/>
        <v>0</v>
      </c>
      <c r="V641" s="1104">
        <f t="shared" si="1221"/>
        <v>0</v>
      </c>
      <c r="W641" s="1104">
        <f t="shared" si="1221"/>
        <v>0</v>
      </c>
      <c r="X641" s="1211">
        <f t="shared" si="1221"/>
        <v>0</v>
      </c>
      <c r="Y641" s="1211">
        <f t="shared" si="1221"/>
        <v>0</v>
      </c>
      <c r="Z641" s="1104">
        <f t="shared" si="1221"/>
        <v>0</v>
      </c>
      <c r="AA641" s="1104">
        <f t="shared" si="1221"/>
        <v>0</v>
      </c>
      <c r="AB641" s="1104">
        <f t="shared" si="1221"/>
        <v>0</v>
      </c>
      <c r="AC641" s="1104">
        <f t="shared" si="1221"/>
        <v>0</v>
      </c>
      <c r="AD641" s="1104">
        <f t="shared" si="1221"/>
        <v>0</v>
      </c>
      <c r="AE641" s="1211">
        <f t="shared" si="1221"/>
        <v>0</v>
      </c>
      <c r="AF641" s="1211">
        <f t="shared" si="1221"/>
        <v>0</v>
      </c>
      <c r="AG641" s="1104">
        <f t="shared" si="1221"/>
        <v>0</v>
      </c>
      <c r="AH641" s="1104">
        <f t="shared" si="1221"/>
        <v>0</v>
      </c>
      <c r="AI641" s="1335">
        <f>SUM(AI635+AI637+AI638)/AI640</f>
        <v>0</v>
      </c>
      <c r="AJ641" s="104">
        <f>SUM(E641:AI641)</f>
        <v>0</v>
      </c>
      <c r="AK641" s="104"/>
      <c r="AL641" s="83"/>
      <c r="AM641" s="1068">
        <f t="shared" si="1138"/>
        <v>0</v>
      </c>
      <c r="AN641" s="31"/>
      <c r="AO641" s="622"/>
      <c r="AP641" s="23"/>
      <c r="AQ641" s="23"/>
      <c r="AR641" s="23"/>
      <c r="AS641" s="23"/>
      <c r="AT641" s="23"/>
      <c r="AU641" s="23"/>
      <c r="AV641" s="23"/>
    </row>
    <row r="642" spans="1:48" ht="25.15" hidden="1" customHeight="1">
      <c r="A642" s="103"/>
      <c r="B642" s="59"/>
      <c r="C642" s="84">
        <f>+C640*0.8</f>
        <v>240000</v>
      </c>
      <c r="D642" s="85" t="s">
        <v>110</v>
      </c>
      <c r="E642" s="1105"/>
      <c r="F642" s="1106"/>
      <c r="G642" s="1211"/>
      <c r="H642" s="1104"/>
      <c r="I642" s="1104"/>
      <c r="J642" s="1211"/>
      <c r="K642" s="1211"/>
      <c r="L642" s="1104"/>
      <c r="M642" s="1104"/>
      <c r="N642" s="1104"/>
      <c r="O642" s="1107"/>
      <c r="P642" s="1104"/>
      <c r="Q642" s="1211"/>
      <c r="R642" s="1211"/>
      <c r="S642" s="1104"/>
      <c r="T642" s="1104"/>
      <c r="U642" s="1104"/>
      <c r="V642" s="1104"/>
      <c r="W642" s="1104"/>
      <c r="X642" s="1211"/>
      <c r="Y642" s="1211"/>
      <c r="Z642" s="1104"/>
      <c r="AA642" s="1104"/>
      <c r="AB642" s="1104"/>
      <c r="AC642" s="1104"/>
      <c r="AD642" s="1104"/>
      <c r="AE642" s="1211"/>
      <c r="AF642" s="1211"/>
      <c r="AG642" s="1104"/>
      <c r="AH642" s="1104"/>
      <c r="AI642" s="1353"/>
      <c r="AJ642" s="86"/>
      <c r="AK642" s="86"/>
      <c r="AL642" s="690"/>
      <c r="AM642" s="694">
        <f t="shared" si="1138"/>
        <v>0</v>
      </c>
      <c r="AN642" s="31"/>
      <c r="AO642" s="622"/>
      <c r="AP642" s="23"/>
      <c r="AQ642" s="23"/>
      <c r="AR642" s="23"/>
      <c r="AS642" s="23"/>
      <c r="AT642" s="23"/>
      <c r="AU642" s="23"/>
      <c r="AV642" s="23"/>
    </row>
    <row r="643" spans="1:48" ht="25.15" hidden="1" customHeight="1">
      <c r="A643" s="103"/>
      <c r="B643" s="105"/>
      <c r="C643" s="77"/>
      <c r="D643" s="88" t="s">
        <v>111</v>
      </c>
      <c r="E643" s="1108">
        <f>IF(E642="O/H",E641,29590+E641)</f>
        <v>29590</v>
      </c>
      <c r="F643" s="1089">
        <f t="shared" ref="F643:AI643" si="1222">IF(F642="O/H",F641,+E643+F641)</f>
        <v>29590</v>
      </c>
      <c r="G643" s="44">
        <f t="shared" si="1222"/>
        <v>29590</v>
      </c>
      <c r="H643" s="1089">
        <f t="shared" si="1222"/>
        <v>29590</v>
      </c>
      <c r="I643" s="1089">
        <f t="shared" si="1222"/>
        <v>29590</v>
      </c>
      <c r="J643" s="44">
        <f t="shared" si="1222"/>
        <v>29590</v>
      </c>
      <c r="K643" s="44">
        <f t="shared" si="1222"/>
        <v>29590</v>
      </c>
      <c r="L643" s="1089">
        <f t="shared" si="1222"/>
        <v>29590</v>
      </c>
      <c r="M643" s="1089">
        <f t="shared" si="1222"/>
        <v>29590</v>
      </c>
      <c r="N643" s="1089">
        <f t="shared" si="1222"/>
        <v>29590</v>
      </c>
      <c r="O643" s="1089">
        <f t="shared" si="1222"/>
        <v>29590</v>
      </c>
      <c r="P643" s="1089">
        <f t="shared" si="1222"/>
        <v>29590</v>
      </c>
      <c r="Q643" s="44">
        <f t="shared" si="1222"/>
        <v>29590</v>
      </c>
      <c r="R643" s="44">
        <f t="shared" si="1222"/>
        <v>29590</v>
      </c>
      <c r="S643" s="1089">
        <f t="shared" si="1222"/>
        <v>29590</v>
      </c>
      <c r="T643" s="1089">
        <f t="shared" si="1222"/>
        <v>29590</v>
      </c>
      <c r="U643" s="1089">
        <f t="shared" si="1222"/>
        <v>29590</v>
      </c>
      <c r="V643" s="1089">
        <f t="shared" si="1222"/>
        <v>29590</v>
      </c>
      <c r="W643" s="1089">
        <f t="shared" si="1222"/>
        <v>29590</v>
      </c>
      <c r="X643" s="44">
        <f t="shared" si="1222"/>
        <v>29590</v>
      </c>
      <c r="Y643" s="44">
        <f t="shared" si="1222"/>
        <v>29590</v>
      </c>
      <c r="Z643" s="1089">
        <f t="shared" si="1222"/>
        <v>29590</v>
      </c>
      <c r="AA643" s="1089">
        <f t="shared" si="1222"/>
        <v>29590</v>
      </c>
      <c r="AB643" s="1089">
        <f t="shared" si="1222"/>
        <v>29590</v>
      </c>
      <c r="AC643" s="1089">
        <f t="shared" si="1222"/>
        <v>29590</v>
      </c>
      <c r="AD643" s="1089">
        <f t="shared" si="1222"/>
        <v>29590</v>
      </c>
      <c r="AE643" s="44">
        <f t="shared" si="1222"/>
        <v>29590</v>
      </c>
      <c r="AF643" s="44">
        <f t="shared" si="1222"/>
        <v>29590</v>
      </c>
      <c r="AG643" s="1089">
        <f t="shared" si="1222"/>
        <v>29590</v>
      </c>
      <c r="AH643" s="1089">
        <f t="shared" si="1222"/>
        <v>29590</v>
      </c>
      <c r="AI643" s="1326">
        <f t="shared" si="1222"/>
        <v>29590</v>
      </c>
      <c r="AJ643" s="79"/>
      <c r="AK643" s="86"/>
      <c r="AL643" s="689"/>
      <c r="AM643" s="694">
        <f t="shared" si="1138"/>
        <v>0</v>
      </c>
      <c r="AN643" s="31"/>
      <c r="AO643" s="622"/>
      <c r="AP643" s="23"/>
      <c r="AQ643" s="23"/>
      <c r="AR643" s="23"/>
      <c r="AS643" s="23"/>
      <c r="AT643" s="23"/>
      <c r="AU643" s="23"/>
      <c r="AV643" s="23"/>
    </row>
    <row r="644" spans="1:48" s="23" customFormat="1" ht="20.65" hidden="1" customHeight="1">
      <c r="A644" s="274"/>
      <c r="B644" s="312"/>
      <c r="C644" s="308"/>
      <c r="D644" s="795" t="s">
        <v>112</v>
      </c>
      <c r="E644" s="1108" t="b">
        <f>IF(AND(ISNUMBER(E635)),126031+E641)</f>
        <v>0</v>
      </c>
      <c r="F644" s="1089" t="str">
        <f>IF(AND(ISNUMBER(F635)),E644+F641,"")</f>
        <v/>
      </c>
      <c r="G644" s="44" t="str">
        <f t="shared" ref="G644" si="1223">IF(AND(ISNUMBER(G635)),F644+G641,"")</f>
        <v/>
      </c>
      <c r="H644" s="1089" t="str">
        <f t="shared" ref="H644" si="1224">IF(AND(ISNUMBER(H635)),G644+H641,"")</f>
        <v/>
      </c>
      <c r="I644" s="1089" t="str">
        <f>IF(AND(ISNUMBER(I635)),H644+I641,"")</f>
        <v/>
      </c>
      <c r="J644" s="44" t="str">
        <f>IF(AND(ISNUMBER(J635)),I644+J641,"")</f>
        <v/>
      </c>
      <c r="K644" s="44" t="str">
        <f>IF(AND(ISNUMBER(K635)),J644+K641,"")</f>
        <v/>
      </c>
      <c r="L644" s="1089" t="str">
        <f t="shared" ref="L644" si="1225">IF(AND(ISNUMBER(L635)),K644+L641,"")</f>
        <v/>
      </c>
      <c r="M644" s="1089" t="str">
        <f t="shared" ref="M644" si="1226">IF(AND(ISNUMBER(M635)),L644+M641,"")</f>
        <v/>
      </c>
      <c r="N644" s="1089" t="str">
        <f t="shared" ref="N644" si="1227">IF(AND(ISNUMBER(N635)),M644+N641,"")</f>
        <v/>
      </c>
      <c r="O644" s="1089" t="str">
        <f t="shared" ref="O644" si="1228">IF(AND(ISNUMBER(O635)),N644+O641,"")</f>
        <v/>
      </c>
      <c r="P644" s="1089" t="str">
        <f t="shared" ref="P644" si="1229">IF(AND(ISNUMBER(P635)),O644+P641,"")</f>
        <v/>
      </c>
      <c r="Q644" s="44" t="str">
        <f t="shared" ref="Q644" si="1230">IF(AND(ISNUMBER(Q635)),P644+Q641,"")</f>
        <v/>
      </c>
      <c r="R644" s="44" t="str">
        <f t="shared" ref="R644" si="1231">IF(AND(ISNUMBER(R635)),Q644+R641,"")</f>
        <v/>
      </c>
      <c r="S644" s="1089" t="str">
        <f t="shared" ref="S644" si="1232">IF(AND(ISNUMBER(S635)),R644+S641,"")</f>
        <v/>
      </c>
      <c r="T644" s="1089" t="str">
        <f t="shared" ref="T644" si="1233">IF(AND(ISNUMBER(T635)),S644+T641,"")</f>
        <v/>
      </c>
      <c r="U644" s="1089" t="str">
        <f t="shared" ref="U644" si="1234">IF(AND(ISNUMBER(U635)),T644+U641,"")</f>
        <v/>
      </c>
      <c r="V644" s="1089" t="str">
        <f t="shared" ref="V644" si="1235">IF(AND(ISNUMBER(V635)),U644+V641,"")</f>
        <v/>
      </c>
      <c r="W644" s="1089" t="str">
        <f t="shared" ref="W644" si="1236">IF(AND(ISNUMBER(W635)),V644+W641,"")</f>
        <v/>
      </c>
      <c r="X644" s="44" t="str">
        <f t="shared" ref="X644" si="1237">IF(AND(ISNUMBER(X635)),W644+X641,"")</f>
        <v/>
      </c>
      <c r="Y644" s="44" t="str">
        <f t="shared" ref="Y644" si="1238">IF(AND(ISNUMBER(Y635)),X644+Y641,"")</f>
        <v/>
      </c>
      <c r="Z644" s="1089" t="str">
        <f t="shared" ref="Z644" si="1239">IF(AND(ISNUMBER(Z635)),Y644+Z641,"")</f>
        <v/>
      </c>
      <c r="AA644" s="1089" t="str">
        <f t="shared" ref="AA644" si="1240">IF(AND(ISNUMBER(AA635)),Z644+AA641,"")</f>
        <v/>
      </c>
      <c r="AB644" s="1089" t="str">
        <f t="shared" ref="AB644" si="1241">IF(AND(ISNUMBER(AB635)),AA644+AB641,"")</f>
        <v/>
      </c>
      <c r="AC644" s="1089" t="str">
        <f t="shared" ref="AC644" si="1242">IF(AND(ISNUMBER(AC635)),AB644+AC641,"")</f>
        <v/>
      </c>
      <c r="AD644" s="1089" t="str">
        <f t="shared" ref="AD644" si="1243">IF(AND(ISNUMBER(AD635)),AC644+AD641,"")</f>
        <v/>
      </c>
      <c r="AE644" s="44" t="str">
        <f t="shared" ref="AE644" si="1244">IF(AND(ISNUMBER(AE635)),AD644+AE641,"")</f>
        <v/>
      </c>
      <c r="AF644" s="44" t="str">
        <f t="shared" ref="AF644" si="1245">IF(AND(ISNUMBER(AF635)),AE644+AF641,"")</f>
        <v/>
      </c>
      <c r="AG644" s="1089" t="str">
        <f t="shared" ref="AG644" si="1246">IF(AND(ISNUMBER(AG635)),AF644+AG641,"")</f>
        <v/>
      </c>
      <c r="AH644" s="1089" t="str">
        <f t="shared" ref="AH644" si="1247">IF(AND(ISNUMBER(AH635)),AG644+AH641,"")</f>
        <v/>
      </c>
      <c r="AI644" s="1089" t="str">
        <f t="shared" ref="AI644" si="1248">IF(AND(ISNUMBER(AI635)),AH644+AI641,"")</f>
        <v/>
      </c>
      <c r="AJ644" s="793"/>
      <c r="AK644" s="793"/>
      <c r="AL644" s="909"/>
      <c r="AM644" s="890">
        <f t="shared" si="1138"/>
        <v>0</v>
      </c>
      <c r="AN644" s="76"/>
      <c r="AO644" s="624"/>
      <c r="AP644" s="285"/>
      <c r="AQ644" s="285"/>
      <c r="AR644" s="285"/>
      <c r="AS644" s="285"/>
      <c r="AT644" s="286"/>
      <c r="AU644" s="285"/>
      <c r="AV644" s="287"/>
    </row>
    <row r="645" spans="1:48" ht="25.15" hidden="1" customHeight="1">
      <c r="A645" s="103"/>
      <c r="B645" s="89"/>
      <c r="C645" s="80"/>
      <c r="D645" s="90" t="s">
        <v>104</v>
      </c>
      <c r="E645" s="1108"/>
      <c r="F645" s="1089"/>
      <c r="G645" s="44"/>
      <c r="H645" s="1089"/>
      <c r="I645" s="1089"/>
      <c r="J645" s="44"/>
      <c r="K645" s="44"/>
      <c r="L645" s="1089"/>
      <c r="M645" s="1089"/>
      <c r="N645" s="1089"/>
      <c r="O645" s="1089"/>
      <c r="P645" s="1089"/>
      <c r="Q645" s="44"/>
      <c r="R645" s="44"/>
      <c r="S645" s="1089"/>
      <c r="T645" s="1089"/>
      <c r="U645" s="1089"/>
      <c r="V645" s="1089"/>
      <c r="W645" s="1089"/>
      <c r="X645" s="44"/>
      <c r="Y645" s="44"/>
      <c r="Z645" s="1089"/>
      <c r="AA645" s="1089"/>
      <c r="AB645" s="1089"/>
      <c r="AC645" s="1089"/>
      <c r="AD645" s="1089"/>
      <c r="AE645" s="44"/>
      <c r="AF645" s="44"/>
      <c r="AG645" s="1089"/>
      <c r="AH645" s="1089"/>
      <c r="AI645" s="1326"/>
      <c r="AJ645" s="79"/>
      <c r="AK645" s="79"/>
      <c r="AL645" s="63"/>
      <c r="AM645" s="1068">
        <f t="shared" si="1138"/>
        <v>0</v>
      </c>
      <c r="AN645" s="64"/>
      <c r="AO645" s="624"/>
      <c r="AP645" s="23"/>
      <c r="AQ645" s="23"/>
      <c r="AR645" s="23"/>
      <c r="AS645" s="23"/>
      <c r="AT645" s="23"/>
      <c r="AU645" s="23"/>
      <c r="AV645" s="23"/>
    </row>
    <row r="646" spans="1:48" ht="25.15" hidden="1" customHeight="1" thickBot="1">
      <c r="A646" s="106"/>
      <c r="B646" s="93"/>
      <c r="C646" s="94"/>
      <c r="D646" s="95" t="s">
        <v>111</v>
      </c>
      <c r="E646" s="1109">
        <f>IF(E645="O/H",E641,29590+E641)</f>
        <v>29590</v>
      </c>
      <c r="F646" s="1110">
        <f t="shared" ref="F646:AI646" si="1249">IF(F645="O/H",F641,+E646+F641)</f>
        <v>29590</v>
      </c>
      <c r="G646" s="1212">
        <f t="shared" si="1249"/>
        <v>29590</v>
      </c>
      <c r="H646" s="1110">
        <f t="shared" si="1249"/>
        <v>29590</v>
      </c>
      <c r="I646" s="1110">
        <f t="shared" si="1249"/>
        <v>29590</v>
      </c>
      <c r="J646" s="1212">
        <f t="shared" si="1249"/>
        <v>29590</v>
      </c>
      <c r="K646" s="1212">
        <f t="shared" si="1249"/>
        <v>29590</v>
      </c>
      <c r="L646" s="1110">
        <f t="shared" si="1249"/>
        <v>29590</v>
      </c>
      <c r="M646" s="1110">
        <f t="shared" si="1249"/>
        <v>29590</v>
      </c>
      <c r="N646" s="1110">
        <f t="shared" si="1249"/>
        <v>29590</v>
      </c>
      <c r="O646" s="1110">
        <f t="shared" si="1249"/>
        <v>29590</v>
      </c>
      <c r="P646" s="1110">
        <f t="shared" si="1249"/>
        <v>29590</v>
      </c>
      <c r="Q646" s="1212">
        <f t="shared" si="1249"/>
        <v>29590</v>
      </c>
      <c r="R646" s="1212">
        <f t="shared" si="1249"/>
        <v>29590</v>
      </c>
      <c r="S646" s="1110">
        <f t="shared" si="1249"/>
        <v>29590</v>
      </c>
      <c r="T646" s="1110">
        <f t="shared" si="1249"/>
        <v>29590</v>
      </c>
      <c r="U646" s="1110">
        <f t="shared" si="1249"/>
        <v>29590</v>
      </c>
      <c r="V646" s="1110">
        <f t="shared" si="1249"/>
        <v>29590</v>
      </c>
      <c r="W646" s="1110">
        <f t="shared" si="1249"/>
        <v>29590</v>
      </c>
      <c r="X646" s="1212">
        <f t="shared" si="1249"/>
        <v>29590</v>
      </c>
      <c r="Y646" s="1212">
        <f t="shared" si="1249"/>
        <v>29590</v>
      </c>
      <c r="Z646" s="1110">
        <f t="shared" si="1249"/>
        <v>29590</v>
      </c>
      <c r="AA646" s="1110">
        <f t="shared" si="1249"/>
        <v>29590</v>
      </c>
      <c r="AB646" s="1110">
        <f t="shared" si="1249"/>
        <v>29590</v>
      </c>
      <c r="AC646" s="1110">
        <f t="shared" si="1249"/>
        <v>29590</v>
      </c>
      <c r="AD646" s="1110">
        <f t="shared" si="1249"/>
        <v>29590</v>
      </c>
      <c r="AE646" s="1212">
        <f t="shared" si="1249"/>
        <v>29590</v>
      </c>
      <c r="AF646" s="1212">
        <f t="shared" si="1249"/>
        <v>29590</v>
      </c>
      <c r="AG646" s="1110">
        <f t="shared" si="1249"/>
        <v>29590</v>
      </c>
      <c r="AH646" s="1110">
        <f t="shared" si="1249"/>
        <v>29590</v>
      </c>
      <c r="AI646" s="1340">
        <f t="shared" si="1249"/>
        <v>29590</v>
      </c>
      <c r="AJ646" s="96"/>
      <c r="AK646" s="96"/>
      <c r="AL646" s="97"/>
      <c r="AM646" s="1071">
        <f t="shared" si="1138"/>
        <v>0</v>
      </c>
      <c r="AN646" s="98"/>
      <c r="AO646" s="625"/>
      <c r="AP646" s="23"/>
      <c r="AQ646" s="23"/>
      <c r="AR646" s="23"/>
      <c r="AS646" s="23"/>
      <c r="AT646" s="23"/>
      <c r="AU646" s="23"/>
      <c r="AV646" s="23"/>
    </row>
    <row r="647" spans="1:48" ht="25.15" hidden="1" customHeight="1" thickTop="1">
      <c r="A647" s="99"/>
      <c r="B647" s="26" t="s">
        <v>526</v>
      </c>
      <c r="C647" s="27"/>
      <c r="D647" s="28" t="s">
        <v>82</v>
      </c>
      <c r="E647" s="1111"/>
      <c r="F647" s="1111"/>
      <c r="G647" s="1201"/>
      <c r="H647" s="1111"/>
      <c r="I647" s="1111"/>
      <c r="J647" s="1201"/>
      <c r="K647" s="1201"/>
      <c r="L647" s="1111"/>
      <c r="M647" s="1111"/>
      <c r="N647" s="1111"/>
      <c r="O647" s="1111"/>
      <c r="P647" s="1111"/>
      <c r="Q647" s="1201"/>
      <c r="R647" s="1201"/>
      <c r="S647" s="1111"/>
      <c r="T647" s="1111"/>
      <c r="U647" s="1111"/>
      <c r="V647" s="1111"/>
      <c r="W647" s="1111"/>
      <c r="X647" s="1201"/>
      <c r="Y647" s="1201"/>
      <c r="Z647" s="1111"/>
      <c r="AA647" s="1111"/>
      <c r="AB647" s="1111"/>
      <c r="AC647" s="1111"/>
      <c r="AD647" s="1111"/>
      <c r="AE647" s="1201"/>
      <c r="AF647" s="1201"/>
      <c r="AG647" s="1111"/>
      <c r="AH647" s="1111"/>
      <c r="AI647" s="1111"/>
      <c r="AJ647" s="100">
        <f>SUM(Table75[[#This Row],[June''2026]:[Column27]])</f>
        <v>0</v>
      </c>
      <c r="AK647" s="100">
        <f t="shared" ref="AK647:AK701" si="1250">AJ649</f>
        <v>0</v>
      </c>
      <c r="AL647" s="101">
        <f>+AJ647*AN647</f>
        <v>0</v>
      </c>
      <c r="AM647" s="1072">
        <f t="shared" ref="AM647:AM710" si="1251">AL649</f>
        <v>0</v>
      </c>
      <c r="AN647" s="102">
        <v>28.234099999999998</v>
      </c>
      <c r="AO647" s="622" t="e">
        <f>Table5[[#This Row],[Total]]*B651/1000</f>
        <v>#VALUE!</v>
      </c>
      <c r="AP647" s="32" t="s">
        <v>179</v>
      </c>
      <c r="AQ647" s="33" t="s">
        <v>84</v>
      </c>
      <c r="AR647" s="33" t="s">
        <v>85</v>
      </c>
      <c r="AS647" s="33" t="s">
        <v>86</v>
      </c>
      <c r="AT647" s="33" t="s">
        <v>87</v>
      </c>
      <c r="AU647" s="33" t="s">
        <v>88</v>
      </c>
      <c r="AV647" s="34" t="s">
        <v>68</v>
      </c>
    </row>
    <row r="648" spans="1:48" ht="25.15" hidden="1" customHeight="1">
      <c r="A648" s="103"/>
      <c r="B648" s="35"/>
      <c r="C648" s="36"/>
      <c r="D648" s="37" t="s">
        <v>90</v>
      </c>
      <c r="E648" s="1373">
        <f>IF(E647="",0,+ E647/E654)</f>
        <v>0</v>
      </c>
      <c r="F648" s="1096">
        <f t="shared" ref="F648:AI648" si="1252">IF(F647="",0, E648+F647/F654)</f>
        <v>0</v>
      </c>
      <c r="G648" s="1207">
        <f t="shared" si="1252"/>
        <v>0</v>
      </c>
      <c r="H648" s="1096">
        <f t="shared" si="1252"/>
        <v>0</v>
      </c>
      <c r="I648" s="1096">
        <f t="shared" si="1252"/>
        <v>0</v>
      </c>
      <c r="J648" s="1207">
        <f t="shared" si="1252"/>
        <v>0</v>
      </c>
      <c r="K648" s="1207">
        <f t="shared" si="1252"/>
        <v>0</v>
      </c>
      <c r="L648" s="1096">
        <f t="shared" si="1252"/>
        <v>0</v>
      </c>
      <c r="M648" s="1096">
        <f t="shared" si="1252"/>
        <v>0</v>
      </c>
      <c r="N648" s="1096">
        <f t="shared" si="1252"/>
        <v>0</v>
      </c>
      <c r="O648" s="1096">
        <f t="shared" si="1252"/>
        <v>0</v>
      </c>
      <c r="P648" s="1096">
        <f t="shared" si="1252"/>
        <v>0</v>
      </c>
      <c r="Q648" s="1207">
        <f t="shared" si="1252"/>
        <v>0</v>
      </c>
      <c r="R648" s="1207">
        <f t="shared" si="1252"/>
        <v>0</v>
      </c>
      <c r="S648" s="1096">
        <f t="shared" si="1252"/>
        <v>0</v>
      </c>
      <c r="T648" s="1096">
        <f t="shared" si="1252"/>
        <v>0</v>
      </c>
      <c r="U648" s="1096">
        <f t="shared" si="1252"/>
        <v>0</v>
      </c>
      <c r="V648" s="1096">
        <f t="shared" si="1252"/>
        <v>0</v>
      </c>
      <c r="W648" s="1096">
        <f t="shared" si="1252"/>
        <v>0</v>
      </c>
      <c r="X648" s="1207">
        <f t="shared" si="1252"/>
        <v>0</v>
      </c>
      <c r="Y648" s="1207">
        <f t="shared" si="1252"/>
        <v>0</v>
      </c>
      <c r="Z648" s="1096">
        <f t="shared" si="1252"/>
        <v>0</v>
      </c>
      <c r="AA648" s="1096">
        <f t="shared" si="1252"/>
        <v>0</v>
      </c>
      <c r="AB648" s="1096">
        <f t="shared" si="1252"/>
        <v>0</v>
      </c>
      <c r="AC648" s="1096">
        <f t="shared" si="1252"/>
        <v>0</v>
      </c>
      <c r="AD648" s="1096">
        <f t="shared" si="1252"/>
        <v>0</v>
      </c>
      <c r="AE648" s="1207">
        <f t="shared" si="1252"/>
        <v>0</v>
      </c>
      <c r="AF648" s="1207">
        <f t="shared" si="1252"/>
        <v>0</v>
      </c>
      <c r="AG648" s="1096">
        <f t="shared" si="1252"/>
        <v>0</v>
      </c>
      <c r="AH648" s="1096">
        <f t="shared" si="1252"/>
        <v>0</v>
      </c>
      <c r="AI648" s="1324">
        <f t="shared" si="1252"/>
        <v>0</v>
      </c>
      <c r="AJ648" s="38"/>
      <c r="AK648" s="29"/>
      <c r="AL648" s="30"/>
      <c r="AM648" s="694">
        <f t="shared" si="1251"/>
        <v>0</v>
      </c>
      <c r="AN648" s="31"/>
      <c r="AO648" s="630"/>
      <c r="AP648" s="39" t="s">
        <v>91</v>
      </c>
      <c r="AQ648" s="40">
        <f>SUM(E647:I647)</f>
        <v>0</v>
      </c>
      <c r="AR648" s="41">
        <f>SUM(J647:P647)</f>
        <v>0</v>
      </c>
      <c r="AS648" s="41">
        <f>SUM(Q647:W647)</f>
        <v>0</v>
      </c>
      <c r="AT648" s="41">
        <f>SUM(X647:AD647)</f>
        <v>0</v>
      </c>
      <c r="AU648" s="41">
        <f>SUM(AE647:AI647)</f>
        <v>0</v>
      </c>
      <c r="AV648" s="34">
        <f t="shared" ref="AV648:AV653" si="1253">SUM(AQ648:AU648)</f>
        <v>0</v>
      </c>
    </row>
    <row r="649" spans="1:48" ht="25.15" hidden="1" customHeight="1">
      <c r="A649" s="103"/>
      <c r="B649" s="26" t="s">
        <v>92</v>
      </c>
      <c r="C649" s="42"/>
      <c r="D649" s="43" t="s">
        <v>93</v>
      </c>
      <c r="E649" s="1325"/>
      <c r="F649" s="1089"/>
      <c r="G649" s="44"/>
      <c r="H649" s="1089"/>
      <c r="I649" s="1089"/>
      <c r="J649" s="44"/>
      <c r="K649" s="44"/>
      <c r="L649" s="1089"/>
      <c r="M649" s="1089"/>
      <c r="N649" s="1089"/>
      <c r="O649" s="1089"/>
      <c r="P649" s="1089"/>
      <c r="Q649" s="44"/>
      <c r="R649" s="44"/>
      <c r="S649" s="1089"/>
      <c r="T649" s="1089"/>
      <c r="U649" s="1089"/>
      <c r="V649" s="1089"/>
      <c r="W649" s="1089"/>
      <c r="X649" s="44"/>
      <c r="Y649" s="44"/>
      <c r="Z649" s="1089"/>
      <c r="AA649" s="1089"/>
      <c r="AB649" s="1089"/>
      <c r="AC649" s="1089"/>
      <c r="AD649" s="1089"/>
      <c r="AE649" s="44"/>
      <c r="AF649" s="44"/>
      <c r="AG649" s="1089"/>
      <c r="AH649" s="1089"/>
      <c r="AI649" s="1326"/>
      <c r="AJ649" s="45">
        <f>SUM(E649:AI649)</f>
        <v>0</v>
      </c>
      <c r="AK649" s="45"/>
      <c r="AL649" s="46">
        <f>+AJ649*AN647</f>
        <v>0</v>
      </c>
      <c r="AM649" s="1066">
        <f t="shared" si="1251"/>
        <v>0</v>
      </c>
      <c r="AN649" s="31"/>
      <c r="AO649" s="632">
        <f>(AJ649+AJ651+AJ652+AJ653)*B651/1000</f>
        <v>0</v>
      </c>
      <c r="AP649" s="47" t="s">
        <v>94</v>
      </c>
      <c r="AQ649" s="48">
        <f>SUM(E649:I649)</f>
        <v>0</v>
      </c>
      <c r="AR649" s="49">
        <f>SUM(J649:P649)</f>
        <v>0</v>
      </c>
      <c r="AS649" s="49">
        <f>SUM(Q649:W649)</f>
        <v>0</v>
      </c>
      <c r="AT649" s="49">
        <f>SUM(X649:AD649)</f>
        <v>0</v>
      </c>
      <c r="AU649" s="49">
        <f>SUM(AE649:AI649)</f>
        <v>0</v>
      </c>
      <c r="AV649" s="50">
        <f t="shared" si="1253"/>
        <v>0</v>
      </c>
    </row>
    <row r="650" spans="1:48" ht="25.15" hidden="1" customHeight="1">
      <c r="A650" s="103"/>
      <c r="B650" s="51"/>
      <c r="C650" s="52" t="s">
        <v>95</v>
      </c>
      <c r="D650" s="53" t="s">
        <v>96</v>
      </c>
      <c r="E650" s="1327">
        <f t="shared" ref="E650:AJ650" si="1254">+E649-E647</f>
        <v>0</v>
      </c>
      <c r="F650" s="1097">
        <f t="shared" si="1254"/>
        <v>0</v>
      </c>
      <c r="G650" s="1205">
        <f t="shared" si="1254"/>
        <v>0</v>
      </c>
      <c r="H650" s="1097">
        <f t="shared" si="1254"/>
        <v>0</v>
      </c>
      <c r="I650" s="1097">
        <f t="shared" si="1254"/>
        <v>0</v>
      </c>
      <c r="J650" s="1205">
        <f t="shared" si="1254"/>
        <v>0</v>
      </c>
      <c r="K650" s="1205">
        <f t="shared" si="1254"/>
        <v>0</v>
      </c>
      <c r="L650" s="1097">
        <f t="shared" si="1254"/>
        <v>0</v>
      </c>
      <c r="M650" s="1097">
        <f t="shared" si="1254"/>
        <v>0</v>
      </c>
      <c r="N650" s="1097">
        <f t="shared" si="1254"/>
        <v>0</v>
      </c>
      <c r="O650" s="1097">
        <f t="shared" si="1254"/>
        <v>0</v>
      </c>
      <c r="P650" s="1097">
        <f t="shared" si="1254"/>
        <v>0</v>
      </c>
      <c r="Q650" s="1205">
        <f t="shared" si="1254"/>
        <v>0</v>
      </c>
      <c r="R650" s="1205">
        <f t="shared" si="1254"/>
        <v>0</v>
      </c>
      <c r="S650" s="1097">
        <f t="shared" si="1254"/>
        <v>0</v>
      </c>
      <c r="T650" s="1097">
        <f t="shared" si="1254"/>
        <v>0</v>
      </c>
      <c r="U650" s="1097">
        <f t="shared" si="1254"/>
        <v>0</v>
      </c>
      <c r="V650" s="1097">
        <f t="shared" si="1254"/>
        <v>0</v>
      </c>
      <c r="W650" s="1097">
        <f t="shared" si="1254"/>
        <v>0</v>
      </c>
      <c r="X650" s="1205">
        <f t="shared" si="1254"/>
        <v>0</v>
      </c>
      <c r="Y650" s="1205">
        <f t="shared" si="1254"/>
        <v>0</v>
      </c>
      <c r="Z650" s="1097">
        <f t="shared" si="1254"/>
        <v>0</v>
      </c>
      <c r="AA650" s="1097">
        <f t="shared" si="1254"/>
        <v>0</v>
      </c>
      <c r="AB650" s="1097">
        <f t="shared" si="1254"/>
        <v>0</v>
      </c>
      <c r="AC650" s="1097">
        <f t="shared" si="1254"/>
        <v>0</v>
      </c>
      <c r="AD650" s="1097">
        <f t="shared" si="1254"/>
        <v>0</v>
      </c>
      <c r="AE650" s="1205">
        <f t="shared" si="1254"/>
        <v>0</v>
      </c>
      <c r="AF650" s="1205">
        <f t="shared" si="1254"/>
        <v>0</v>
      </c>
      <c r="AG650" s="1097">
        <f t="shared" si="1254"/>
        <v>0</v>
      </c>
      <c r="AH650" s="1097">
        <f t="shared" si="1254"/>
        <v>0</v>
      </c>
      <c r="AI650" s="1328">
        <f t="shared" si="1254"/>
        <v>0</v>
      </c>
      <c r="AJ650" s="54">
        <f t="shared" si="1254"/>
        <v>0</v>
      </c>
      <c r="AK650" s="54"/>
      <c r="AL650" s="55">
        <f>+AJ650*AN647</f>
        <v>0</v>
      </c>
      <c r="AM650" s="1067">
        <f t="shared" si="1251"/>
        <v>0</v>
      </c>
      <c r="AN650" s="31" t="s">
        <v>97</v>
      </c>
      <c r="AO650" s="622"/>
      <c r="AP650" s="39" t="s">
        <v>98</v>
      </c>
      <c r="AQ650" s="56">
        <f>AQ649-AQ648</f>
        <v>0</v>
      </c>
      <c r="AR650" s="70">
        <f>AR649-AR648</f>
        <v>0</v>
      </c>
      <c r="AS650" s="70">
        <f>AS649-AS648</f>
        <v>0</v>
      </c>
      <c r="AT650" s="70">
        <f>AT649-AT648</f>
        <v>0</v>
      </c>
      <c r="AU650" s="70">
        <f>AU649-AU648</f>
        <v>0</v>
      </c>
      <c r="AV650" s="57">
        <f t="shared" si="1253"/>
        <v>0</v>
      </c>
    </row>
    <row r="651" spans="1:48" ht="25.15" hidden="1" customHeight="1">
      <c r="A651" s="58"/>
      <c r="B651" s="26"/>
      <c r="C651" s="60" t="s">
        <v>100</v>
      </c>
      <c r="D651" s="61" t="s">
        <v>101</v>
      </c>
      <c r="E651" s="1329"/>
      <c r="F651" s="1099"/>
      <c r="G651" s="1208"/>
      <c r="H651" s="1099"/>
      <c r="I651" s="1099"/>
      <c r="J651" s="1208"/>
      <c r="K651" s="1208"/>
      <c r="L651" s="1099"/>
      <c r="M651" s="1099"/>
      <c r="N651" s="1099"/>
      <c r="O651" s="1099"/>
      <c r="P651" s="1099"/>
      <c r="Q651" s="1208"/>
      <c r="R651" s="1213"/>
      <c r="S651" s="1112"/>
      <c r="T651" s="1099"/>
      <c r="U651" s="1099"/>
      <c r="V651" s="1099"/>
      <c r="W651" s="1099"/>
      <c r="X651" s="1208"/>
      <c r="Y651" s="1208"/>
      <c r="Z651" s="1099"/>
      <c r="AA651" s="1099"/>
      <c r="AB651" s="1099"/>
      <c r="AC651" s="1099"/>
      <c r="AD651" s="1099"/>
      <c r="AE651" s="1208"/>
      <c r="AF651" s="1208"/>
      <c r="AG651" s="1099"/>
      <c r="AH651" s="1099"/>
      <c r="AI651" s="1330"/>
      <c r="AJ651" s="62">
        <f>SUM(E651:AI651)</f>
        <v>0</v>
      </c>
      <c r="AK651" s="62"/>
      <c r="AL651" s="63">
        <f>+AJ651*AN647</f>
        <v>0</v>
      </c>
      <c r="AM651" s="1068">
        <f t="shared" si="1251"/>
        <v>0</v>
      </c>
      <c r="AN651" s="64" t="e">
        <f>+AJ651/AJ649*100</f>
        <v>#DIV/0!</v>
      </c>
      <c r="AO651" s="635" t="e">
        <f>AO649/AO647</f>
        <v>#VALUE!</v>
      </c>
      <c r="AP651" s="39" t="s">
        <v>102</v>
      </c>
      <c r="AQ651" s="56">
        <f>SUM(E651:I651)</f>
        <v>0</v>
      </c>
      <c r="AR651" s="70">
        <f>SUM(J651:P651)</f>
        <v>0</v>
      </c>
      <c r="AS651" s="70">
        <f>SUM(Q651:W651)</f>
        <v>0</v>
      </c>
      <c r="AT651" s="70">
        <f>SUM(X651:AD651)</f>
        <v>0</v>
      </c>
      <c r="AU651" s="70">
        <f>SUM(AE651:AI651)</f>
        <v>0</v>
      </c>
      <c r="AV651" s="57">
        <f t="shared" si="1253"/>
        <v>0</v>
      </c>
    </row>
    <row r="652" spans="1:48" ht="25.15" hidden="1" customHeight="1">
      <c r="A652" s="58" t="s">
        <v>181</v>
      </c>
      <c r="B652" s="35"/>
      <c r="C652" s="66"/>
      <c r="D652" s="67" t="s">
        <v>103</v>
      </c>
      <c r="E652" s="1331"/>
      <c r="F652" s="1101"/>
      <c r="G652" s="1209"/>
      <c r="H652" s="1101"/>
      <c r="I652" s="1101"/>
      <c r="J652" s="1209"/>
      <c r="K652" s="1209"/>
      <c r="L652" s="1101"/>
      <c r="M652" s="1101"/>
      <c r="N652" s="1101"/>
      <c r="O652" s="1101"/>
      <c r="P652" s="1101"/>
      <c r="Q652" s="1209"/>
      <c r="R652" s="1214"/>
      <c r="S652" s="1114"/>
      <c r="T652" s="1101"/>
      <c r="U652" s="1101"/>
      <c r="V652" s="1101"/>
      <c r="W652" s="1101"/>
      <c r="X652" s="1209"/>
      <c r="Y652" s="1209"/>
      <c r="Z652" s="1101"/>
      <c r="AA652" s="1101"/>
      <c r="AB652" s="1101"/>
      <c r="AC652" s="1101"/>
      <c r="AD652" s="1101"/>
      <c r="AE652" s="1209"/>
      <c r="AF652" s="1209"/>
      <c r="AG652" s="1101"/>
      <c r="AH652" s="1101"/>
      <c r="AI652" s="1332"/>
      <c r="AJ652" s="68">
        <f>SUM(E652:AI652)</f>
        <v>0</v>
      </c>
      <c r="AK652" s="68"/>
      <c r="AL652" s="69">
        <f>+AJ652*AN647</f>
        <v>0</v>
      </c>
      <c r="AM652" s="1069">
        <f t="shared" si="1251"/>
        <v>0</v>
      </c>
      <c r="AN652" s="31"/>
      <c r="AO652" s="622"/>
      <c r="AP652" s="39" t="s">
        <v>19</v>
      </c>
      <c r="AQ652" s="56">
        <f>AQ651*AN647</f>
        <v>0</v>
      </c>
      <c r="AR652" s="56">
        <f>AR651*AN647</f>
        <v>0</v>
      </c>
      <c r="AS652" s="56">
        <f>AS651*AN647</f>
        <v>0</v>
      </c>
      <c r="AT652" s="56">
        <f>AT651*AN647</f>
        <v>0</v>
      </c>
      <c r="AU652" s="56">
        <f>AU651*AN647</f>
        <v>0</v>
      </c>
      <c r="AV652" s="57">
        <f t="shared" si="1253"/>
        <v>0</v>
      </c>
    </row>
    <row r="653" spans="1:48" ht="25.15" hidden="1" customHeight="1">
      <c r="A653" s="103"/>
      <c r="B653" s="65"/>
      <c r="C653" s="72" t="s">
        <v>104</v>
      </c>
      <c r="D653" s="73" t="s">
        <v>105</v>
      </c>
      <c r="E653" s="1378"/>
      <c r="F653" s="1103"/>
      <c r="G653" s="1210"/>
      <c r="H653" s="1103"/>
      <c r="I653" s="1103"/>
      <c r="J653" s="1210"/>
      <c r="K653" s="1210"/>
      <c r="L653" s="1103"/>
      <c r="M653" s="1103"/>
      <c r="N653" s="1103"/>
      <c r="O653" s="1103"/>
      <c r="P653" s="1103"/>
      <c r="Q653" s="1210"/>
      <c r="R653" s="1215"/>
      <c r="S653" s="1116"/>
      <c r="T653" s="1103"/>
      <c r="U653" s="1103"/>
      <c r="V653" s="1103"/>
      <c r="W653" s="1103"/>
      <c r="X653" s="1210"/>
      <c r="Y653" s="1210"/>
      <c r="Z653" s="1103"/>
      <c r="AA653" s="1103"/>
      <c r="AB653" s="1103"/>
      <c r="AC653" s="1103"/>
      <c r="AD653" s="1103"/>
      <c r="AE653" s="1210"/>
      <c r="AF653" s="1210"/>
      <c r="AG653" s="1103"/>
      <c r="AH653" s="1103"/>
      <c r="AI653" s="1352"/>
      <c r="AJ653" s="74">
        <f>SUM(E653:AI653)</f>
        <v>0</v>
      </c>
      <c r="AK653" s="74"/>
      <c r="AL653" s="75">
        <f>+AJ653*AN647</f>
        <v>0</v>
      </c>
      <c r="AM653" s="1070">
        <f t="shared" si="1251"/>
        <v>0</v>
      </c>
      <c r="AN653" s="76"/>
      <c r="AO653" s="636"/>
      <c r="AP653" s="47" t="s">
        <v>106</v>
      </c>
      <c r="AQ653" s="48">
        <f>AQ649*AN647</f>
        <v>0</v>
      </c>
      <c r="AR653" s="48">
        <f>AR649*AN647</f>
        <v>0</v>
      </c>
      <c r="AS653" s="48">
        <f>AS649*AN647</f>
        <v>0</v>
      </c>
      <c r="AT653" s="48">
        <f>AT649*AN647</f>
        <v>0</v>
      </c>
      <c r="AU653" s="48">
        <f>AU649*AN647</f>
        <v>0</v>
      </c>
      <c r="AV653" s="50">
        <f t="shared" si="1253"/>
        <v>0</v>
      </c>
    </row>
    <row r="654" spans="1:48" ht="25.15" hidden="1" customHeight="1">
      <c r="A654" s="103"/>
      <c r="B654" s="65"/>
      <c r="C654" s="77">
        <v>300000</v>
      </c>
      <c r="D654" s="78" t="s">
        <v>107</v>
      </c>
      <c r="E654" s="1327">
        <v>1</v>
      </c>
      <c r="F654" s="1097">
        <v>1</v>
      </c>
      <c r="G654" s="1205">
        <v>1</v>
      </c>
      <c r="H654" s="1097">
        <v>1</v>
      </c>
      <c r="I654" s="1097">
        <v>1</v>
      </c>
      <c r="J654" s="1205">
        <v>1</v>
      </c>
      <c r="K654" s="1205">
        <v>1</v>
      </c>
      <c r="L654" s="1097">
        <v>1</v>
      </c>
      <c r="M654" s="1097">
        <v>1</v>
      </c>
      <c r="N654" s="1097">
        <v>1</v>
      </c>
      <c r="O654" s="1097">
        <v>1</v>
      </c>
      <c r="P654" s="1097">
        <v>1</v>
      </c>
      <c r="Q654" s="1205">
        <v>1</v>
      </c>
      <c r="R654" s="1205">
        <v>1</v>
      </c>
      <c r="S654" s="1097">
        <v>1</v>
      </c>
      <c r="T654" s="1097">
        <v>1</v>
      </c>
      <c r="U654" s="1097">
        <v>1</v>
      </c>
      <c r="V654" s="1097">
        <v>1</v>
      </c>
      <c r="W654" s="1097">
        <v>1</v>
      </c>
      <c r="X654" s="1205">
        <v>1</v>
      </c>
      <c r="Y654" s="1205">
        <v>1</v>
      </c>
      <c r="Z654" s="1097">
        <v>1</v>
      </c>
      <c r="AA654" s="1097">
        <v>1</v>
      </c>
      <c r="AB654" s="1097">
        <v>1</v>
      </c>
      <c r="AC654" s="1097">
        <v>1</v>
      </c>
      <c r="AD654" s="1097">
        <v>1</v>
      </c>
      <c r="AE654" s="1205">
        <v>1</v>
      </c>
      <c r="AF654" s="1205">
        <v>1</v>
      </c>
      <c r="AG654" s="1097">
        <v>1</v>
      </c>
      <c r="AH654" s="1097">
        <v>1</v>
      </c>
      <c r="AI654" s="1328">
        <v>1</v>
      </c>
      <c r="AJ654" s="79"/>
      <c r="AK654" s="79"/>
      <c r="AL654" s="55"/>
      <c r="AM654" s="1067">
        <f t="shared" si="1251"/>
        <v>0</v>
      </c>
      <c r="AN654" s="31"/>
      <c r="AO654" s="622"/>
      <c r="AP654" s="23"/>
      <c r="AQ654" s="23"/>
      <c r="AR654" s="23"/>
      <c r="AS654" s="23"/>
      <c r="AT654" s="23"/>
      <c r="AU654" s="23"/>
      <c r="AV654" s="23"/>
    </row>
    <row r="655" spans="1:48" ht="25.15" hidden="1" customHeight="1">
      <c r="A655" s="103"/>
      <c r="B655" s="65"/>
      <c r="C655" s="80" t="s">
        <v>108</v>
      </c>
      <c r="D655" s="81" t="s">
        <v>109</v>
      </c>
      <c r="E655" s="1374">
        <f>SUM(E649+E651+E652+E653)/E654</f>
        <v>0</v>
      </c>
      <c r="F655" s="1104">
        <f>SUM(F649+F651+F652+F653)/F654</f>
        <v>0</v>
      </c>
      <c r="G655" s="1211">
        <f>SUM(G649+G651+G652+G653)/G654</f>
        <v>0</v>
      </c>
      <c r="H655" s="1104">
        <f t="shared" ref="H655:AH655" si="1255">SUM(H649+H651+H652+H653)/H654</f>
        <v>0</v>
      </c>
      <c r="I655" s="1104">
        <f t="shared" si="1255"/>
        <v>0</v>
      </c>
      <c r="J655" s="1211">
        <f t="shared" si="1255"/>
        <v>0</v>
      </c>
      <c r="K655" s="1211">
        <f t="shared" si="1255"/>
        <v>0</v>
      </c>
      <c r="L655" s="1104">
        <f t="shared" si="1255"/>
        <v>0</v>
      </c>
      <c r="M655" s="1104">
        <f t="shared" si="1255"/>
        <v>0</v>
      </c>
      <c r="N655" s="1104">
        <f t="shared" si="1255"/>
        <v>0</v>
      </c>
      <c r="O655" s="1104">
        <f t="shared" si="1255"/>
        <v>0</v>
      </c>
      <c r="P655" s="1104">
        <f t="shared" si="1255"/>
        <v>0</v>
      </c>
      <c r="Q655" s="1211">
        <f t="shared" si="1255"/>
        <v>0</v>
      </c>
      <c r="R655" s="1211">
        <f t="shared" si="1255"/>
        <v>0</v>
      </c>
      <c r="S655" s="1104">
        <f t="shared" si="1255"/>
        <v>0</v>
      </c>
      <c r="T655" s="1104">
        <f t="shared" si="1255"/>
        <v>0</v>
      </c>
      <c r="U655" s="1104">
        <f t="shared" si="1255"/>
        <v>0</v>
      </c>
      <c r="V655" s="1104">
        <f t="shared" si="1255"/>
        <v>0</v>
      </c>
      <c r="W655" s="1104">
        <f t="shared" si="1255"/>
        <v>0</v>
      </c>
      <c r="X655" s="1211">
        <f t="shared" si="1255"/>
        <v>0</v>
      </c>
      <c r="Y655" s="1211">
        <f t="shared" si="1255"/>
        <v>0</v>
      </c>
      <c r="Z655" s="1104">
        <f t="shared" si="1255"/>
        <v>0</v>
      </c>
      <c r="AA655" s="1104">
        <f t="shared" si="1255"/>
        <v>0</v>
      </c>
      <c r="AB655" s="1104">
        <f t="shared" si="1255"/>
        <v>0</v>
      </c>
      <c r="AC655" s="1104">
        <f t="shared" si="1255"/>
        <v>0</v>
      </c>
      <c r="AD655" s="1104">
        <f t="shared" si="1255"/>
        <v>0</v>
      </c>
      <c r="AE655" s="1211">
        <f t="shared" si="1255"/>
        <v>0</v>
      </c>
      <c r="AF655" s="1211">
        <f t="shared" si="1255"/>
        <v>0</v>
      </c>
      <c r="AG655" s="1104">
        <f t="shared" si="1255"/>
        <v>0</v>
      </c>
      <c r="AH655" s="1104">
        <f t="shared" si="1255"/>
        <v>0</v>
      </c>
      <c r="AI655" s="1335">
        <f>SUM(AI649+AI651+AI652)/AI654</f>
        <v>0</v>
      </c>
      <c r="AJ655" s="104">
        <f>SUM(E655:AI655)</f>
        <v>0</v>
      </c>
      <c r="AK655" s="104"/>
      <c r="AL655" s="83"/>
      <c r="AM655" s="1068">
        <f t="shared" si="1251"/>
        <v>0</v>
      </c>
      <c r="AN655" s="31"/>
      <c r="AO655" s="622"/>
      <c r="AP655" s="23"/>
      <c r="AQ655" s="23"/>
      <c r="AR655" s="23"/>
      <c r="AS655" s="23"/>
      <c r="AT655" s="23"/>
      <c r="AU655" s="23"/>
      <c r="AV655" s="23"/>
    </row>
    <row r="656" spans="1:48" ht="25.15" hidden="1" customHeight="1">
      <c r="A656" s="103"/>
      <c r="B656" s="59"/>
      <c r="C656" s="84">
        <f>+C654*0.8</f>
        <v>240000</v>
      </c>
      <c r="D656" s="85" t="s">
        <v>110</v>
      </c>
      <c r="E656" s="1105"/>
      <c r="F656" s="1106"/>
      <c r="G656" s="1211"/>
      <c r="H656" s="1104"/>
      <c r="I656" s="1104"/>
      <c r="J656" s="1211"/>
      <c r="K656" s="1211"/>
      <c r="L656" s="1104"/>
      <c r="M656" s="1104"/>
      <c r="N656" s="1104"/>
      <c r="O656" s="1107"/>
      <c r="P656" s="1104"/>
      <c r="Q656" s="1211"/>
      <c r="R656" s="1211"/>
      <c r="S656" s="1104"/>
      <c r="T656" s="1104"/>
      <c r="U656" s="1104"/>
      <c r="V656" s="1104"/>
      <c r="W656" s="1104"/>
      <c r="X656" s="1211"/>
      <c r="Y656" s="1211"/>
      <c r="Z656" s="1104"/>
      <c r="AA656" s="1104"/>
      <c r="AB656" s="1104"/>
      <c r="AC656" s="1104"/>
      <c r="AD656" s="1104"/>
      <c r="AE656" s="1211"/>
      <c r="AF656" s="1211"/>
      <c r="AG656" s="1104"/>
      <c r="AH656" s="1104"/>
      <c r="AI656" s="1353"/>
      <c r="AJ656" s="86"/>
      <c r="AK656" s="86"/>
      <c r="AL656" s="690"/>
      <c r="AM656" s="694">
        <f t="shared" si="1251"/>
        <v>0</v>
      </c>
      <c r="AN656" s="31"/>
      <c r="AO656" s="622"/>
      <c r="AP656" s="23"/>
      <c r="AQ656" s="23"/>
      <c r="AR656" s="23"/>
      <c r="AS656" s="23"/>
      <c r="AT656" s="23"/>
      <c r="AU656" s="23"/>
      <c r="AV656" s="23"/>
    </row>
    <row r="657" spans="1:48" ht="25.15" hidden="1" customHeight="1">
      <c r="A657" s="103"/>
      <c r="B657" s="105"/>
      <c r="C657" s="77"/>
      <c r="D657" s="88" t="s">
        <v>111</v>
      </c>
      <c r="E657" s="1108">
        <f>IF(E656="O/H",E655,0+E655)</f>
        <v>0</v>
      </c>
      <c r="F657" s="1089">
        <f t="shared" ref="F657:AI657" si="1256">IF(F656="O/H",F655,+E657+F655)</f>
        <v>0</v>
      </c>
      <c r="G657" s="44">
        <f t="shared" si="1256"/>
        <v>0</v>
      </c>
      <c r="H657" s="1089">
        <f t="shared" si="1256"/>
        <v>0</v>
      </c>
      <c r="I657" s="1089">
        <f t="shared" si="1256"/>
        <v>0</v>
      </c>
      <c r="J657" s="44">
        <f t="shared" si="1256"/>
        <v>0</v>
      </c>
      <c r="K657" s="44">
        <f t="shared" si="1256"/>
        <v>0</v>
      </c>
      <c r="L657" s="1089">
        <f t="shared" si="1256"/>
        <v>0</v>
      </c>
      <c r="M657" s="1089">
        <f t="shared" si="1256"/>
        <v>0</v>
      </c>
      <c r="N657" s="1089">
        <f t="shared" si="1256"/>
        <v>0</v>
      </c>
      <c r="O657" s="1089">
        <f t="shared" si="1256"/>
        <v>0</v>
      </c>
      <c r="P657" s="1089">
        <f t="shared" si="1256"/>
        <v>0</v>
      </c>
      <c r="Q657" s="44">
        <f t="shared" si="1256"/>
        <v>0</v>
      </c>
      <c r="R657" s="44">
        <f t="shared" si="1256"/>
        <v>0</v>
      </c>
      <c r="S657" s="1089">
        <f t="shared" si="1256"/>
        <v>0</v>
      </c>
      <c r="T657" s="1089">
        <f t="shared" si="1256"/>
        <v>0</v>
      </c>
      <c r="U657" s="1089">
        <f t="shared" si="1256"/>
        <v>0</v>
      </c>
      <c r="V657" s="1089">
        <f t="shared" si="1256"/>
        <v>0</v>
      </c>
      <c r="W657" s="1089">
        <f t="shared" si="1256"/>
        <v>0</v>
      </c>
      <c r="X657" s="44">
        <f t="shared" si="1256"/>
        <v>0</v>
      </c>
      <c r="Y657" s="44">
        <f t="shared" si="1256"/>
        <v>0</v>
      </c>
      <c r="Z657" s="1089">
        <f t="shared" si="1256"/>
        <v>0</v>
      </c>
      <c r="AA657" s="1089">
        <f t="shared" si="1256"/>
        <v>0</v>
      </c>
      <c r="AB657" s="1089">
        <f t="shared" si="1256"/>
        <v>0</v>
      </c>
      <c r="AC657" s="1089">
        <f t="shared" si="1256"/>
        <v>0</v>
      </c>
      <c r="AD657" s="1089">
        <f t="shared" si="1256"/>
        <v>0</v>
      </c>
      <c r="AE657" s="44">
        <f t="shared" si="1256"/>
        <v>0</v>
      </c>
      <c r="AF657" s="44">
        <f t="shared" si="1256"/>
        <v>0</v>
      </c>
      <c r="AG657" s="1089">
        <f t="shared" si="1256"/>
        <v>0</v>
      </c>
      <c r="AH657" s="1089">
        <f t="shared" si="1256"/>
        <v>0</v>
      </c>
      <c r="AI657" s="1326">
        <f t="shared" si="1256"/>
        <v>0</v>
      </c>
      <c r="AJ657" s="79"/>
      <c r="AK657" s="86"/>
      <c r="AL657" s="689"/>
      <c r="AM657" s="694">
        <f t="shared" si="1251"/>
        <v>0</v>
      </c>
      <c r="AN657" s="31"/>
      <c r="AO657" s="622"/>
      <c r="AP657" s="23"/>
      <c r="AQ657" s="23"/>
      <c r="AR657" s="23"/>
      <c r="AS657" s="23"/>
      <c r="AT657" s="23"/>
      <c r="AU657" s="23"/>
      <c r="AV657" s="23"/>
    </row>
    <row r="658" spans="1:48" s="23" customFormat="1" ht="20.65" hidden="1" customHeight="1">
      <c r="A658" s="274"/>
      <c r="B658" s="312"/>
      <c r="C658" s="308"/>
      <c r="D658" s="795" t="s">
        <v>112</v>
      </c>
      <c r="E658" s="1108" t="b">
        <f>IF(AND(ISNUMBER(E649)),126031+E655)</f>
        <v>0</v>
      </c>
      <c r="F658" s="1089" t="str">
        <f>IF(AND(ISNUMBER(F649)),E658+F655,"")</f>
        <v/>
      </c>
      <c r="G658" s="44" t="str">
        <f t="shared" ref="G658" si="1257">IF(AND(ISNUMBER(G649)),F658+G655,"")</f>
        <v/>
      </c>
      <c r="H658" s="1089" t="str">
        <f t="shared" ref="H658" si="1258">IF(AND(ISNUMBER(H649)),G658+H655,"")</f>
        <v/>
      </c>
      <c r="I658" s="1089" t="str">
        <f>IF(AND(ISNUMBER(I649)),H658+I655,"")</f>
        <v/>
      </c>
      <c r="J658" s="44" t="str">
        <f>IF(AND(ISNUMBER(J649)),I658+J655,"")</f>
        <v/>
      </c>
      <c r="K658" s="44" t="str">
        <f>IF(AND(ISNUMBER(K649)),J658+K655,"")</f>
        <v/>
      </c>
      <c r="L658" s="1089" t="str">
        <f t="shared" ref="L658" si="1259">IF(AND(ISNUMBER(L649)),K658+L655,"")</f>
        <v/>
      </c>
      <c r="M658" s="1089" t="str">
        <f t="shared" ref="M658" si="1260">IF(AND(ISNUMBER(M649)),L658+M655,"")</f>
        <v/>
      </c>
      <c r="N658" s="1089" t="str">
        <f t="shared" ref="N658" si="1261">IF(AND(ISNUMBER(N649)),M658+N655,"")</f>
        <v/>
      </c>
      <c r="O658" s="1089" t="str">
        <f t="shared" ref="O658" si="1262">IF(AND(ISNUMBER(O649)),N658+O655,"")</f>
        <v/>
      </c>
      <c r="P658" s="1089" t="str">
        <f t="shared" ref="P658" si="1263">IF(AND(ISNUMBER(P649)),O658+P655,"")</f>
        <v/>
      </c>
      <c r="Q658" s="44" t="str">
        <f t="shared" ref="Q658" si="1264">IF(AND(ISNUMBER(Q649)),P658+Q655,"")</f>
        <v/>
      </c>
      <c r="R658" s="44" t="str">
        <f t="shared" ref="R658" si="1265">IF(AND(ISNUMBER(R649)),Q658+R655,"")</f>
        <v/>
      </c>
      <c r="S658" s="1089" t="str">
        <f t="shared" ref="S658" si="1266">IF(AND(ISNUMBER(S649)),R658+S655,"")</f>
        <v/>
      </c>
      <c r="T658" s="1089" t="str">
        <f t="shared" ref="T658" si="1267">IF(AND(ISNUMBER(T649)),S658+T655,"")</f>
        <v/>
      </c>
      <c r="U658" s="1089" t="str">
        <f t="shared" ref="U658" si="1268">IF(AND(ISNUMBER(U649)),T658+U655,"")</f>
        <v/>
      </c>
      <c r="V658" s="1089" t="str">
        <f t="shared" ref="V658" si="1269">IF(AND(ISNUMBER(V649)),U658+V655,"")</f>
        <v/>
      </c>
      <c r="W658" s="1089" t="str">
        <f t="shared" ref="W658" si="1270">IF(AND(ISNUMBER(W649)),V658+W655,"")</f>
        <v/>
      </c>
      <c r="X658" s="44" t="str">
        <f t="shared" ref="X658" si="1271">IF(AND(ISNUMBER(X649)),W658+X655,"")</f>
        <v/>
      </c>
      <c r="Y658" s="44" t="str">
        <f t="shared" ref="Y658" si="1272">IF(AND(ISNUMBER(Y649)),X658+Y655,"")</f>
        <v/>
      </c>
      <c r="Z658" s="1089" t="str">
        <f t="shared" ref="Z658" si="1273">IF(AND(ISNUMBER(Z649)),Y658+Z655,"")</f>
        <v/>
      </c>
      <c r="AA658" s="1089" t="str">
        <f t="shared" ref="AA658" si="1274">IF(AND(ISNUMBER(AA649)),Z658+AA655,"")</f>
        <v/>
      </c>
      <c r="AB658" s="1089" t="str">
        <f t="shared" ref="AB658" si="1275">IF(AND(ISNUMBER(AB649)),AA658+AB655,"")</f>
        <v/>
      </c>
      <c r="AC658" s="1089" t="str">
        <f t="shared" ref="AC658" si="1276">IF(AND(ISNUMBER(AC649)),AB658+AC655,"")</f>
        <v/>
      </c>
      <c r="AD658" s="1089" t="str">
        <f t="shared" ref="AD658" si="1277">IF(AND(ISNUMBER(AD649)),AC658+AD655,"")</f>
        <v/>
      </c>
      <c r="AE658" s="44" t="str">
        <f t="shared" ref="AE658" si="1278">IF(AND(ISNUMBER(AE649)),AD658+AE655,"")</f>
        <v/>
      </c>
      <c r="AF658" s="44" t="str">
        <f t="shared" ref="AF658" si="1279">IF(AND(ISNUMBER(AF649)),AE658+AF655,"")</f>
        <v/>
      </c>
      <c r="AG658" s="1089" t="str">
        <f t="shared" ref="AG658" si="1280">IF(AND(ISNUMBER(AG649)),AF658+AG655,"")</f>
        <v/>
      </c>
      <c r="AH658" s="1089" t="str">
        <f t="shared" ref="AH658" si="1281">IF(AND(ISNUMBER(AH649)),AG658+AH655,"")</f>
        <v/>
      </c>
      <c r="AI658" s="1089" t="str">
        <f t="shared" ref="AI658" si="1282">IF(AND(ISNUMBER(AI649)),AH658+AI655,"")</f>
        <v/>
      </c>
      <c r="AJ658" s="793"/>
      <c r="AK658" s="793"/>
      <c r="AL658" s="909"/>
      <c r="AM658" s="890">
        <f t="shared" si="1251"/>
        <v>0</v>
      </c>
      <c r="AN658" s="76"/>
      <c r="AO658" s="624"/>
      <c r="AP658" s="285"/>
      <c r="AQ658" s="285"/>
      <c r="AR658" s="285"/>
      <c r="AS658" s="285"/>
      <c r="AT658" s="286"/>
      <c r="AU658" s="285"/>
      <c r="AV658" s="287"/>
    </row>
    <row r="659" spans="1:48" ht="25.15" hidden="1" customHeight="1">
      <c r="A659" s="103"/>
      <c r="B659" s="89"/>
      <c r="C659" s="80"/>
      <c r="D659" s="90" t="s">
        <v>104</v>
      </c>
      <c r="E659" s="1108"/>
      <c r="F659" s="1089"/>
      <c r="G659" s="44"/>
      <c r="H659" s="1089"/>
      <c r="I659" s="1089"/>
      <c r="J659" s="44"/>
      <c r="K659" s="44"/>
      <c r="L659" s="1089"/>
      <c r="M659" s="1089"/>
      <c r="N659" s="1089"/>
      <c r="O659" s="1089"/>
      <c r="P659" s="1089"/>
      <c r="Q659" s="44"/>
      <c r="R659" s="44"/>
      <c r="S659" s="1089"/>
      <c r="T659" s="1089"/>
      <c r="U659" s="1089"/>
      <c r="V659" s="1089"/>
      <c r="W659" s="1089"/>
      <c r="X659" s="44"/>
      <c r="Y659" s="44"/>
      <c r="Z659" s="1089"/>
      <c r="AA659" s="1089"/>
      <c r="AB659" s="1089"/>
      <c r="AC659" s="1089"/>
      <c r="AD659" s="1089"/>
      <c r="AE659" s="44"/>
      <c r="AF659" s="44"/>
      <c r="AG659" s="1089"/>
      <c r="AH659" s="1089"/>
      <c r="AI659" s="1326"/>
      <c r="AJ659" s="79"/>
      <c r="AK659" s="79"/>
      <c r="AL659" s="63"/>
      <c r="AM659" s="1068">
        <f t="shared" si="1251"/>
        <v>0</v>
      </c>
      <c r="AN659" s="64"/>
      <c r="AO659" s="624"/>
      <c r="AP659" s="23"/>
      <c r="AQ659" s="23"/>
      <c r="AR659" s="23"/>
      <c r="AS659" s="23"/>
      <c r="AT659" s="23"/>
      <c r="AU659" s="23"/>
      <c r="AV659" s="23"/>
    </row>
    <row r="660" spans="1:48" ht="25.15" hidden="1" customHeight="1" thickBot="1">
      <c r="A660" s="106"/>
      <c r="B660" s="93"/>
      <c r="C660" s="94"/>
      <c r="D660" s="95" t="s">
        <v>111</v>
      </c>
      <c r="E660" s="1109">
        <f>IF(E659="O/H",E655,55890+E655)</f>
        <v>55890</v>
      </c>
      <c r="F660" s="1110">
        <f t="shared" ref="F660:AI660" si="1283">IF(F659="O/H",F655,+E660+F655)</f>
        <v>55890</v>
      </c>
      <c r="G660" s="1212">
        <f t="shared" si="1283"/>
        <v>55890</v>
      </c>
      <c r="H660" s="1110">
        <f t="shared" si="1283"/>
        <v>55890</v>
      </c>
      <c r="I660" s="1110">
        <f t="shared" si="1283"/>
        <v>55890</v>
      </c>
      <c r="J660" s="1212">
        <f t="shared" si="1283"/>
        <v>55890</v>
      </c>
      <c r="K660" s="1212">
        <f t="shared" si="1283"/>
        <v>55890</v>
      </c>
      <c r="L660" s="1110">
        <f t="shared" si="1283"/>
        <v>55890</v>
      </c>
      <c r="M660" s="1110">
        <f t="shared" si="1283"/>
        <v>55890</v>
      </c>
      <c r="N660" s="1110">
        <f t="shared" si="1283"/>
        <v>55890</v>
      </c>
      <c r="O660" s="1110">
        <f t="shared" si="1283"/>
        <v>55890</v>
      </c>
      <c r="P660" s="1110">
        <f t="shared" si="1283"/>
        <v>55890</v>
      </c>
      <c r="Q660" s="1212">
        <f t="shared" si="1283"/>
        <v>55890</v>
      </c>
      <c r="R660" s="1212">
        <f t="shared" si="1283"/>
        <v>55890</v>
      </c>
      <c r="S660" s="1110">
        <f t="shared" si="1283"/>
        <v>55890</v>
      </c>
      <c r="T660" s="1110">
        <f t="shared" si="1283"/>
        <v>55890</v>
      </c>
      <c r="U660" s="1110">
        <f t="shared" si="1283"/>
        <v>55890</v>
      </c>
      <c r="V660" s="1110">
        <f t="shared" si="1283"/>
        <v>55890</v>
      </c>
      <c r="W660" s="1110">
        <f t="shared" si="1283"/>
        <v>55890</v>
      </c>
      <c r="X660" s="1212">
        <f t="shared" si="1283"/>
        <v>55890</v>
      </c>
      <c r="Y660" s="1212">
        <f t="shared" si="1283"/>
        <v>55890</v>
      </c>
      <c r="Z660" s="1110">
        <f t="shared" si="1283"/>
        <v>55890</v>
      </c>
      <c r="AA660" s="1110">
        <f t="shared" si="1283"/>
        <v>55890</v>
      </c>
      <c r="AB660" s="1110">
        <f t="shared" si="1283"/>
        <v>55890</v>
      </c>
      <c r="AC660" s="1110">
        <f t="shared" si="1283"/>
        <v>55890</v>
      </c>
      <c r="AD660" s="1110">
        <f t="shared" si="1283"/>
        <v>55890</v>
      </c>
      <c r="AE660" s="1212">
        <f t="shared" si="1283"/>
        <v>55890</v>
      </c>
      <c r="AF660" s="1212">
        <f t="shared" si="1283"/>
        <v>55890</v>
      </c>
      <c r="AG660" s="1110">
        <f t="shared" si="1283"/>
        <v>55890</v>
      </c>
      <c r="AH660" s="1110">
        <f t="shared" si="1283"/>
        <v>55890</v>
      </c>
      <c r="AI660" s="1340">
        <f t="shared" si="1283"/>
        <v>55890</v>
      </c>
      <c r="AJ660" s="96"/>
      <c r="AK660" s="96"/>
      <c r="AL660" s="97"/>
      <c r="AM660" s="1071">
        <f t="shared" si="1251"/>
        <v>0</v>
      </c>
      <c r="AN660" s="98"/>
      <c r="AO660" s="625"/>
      <c r="AP660" s="23"/>
      <c r="AQ660" s="23"/>
      <c r="AR660" s="23"/>
      <c r="AS660" s="23"/>
      <c r="AT660" s="23"/>
      <c r="AU660" s="23"/>
      <c r="AV660" s="23"/>
    </row>
    <row r="661" spans="1:48" ht="25.15" hidden="1" customHeight="1" thickTop="1">
      <c r="A661" s="99"/>
      <c r="B661" s="26" t="s">
        <v>555</v>
      </c>
      <c r="C661" s="27"/>
      <c r="D661" s="28" t="s">
        <v>82</v>
      </c>
      <c r="E661" s="1111"/>
      <c r="F661" s="1111"/>
      <c r="G661" s="1201"/>
      <c r="H661" s="1111"/>
      <c r="I661" s="1111"/>
      <c r="J661" s="1201"/>
      <c r="K661" s="1201"/>
      <c r="L661" s="1111"/>
      <c r="M661" s="1111"/>
      <c r="N661" s="1111"/>
      <c r="O661" s="1111"/>
      <c r="P661" s="1111"/>
      <c r="Q661" s="1201"/>
      <c r="R661" s="1201"/>
      <c r="S661" s="1111"/>
      <c r="T661" s="1111"/>
      <c r="U661" s="1111"/>
      <c r="V661" s="1111"/>
      <c r="W661" s="1111"/>
      <c r="X661" s="1201"/>
      <c r="Y661" s="1201"/>
      <c r="Z661" s="1111"/>
      <c r="AA661" s="1111"/>
      <c r="AB661" s="1111"/>
      <c r="AC661" s="1111"/>
      <c r="AD661" s="1111"/>
      <c r="AE661" s="1201"/>
      <c r="AF661" s="1201"/>
      <c r="AG661" s="1111"/>
      <c r="AH661" s="1111"/>
      <c r="AI661" s="1111"/>
      <c r="AJ661" s="100">
        <f>SUM(Table75[[#This Row],[June''2026]:[Column27]])</f>
        <v>0</v>
      </c>
      <c r="AK661" s="100">
        <f t="shared" si="1250"/>
        <v>0</v>
      </c>
      <c r="AL661" s="101">
        <f>+AJ661*AN661</f>
        <v>0</v>
      </c>
      <c r="AM661" s="1072">
        <f t="shared" si="1251"/>
        <v>0</v>
      </c>
      <c r="AN661" s="102"/>
      <c r="AO661" s="622" t="e">
        <f>Table5[[#This Row],[Total]]*B665/1000</f>
        <v>#VALUE!</v>
      </c>
      <c r="AP661" s="32" t="s">
        <v>179</v>
      </c>
      <c r="AQ661" s="33" t="s">
        <v>84</v>
      </c>
      <c r="AR661" s="33" t="s">
        <v>85</v>
      </c>
      <c r="AS661" s="33" t="s">
        <v>86</v>
      </c>
      <c r="AT661" s="33" t="s">
        <v>87</v>
      </c>
      <c r="AU661" s="33" t="s">
        <v>88</v>
      </c>
      <c r="AV661" s="34" t="s">
        <v>68</v>
      </c>
    </row>
    <row r="662" spans="1:48" ht="25.15" hidden="1" customHeight="1">
      <c r="A662" s="103"/>
      <c r="B662" s="35"/>
      <c r="C662" s="36"/>
      <c r="D662" s="37" t="s">
        <v>90</v>
      </c>
      <c r="E662" s="1373">
        <f>IF(E661="",0,+ E661/E668)</f>
        <v>0</v>
      </c>
      <c r="F662" s="1096">
        <f t="shared" ref="F662:AI662" si="1284">IF(F661="",0, E662+F661/F668)</f>
        <v>0</v>
      </c>
      <c r="G662" s="1207">
        <f t="shared" si="1284"/>
        <v>0</v>
      </c>
      <c r="H662" s="1096">
        <f t="shared" si="1284"/>
        <v>0</v>
      </c>
      <c r="I662" s="1096">
        <f t="shared" si="1284"/>
        <v>0</v>
      </c>
      <c r="J662" s="1207">
        <f t="shared" si="1284"/>
        <v>0</v>
      </c>
      <c r="K662" s="1207">
        <f t="shared" si="1284"/>
        <v>0</v>
      </c>
      <c r="L662" s="1096">
        <f t="shared" si="1284"/>
        <v>0</v>
      </c>
      <c r="M662" s="1096">
        <f t="shared" si="1284"/>
        <v>0</v>
      </c>
      <c r="N662" s="1096">
        <f t="shared" si="1284"/>
        <v>0</v>
      </c>
      <c r="O662" s="1096">
        <f t="shared" si="1284"/>
        <v>0</v>
      </c>
      <c r="P662" s="1096">
        <f t="shared" si="1284"/>
        <v>0</v>
      </c>
      <c r="Q662" s="1207">
        <f t="shared" si="1284"/>
        <v>0</v>
      </c>
      <c r="R662" s="1207">
        <f t="shared" si="1284"/>
        <v>0</v>
      </c>
      <c r="S662" s="1096">
        <f t="shared" si="1284"/>
        <v>0</v>
      </c>
      <c r="T662" s="1096">
        <f t="shared" si="1284"/>
        <v>0</v>
      </c>
      <c r="U662" s="1096">
        <f t="shared" si="1284"/>
        <v>0</v>
      </c>
      <c r="V662" s="1096">
        <f t="shared" si="1284"/>
        <v>0</v>
      </c>
      <c r="W662" s="1096">
        <f t="shared" si="1284"/>
        <v>0</v>
      </c>
      <c r="X662" s="1207">
        <f t="shared" si="1284"/>
        <v>0</v>
      </c>
      <c r="Y662" s="1207">
        <f t="shared" si="1284"/>
        <v>0</v>
      </c>
      <c r="Z662" s="1096">
        <f t="shared" si="1284"/>
        <v>0</v>
      </c>
      <c r="AA662" s="1096">
        <f t="shared" si="1284"/>
        <v>0</v>
      </c>
      <c r="AB662" s="1096">
        <f t="shared" si="1284"/>
        <v>0</v>
      </c>
      <c r="AC662" s="1096">
        <f t="shared" si="1284"/>
        <v>0</v>
      </c>
      <c r="AD662" s="1096">
        <f t="shared" si="1284"/>
        <v>0</v>
      </c>
      <c r="AE662" s="1207">
        <f t="shared" si="1284"/>
        <v>0</v>
      </c>
      <c r="AF662" s="1207">
        <f t="shared" si="1284"/>
        <v>0</v>
      </c>
      <c r="AG662" s="1096">
        <f t="shared" si="1284"/>
        <v>0</v>
      </c>
      <c r="AH662" s="1096">
        <f t="shared" si="1284"/>
        <v>0</v>
      </c>
      <c r="AI662" s="1324">
        <f t="shared" si="1284"/>
        <v>0</v>
      </c>
      <c r="AJ662" s="38"/>
      <c r="AK662" s="29"/>
      <c r="AL662" s="30"/>
      <c r="AM662" s="694">
        <f t="shared" si="1251"/>
        <v>0</v>
      </c>
      <c r="AN662" s="31"/>
      <c r="AO662" s="630"/>
      <c r="AP662" s="39" t="s">
        <v>91</v>
      </c>
      <c r="AQ662" s="40">
        <f>SUM(E661:F661)</f>
        <v>0</v>
      </c>
      <c r="AR662" s="41">
        <f>SUM(G661:M661)</f>
        <v>0</v>
      </c>
      <c r="AS662" s="41">
        <f>SUM(N661:T661)</f>
        <v>0</v>
      </c>
      <c r="AT662" s="41">
        <f>SUM(U661:AA661)</f>
        <v>0</v>
      </c>
      <c r="AU662" s="41">
        <f>SUM(AB661:AI661)</f>
        <v>0</v>
      </c>
      <c r="AV662" s="34">
        <f t="shared" ref="AV662:AV667" si="1285">SUM(AQ662:AU662)</f>
        <v>0</v>
      </c>
    </row>
    <row r="663" spans="1:48" ht="25.15" hidden="1" customHeight="1">
      <c r="A663" s="103"/>
      <c r="B663" s="26" t="s">
        <v>92</v>
      </c>
      <c r="C663" s="42"/>
      <c r="D663" s="43" t="s">
        <v>93</v>
      </c>
      <c r="E663" s="1325"/>
      <c r="F663" s="1089"/>
      <c r="G663" s="44"/>
      <c r="H663" s="1089"/>
      <c r="I663" s="1089"/>
      <c r="J663" s="44"/>
      <c r="K663" s="44"/>
      <c r="L663" s="1089"/>
      <c r="M663" s="1089"/>
      <c r="N663" s="1089"/>
      <c r="O663" s="1089"/>
      <c r="P663" s="1089"/>
      <c r="Q663" s="44"/>
      <c r="R663" s="44"/>
      <c r="S663" s="1089"/>
      <c r="T663" s="1089"/>
      <c r="U663" s="1089"/>
      <c r="V663" s="1089"/>
      <c r="W663" s="1089"/>
      <c r="X663" s="44"/>
      <c r="Y663" s="44"/>
      <c r="Z663" s="1089"/>
      <c r="AA663" s="1089"/>
      <c r="AB663" s="1089"/>
      <c r="AC663" s="1089"/>
      <c r="AD663" s="1089"/>
      <c r="AE663" s="44"/>
      <c r="AF663" s="44"/>
      <c r="AG663" s="1089"/>
      <c r="AH663" s="1089"/>
      <c r="AI663" s="1326"/>
      <c r="AJ663" s="45">
        <f>SUM(E663:AI663)</f>
        <v>0</v>
      </c>
      <c r="AK663" s="45"/>
      <c r="AL663" s="46">
        <f>+AJ663*AN661</f>
        <v>0</v>
      </c>
      <c r="AM663" s="1066">
        <f t="shared" si="1251"/>
        <v>0</v>
      </c>
      <c r="AN663" s="31"/>
      <c r="AO663" s="632">
        <f>(AJ663+AJ665+AJ666+AJ667)*B665/1000</f>
        <v>0</v>
      </c>
      <c r="AP663" s="47" t="s">
        <v>94</v>
      </c>
      <c r="AQ663" s="48">
        <f>SUM(E663:F663)</f>
        <v>0</v>
      </c>
      <c r="AR663" s="49">
        <f>SUM(G663:M663)</f>
        <v>0</v>
      </c>
      <c r="AS663" s="49">
        <f>SUM(N663:T663)</f>
        <v>0</v>
      </c>
      <c r="AT663" s="49">
        <f>SUM(U663:AA663)</f>
        <v>0</v>
      </c>
      <c r="AU663" s="49">
        <f>SUM(AB663:AI663)</f>
        <v>0</v>
      </c>
      <c r="AV663" s="50">
        <f t="shared" si="1285"/>
        <v>0</v>
      </c>
    </row>
    <row r="664" spans="1:48" ht="25.15" hidden="1" customHeight="1">
      <c r="A664" s="103"/>
      <c r="B664" s="51"/>
      <c r="C664" s="52" t="s">
        <v>95</v>
      </c>
      <c r="D664" s="53" t="s">
        <v>96</v>
      </c>
      <c r="E664" s="1327">
        <f t="shared" ref="E664:AJ664" si="1286">+E663-E661</f>
        <v>0</v>
      </c>
      <c r="F664" s="1097">
        <f t="shared" si="1286"/>
        <v>0</v>
      </c>
      <c r="G664" s="1205">
        <f t="shared" si="1286"/>
        <v>0</v>
      </c>
      <c r="H664" s="1097">
        <f t="shared" si="1286"/>
        <v>0</v>
      </c>
      <c r="I664" s="1097">
        <f t="shared" si="1286"/>
        <v>0</v>
      </c>
      <c r="J664" s="1205">
        <f t="shared" si="1286"/>
        <v>0</v>
      </c>
      <c r="K664" s="1205">
        <f t="shared" si="1286"/>
        <v>0</v>
      </c>
      <c r="L664" s="1097">
        <f t="shared" si="1286"/>
        <v>0</v>
      </c>
      <c r="M664" s="1097">
        <f t="shared" si="1286"/>
        <v>0</v>
      </c>
      <c r="N664" s="1097">
        <f t="shared" si="1286"/>
        <v>0</v>
      </c>
      <c r="O664" s="1097">
        <f t="shared" si="1286"/>
        <v>0</v>
      </c>
      <c r="P664" s="1097">
        <f t="shared" si="1286"/>
        <v>0</v>
      </c>
      <c r="Q664" s="1205">
        <f t="shared" si="1286"/>
        <v>0</v>
      </c>
      <c r="R664" s="1205">
        <f t="shared" ref="R664:S664" si="1287">+R663-R661</f>
        <v>0</v>
      </c>
      <c r="S664" s="1097">
        <f t="shared" si="1287"/>
        <v>0</v>
      </c>
      <c r="T664" s="1097">
        <f t="shared" si="1286"/>
        <v>0</v>
      </c>
      <c r="U664" s="1097">
        <f>+U663-U661</f>
        <v>0</v>
      </c>
      <c r="V664" s="1097">
        <f t="shared" si="1286"/>
        <v>0</v>
      </c>
      <c r="W664" s="1097">
        <f t="shared" si="1286"/>
        <v>0</v>
      </c>
      <c r="X664" s="1205">
        <f t="shared" si="1286"/>
        <v>0</v>
      </c>
      <c r="Y664" s="1205">
        <f t="shared" si="1286"/>
        <v>0</v>
      </c>
      <c r="Z664" s="1097">
        <f t="shared" ref="Z664" si="1288">+Z663-Z661</f>
        <v>0</v>
      </c>
      <c r="AA664" s="1097">
        <f t="shared" si="1286"/>
        <v>0</v>
      </c>
      <c r="AB664" s="1097">
        <f t="shared" si="1286"/>
        <v>0</v>
      </c>
      <c r="AC664" s="1097">
        <f t="shared" si="1286"/>
        <v>0</v>
      </c>
      <c r="AD664" s="1097">
        <f t="shared" si="1286"/>
        <v>0</v>
      </c>
      <c r="AE664" s="1205">
        <f t="shared" si="1286"/>
        <v>0</v>
      </c>
      <c r="AF664" s="1205">
        <f t="shared" si="1286"/>
        <v>0</v>
      </c>
      <c r="AG664" s="1097">
        <f t="shared" si="1286"/>
        <v>0</v>
      </c>
      <c r="AH664" s="1097">
        <f t="shared" si="1286"/>
        <v>0</v>
      </c>
      <c r="AI664" s="1328">
        <f t="shared" si="1286"/>
        <v>0</v>
      </c>
      <c r="AJ664" s="54">
        <f t="shared" si="1286"/>
        <v>0</v>
      </c>
      <c r="AK664" s="54"/>
      <c r="AL664" s="55">
        <f>+AJ664*AN661</f>
        <v>0</v>
      </c>
      <c r="AM664" s="1067">
        <f t="shared" si="1251"/>
        <v>0</v>
      </c>
      <c r="AN664" s="31" t="s">
        <v>97</v>
      </c>
      <c r="AO664" s="622"/>
      <c r="AP664" s="39" t="s">
        <v>98</v>
      </c>
      <c r="AQ664" s="56">
        <f>AQ663-AQ662</f>
        <v>0</v>
      </c>
      <c r="AR664" s="70">
        <f>AR663-AR662</f>
        <v>0</v>
      </c>
      <c r="AS664" s="70">
        <f>AS663-AS662</f>
        <v>0</v>
      </c>
      <c r="AT664" s="70">
        <f>AT663-AT662</f>
        <v>0</v>
      </c>
      <c r="AU664" s="70">
        <f>AU663-AU662</f>
        <v>0</v>
      </c>
      <c r="AV664" s="57">
        <f t="shared" si="1285"/>
        <v>0</v>
      </c>
    </row>
    <row r="665" spans="1:48" ht="25.15" hidden="1" customHeight="1">
      <c r="A665" s="58"/>
      <c r="B665" s="59"/>
      <c r="C665" s="60" t="s">
        <v>100</v>
      </c>
      <c r="D665" s="61" t="s">
        <v>101</v>
      </c>
      <c r="E665" s="1329"/>
      <c r="F665" s="1099"/>
      <c r="G665" s="1208"/>
      <c r="H665" s="1099"/>
      <c r="I665" s="1099"/>
      <c r="J665" s="1208"/>
      <c r="K665" s="1208"/>
      <c r="L665" s="1099"/>
      <c r="M665" s="1099"/>
      <c r="N665" s="1099"/>
      <c r="O665" s="1099"/>
      <c r="P665" s="1099"/>
      <c r="Q665" s="1208"/>
      <c r="R665" s="1208"/>
      <c r="S665" s="1099"/>
      <c r="T665" s="1099"/>
      <c r="U665" s="1099"/>
      <c r="V665" s="1099"/>
      <c r="W665" s="1099"/>
      <c r="X665" s="1208"/>
      <c r="Y665" s="1208"/>
      <c r="Z665" s="1099"/>
      <c r="AA665" s="1099"/>
      <c r="AB665" s="1099"/>
      <c r="AC665" s="1099"/>
      <c r="AD665" s="1099"/>
      <c r="AE665" s="1208"/>
      <c r="AF665" s="1208"/>
      <c r="AG665" s="1099"/>
      <c r="AH665" s="1099"/>
      <c r="AI665" s="1330"/>
      <c r="AJ665" s="62">
        <f>SUM(E665:AI665)</f>
        <v>0</v>
      </c>
      <c r="AK665" s="62"/>
      <c r="AL665" s="63">
        <f>+AJ665*AN661</f>
        <v>0</v>
      </c>
      <c r="AM665" s="1068">
        <f t="shared" si="1251"/>
        <v>0</v>
      </c>
      <c r="AN665" s="64" t="e">
        <f>+AJ665/AJ663*100</f>
        <v>#DIV/0!</v>
      </c>
      <c r="AO665" s="635" t="e">
        <f>AO663/AO661</f>
        <v>#VALUE!</v>
      </c>
      <c r="AP665" s="39" t="s">
        <v>102</v>
      </c>
      <c r="AQ665" s="56">
        <f>SUM(E665:F665)</f>
        <v>0</v>
      </c>
      <c r="AR665" s="70">
        <f>SUM(G665:M665)</f>
        <v>0</v>
      </c>
      <c r="AS665" s="70">
        <f>SUM(N665:T665)</f>
        <v>0</v>
      </c>
      <c r="AT665" s="70">
        <f>SUM(U665:AA665)</f>
        <v>0</v>
      </c>
      <c r="AU665" s="70">
        <f>SUM(AB665:AI665)</f>
        <v>0</v>
      </c>
      <c r="AV665" s="57">
        <f t="shared" si="1285"/>
        <v>0</v>
      </c>
    </row>
    <row r="666" spans="1:48" ht="25.15" hidden="1" customHeight="1">
      <c r="A666" s="58" t="s">
        <v>180</v>
      </c>
      <c r="B666" s="65"/>
      <c r="C666" s="66"/>
      <c r="D666" s="67" t="s">
        <v>103</v>
      </c>
      <c r="E666" s="1331"/>
      <c r="F666" s="1101"/>
      <c r="G666" s="1209"/>
      <c r="H666" s="1101"/>
      <c r="I666" s="1101"/>
      <c r="J666" s="1209"/>
      <c r="K666" s="1209"/>
      <c r="L666" s="1101"/>
      <c r="M666" s="1101"/>
      <c r="N666" s="1101"/>
      <c r="O666" s="1101"/>
      <c r="P666" s="1101"/>
      <c r="Q666" s="1209"/>
      <c r="R666" s="1209"/>
      <c r="S666" s="1101"/>
      <c r="T666" s="1101"/>
      <c r="U666" s="1101"/>
      <c r="V666" s="1101"/>
      <c r="W666" s="1101"/>
      <c r="X666" s="1209"/>
      <c r="Y666" s="1209"/>
      <c r="Z666" s="1101"/>
      <c r="AA666" s="1101"/>
      <c r="AB666" s="1101"/>
      <c r="AC666" s="1101"/>
      <c r="AD666" s="1101"/>
      <c r="AE666" s="1209"/>
      <c r="AF666" s="1209"/>
      <c r="AG666" s="1101"/>
      <c r="AH666" s="1101"/>
      <c r="AI666" s="1332"/>
      <c r="AJ666" s="68">
        <f>SUM(E666:AI666)</f>
        <v>0</v>
      </c>
      <c r="AK666" s="68"/>
      <c r="AL666" s="69">
        <f>+AJ666*AN661</f>
        <v>0</v>
      </c>
      <c r="AM666" s="1069">
        <f t="shared" si="1251"/>
        <v>0</v>
      </c>
      <c r="AN666" s="31"/>
      <c r="AO666" s="622"/>
      <c r="AP666" s="39" t="s">
        <v>19</v>
      </c>
      <c r="AQ666" s="56">
        <f>AQ665*AN661</f>
        <v>0</v>
      </c>
      <c r="AR666" s="56">
        <f>AR665*AN661</f>
        <v>0</v>
      </c>
      <c r="AS666" s="56">
        <f>AS665*AN661</f>
        <v>0</v>
      </c>
      <c r="AT666" s="56">
        <f>AT665*AN661</f>
        <v>0</v>
      </c>
      <c r="AU666" s="56">
        <f>AU665*AN661</f>
        <v>0</v>
      </c>
      <c r="AV666" s="57">
        <f t="shared" si="1285"/>
        <v>0</v>
      </c>
    </row>
    <row r="667" spans="1:48" ht="25.15" hidden="1" customHeight="1">
      <c r="A667" s="103"/>
      <c r="B667" s="65"/>
      <c r="C667" s="72" t="s">
        <v>104</v>
      </c>
      <c r="D667" s="73" t="s">
        <v>105</v>
      </c>
      <c r="E667" s="1378"/>
      <c r="F667" s="1103"/>
      <c r="G667" s="1210"/>
      <c r="H667" s="1103"/>
      <c r="I667" s="1103"/>
      <c r="J667" s="1210"/>
      <c r="K667" s="1210"/>
      <c r="L667" s="1103"/>
      <c r="M667" s="1103"/>
      <c r="N667" s="1103"/>
      <c r="O667" s="1103"/>
      <c r="P667" s="1103"/>
      <c r="Q667" s="1210"/>
      <c r="R667" s="1210"/>
      <c r="S667" s="1103"/>
      <c r="T667" s="1103"/>
      <c r="U667" s="1103"/>
      <c r="V667" s="1103"/>
      <c r="W667" s="1103"/>
      <c r="X667" s="1210"/>
      <c r="Y667" s="1210"/>
      <c r="Z667" s="1103"/>
      <c r="AA667" s="1103"/>
      <c r="AB667" s="1103"/>
      <c r="AC667" s="1103"/>
      <c r="AD667" s="1103"/>
      <c r="AE667" s="1210"/>
      <c r="AF667" s="1210"/>
      <c r="AG667" s="1103"/>
      <c r="AH667" s="1103"/>
      <c r="AI667" s="1352"/>
      <c r="AJ667" s="74">
        <f>SUM(E667:AI667)</f>
        <v>0</v>
      </c>
      <c r="AK667" s="74"/>
      <c r="AL667" s="75">
        <f>+AJ667*AN661</f>
        <v>0</v>
      </c>
      <c r="AM667" s="1070">
        <f t="shared" si="1251"/>
        <v>0</v>
      </c>
      <c r="AN667" s="76"/>
      <c r="AO667" s="636"/>
      <c r="AP667" s="47" t="s">
        <v>106</v>
      </c>
      <c r="AQ667" s="48">
        <f>AQ663*AN661</f>
        <v>0</v>
      </c>
      <c r="AR667" s="48">
        <f>AR663*AN661</f>
        <v>0</v>
      </c>
      <c r="AS667" s="48">
        <f>AS663*AN661</f>
        <v>0</v>
      </c>
      <c r="AT667" s="48">
        <f>AT663*AN661</f>
        <v>0</v>
      </c>
      <c r="AU667" s="48">
        <f>AU663*AN661</f>
        <v>0</v>
      </c>
      <c r="AV667" s="50">
        <f t="shared" si="1285"/>
        <v>0</v>
      </c>
    </row>
    <row r="668" spans="1:48" ht="25.15" hidden="1" customHeight="1">
      <c r="A668" s="103"/>
      <c r="B668" s="65"/>
      <c r="C668" s="77">
        <v>300000</v>
      </c>
      <c r="D668" s="78" t="s">
        <v>107</v>
      </c>
      <c r="E668" s="1327">
        <v>1</v>
      </c>
      <c r="F668" s="1097">
        <v>1</v>
      </c>
      <c r="G668" s="1205">
        <v>1</v>
      </c>
      <c r="H668" s="1097">
        <v>1</v>
      </c>
      <c r="I668" s="1097">
        <v>1</v>
      </c>
      <c r="J668" s="1205">
        <v>1</v>
      </c>
      <c r="K668" s="1205">
        <v>1</v>
      </c>
      <c r="L668" s="1097">
        <v>1</v>
      </c>
      <c r="M668" s="1097">
        <v>1</v>
      </c>
      <c r="N668" s="1097">
        <v>1</v>
      </c>
      <c r="O668" s="1097">
        <v>1</v>
      </c>
      <c r="P668" s="1097">
        <v>1</v>
      </c>
      <c r="Q668" s="1205">
        <v>1</v>
      </c>
      <c r="R668" s="1205">
        <v>1</v>
      </c>
      <c r="S668" s="1097">
        <v>1</v>
      </c>
      <c r="T668" s="1097">
        <v>1</v>
      </c>
      <c r="U668" s="1097">
        <v>1</v>
      </c>
      <c r="V668" s="1097">
        <v>1</v>
      </c>
      <c r="W668" s="1097">
        <v>1</v>
      </c>
      <c r="X668" s="1205">
        <v>1</v>
      </c>
      <c r="Y668" s="1205">
        <v>1</v>
      </c>
      <c r="Z668" s="1097">
        <v>1</v>
      </c>
      <c r="AA668" s="1097">
        <v>1</v>
      </c>
      <c r="AB668" s="1097">
        <v>1</v>
      </c>
      <c r="AC668" s="1097">
        <v>1</v>
      </c>
      <c r="AD668" s="1097">
        <v>1</v>
      </c>
      <c r="AE668" s="1205">
        <v>1</v>
      </c>
      <c r="AF668" s="1205">
        <v>1</v>
      </c>
      <c r="AG668" s="1097">
        <v>1</v>
      </c>
      <c r="AH668" s="1097">
        <v>1</v>
      </c>
      <c r="AI668" s="1328">
        <v>1</v>
      </c>
      <c r="AJ668" s="79"/>
      <c r="AK668" s="79"/>
      <c r="AL668" s="55"/>
      <c r="AM668" s="1067">
        <f t="shared" si="1251"/>
        <v>0</v>
      </c>
      <c r="AN668" s="31"/>
      <c r="AO668" s="622"/>
      <c r="AP668" s="23"/>
      <c r="AQ668" s="23"/>
      <c r="AR668" s="23"/>
      <c r="AS668" s="23"/>
      <c r="AT668" s="23"/>
      <c r="AU668" s="23"/>
      <c r="AV668" s="23"/>
    </row>
    <row r="669" spans="1:48" ht="25.15" hidden="1" customHeight="1">
      <c r="A669" s="103"/>
      <c r="B669" s="65"/>
      <c r="C669" s="80" t="s">
        <v>108</v>
      </c>
      <c r="D669" s="81" t="s">
        <v>109</v>
      </c>
      <c r="E669" s="1374">
        <f>SUM(E663+E665+E666+E667)/E668</f>
        <v>0</v>
      </c>
      <c r="F669" s="1104">
        <f>SUM(F663+F665+F666+F667)/F668</f>
        <v>0</v>
      </c>
      <c r="G669" s="1211">
        <f>SUM(G663+G665+G666+G667)/G668</f>
        <v>0</v>
      </c>
      <c r="H669" s="1104">
        <f t="shared" ref="H669:AH669" si="1289">SUM(H663+H665+H666+H667)/H668</f>
        <v>0</v>
      </c>
      <c r="I669" s="1104">
        <f t="shared" si="1289"/>
        <v>0</v>
      </c>
      <c r="J669" s="1211">
        <f t="shared" si="1289"/>
        <v>0</v>
      </c>
      <c r="K669" s="1211">
        <f t="shared" si="1289"/>
        <v>0</v>
      </c>
      <c r="L669" s="1104">
        <f t="shared" si="1289"/>
        <v>0</v>
      </c>
      <c r="M669" s="1104">
        <f t="shared" si="1289"/>
        <v>0</v>
      </c>
      <c r="N669" s="1104">
        <f t="shared" si="1289"/>
        <v>0</v>
      </c>
      <c r="O669" s="1104">
        <f t="shared" si="1289"/>
        <v>0</v>
      </c>
      <c r="P669" s="1104">
        <f t="shared" si="1289"/>
        <v>0</v>
      </c>
      <c r="Q669" s="1211">
        <f t="shared" si="1289"/>
        <v>0</v>
      </c>
      <c r="R669" s="1211">
        <f t="shared" si="1289"/>
        <v>0</v>
      </c>
      <c r="S669" s="1104">
        <f t="shared" si="1289"/>
        <v>0</v>
      </c>
      <c r="T669" s="1104">
        <f t="shared" si="1289"/>
        <v>0</v>
      </c>
      <c r="U669" s="1104">
        <f t="shared" si="1289"/>
        <v>0</v>
      </c>
      <c r="V669" s="1104">
        <f t="shared" si="1289"/>
        <v>0</v>
      </c>
      <c r="W669" s="1104">
        <f t="shared" si="1289"/>
        <v>0</v>
      </c>
      <c r="X669" s="1211">
        <f t="shared" si="1289"/>
        <v>0</v>
      </c>
      <c r="Y669" s="1211">
        <f t="shared" si="1289"/>
        <v>0</v>
      </c>
      <c r="Z669" s="1104">
        <f t="shared" si="1289"/>
        <v>0</v>
      </c>
      <c r="AA669" s="1104">
        <f t="shared" si="1289"/>
        <v>0</v>
      </c>
      <c r="AB669" s="1104">
        <f t="shared" si="1289"/>
        <v>0</v>
      </c>
      <c r="AC669" s="1104">
        <f t="shared" si="1289"/>
        <v>0</v>
      </c>
      <c r="AD669" s="1104">
        <f t="shared" si="1289"/>
        <v>0</v>
      </c>
      <c r="AE669" s="1211">
        <f t="shared" si="1289"/>
        <v>0</v>
      </c>
      <c r="AF669" s="1211">
        <f t="shared" si="1289"/>
        <v>0</v>
      </c>
      <c r="AG669" s="1104">
        <f t="shared" si="1289"/>
        <v>0</v>
      </c>
      <c r="AH669" s="1104">
        <f t="shared" si="1289"/>
        <v>0</v>
      </c>
      <c r="AI669" s="1335">
        <f>SUM(AI663+AI665+AI666)/AI668</f>
        <v>0</v>
      </c>
      <c r="AJ669" s="104">
        <f>SUM(E669:AI669)</f>
        <v>0</v>
      </c>
      <c r="AK669" s="104"/>
      <c r="AL669" s="83"/>
      <c r="AM669" s="1068">
        <f t="shared" si="1251"/>
        <v>0</v>
      </c>
      <c r="AN669" s="31"/>
      <c r="AO669" s="622"/>
      <c r="AP669" s="23"/>
      <c r="AQ669" s="23"/>
      <c r="AR669" s="23"/>
      <c r="AS669" s="23"/>
      <c r="AT669" s="23"/>
      <c r="AU669" s="23"/>
      <c r="AV669" s="23"/>
    </row>
    <row r="670" spans="1:48" ht="25.15" hidden="1" customHeight="1">
      <c r="A670" s="103"/>
      <c r="B670" s="59"/>
      <c r="C670" s="84">
        <f>+C668*0.8</f>
        <v>240000</v>
      </c>
      <c r="D670" s="85" t="s">
        <v>110</v>
      </c>
      <c r="E670" s="1105"/>
      <c r="F670" s="1106"/>
      <c r="G670" s="1211"/>
      <c r="H670" s="1104"/>
      <c r="I670" s="1104"/>
      <c r="J670" s="1211"/>
      <c r="K670" s="1211"/>
      <c r="L670" s="1104"/>
      <c r="M670" s="1104"/>
      <c r="N670" s="1104"/>
      <c r="O670" s="1107"/>
      <c r="P670" s="1104"/>
      <c r="Q670" s="1211"/>
      <c r="R670" s="1211"/>
      <c r="S670" s="1104"/>
      <c r="T670" s="1104"/>
      <c r="U670" s="1104"/>
      <c r="V670" s="1104"/>
      <c r="W670" s="1104"/>
      <c r="X670" s="1211"/>
      <c r="Y670" s="1211"/>
      <c r="Z670" s="1104"/>
      <c r="AA670" s="1104"/>
      <c r="AB670" s="1104"/>
      <c r="AC670" s="1104"/>
      <c r="AD670" s="1104"/>
      <c r="AE670" s="1211"/>
      <c r="AF670" s="1211"/>
      <c r="AG670" s="1104"/>
      <c r="AH670" s="1104"/>
      <c r="AI670" s="1353"/>
      <c r="AJ670" s="86"/>
      <c r="AK670" s="86"/>
      <c r="AL670" s="690"/>
      <c r="AM670" s="694">
        <f t="shared" si="1251"/>
        <v>0</v>
      </c>
      <c r="AN670" s="31"/>
      <c r="AO670" s="622"/>
      <c r="AP670" s="23"/>
      <c r="AQ670" s="23"/>
      <c r="AR670" s="23"/>
      <c r="AS670" s="23"/>
      <c r="AT670" s="23"/>
      <c r="AU670" s="23"/>
      <c r="AV670" s="23"/>
    </row>
    <row r="671" spans="1:48" ht="25.15" hidden="1" customHeight="1">
      <c r="A671" s="103"/>
      <c r="B671" s="105"/>
      <c r="C671" s="77"/>
      <c r="D671" s="88" t="s">
        <v>111</v>
      </c>
      <c r="E671" s="1108">
        <f>IF(E670="O/H",E669,15+E669)</f>
        <v>15</v>
      </c>
      <c r="F671" s="1089">
        <f t="shared" ref="F671:AI671" si="1290">IF(F670="O/H",F669,+E671+F669)</f>
        <v>15</v>
      </c>
      <c r="G671" s="44">
        <f t="shared" si="1290"/>
        <v>15</v>
      </c>
      <c r="H671" s="1089">
        <f t="shared" si="1290"/>
        <v>15</v>
      </c>
      <c r="I671" s="1089">
        <f t="shared" si="1290"/>
        <v>15</v>
      </c>
      <c r="J671" s="44">
        <f t="shared" si="1290"/>
        <v>15</v>
      </c>
      <c r="K671" s="44">
        <f t="shared" si="1290"/>
        <v>15</v>
      </c>
      <c r="L671" s="1089">
        <f t="shared" si="1290"/>
        <v>15</v>
      </c>
      <c r="M671" s="1089">
        <f t="shared" si="1290"/>
        <v>15</v>
      </c>
      <c r="N671" s="1089">
        <f t="shared" si="1290"/>
        <v>15</v>
      </c>
      <c r="O671" s="1089">
        <f t="shared" si="1290"/>
        <v>15</v>
      </c>
      <c r="P671" s="1089">
        <f t="shared" si="1290"/>
        <v>15</v>
      </c>
      <c r="Q671" s="44">
        <f t="shared" si="1290"/>
        <v>15</v>
      </c>
      <c r="R671" s="44">
        <f t="shared" si="1290"/>
        <v>15</v>
      </c>
      <c r="S671" s="1089">
        <f t="shared" si="1290"/>
        <v>15</v>
      </c>
      <c r="T671" s="1089">
        <f t="shared" si="1290"/>
        <v>15</v>
      </c>
      <c r="U671" s="1089">
        <f t="shared" si="1290"/>
        <v>15</v>
      </c>
      <c r="V671" s="1089">
        <f t="shared" si="1290"/>
        <v>15</v>
      </c>
      <c r="W671" s="1089">
        <f t="shared" si="1290"/>
        <v>15</v>
      </c>
      <c r="X671" s="44">
        <f t="shared" si="1290"/>
        <v>15</v>
      </c>
      <c r="Y671" s="44">
        <f t="shared" si="1290"/>
        <v>15</v>
      </c>
      <c r="Z671" s="1089">
        <f t="shared" si="1290"/>
        <v>15</v>
      </c>
      <c r="AA671" s="1089">
        <f t="shared" si="1290"/>
        <v>15</v>
      </c>
      <c r="AB671" s="1089">
        <f t="shared" si="1290"/>
        <v>15</v>
      </c>
      <c r="AC671" s="1089">
        <f t="shared" si="1290"/>
        <v>15</v>
      </c>
      <c r="AD671" s="1089">
        <f t="shared" si="1290"/>
        <v>15</v>
      </c>
      <c r="AE671" s="44">
        <f t="shared" si="1290"/>
        <v>15</v>
      </c>
      <c r="AF671" s="44">
        <f t="shared" si="1290"/>
        <v>15</v>
      </c>
      <c r="AG671" s="1089">
        <f t="shared" si="1290"/>
        <v>15</v>
      </c>
      <c r="AH671" s="1089">
        <f t="shared" si="1290"/>
        <v>15</v>
      </c>
      <c r="AI671" s="1326">
        <f t="shared" si="1290"/>
        <v>15</v>
      </c>
      <c r="AJ671" s="79"/>
      <c r="AK671" s="86"/>
      <c r="AL671" s="689"/>
      <c r="AM671" s="694">
        <f t="shared" si="1251"/>
        <v>0</v>
      </c>
      <c r="AN671" s="31"/>
      <c r="AO671" s="622"/>
      <c r="AP671" s="23"/>
      <c r="AQ671" s="23"/>
      <c r="AR671" s="23"/>
      <c r="AS671" s="23"/>
      <c r="AT671" s="23"/>
      <c r="AU671" s="23"/>
      <c r="AV671" s="23"/>
    </row>
    <row r="672" spans="1:48" ht="25.15" hidden="1" customHeight="1">
      <c r="A672" s="103"/>
      <c r="B672" s="89"/>
      <c r="C672" s="80"/>
      <c r="D672" s="90" t="s">
        <v>104</v>
      </c>
      <c r="E672" s="1108"/>
      <c r="F672" s="1089"/>
      <c r="G672" s="44"/>
      <c r="H672" s="1089"/>
      <c r="I672" s="1089"/>
      <c r="J672" s="44"/>
      <c r="K672" s="44"/>
      <c r="L672" s="1089"/>
      <c r="M672" s="1089"/>
      <c r="N672" s="1089"/>
      <c r="O672" s="1089"/>
      <c r="P672" s="1089"/>
      <c r="Q672" s="44"/>
      <c r="R672" s="44"/>
      <c r="S672" s="1089"/>
      <c r="T672" s="1089"/>
      <c r="U672" s="1089"/>
      <c r="V672" s="1089"/>
      <c r="W672" s="1089"/>
      <c r="X672" s="44"/>
      <c r="Y672" s="44"/>
      <c r="Z672" s="1089"/>
      <c r="AA672" s="1089"/>
      <c r="AB672" s="1089"/>
      <c r="AC672" s="1089"/>
      <c r="AD672" s="1089"/>
      <c r="AE672" s="44"/>
      <c r="AF672" s="44"/>
      <c r="AG672" s="1089"/>
      <c r="AH672" s="1089"/>
      <c r="AI672" s="1326"/>
      <c r="AJ672" s="79"/>
      <c r="AK672" s="79"/>
      <c r="AL672" s="63"/>
      <c r="AM672" s="1068">
        <f t="shared" si="1251"/>
        <v>0</v>
      </c>
      <c r="AN672" s="64"/>
      <c r="AO672" s="624"/>
      <c r="AP672" s="23"/>
      <c r="AQ672" s="23"/>
      <c r="AR672" s="23"/>
      <c r="AS672" s="23"/>
      <c r="AT672" s="23"/>
      <c r="AU672" s="23"/>
      <c r="AV672" s="23"/>
    </row>
    <row r="673" spans="1:48" ht="24.75" hidden="1" customHeight="1" thickBot="1">
      <c r="A673" s="106"/>
      <c r="B673" s="93"/>
      <c r="C673" s="94"/>
      <c r="D673" s="95" t="s">
        <v>111</v>
      </c>
      <c r="E673" s="1109">
        <f>IF(E672="O/H",E669,15+E669)</f>
        <v>15</v>
      </c>
      <c r="F673" s="1110">
        <f t="shared" ref="F673:AI673" si="1291">IF(F672="O/H",F669,+E673+F669)</f>
        <v>15</v>
      </c>
      <c r="G673" s="1212">
        <f t="shared" si="1291"/>
        <v>15</v>
      </c>
      <c r="H673" s="1110">
        <f t="shared" si="1291"/>
        <v>15</v>
      </c>
      <c r="I673" s="1110">
        <f t="shared" si="1291"/>
        <v>15</v>
      </c>
      <c r="J673" s="1212">
        <f t="shared" si="1291"/>
        <v>15</v>
      </c>
      <c r="K673" s="1212">
        <f t="shared" si="1291"/>
        <v>15</v>
      </c>
      <c r="L673" s="1110">
        <f t="shared" si="1291"/>
        <v>15</v>
      </c>
      <c r="M673" s="1110">
        <f t="shared" si="1291"/>
        <v>15</v>
      </c>
      <c r="N673" s="1110">
        <f t="shared" si="1291"/>
        <v>15</v>
      </c>
      <c r="O673" s="1110">
        <f t="shared" si="1291"/>
        <v>15</v>
      </c>
      <c r="P673" s="1110">
        <f t="shared" si="1291"/>
        <v>15</v>
      </c>
      <c r="Q673" s="1212">
        <f t="shared" si="1291"/>
        <v>15</v>
      </c>
      <c r="R673" s="1212">
        <f t="shared" si="1291"/>
        <v>15</v>
      </c>
      <c r="S673" s="1110">
        <f t="shared" si="1291"/>
        <v>15</v>
      </c>
      <c r="T673" s="1110">
        <f t="shared" si="1291"/>
        <v>15</v>
      </c>
      <c r="U673" s="1110">
        <f t="shared" si="1291"/>
        <v>15</v>
      </c>
      <c r="V673" s="1110">
        <f t="shared" si="1291"/>
        <v>15</v>
      </c>
      <c r="W673" s="1110">
        <f t="shared" si="1291"/>
        <v>15</v>
      </c>
      <c r="X673" s="1212">
        <f t="shared" si="1291"/>
        <v>15</v>
      </c>
      <c r="Y673" s="1212">
        <f t="shared" si="1291"/>
        <v>15</v>
      </c>
      <c r="Z673" s="1110">
        <f t="shared" si="1291"/>
        <v>15</v>
      </c>
      <c r="AA673" s="1110">
        <f t="shared" si="1291"/>
        <v>15</v>
      </c>
      <c r="AB673" s="1110">
        <f t="shared" si="1291"/>
        <v>15</v>
      </c>
      <c r="AC673" s="1110">
        <f t="shared" si="1291"/>
        <v>15</v>
      </c>
      <c r="AD673" s="1110">
        <f t="shared" si="1291"/>
        <v>15</v>
      </c>
      <c r="AE673" s="1212">
        <f t="shared" si="1291"/>
        <v>15</v>
      </c>
      <c r="AF673" s="1212">
        <f t="shared" si="1291"/>
        <v>15</v>
      </c>
      <c r="AG673" s="1110">
        <f t="shared" si="1291"/>
        <v>15</v>
      </c>
      <c r="AH673" s="1110">
        <f t="shared" si="1291"/>
        <v>15</v>
      </c>
      <c r="AI673" s="1340">
        <f t="shared" si="1291"/>
        <v>15</v>
      </c>
      <c r="AJ673" s="96"/>
      <c r="AK673" s="96"/>
      <c r="AL673" s="97"/>
      <c r="AM673" s="1071">
        <f t="shared" si="1251"/>
        <v>0</v>
      </c>
      <c r="AN673" s="98"/>
      <c r="AO673" s="625"/>
      <c r="AP673" s="23"/>
      <c r="AQ673" s="23"/>
      <c r="AR673" s="23"/>
      <c r="AS673" s="23"/>
      <c r="AT673" s="23"/>
      <c r="AU673" s="23"/>
      <c r="AV673" s="23"/>
    </row>
    <row r="674" spans="1:48" ht="25.9" hidden="1" customHeight="1" thickTop="1">
      <c r="A674" s="99"/>
      <c r="B674" s="26" t="s">
        <v>118</v>
      </c>
      <c r="C674" s="27"/>
      <c r="D674" s="28" t="s">
        <v>82</v>
      </c>
      <c r="E674" s="1111"/>
      <c r="F674" s="1111"/>
      <c r="G674" s="1201"/>
      <c r="H674" s="1111"/>
      <c r="I674" s="1111"/>
      <c r="J674" s="1201"/>
      <c r="K674" s="1201"/>
      <c r="L674" s="1111"/>
      <c r="M674" s="1111"/>
      <c r="N674" s="1111"/>
      <c r="O674" s="1111"/>
      <c r="P674" s="1111"/>
      <c r="Q674" s="1201"/>
      <c r="R674" s="1201"/>
      <c r="S674" s="1111"/>
      <c r="T674" s="1111"/>
      <c r="U674" s="1111"/>
      <c r="V674" s="1111"/>
      <c r="W674" s="1111"/>
      <c r="X674" s="1201"/>
      <c r="Y674" s="1201"/>
      <c r="Z674" s="1111"/>
      <c r="AA674" s="1111"/>
      <c r="AB674" s="1111"/>
      <c r="AC674" s="1111"/>
      <c r="AD674" s="1111"/>
      <c r="AE674" s="1201"/>
      <c r="AF674" s="1201"/>
      <c r="AG674" s="1111"/>
      <c r="AH674" s="1111"/>
      <c r="AI674" s="1111"/>
      <c r="AJ674" s="100">
        <f>SUM(Table75[[#This Row],[June''2026]:[Column27]])</f>
        <v>0</v>
      </c>
      <c r="AK674" s="100">
        <f t="shared" si="1250"/>
        <v>0</v>
      </c>
      <c r="AL674" s="101">
        <f>+AJ674*AN674</f>
        <v>0</v>
      </c>
      <c r="AM674" s="1072">
        <f t="shared" si="1251"/>
        <v>0</v>
      </c>
      <c r="AN674" s="102"/>
      <c r="AO674" s="622" t="e">
        <f>Table5[[#This Row],[Total]]*B678/1000</f>
        <v>#VALUE!</v>
      </c>
      <c r="AP674" s="32" t="s">
        <v>179</v>
      </c>
      <c r="AQ674" s="33" t="s">
        <v>84</v>
      </c>
      <c r="AR674" s="33" t="s">
        <v>85</v>
      </c>
      <c r="AS674" s="33" t="s">
        <v>86</v>
      </c>
      <c r="AT674" s="33" t="s">
        <v>87</v>
      </c>
      <c r="AU674" s="33" t="s">
        <v>88</v>
      </c>
      <c r="AV674" s="34" t="s">
        <v>68</v>
      </c>
    </row>
    <row r="675" spans="1:48" ht="25.15" hidden="1" customHeight="1">
      <c r="A675" s="103"/>
      <c r="B675" s="35" t="s">
        <v>182</v>
      </c>
      <c r="C675" s="36"/>
      <c r="D675" s="37" t="s">
        <v>90</v>
      </c>
      <c r="E675" s="1373">
        <f>IF(E674="",0,+ E674/E681)</f>
        <v>0</v>
      </c>
      <c r="F675" s="1096">
        <f t="shared" ref="F675:AI675" si="1292">IF(F674="",0, E675+F674/F681)</f>
        <v>0</v>
      </c>
      <c r="G675" s="1207">
        <f t="shared" si="1292"/>
        <v>0</v>
      </c>
      <c r="H675" s="1096">
        <f t="shared" si="1292"/>
        <v>0</v>
      </c>
      <c r="I675" s="1096">
        <f t="shared" si="1292"/>
        <v>0</v>
      </c>
      <c r="J675" s="1207">
        <f t="shared" si="1292"/>
        <v>0</v>
      </c>
      <c r="K675" s="1207">
        <f t="shared" si="1292"/>
        <v>0</v>
      </c>
      <c r="L675" s="1096">
        <f t="shared" si="1292"/>
        <v>0</v>
      </c>
      <c r="M675" s="1096">
        <f t="shared" si="1292"/>
        <v>0</v>
      </c>
      <c r="N675" s="1096">
        <f t="shared" si="1292"/>
        <v>0</v>
      </c>
      <c r="O675" s="1096">
        <f t="shared" si="1292"/>
        <v>0</v>
      </c>
      <c r="P675" s="1096">
        <f t="shared" si="1292"/>
        <v>0</v>
      </c>
      <c r="Q675" s="1207">
        <f t="shared" si="1292"/>
        <v>0</v>
      </c>
      <c r="R675" s="1207">
        <f t="shared" si="1292"/>
        <v>0</v>
      </c>
      <c r="S675" s="1096">
        <f t="shared" si="1292"/>
        <v>0</v>
      </c>
      <c r="T675" s="1096">
        <f t="shared" si="1292"/>
        <v>0</v>
      </c>
      <c r="U675" s="1096">
        <f t="shared" si="1292"/>
        <v>0</v>
      </c>
      <c r="V675" s="1096">
        <f t="shared" si="1292"/>
        <v>0</v>
      </c>
      <c r="W675" s="1096">
        <f t="shared" si="1292"/>
        <v>0</v>
      </c>
      <c r="X675" s="1207">
        <f t="shared" si="1292"/>
        <v>0</v>
      </c>
      <c r="Y675" s="1207">
        <f t="shared" si="1292"/>
        <v>0</v>
      </c>
      <c r="Z675" s="1096">
        <f t="shared" si="1292"/>
        <v>0</v>
      </c>
      <c r="AA675" s="1096">
        <f t="shared" si="1292"/>
        <v>0</v>
      </c>
      <c r="AB675" s="1096">
        <f t="shared" si="1292"/>
        <v>0</v>
      </c>
      <c r="AC675" s="1096">
        <f t="shared" si="1292"/>
        <v>0</v>
      </c>
      <c r="AD675" s="1096">
        <f t="shared" si="1292"/>
        <v>0</v>
      </c>
      <c r="AE675" s="1207">
        <f t="shared" si="1292"/>
        <v>0</v>
      </c>
      <c r="AF675" s="1207">
        <f t="shared" si="1292"/>
        <v>0</v>
      </c>
      <c r="AG675" s="1096">
        <f t="shared" si="1292"/>
        <v>0</v>
      </c>
      <c r="AH675" s="1096">
        <f t="shared" si="1292"/>
        <v>0</v>
      </c>
      <c r="AI675" s="1324">
        <f t="shared" si="1292"/>
        <v>0</v>
      </c>
      <c r="AJ675" s="38"/>
      <c r="AK675" s="29"/>
      <c r="AL675" s="30"/>
      <c r="AM675" s="694">
        <f t="shared" si="1251"/>
        <v>0</v>
      </c>
      <c r="AN675" s="31"/>
      <c r="AO675" s="630"/>
      <c r="AP675" s="39" t="s">
        <v>91</v>
      </c>
      <c r="AQ675" s="40">
        <f>SUM(E674:I674)</f>
        <v>0</v>
      </c>
      <c r="AR675" s="41">
        <f>SUM(J674:P674)</f>
        <v>0</v>
      </c>
      <c r="AS675" s="41">
        <f>SUM(Q674:W674)</f>
        <v>0</v>
      </c>
      <c r="AT675" s="41">
        <f>SUM(X674:AD674)</f>
        <v>0</v>
      </c>
      <c r="AU675" s="41">
        <f>SUM(AE674:AI674)</f>
        <v>0</v>
      </c>
      <c r="AV675" s="34">
        <f t="shared" ref="AV675:AV680" si="1293">SUM(AQ675:AU675)</f>
        <v>0</v>
      </c>
    </row>
    <row r="676" spans="1:48" ht="25.15" hidden="1" customHeight="1">
      <c r="A676" s="103"/>
      <c r="B676" s="26" t="s">
        <v>92</v>
      </c>
      <c r="C676" s="42"/>
      <c r="D676" s="43" t="s">
        <v>93</v>
      </c>
      <c r="E676" s="1325"/>
      <c r="F676" s="1089"/>
      <c r="G676" s="44"/>
      <c r="H676" s="1089"/>
      <c r="I676" s="1089"/>
      <c r="J676" s="44"/>
      <c r="K676" s="44"/>
      <c r="L676" s="1089"/>
      <c r="M676" s="1089"/>
      <c r="N676" s="1089"/>
      <c r="O676" s="1089"/>
      <c r="P676" s="1089"/>
      <c r="Q676" s="44"/>
      <c r="R676" s="44"/>
      <c r="S676" s="1089"/>
      <c r="T676" s="1089"/>
      <c r="U676" s="1089"/>
      <c r="V676" s="1089"/>
      <c r="W676" s="1089"/>
      <c r="X676" s="44"/>
      <c r="Y676" s="44"/>
      <c r="Z676" s="1089"/>
      <c r="AA676" s="1089"/>
      <c r="AB676" s="1089"/>
      <c r="AC676" s="1089"/>
      <c r="AD676" s="1089"/>
      <c r="AE676" s="44"/>
      <c r="AF676" s="44"/>
      <c r="AG676" s="1089"/>
      <c r="AH676" s="1089"/>
      <c r="AI676" s="1326"/>
      <c r="AJ676" s="45">
        <f>SUM(E676:AI676)</f>
        <v>0</v>
      </c>
      <c r="AK676" s="45"/>
      <c r="AL676" s="46">
        <f>+AJ676*AN674</f>
        <v>0</v>
      </c>
      <c r="AM676" s="1066">
        <f t="shared" si="1251"/>
        <v>0</v>
      </c>
      <c r="AN676" s="31"/>
      <c r="AO676" s="632">
        <f>(AJ676+AJ678+AJ679+AJ680)*B678/1000</f>
        <v>0</v>
      </c>
      <c r="AP676" s="47" t="s">
        <v>94</v>
      </c>
      <c r="AQ676" s="48">
        <f>SUM(E676:I676)</f>
        <v>0</v>
      </c>
      <c r="AR676" s="49">
        <f>SUM(J676:P676)</f>
        <v>0</v>
      </c>
      <c r="AS676" s="49">
        <f>SUM(Q676:W676)</f>
        <v>0</v>
      </c>
      <c r="AT676" s="49">
        <f>SUM(X676:AD676)</f>
        <v>0</v>
      </c>
      <c r="AU676" s="49">
        <f>SUM(AE676:AI676)</f>
        <v>0</v>
      </c>
      <c r="AV676" s="50">
        <f t="shared" si="1293"/>
        <v>0</v>
      </c>
    </row>
    <row r="677" spans="1:48" ht="25.15" hidden="1" customHeight="1">
      <c r="A677" s="103"/>
      <c r="B677" s="51"/>
      <c r="C677" s="52" t="s">
        <v>95</v>
      </c>
      <c r="D677" s="53" t="s">
        <v>96</v>
      </c>
      <c r="E677" s="1327">
        <f t="shared" ref="E677:AJ677" si="1294">+E676-E674</f>
        <v>0</v>
      </c>
      <c r="F677" s="1097">
        <f t="shared" si="1294"/>
        <v>0</v>
      </c>
      <c r="G677" s="1205">
        <f t="shared" si="1294"/>
        <v>0</v>
      </c>
      <c r="H677" s="1097">
        <f t="shared" si="1294"/>
        <v>0</v>
      </c>
      <c r="I677" s="1097">
        <f t="shared" si="1294"/>
        <v>0</v>
      </c>
      <c r="J677" s="1205">
        <f>+J676-J674</f>
        <v>0</v>
      </c>
      <c r="K677" s="1205">
        <f t="shared" si="1294"/>
        <v>0</v>
      </c>
      <c r="L677" s="1097">
        <f>+L676-L674</f>
        <v>0</v>
      </c>
      <c r="M677" s="1097">
        <f t="shared" si="1294"/>
        <v>0</v>
      </c>
      <c r="N677" s="1097">
        <f t="shared" si="1294"/>
        <v>0</v>
      </c>
      <c r="O677" s="1097">
        <f t="shared" si="1294"/>
        <v>0</v>
      </c>
      <c r="P677" s="1097">
        <f t="shared" si="1294"/>
        <v>0</v>
      </c>
      <c r="Q677" s="1205">
        <f t="shared" si="1294"/>
        <v>0</v>
      </c>
      <c r="R677" s="1205">
        <f t="shared" si="1294"/>
        <v>0</v>
      </c>
      <c r="S677" s="1097">
        <f t="shared" si="1294"/>
        <v>0</v>
      </c>
      <c r="T677" s="1097">
        <f t="shared" si="1294"/>
        <v>0</v>
      </c>
      <c r="U677" s="1097">
        <f t="shared" si="1294"/>
        <v>0</v>
      </c>
      <c r="V677" s="1097">
        <f t="shared" si="1294"/>
        <v>0</v>
      </c>
      <c r="W677" s="1097">
        <f t="shared" si="1294"/>
        <v>0</v>
      </c>
      <c r="X677" s="1205">
        <f t="shared" si="1294"/>
        <v>0</v>
      </c>
      <c r="Y677" s="1205">
        <f t="shared" si="1294"/>
        <v>0</v>
      </c>
      <c r="Z677" s="1097">
        <f t="shared" si="1294"/>
        <v>0</v>
      </c>
      <c r="AA677" s="1097">
        <f t="shared" si="1294"/>
        <v>0</v>
      </c>
      <c r="AB677" s="1097">
        <f t="shared" ref="AB677" si="1295">+AB676-AB674</f>
        <v>0</v>
      </c>
      <c r="AC677" s="1097">
        <f t="shared" si="1294"/>
        <v>0</v>
      </c>
      <c r="AD677" s="1097">
        <f t="shared" si="1294"/>
        <v>0</v>
      </c>
      <c r="AE677" s="1205">
        <f t="shared" si="1294"/>
        <v>0</v>
      </c>
      <c r="AF677" s="1205">
        <f t="shared" si="1294"/>
        <v>0</v>
      </c>
      <c r="AG677" s="1097">
        <f t="shared" si="1294"/>
        <v>0</v>
      </c>
      <c r="AH677" s="1097">
        <f t="shared" si="1294"/>
        <v>0</v>
      </c>
      <c r="AI677" s="1328">
        <f t="shared" si="1294"/>
        <v>0</v>
      </c>
      <c r="AJ677" s="54">
        <f t="shared" si="1294"/>
        <v>0</v>
      </c>
      <c r="AK677" s="54"/>
      <c r="AL677" s="55">
        <f>+AJ677*AN674</f>
        <v>0</v>
      </c>
      <c r="AM677" s="1067">
        <f t="shared" si="1251"/>
        <v>0</v>
      </c>
      <c r="AN677" s="31" t="s">
        <v>97</v>
      </c>
      <c r="AO677" s="622"/>
      <c r="AP677" s="39" t="s">
        <v>98</v>
      </c>
      <c r="AQ677" s="56">
        <f>AQ676-AQ675</f>
        <v>0</v>
      </c>
      <c r="AR677" s="70">
        <f>AR676-AR675</f>
        <v>0</v>
      </c>
      <c r="AS677" s="70">
        <f>AS676-AS675</f>
        <v>0</v>
      </c>
      <c r="AT677" s="70">
        <f>AT676-AT675</f>
        <v>0</v>
      </c>
      <c r="AU677" s="70">
        <f>AU676-AU675</f>
        <v>0</v>
      </c>
      <c r="AV677" s="57">
        <f t="shared" si="1293"/>
        <v>0</v>
      </c>
    </row>
    <row r="678" spans="1:48" ht="25.15" hidden="1" customHeight="1">
      <c r="A678" s="58"/>
      <c r="B678" s="59"/>
      <c r="C678" s="60" t="s">
        <v>100</v>
      </c>
      <c r="D678" s="61" t="s">
        <v>101</v>
      </c>
      <c r="E678" s="1329"/>
      <c r="F678" s="1099"/>
      <c r="G678" s="1208"/>
      <c r="H678" s="1099"/>
      <c r="I678" s="1099"/>
      <c r="J678" s="1208"/>
      <c r="K678" s="1208"/>
      <c r="L678" s="1099"/>
      <c r="M678" s="1099"/>
      <c r="N678" s="1099"/>
      <c r="O678" s="1099"/>
      <c r="P678" s="1099"/>
      <c r="Q678" s="1208"/>
      <c r="R678" s="1213"/>
      <c r="S678" s="1112"/>
      <c r="T678" s="1099"/>
      <c r="U678" s="1099"/>
      <c r="V678" s="1099"/>
      <c r="W678" s="1099"/>
      <c r="X678" s="1208"/>
      <c r="Y678" s="1208"/>
      <c r="Z678" s="1099"/>
      <c r="AA678" s="1099"/>
      <c r="AB678" s="1099"/>
      <c r="AC678" s="1099"/>
      <c r="AD678" s="1099"/>
      <c r="AE678" s="1208"/>
      <c r="AF678" s="1208"/>
      <c r="AG678" s="1099"/>
      <c r="AH678" s="1099"/>
      <c r="AI678" s="1330"/>
      <c r="AJ678" s="62">
        <f>SUM(E678:AI678)</f>
        <v>0</v>
      </c>
      <c r="AK678" s="62"/>
      <c r="AL678" s="63">
        <f>+AJ678*AN674</f>
        <v>0</v>
      </c>
      <c r="AM678" s="1068">
        <f t="shared" si="1251"/>
        <v>0</v>
      </c>
      <c r="AN678" s="64" t="e">
        <f>+AJ678/AJ676*100</f>
        <v>#DIV/0!</v>
      </c>
      <c r="AO678" s="635" t="e">
        <f>AO676/AO674</f>
        <v>#VALUE!</v>
      </c>
      <c r="AP678" s="39" t="s">
        <v>102</v>
      </c>
      <c r="AQ678" s="56">
        <f>SUM(E678:I678)</f>
        <v>0</v>
      </c>
      <c r="AR678" s="70">
        <f>SUM(J678:P678)</f>
        <v>0</v>
      </c>
      <c r="AS678" s="70">
        <f>SUM(Q678:W678)</f>
        <v>0</v>
      </c>
      <c r="AT678" s="70">
        <f>SUM(X678:AD678)</f>
        <v>0</v>
      </c>
      <c r="AU678" s="70">
        <f>SUM(AE678:AI678)</f>
        <v>0</v>
      </c>
      <c r="AV678" s="57">
        <f t="shared" si="1293"/>
        <v>0</v>
      </c>
    </row>
    <row r="679" spans="1:48" ht="25.15" hidden="1" customHeight="1">
      <c r="A679" s="58" t="s">
        <v>180</v>
      </c>
      <c r="B679" s="65"/>
      <c r="C679" s="66"/>
      <c r="D679" s="67" t="s">
        <v>103</v>
      </c>
      <c r="E679" s="1331"/>
      <c r="F679" s="1101"/>
      <c r="G679" s="1209"/>
      <c r="H679" s="1101"/>
      <c r="I679" s="1101"/>
      <c r="J679" s="1209"/>
      <c r="K679" s="1209"/>
      <c r="L679" s="1101"/>
      <c r="M679" s="1101"/>
      <c r="N679" s="1101"/>
      <c r="O679" s="1101"/>
      <c r="P679" s="1101"/>
      <c r="Q679" s="1209"/>
      <c r="R679" s="1214"/>
      <c r="S679" s="1114"/>
      <c r="T679" s="1101"/>
      <c r="U679" s="1101"/>
      <c r="V679" s="1101"/>
      <c r="W679" s="1101"/>
      <c r="X679" s="1209"/>
      <c r="Y679" s="1209"/>
      <c r="Z679" s="1101"/>
      <c r="AA679" s="1101"/>
      <c r="AB679" s="1101"/>
      <c r="AC679" s="1101"/>
      <c r="AD679" s="1101"/>
      <c r="AE679" s="1209"/>
      <c r="AF679" s="1209"/>
      <c r="AG679" s="1101"/>
      <c r="AH679" s="1101"/>
      <c r="AI679" s="1332"/>
      <c r="AJ679" s="68">
        <f>SUM(E679:AI679)</f>
        <v>0</v>
      </c>
      <c r="AK679" s="68"/>
      <c r="AL679" s="69">
        <f>+AJ679*AN674</f>
        <v>0</v>
      </c>
      <c r="AM679" s="1069">
        <f t="shared" si="1251"/>
        <v>0</v>
      </c>
      <c r="AN679" s="31"/>
      <c r="AO679" s="622"/>
      <c r="AP679" s="39" t="s">
        <v>19</v>
      </c>
      <c r="AQ679" s="56">
        <f>AQ678*AN674</f>
        <v>0</v>
      </c>
      <c r="AR679" s="56">
        <f>AR678*AN674</f>
        <v>0</v>
      </c>
      <c r="AS679" s="56">
        <f>AS678*AN674</f>
        <v>0</v>
      </c>
      <c r="AT679" s="56">
        <f>AT678*AN674</f>
        <v>0</v>
      </c>
      <c r="AU679" s="56">
        <f>AU678*AN674</f>
        <v>0</v>
      </c>
      <c r="AV679" s="57">
        <f t="shared" si="1293"/>
        <v>0</v>
      </c>
    </row>
    <row r="680" spans="1:48" ht="25.15" hidden="1" customHeight="1">
      <c r="A680" s="103"/>
      <c r="B680" s="65"/>
      <c r="C680" s="72" t="s">
        <v>104</v>
      </c>
      <c r="D680" s="73" t="s">
        <v>105</v>
      </c>
      <c r="E680" s="1378"/>
      <c r="F680" s="1103"/>
      <c r="G680" s="1210"/>
      <c r="H680" s="1103"/>
      <c r="I680" s="1103"/>
      <c r="J680" s="1210"/>
      <c r="K680" s="1210"/>
      <c r="L680" s="1103"/>
      <c r="M680" s="1103"/>
      <c r="N680" s="1103"/>
      <c r="O680" s="1103"/>
      <c r="P680" s="1103"/>
      <c r="Q680" s="1210"/>
      <c r="R680" s="1215"/>
      <c r="S680" s="1116"/>
      <c r="T680" s="1103"/>
      <c r="U680" s="1103"/>
      <c r="V680" s="1103"/>
      <c r="W680" s="1103"/>
      <c r="X680" s="1210"/>
      <c r="Y680" s="1210"/>
      <c r="Z680" s="1103"/>
      <c r="AA680" s="1103"/>
      <c r="AB680" s="1103"/>
      <c r="AC680" s="1103"/>
      <c r="AD680" s="1103"/>
      <c r="AE680" s="1210"/>
      <c r="AF680" s="1210"/>
      <c r="AG680" s="1103"/>
      <c r="AH680" s="1103"/>
      <c r="AI680" s="1352"/>
      <c r="AJ680" s="74">
        <f>SUM(E680:AI680)</f>
        <v>0</v>
      </c>
      <c r="AK680" s="74"/>
      <c r="AL680" s="75">
        <f>+AJ680*AN674</f>
        <v>0</v>
      </c>
      <c r="AM680" s="1070">
        <f t="shared" si="1251"/>
        <v>0</v>
      </c>
      <c r="AN680" s="76"/>
      <c r="AO680" s="636"/>
      <c r="AP680" s="47" t="s">
        <v>106</v>
      </c>
      <c r="AQ680" s="48">
        <f>AQ676*AN674</f>
        <v>0</v>
      </c>
      <c r="AR680" s="48">
        <f>AR676*AN674</f>
        <v>0</v>
      </c>
      <c r="AS680" s="48">
        <f>AS676*AN674</f>
        <v>0</v>
      </c>
      <c r="AT680" s="48">
        <f>AT676*AN674</f>
        <v>0</v>
      </c>
      <c r="AU680" s="48">
        <f>AU676*AN674</f>
        <v>0</v>
      </c>
      <c r="AV680" s="50">
        <f t="shared" si="1293"/>
        <v>0</v>
      </c>
    </row>
    <row r="681" spans="1:48" ht="25.15" hidden="1" customHeight="1">
      <c r="A681" s="103"/>
      <c r="B681" s="65"/>
      <c r="C681" s="77">
        <v>300000</v>
      </c>
      <c r="D681" s="78" t="s">
        <v>107</v>
      </c>
      <c r="E681" s="1327">
        <v>1</v>
      </c>
      <c r="F681" s="1097">
        <v>1</v>
      </c>
      <c r="G681" s="1205">
        <v>1</v>
      </c>
      <c r="H681" s="1097">
        <v>1</v>
      </c>
      <c r="I681" s="1097">
        <v>1</v>
      </c>
      <c r="J681" s="1205">
        <v>1</v>
      </c>
      <c r="K681" s="1205">
        <v>1</v>
      </c>
      <c r="L681" s="1097">
        <v>1</v>
      </c>
      <c r="M681" s="1097">
        <v>1</v>
      </c>
      <c r="N681" s="1097">
        <v>1</v>
      </c>
      <c r="O681" s="1097">
        <v>1</v>
      </c>
      <c r="P681" s="1097">
        <v>1</v>
      </c>
      <c r="Q681" s="1205">
        <v>1</v>
      </c>
      <c r="R681" s="1205">
        <v>1</v>
      </c>
      <c r="S681" s="1097">
        <v>1</v>
      </c>
      <c r="T681" s="1097">
        <v>1</v>
      </c>
      <c r="U681" s="1097">
        <v>1</v>
      </c>
      <c r="V681" s="1097">
        <v>1</v>
      </c>
      <c r="W681" s="1097">
        <v>1</v>
      </c>
      <c r="X681" s="1205">
        <v>1</v>
      </c>
      <c r="Y681" s="1205">
        <v>1</v>
      </c>
      <c r="Z681" s="1097">
        <v>1</v>
      </c>
      <c r="AA681" s="1097">
        <v>1</v>
      </c>
      <c r="AB681" s="1097">
        <v>1</v>
      </c>
      <c r="AC681" s="1097">
        <v>1</v>
      </c>
      <c r="AD681" s="1097">
        <v>1</v>
      </c>
      <c r="AE681" s="1205">
        <v>1</v>
      </c>
      <c r="AF681" s="1205">
        <v>1</v>
      </c>
      <c r="AG681" s="1097">
        <v>1</v>
      </c>
      <c r="AH681" s="1097">
        <v>1</v>
      </c>
      <c r="AI681" s="1328">
        <v>1</v>
      </c>
      <c r="AJ681" s="79"/>
      <c r="AK681" s="79"/>
      <c r="AL681" s="55"/>
      <c r="AM681" s="1067">
        <f t="shared" si="1251"/>
        <v>0</v>
      </c>
      <c r="AN681" s="31"/>
      <c r="AO681" s="622"/>
      <c r="AP681" s="23"/>
      <c r="AQ681" s="23"/>
      <c r="AR681" s="23"/>
      <c r="AS681" s="23"/>
      <c r="AT681" s="23"/>
      <c r="AU681" s="23"/>
      <c r="AV681" s="23"/>
    </row>
    <row r="682" spans="1:48" ht="25.15" hidden="1" customHeight="1">
      <c r="A682" s="103"/>
      <c r="B682" s="65"/>
      <c r="C682" s="80" t="s">
        <v>108</v>
      </c>
      <c r="D682" s="81" t="s">
        <v>109</v>
      </c>
      <c r="E682" s="1374">
        <f>SUM(E676+E678+E679+E680)/E681</f>
        <v>0</v>
      </c>
      <c r="F682" s="1104">
        <f>SUM(F676+F678+F679+F680)/F681</f>
        <v>0</v>
      </c>
      <c r="G682" s="1211">
        <f>SUM(G676+G678+G679+G680)/G681</f>
        <v>0</v>
      </c>
      <c r="H682" s="1104">
        <f t="shared" ref="H682:AH682" si="1296">SUM(H676+H678+H679+H680)/H681</f>
        <v>0</v>
      </c>
      <c r="I682" s="1104">
        <f t="shared" si="1296"/>
        <v>0</v>
      </c>
      <c r="J682" s="1211">
        <f t="shared" si="1296"/>
        <v>0</v>
      </c>
      <c r="K682" s="1211">
        <f t="shared" si="1296"/>
        <v>0</v>
      </c>
      <c r="L682" s="1104">
        <f t="shared" si="1296"/>
        <v>0</v>
      </c>
      <c r="M682" s="1104">
        <f t="shared" si="1296"/>
        <v>0</v>
      </c>
      <c r="N682" s="1104">
        <f t="shared" si="1296"/>
        <v>0</v>
      </c>
      <c r="O682" s="1104">
        <f t="shared" si="1296"/>
        <v>0</v>
      </c>
      <c r="P682" s="1104">
        <f t="shared" si="1296"/>
        <v>0</v>
      </c>
      <c r="Q682" s="1211">
        <f t="shared" si="1296"/>
        <v>0</v>
      </c>
      <c r="R682" s="1211">
        <f t="shared" si="1296"/>
        <v>0</v>
      </c>
      <c r="S682" s="1104">
        <f t="shared" si="1296"/>
        <v>0</v>
      </c>
      <c r="T682" s="1104">
        <f t="shared" si="1296"/>
        <v>0</v>
      </c>
      <c r="U682" s="1104">
        <f t="shared" si="1296"/>
        <v>0</v>
      </c>
      <c r="V682" s="1104">
        <f t="shared" si="1296"/>
        <v>0</v>
      </c>
      <c r="W682" s="1104">
        <f t="shared" si="1296"/>
        <v>0</v>
      </c>
      <c r="X682" s="1211">
        <f t="shared" si="1296"/>
        <v>0</v>
      </c>
      <c r="Y682" s="1211">
        <f t="shared" si="1296"/>
        <v>0</v>
      </c>
      <c r="Z682" s="1104">
        <f t="shared" si="1296"/>
        <v>0</v>
      </c>
      <c r="AA682" s="1104">
        <f t="shared" si="1296"/>
        <v>0</v>
      </c>
      <c r="AB682" s="1104">
        <f t="shared" si="1296"/>
        <v>0</v>
      </c>
      <c r="AC682" s="1104">
        <f t="shared" si="1296"/>
        <v>0</v>
      </c>
      <c r="AD682" s="1104">
        <f t="shared" si="1296"/>
        <v>0</v>
      </c>
      <c r="AE682" s="1211">
        <f t="shared" si="1296"/>
        <v>0</v>
      </c>
      <c r="AF682" s="1211">
        <f t="shared" si="1296"/>
        <v>0</v>
      </c>
      <c r="AG682" s="1104">
        <f t="shared" si="1296"/>
        <v>0</v>
      </c>
      <c r="AH682" s="1104">
        <f t="shared" si="1296"/>
        <v>0</v>
      </c>
      <c r="AI682" s="1335">
        <f>SUM(AI676+AI678+AI679)/AI681</f>
        <v>0</v>
      </c>
      <c r="AJ682" s="104">
        <f>SUM(E682:AI682)</f>
        <v>0</v>
      </c>
      <c r="AK682" s="104"/>
      <c r="AL682" s="83"/>
      <c r="AM682" s="1068">
        <f t="shared" si="1251"/>
        <v>0</v>
      </c>
      <c r="AN682" s="31"/>
      <c r="AO682" s="622"/>
      <c r="AP682" s="23"/>
      <c r="AQ682" s="23"/>
      <c r="AR682" s="23"/>
      <c r="AS682" s="23"/>
      <c r="AT682" s="23"/>
      <c r="AU682" s="23"/>
      <c r="AV682" s="23"/>
    </row>
    <row r="683" spans="1:48" ht="25.15" hidden="1" customHeight="1">
      <c r="A683" s="103"/>
      <c r="B683" s="59"/>
      <c r="C683" s="84">
        <f>+C681*0.8</f>
        <v>240000</v>
      </c>
      <c r="D683" s="85" t="s">
        <v>110</v>
      </c>
      <c r="E683" s="1105"/>
      <c r="F683" s="1106"/>
      <c r="G683" s="1211"/>
      <c r="H683" s="1104"/>
      <c r="I683" s="1104"/>
      <c r="J683" s="1211"/>
      <c r="K683" s="1211"/>
      <c r="L683" s="1104"/>
      <c r="M683" s="1104"/>
      <c r="N683" s="1104"/>
      <c r="O683" s="1107"/>
      <c r="P683" s="1104"/>
      <c r="Q683" s="1211"/>
      <c r="R683" s="1211"/>
      <c r="S683" s="1104"/>
      <c r="T683" s="1104"/>
      <c r="U683" s="1104"/>
      <c r="V683" s="1104"/>
      <c r="W683" s="1104"/>
      <c r="X683" s="1211"/>
      <c r="Y683" s="1211"/>
      <c r="Z683" s="1104"/>
      <c r="AA683" s="1104"/>
      <c r="AB683" s="1104"/>
      <c r="AC683" s="1104"/>
      <c r="AD683" s="1104"/>
      <c r="AE683" s="1211"/>
      <c r="AF683" s="1211"/>
      <c r="AG683" s="1104"/>
      <c r="AH683" s="1104"/>
      <c r="AI683" s="1353"/>
      <c r="AJ683" s="86"/>
      <c r="AK683" s="86"/>
      <c r="AL683" s="690"/>
      <c r="AM683" s="694">
        <f t="shared" si="1251"/>
        <v>0</v>
      </c>
      <c r="AN683" s="31"/>
      <c r="AO683" s="622"/>
      <c r="AP683" s="23"/>
      <c r="AQ683" s="23"/>
      <c r="AR683" s="23"/>
      <c r="AS683" s="23"/>
      <c r="AT683" s="23"/>
      <c r="AU683" s="23"/>
      <c r="AV683" s="23"/>
    </row>
    <row r="684" spans="1:48" ht="25.15" hidden="1" customHeight="1">
      <c r="A684" s="103"/>
      <c r="B684" s="105"/>
      <c r="C684" s="77"/>
      <c r="D684" s="88" t="s">
        <v>111</v>
      </c>
      <c r="E684" s="1108">
        <f>IF(E683="O/H",E682,0+E682)</f>
        <v>0</v>
      </c>
      <c r="F684" s="1089">
        <f t="shared" ref="F684:AI684" si="1297">IF(F683="O/H",F682,+E684+F682)</f>
        <v>0</v>
      </c>
      <c r="G684" s="44">
        <f t="shared" si="1297"/>
        <v>0</v>
      </c>
      <c r="H684" s="1089">
        <f t="shared" si="1297"/>
        <v>0</v>
      </c>
      <c r="I684" s="1089">
        <f t="shared" si="1297"/>
        <v>0</v>
      </c>
      <c r="J684" s="44">
        <f t="shared" si="1297"/>
        <v>0</v>
      </c>
      <c r="K684" s="44">
        <f t="shared" si="1297"/>
        <v>0</v>
      </c>
      <c r="L684" s="1089">
        <f t="shared" si="1297"/>
        <v>0</v>
      </c>
      <c r="M684" s="1089">
        <f t="shared" si="1297"/>
        <v>0</v>
      </c>
      <c r="N684" s="1089">
        <f t="shared" si="1297"/>
        <v>0</v>
      </c>
      <c r="O684" s="1089">
        <f t="shared" si="1297"/>
        <v>0</v>
      </c>
      <c r="P684" s="1089">
        <f t="shared" si="1297"/>
        <v>0</v>
      </c>
      <c r="Q684" s="44">
        <f t="shared" si="1297"/>
        <v>0</v>
      </c>
      <c r="R684" s="44">
        <f t="shared" si="1297"/>
        <v>0</v>
      </c>
      <c r="S684" s="1089">
        <f t="shared" si="1297"/>
        <v>0</v>
      </c>
      <c r="T684" s="1089">
        <f t="shared" si="1297"/>
        <v>0</v>
      </c>
      <c r="U684" s="1089">
        <f t="shared" si="1297"/>
        <v>0</v>
      </c>
      <c r="V684" s="1089">
        <f t="shared" si="1297"/>
        <v>0</v>
      </c>
      <c r="W684" s="1089">
        <f t="shared" si="1297"/>
        <v>0</v>
      </c>
      <c r="X684" s="44">
        <f t="shared" si="1297"/>
        <v>0</v>
      </c>
      <c r="Y684" s="44">
        <f t="shared" si="1297"/>
        <v>0</v>
      </c>
      <c r="Z684" s="1089">
        <f t="shared" si="1297"/>
        <v>0</v>
      </c>
      <c r="AA684" s="1089">
        <f t="shared" si="1297"/>
        <v>0</v>
      </c>
      <c r="AB684" s="1089">
        <f t="shared" si="1297"/>
        <v>0</v>
      </c>
      <c r="AC684" s="1089">
        <f t="shared" si="1297"/>
        <v>0</v>
      </c>
      <c r="AD684" s="1089">
        <f t="shared" si="1297"/>
        <v>0</v>
      </c>
      <c r="AE684" s="44">
        <f t="shared" si="1297"/>
        <v>0</v>
      </c>
      <c r="AF684" s="44">
        <f t="shared" si="1297"/>
        <v>0</v>
      </c>
      <c r="AG684" s="1089">
        <f t="shared" si="1297"/>
        <v>0</v>
      </c>
      <c r="AH684" s="1089">
        <f t="shared" si="1297"/>
        <v>0</v>
      </c>
      <c r="AI684" s="1326">
        <f t="shared" si="1297"/>
        <v>0</v>
      </c>
      <c r="AJ684" s="79"/>
      <c r="AK684" s="86"/>
      <c r="AL684" s="689"/>
      <c r="AM684" s="694">
        <f t="shared" si="1251"/>
        <v>0</v>
      </c>
      <c r="AN684" s="31"/>
      <c r="AO684" s="622"/>
      <c r="AP684" s="23"/>
      <c r="AQ684" s="23"/>
      <c r="AR684" s="23"/>
      <c r="AS684" s="23"/>
      <c r="AT684" s="23"/>
      <c r="AU684" s="23"/>
      <c r="AV684" s="23"/>
    </row>
    <row r="685" spans="1:48" s="23" customFormat="1" ht="20.65" hidden="1" customHeight="1">
      <c r="A685" s="274"/>
      <c r="B685" s="312"/>
      <c r="C685" s="308"/>
      <c r="D685" s="795" t="s">
        <v>112</v>
      </c>
      <c r="E685" s="1108" t="b">
        <f>IF(AND(ISNUMBER(E676)),360169+E682)</f>
        <v>0</v>
      </c>
      <c r="F685" s="1089" t="str">
        <f>IF(AND(ISNUMBER(F676)),E685+F682,"")</f>
        <v/>
      </c>
      <c r="G685" s="44" t="str">
        <f t="shared" ref="G685" si="1298">IF(AND(ISNUMBER(G676)),F685+G682,"")</f>
        <v/>
      </c>
      <c r="H685" s="1089" t="str">
        <f t="shared" ref="H685" si="1299">IF(AND(ISNUMBER(H676)),G685+H682,"")</f>
        <v/>
      </c>
      <c r="I685" s="1089" t="str">
        <f>IF(AND(ISNUMBER(I676)),H685+I682,"")</f>
        <v/>
      </c>
      <c r="J685" s="44" t="str">
        <f>IF(AND(ISNUMBER(J676)),I685+J682,"")</f>
        <v/>
      </c>
      <c r="K685" s="44" t="str">
        <f>IF(AND(ISNUMBER(K676)),J685+K682,"")</f>
        <v/>
      </c>
      <c r="L685" s="1089" t="str">
        <f t="shared" ref="L685" si="1300">IF(AND(ISNUMBER(L676)),K685+L682,"")</f>
        <v/>
      </c>
      <c r="M685" s="1089" t="str">
        <f t="shared" ref="M685" si="1301">IF(AND(ISNUMBER(M676)),L685+M682,"")</f>
        <v/>
      </c>
      <c r="N685" s="1089" t="str">
        <f t="shared" ref="N685" si="1302">IF(AND(ISNUMBER(N676)),M685+N682,"")</f>
        <v/>
      </c>
      <c r="O685" s="1089" t="str">
        <f t="shared" ref="O685" si="1303">IF(AND(ISNUMBER(O676)),N685+O682,"")</f>
        <v/>
      </c>
      <c r="P685" s="1089" t="str">
        <f t="shared" ref="P685" si="1304">IF(AND(ISNUMBER(P676)),O685+P682,"")</f>
        <v/>
      </c>
      <c r="Q685" s="44" t="str">
        <f t="shared" ref="Q685" si="1305">IF(AND(ISNUMBER(Q676)),P685+Q682,"")</f>
        <v/>
      </c>
      <c r="R685" s="44" t="str">
        <f t="shared" ref="R685" si="1306">IF(AND(ISNUMBER(R676)),Q685+R682,"")</f>
        <v/>
      </c>
      <c r="S685" s="1089" t="str">
        <f t="shared" ref="S685" si="1307">IF(AND(ISNUMBER(S676)),R685+S682,"")</f>
        <v/>
      </c>
      <c r="T685" s="1089" t="str">
        <f t="shared" ref="T685" si="1308">IF(AND(ISNUMBER(T676)),S685+T682,"")</f>
        <v/>
      </c>
      <c r="U685" s="1089" t="str">
        <f t="shared" ref="U685" si="1309">IF(AND(ISNUMBER(U676)),T685+U682,"")</f>
        <v/>
      </c>
      <c r="V685" s="1089" t="str">
        <f t="shared" ref="V685" si="1310">IF(AND(ISNUMBER(V676)),U685+V682,"")</f>
        <v/>
      </c>
      <c r="W685" s="1089" t="str">
        <f t="shared" ref="W685" si="1311">IF(AND(ISNUMBER(W676)),V685+W682,"")</f>
        <v/>
      </c>
      <c r="X685" s="44" t="str">
        <f t="shared" ref="X685" si="1312">IF(AND(ISNUMBER(X676)),W685+X682,"")</f>
        <v/>
      </c>
      <c r="Y685" s="44" t="str">
        <f t="shared" ref="Y685" si="1313">IF(AND(ISNUMBER(Y676)),X685+Y682,"")</f>
        <v/>
      </c>
      <c r="Z685" s="1089" t="str">
        <f t="shared" ref="Z685" si="1314">IF(AND(ISNUMBER(Z676)),Y685+Z682,"")</f>
        <v/>
      </c>
      <c r="AA685" s="1089" t="str">
        <f t="shared" ref="AA685" si="1315">IF(AND(ISNUMBER(AA676)),Z685+AA682,"")</f>
        <v/>
      </c>
      <c r="AB685" s="1089" t="str">
        <f t="shared" ref="AB685" si="1316">IF(AND(ISNUMBER(AB676)),AA685+AB682,"")</f>
        <v/>
      </c>
      <c r="AC685" s="1089" t="str">
        <f t="shared" ref="AC685" si="1317">IF(AND(ISNUMBER(AC676)),AB685+AC682,"")</f>
        <v/>
      </c>
      <c r="AD685" s="1089" t="str">
        <f t="shared" ref="AD685" si="1318">IF(AND(ISNUMBER(AD676)),AC685+AD682,"")</f>
        <v/>
      </c>
      <c r="AE685" s="44" t="str">
        <f t="shared" ref="AE685" si="1319">IF(AND(ISNUMBER(AE676)),AD685+AE682,"")</f>
        <v/>
      </c>
      <c r="AF685" s="44" t="str">
        <f t="shared" ref="AF685" si="1320">IF(AND(ISNUMBER(AF676)),AE685+AF682,"")</f>
        <v/>
      </c>
      <c r="AG685" s="1089" t="str">
        <f t="shared" ref="AG685" si="1321">IF(AND(ISNUMBER(AG676)),AF685+AG682,"")</f>
        <v/>
      </c>
      <c r="AH685" s="1089" t="str">
        <f t="shared" ref="AH685" si="1322">IF(AND(ISNUMBER(AH676)),AG685+AH682,"")</f>
        <v/>
      </c>
      <c r="AI685" s="1089" t="str">
        <f t="shared" ref="AI685" si="1323">IF(AND(ISNUMBER(AI676)),AH685+AI682,"")</f>
        <v/>
      </c>
      <c r="AJ685" s="793"/>
      <c r="AK685" s="793"/>
      <c r="AL685" s="909"/>
      <c r="AM685" s="890">
        <f t="shared" si="1251"/>
        <v>0</v>
      </c>
      <c r="AN685" s="76"/>
      <c r="AO685" s="624"/>
      <c r="AP685" s="285"/>
      <c r="AQ685" s="285"/>
      <c r="AR685" s="285"/>
      <c r="AS685" s="285"/>
      <c r="AT685" s="286"/>
      <c r="AU685" s="285"/>
      <c r="AV685" s="287"/>
    </row>
    <row r="686" spans="1:48" ht="25.15" hidden="1" customHeight="1">
      <c r="A686" s="103"/>
      <c r="B686" s="89"/>
      <c r="C686" s="80"/>
      <c r="D686" s="90" t="s">
        <v>104</v>
      </c>
      <c r="E686" s="1108"/>
      <c r="F686" s="1089"/>
      <c r="G686" s="44"/>
      <c r="H686" s="1089"/>
      <c r="I686" s="1089"/>
      <c r="J686" s="44"/>
      <c r="K686" s="44"/>
      <c r="L686" s="1089"/>
      <c r="M686" s="1089"/>
      <c r="N686" s="1089"/>
      <c r="O686" s="1089"/>
      <c r="P686" s="1089"/>
      <c r="Q686" s="44"/>
      <c r="R686" s="44"/>
      <c r="S686" s="1089"/>
      <c r="T686" s="1089"/>
      <c r="U686" s="1089"/>
      <c r="V686" s="1089"/>
      <c r="W686" s="1089"/>
      <c r="X686" s="44"/>
      <c r="Y686" s="44"/>
      <c r="Z686" s="1089"/>
      <c r="AA686" s="1089"/>
      <c r="AB686" s="1089"/>
      <c r="AC686" s="1089"/>
      <c r="AD686" s="1089"/>
      <c r="AE686" s="44"/>
      <c r="AF686" s="44"/>
      <c r="AG686" s="1089"/>
      <c r="AH686" s="1089"/>
      <c r="AI686" s="1326"/>
      <c r="AJ686" s="79"/>
      <c r="AK686" s="79"/>
      <c r="AL686" s="63"/>
      <c r="AM686" s="1068">
        <f t="shared" si="1251"/>
        <v>0</v>
      </c>
      <c r="AN686" s="64"/>
      <c r="AO686" s="624"/>
      <c r="AP686" s="23"/>
      <c r="AQ686" s="23"/>
      <c r="AR686" s="23"/>
      <c r="AS686" s="23"/>
      <c r="AT686" s="23"/>
      <c r="AU686" s="23"/>
      <c r="AV686" s="23"/>
    </row>
    <row r="687" spans="1:48" ht="25.15" hidden="1" customHeight="1" thickBot="1">
      <c r="A687" s="106"/>
      <c r="B687" s="93"/>
      <c r="C687" s="94"/>
      <c r="D687" s="95" t="s">
        <v>111</v>
      </c>
      <c r="E687" s="1109">
        <f>IF(E686="O/H",E682,0+E682)</f>
        <v>0</v>
      </c>
      <c r="F687" s="1110">
        <f t="shared" ref="F687:AI687" si="1324">IF(F686="O/H",F682,+E687+F682)</f>
        <v>0</v>
      </c>
      <c r="G687" s="1212">
        <f t="shared" si="1324"/>
        <v>0</v>
      </c>
      <c r="H687" s="1110">
        <f t="shared" si="1324"/>
        <v>0</v>
      </c>
      <c r="I687" s="1110">
        <f t="shared" si="1324"/>
        <v>0</v>
      </c>
      <c r="J687" s="1212">
        <f t="shared" si="1324"/>
        <v>0</v>
      </c>
      <c r="K687" s="1212">
        <f t="shared" si="1324"/>
        <v>0</v>
      </c>
      <c r="L687" s="1110">
        <f t="shared" si="1324"/>
        <v>0</v>
      </c>
      <c r="M687" s="1110">
        <f t="shared" si="1324"/>
        <v>0</v>
      </c>
      <c r="N687" s="1110">
        <f t="shared" si="1324"/>
        <v>0</v>
      </c>
      <c r="O687" s="1110">
        <f t="shared" si="1324"/>
        <v>0</v>
      </c>
      <c r="P687" s="1110">
        <f t="shared" si="1324"/>
        <v>0</v>
      </c>
      <c r="Q687" s="1212">
        <f t="shared" si="1324"/>
        <v>0</v>
      </c>
      <c r="R687" s="1212">
        <f t="shared" si="1324"/>
        <v>0</v>
      </c>
      <c r="S687" s="1110">
        <f t="shared" si="1324"/>
        <v>0</v>
      </c>
      <c r="T687" s="1110">
        <f t="shared" si="1324"/>
        <v>0</v>
      </c>
      <c r="U687" s="1110">
        <f t="shared" si="1324"/>
        <v>0</v>
      </c>
      <c r="V687" s="1110">
        <f t="shared" si="1324"/>
        <v>0</v>
      </c>
      <c r="W687" s="1110">
        <f t="shared" si="1324"/>
        <v>0</v>
      </c>
      <c r="X687" s="1212">
        <f t="shared" si="1324"/>
        <v>0</v>
      </c>
      <c r="Y687" s="1212">
        <f t="shared" si="1324"/>
        <v>0</v>
      </c>
      <c r="Z687" s="1110">
        <f t="shared" si="1324"/>
        <v>0</v>
      </c>
      <c r="AA687" s="1110">
        <f t="shared" si="1324"/>
        <v>0</v>
      </c>
      <c r="AB687" s="1110">
        <f t="shared" si="1324"/>
        <v>0</v>
      </c>
      <c r="AC687" s="1110">
        <f t="shared" si="1324"/>
        <v>0</v>
      </c>
      <c r="AD687" s="1110">
        <f t="shared" si="1324"/>
        <v>0</v>
      </c>
      <c r="AE687" s="1212">
        <f t="shared" si="1324"/>
        <v>0</v>
      </c>
      <c r="AF687" s="1212">
        <f t="shared" si="1324"/>
        <v>0</v>
      </c>
      <c r="AG687" s="1110">
        <f t="shared" si="1324"/>
        <v>0</v>
      </c>
      <c r="AH687" s="1110">
        <f t="shared" si="1324"/>
        <v>0</v>
      </c>
      <c r="AI687" s="1340">
        <f t="shared" si="1324"/>
        <v>0</v>
      </c>
      <c r="AJ687" s="96"/>
      <c r="AK687" s="96"/>
      <c r="AL687" s="97"/>
      <c r="AM687" s="1071">
        <f t="shared" si="1251"/>
        <v>0</v>
      </c>
      <c r="AN687" s="98"/>
      <c r="AO687" s="625"/>
      <c r="AP687" s="23"/>
      <c r="AQ687" s="23"/>
      <c r="AR687" s="23"/>
      <c r="AS687" s="23"/>
      <c r="AT687" s="23"/>
      <c r="AU687" s="23"/>
      <c r="AV687" s="23"/>
    </row>
    <row r="688" spans="1:48" ht="24.75" hidden="1" customHeight="1" thickTop="1">
      <c r="A688" s="99"/>
      <c r="B688" s="26" t="s">
        <v>527</v>
      </c>
      <c r="C688" s="27"/>
      <c r="D688" s="28" t="s">
        <v>82</v>
      </c>
      <c r="E688" s="1111"/>
      <c r="F688" s="1111"/>
      <c r="G688" s="1201"/>
      <c r="H688" s="1111"/>
      <c r="I688" s="1111"/>
      <c r="J688" s="1201"/>
      <c r="K688" s="1201"/>
      <c r="L688" s="1111"/>
      <c r="M688" s="1111"/>
      <c r="N688" s="1111"/>
      <c r="O688" s="1111"/>
      <c r="P688" s="1111"/>
      <c r="Q688" s="1201"/>
      <c r="R688" s="1201"/>
      <c r="S688" s="1111"/>
      <c r="T688" s="1111"/>
      <c r="U688" s="1111"/>
      <c r="V688" s="1111"/>
      <c r="W688" s="1111"/>
      <c r="X688" s="1201"/>
      <c r="Y688" s="1201"/>
      <c r="Z688" s="1111"/>
      <c r="AA688" s="1111"/>
      <c r="AB688" s="1111"/>
      <c r="AC688" s="1111"/>
      <c r="AD688" s="1111"/>
      <c r="AE688" s="1201"/>
      <c r="AF688" s="1201"/>
      <c r="AG688" s="1111"/>
      <c r="AH688" s="1111"/>
      <c r="AI688" s="1111"/>
      <c r="AJ688" s="100">
        <f>SUM(Table75[[#This Row],[June''2026]:[Column27]])</f>
        <v>0</v>
      </c>
      <c r="AK688" s="100">
        <f t="shared" si="1250"/>
        <v>0</v>
      </c>
      <c r="AL688" s="101">
        <f>+AJ688*AN688</f>
        <v>0</v>
      </c>
      <c r="AM688" s="1072">
        <f t="shared" si="1251"/>
        <v>0</v>
      </c>
      <c r="AN688" s="102"/>
      <c r="AO688" s="622" t="e">
        <f>Table5[[#This Row],[Total]]*B692/1000</f>
        <v>#VALUE!</v>
      </c>
      <c r="AP688" s="32" t="s">
        <v>179</v>
      </c>
      <c r="AQ688" s="33" t="s">
        <v>84</v>
      </c>
      <c r="AR688" s="33" t="s">
        <v>85</v>
      </c>
      <c r="AS688" s="33" t="s">
        <v>86</v>
      </c>
      <c r="AT688" s="33" t="s">
        <v>87</v>
      </c>
      <c r="AU688" s="33" t="s">
        <v>88</v>
      </c>
      <c r="AV688" s="34" t="s">
        <v>68</v>
      </c>
    </row>
    <row r="689" spans="1:48" ht="25.15" hidden="1" customHeight="1">
      <c r="A689" s="103"/>
      <c r="B689" s="35"/>
      <c r="C689" s="36"/>
      <c r="D689" s="37" t="s">
        <v>90</v>
      </c>
      <c r="E689" s="1373">
        <f>IF(E688="",0,+ E688/E695)</f>
        <v>0</v>
      </c>
      <c r="F689" s="1096">
        <f t="shared" ref="F689:AI689" si="1325">IF(F688="",0, E689+F688/F695)</f>
        <v>0</v>
      </c>
      <c r="G689" s="1207">
        <f t="shared" si="1325"/>
        <v>0</v>
      </c>
      <c r="H689" s="1096">
        <f t="shared" si="1325"/>
        <v>0</v>
      </c>
      <c r="I689" s="1096">
        <f t="shared" si="1325"/>
        <v>0</v>
      </c>
      <c r="J689" s="1207">
        <f t="shared" si="1325"/>
        <v>0</v>
      </c>
      <c r="K689" s="1207">
        <f t="shared" si="1325"/>
        <v>0</v>
      </c>
      <c r="L689" s="1096">
        <f t="shared" si="1325"/>
        <v>0</v>
      </c>
      <c r="M689" s="1096">
        <f t="shared" si="1325"/>
        <v>0</v>
      </c>
      <c r="N689" s="1096">
        <f t="shared" si="1325"/>
        <v>0</v>
      </c>
      <c r="O689" s="1096">
        <f t="shared" si="1325"/>
        <v>0</v>
      </c>
      <c r="P689" s="1096">
        <f t="shared" si="1325"/>
        <v>0</v>
      </c>
      <c r="Q689" s="1207">
        <f t="shared" si="1325"/>
        <v>0</v>
      </c>
      <c r="R689" s="1207">
        <f t="shared" si="1325"/>
        <v>0</v>
      </c>
      <c r="S689" s="1096">
        <f t="shared" si="1325"/>
        <v>0</v>
      </c>
      <c r="T689" s="1096">
        <f t="shared" si="1325"/>
        <v>0</v>
      </c>
      <c r="U689" s="1096">
        <f t="shared" si="1325"/>
        <v>0</v>
      </c>
      <c r="V689" s="1096">
        <f t="shared" si="1325"/>
        <v>0</v>
      </c>
      <c r="W689" s="1096">
        <f t="shared" si="1325"/>
        <v>0</v>
      </c>
      <c r="X689" s="1207">
        <f t="shared" si="1325"/>
        <v>0</v>
      </c>
      <c r="Y689" s="1207">
        <f t="shared" si="1325"/>
        <v>0</v>
      </c>
      <c r="Z689" s="1096">
        <f t="shared" si="1325"/>
        <v>0</v>
      </c>
      <c r="AA689" s="1096">
        <f t="shared" si="1325"/>
        <v>0</v>
      </c>
      <c r="AB689" s="1096">
        <f t="shared" si="1325"/>
        <v>0</v>
      </c>
      <c r="AC689" s="1096">
        <f t="shared" si="1325"/>
        <v>0</v>
      </c>
      <c r="AD689" s="1096">
        <f t="shared" si="1325"/>
        <v>0</v>
      </c>
      <c r="AE689" s="1207">
        <f t="shared" si="1325"/>
        <v>0</v>
      </c>
      <c r="AF689" s="1207">
        <f t="shared" si="1325"/>
        <v>0</v>
      </c>
      <c r="AG689" s="1096">
        <f t="shared" si="1325"/>
        <v>0</v>
      </c>
      <c r="AH689" s="1096">
        <f t="shared" si="1325"/>
        <v>0</v>
      </c>
      <c r="AI689" s="1324">
        <f t="shared" si="1325"/>
        <v>0</v>
      </c>
      <c r="AJ689" s="38"/>
      <c r="AK689" s="29"/>
      <c r="AL689" s="30"/>
      <c r="AM689" s="694">
        <f t="shared" si="1251"/>
        <v>0</v>
      </c>
      <c r="AN689" s="31"/>
      <c r="AO689" s="630"/>
      <c r="AP689" s="39" t="s">
        <v>91</v>
      </c>
      <c r="AQ689" s="40">
        <f>SUM(E688:I688)</f>
        <v>0</v>
      </c>
      <c r="AR689" s="41">
        <f>SUM(J688:P688)</f>
        <v>0</v>
      </c>
      <c r="AS689" s="41">
        <f>SUM(Q688:W688)</f>
        <v>0</v>
      </c>
      <c r="AT689" s="41">
        <f>SUM(X688:AD688)</f>
        <v>0</v>
      </c>
      <c r="AU689" s="41">
        <f>SUM(AE688:AI688)</f>
        <v>0</v>
      </c>
      <c r="AV689" s="34">
        <f t="shared" ref="AV689:AV694" si="1326">SUM(AQ689:AU689)</f>
        <v>0</v>
      </c>
    </row>
    <row r="690" spans="1:48" ht="25.15" hidden="1" customHeight="1">
      <c r="A690" s="103"/>
      <c r="B690" s="26" t="s">
        <v>92</v>
      </c>
      <c r="C690" s="42"/>
      <c r="D690" s="43" t="s">
        <v>93</v>
      </c>
      <c r="E690" s="1325"/>
      <c r="F690" s="1089"/>
      <c r="G690" s="44"/>
      <c r="H690" s="1089"/>
      <c r="I690" s="1089"/>
      <c r="J690" s="44"/>
      <c r="K690" s="44"/>
      <c r="L690" s="1089"/>
      <c r="M690" s="1089"/>
      <c r="N690" s="1089"/>
      <c r="O690" s="1089"/>
      <c r="P690" s="1089"/>
      <c r="Q690" s="44"/>
      <c r="R690" s="44"/>
      <c r="S690" s="1089"/>
      <c r="T690" s="1089"/>
      <c r="U690" s="1089"/>
      <c r="V690" s="1089"/>
      <c r="W690" s="1089"/>
      <c r="X690" s="44"/>
      <c r="Y690" s="44"/>
      <c r="Z690" s="1089"/>
      <c r="AA690" s="1089"/>
      <c r="AB690" s="1089"/>
      <c r="AC690" s="1089"/>
      <c r="AD690" s="1089"/>
      <c r="AE690" s="44"/>
      <c r="AF690" s="44"/>
      <c r="AG690" s="1089"/>
      <c r="AH690" s="1089"/>
      <c r="AI690" s="1326"/>
      <c r="AJ690" s="45">
        <f>SUM(E690:AI690)</f>
        <v>0</v>
      </c>
      <c r="AK690" s="45"/>
      <c r="AL690" s="46">
        <f>+AJ690*AN688</f>
        <v>0</v>
      </c>
      <c r="AM690" s="1066">
        <f t="shared" si="1251"/>
        <v>0</v>
      </c>
      <c r="AN690" s="31"/>
      <c r="AO690" s="632">
        <f>(AJ690+AJ692+AJ693+AJ694)*B692/1000</f>
        <v>0</v>
      </c>
      <c r="AP690" s="47" t="s">
        <v>94</v>
      </c>
      <c r="AQ690" s="48">
        <f>SUM(E690:I690)</f>
        <v>0</v>
      </c>
      <c r="AR690" s="49">
        <f>SUM(J690:P690)</f>
        <v>0</v>
      </c>
      <c r="AS690" s="49">
        <f>SUM(Q690:W690)</f>
        <v>0</v>
      </c>
      <c r="AT690" s="49">
        <f>SUM(X690:AD690)</f>
        <v>0</v>
      </c>
      <c r="AU690" s="49">
        <f>SUM(AE690:AI690)</f>
        <v>0</v>
      </c>
      <c r="AV690" s="50">
        <f t="shared" si="1326"/>
        <v>0</v>
      </c>
    </row>
    <row r="691" spans="1:48" ht="25.15" hidden="1" customHeight="1">
      <c r="A691" s="103"/>
      <c r="B691" s="51"/>
      <c r="C691" s="52" t="s">
        <v>95</v>
      </c>
      <c r="D691" s="53" t="s">
        <v>96</v>
      </c>
      <c r="E691" s="1327">
        <f t="shared" ref="E691:AJ691" si="1327">+E690-E688</f>
        <v>0</v>
      </c>
      <c r="F691" s="1097">
        <f t="shared" si="1327"/>
        <v>0</v>
      </c>
      <c r="G691" s="1205">
        <f t="shared" si="1327"/>
        <v>0</v>
      </c>
      <c r="H691" s="1097">
        <f t="shared" si="1327"/>
        <v>0</v>
      </c>
      <c r="I691" s="1097">
        <f t="shared" si="1327"/>
        <v>0</v>
      </c>
      <c r="J691" s="1205">
        <f t="shared" si="1327"/>
        <v>0</v>
      </c>
      <c r="K691" s="1205">
        <f t="shared" si="1327"/>
        <v>0</v>
      </c>
      <c r="L691" s="1097">
        <f t="shared" si="1327"/>
        <v>0</v>
      </c>
      <c r="M691" s="1097">
        <f t="shared" si="1327"/>
        <v>0</v>
      </c>
      <c r="N691" s="1097">
        <f t="shared" si="1327"/>
        <v>0</v>
      </c>
      <c r="O691" s="1097">
        <f t="shared" si="1327"/>
        <v>0</v>
      </c>
      <c r="P691" s="1097">
        <f t="shared" si="1327"/>
        <v>0</v>
      </c>
      <c r="Q691" s="1205">
        <f t="shared" si="1327"/>
        <v>0</v>
      </c>
      <c r="R691" s="1205">
        <f t="shared" si="1327"/>
        <v>0</v>
      </c>
      <c r="S691" s="1097">
        <f t="shared" si="1327"/>
        <v>0</v>
      </c>
      <c r="T691" s="1097">
        <f t="shared" si="1327"/>
        <v>0</v>
      </c>
      <c r="U691" s="1097">
        <f t="shared" si="1327"/>
        <v>0</v>
      </c>
      <c r="V691" s="1097">
        <f t="shared" si="1327"/>
        <v>0</v>
      </c>
      <c r="W691" s="1097">
        <f t="shared" si="1327"/>
        <v>0</v>
      </c>
      <c r="X691" s="1205">
        <f t="shared" si="1327"/>
        <v>0</v>
      </c>
      <c r="Y691" s="1205">
        <f t="shared" si="1327"/>
        <v>0</v>
      </c>
      <c r="Z691" s="1097">
        <f t="shared" si="1327"/>
        <v>0</v>
      </c>
      <c r="AA691" s="1097">
        <f t="shared" si="1327"/>
        <v>0</v>
      </c>
      <c r="AB691" s="1097">
        <f t="shared" ref="AB691" si="1328">+AB690-AB688</f>
        <v>0</v>
      </c>
      <c r="AC691" s="1097">
        <f t="shared" si="1327"/>
        <v>0</v>
      </c>
      <c r="AD691" s="1097">
        <f t="shared" si="1327"/>
        <v>0</v>
      </c>
      <c r="AE691" s="1205">
        <f t="shared" si="1327"/>
        <v>0</v>
      </c>
      <c r="AF691" s="1205">
        <f t="shared" si="1327"/>
        <v>0</v>
      </c>
      <c r="AG691" s="1097">
        <f t="shared" si="1327"/>
        <v>0</v>
      </c>
      <c r="AH691" s="1097">
        <f t="shared" si="1327"/>
        <v>0</v>
      </c>
      <c r="AI691" s="1328">
        <f t="shared" si="1327"/>
        <v>0</v>
      </c>
      <c r="AJ691" s="54">
        <f t="shared" si="1327"/>
        <v>0</v>
      </c>
      <c r="AK691" s="54"/>
      <c r="AL691" s="55">
        <f>+AJ691*AN688</f>
        <v>0</v>
      </c>
      <c r="AM691" s="1067">
        <f t="shared" si="1251"/>
        <v>0</v>
      </c>
      <c r="AN691" s="31" t="s">
        <v>97</v>
      </c>
      <c r="AO691" s="622"/>
      <c r="AP691" s="39" t="s">
        <v>98</v>
      </c>
      <c r="AQ691" s="56">
        <f>AQ690-AQ689</f>
        <v>0</v>
      </c>
      <c r="AR691" s="70">
        <f>AR690-AR689</f>
        <v>0</v>
      </c>
      <c r="AS691" s="70">
        <f>AS690-AS689</f>
        <v>0</v>
      </c>
      <c r="AT691" s="70">
        <f>AT690-AT689</f>
        <v>0</v>
      </c>
      <c r="AU691" s="70">
        <f>AU690-AU689</f>
        <v>0</v>
      </c>
      <c r="AV691" s="57">
        <f t="shared" si="1326"/>
        <v>0</v>
      </c>
    </row>
    <row r="692" spans="1:48" ht="25.15" hidden="1" customHeight="1">
      <c r="A692" s="58"/>
      <c r="B692" s="59"/>
      <c r="C692" s="60" t="s">
        <v>100</v>
      </c>
      <c r="D692" s="61" t="s">
        <v>101</v>
      </c>
      <c r="E692" s="1329"/>
      <c r="F692" s="1099"/>
      <c r="G692" s="1208"/>
      <c r="H692" s="1099"/>
      <c r="I692" s="1099"/>
      <c r="J692" s="1208"/>
      <c r="K692" s="1208"/>
      <c r="L692" s="1099"/>
      <c r="M692" s="1099"/>
      <c r="N692" s="1099"/>
      <c r="O692" s="1099"/>
      <c r="P692" s="1099"/>
      <c r="Q692" s="1208"/>
      <c r="R692" s="1213"/>
      <c r="S692" s="1112"/>
      <c r="T692" s="1099"/>
      <c r="U692" s="1099"/>
      <c r="V692" s="1099"/>
      <c r="W692" s="1099"/>
      <c r="X692" s="1208"/>
      <c r="Y692" s="1208"/>
      <c r="Z692" s="1099"/>
      <c r="AA692" s="1099"/>
      <c r="AB692" s="1099"/>
      <c r="AC692" s="1099"/>
      <c r="AD692" s="1099"/>
      <c r="AE692" s="1208"/>
      <c r="AF692" s="1208"/>
      <c r="AG692" s="1099"/>
      <c r="AH692" s="1099"/>
      <c r="AI692" s="1330"/>
      <c r="AJ692" s="62">
        <f>SUM(E692:AI692)</f>
        <v>0</v>
      </c>
      <c r="AK692" s="62"/>
      <c r="AL692" s="63">
        <f>+AJ692*AN688</f>
        <v>0</v>
      </c>
      <c r="AM692" s="1068">
        <f t="shared" si="1251"/>
        <v>0</v>
      </c>
      <c r="AN692" s="64" t="e">
        <f>+AJ692/AJ690*100</f>
        <v>#DIV/0!</v>
      </c>
      <c r="AO692" s="635" t="e">
        <f>AO690/AO688</f>
        <v>#VALUE!</v>
      </c>
      <c r="AP692" s="39" t="s">
        <v>102</v>
      </c>
      <c r="AQ692" s="56">
        <f>SUM(E692:I692)</f>
        <v>0</v>
      </c>
      <c r="AR692" s="70">
        <f>SUM(J692:P692)</f>
        <v>0</v>
      </c>
      <c r="AS692" s="70">
        <f>SUM(Q692:W692)</f>
        <v>0</v>
      </c>
      <c r="AT692" s="70">
        <f>SUM(X692:AD692)</f>
        <v>0</v>
      </c>
      <c r="AU692" s="70">
        <f>SUM(AE692:AI692)</f>
        <v>0</v>
      </c>
      <c r="AV692" s="57">
        <f t="shared" si="1326"/>
        <v>0</v>
      </c>
    </row>
    <row r="693" spans="1:48" ht="25.15" hidden="1" customHeight="1">
      <c r="A693" s="58" t="s">
        <v>180</v>
      </c>
      <c r="B693" s="65"/>
      <c r="C693" s="66"/>
      <c r="D693" s="67" t="s">
        <v>103</v>
      </c>
      <c r="E693" s="1331"/>
      <c r="F693" s="1101"/>
      <c r="G693" s="1209"/>
      <c r="H693" s="1101"/>
      <c r="I693" s="1101"/>
      <c r="J693" s="1209"/>
      <c r="K693" s="1209"/>
      <c r="L693" s="1101"/>
      <c r="M693" s="1101"/>
      <c r="N693" s="1101"/>
      <c r="O693" s="1101"/>
      <c r="P693" s="1101"/>
      <c r="Q693" s="1209"/>
      <c r="R693" s="1214"/>
      <c r="S693" s="1114"/>
      <c r="T693" s="1101"/>
      <c r="U693" s="1101"/>
      <c r="V693" s="1101"/>
      <c r="W693" s="1101"/>
      <c r="X693" s="1209"/>
      <c r="Y693" s="1209"/>
      <c r="Z693" s="1101"/>
      <c r="AA693" s="1101"/>
      <c r="AB693" s="1101"/>
      <c r="AC693" s="1101"/>
      <c r="AD693" s="1101"/>
      <c r="AE693" s="1209"/>
      <c r="AF693" s="1209"/>
      <c r="AG693" s="1101"/>
      <c r="AH693" s="1101"/>
      <c r="AI693" s="1332"/>
      <c r="AJ693" s="68">
        <f>SUM(E693:AI693)</f>
        <v>0</v>
      </c>
      <c r="AK693" s="68"/>
      <c r="AL693" s="69">
        <f>+AJ693*AN688</f>
        <v>0</v>
      </c>
      <c r="AM693" s="1069">
        <f t="shared" si="1251"/>
        <v>0</v>
      </c>
      <c r="AN693" s="31"/>
      <c r="AO693" s="622"/>
      <c r="AP693" s="39" t="s">
        <v>19</v>
      </c>
      <c r="AQ693" s="56">
        <f>AQ692*AN688</f>
        <v>0</v>
      </c>
      <c r="AR693" s="56">
        <f>AR692*AN688</f>
        <v>0</v>
      </c>
      <c r="AS693" s="56">
        <f>AS692*AN688</f>
        <v>0</v>
      </c>
      <c r="AT693" s="56">
        <f>AT692*AN688</f>
        <v>0</v>
      </c>
      <c r="AU693" s="56">
        <f>AU692*AN688</f>
        <v>0</v>
      </c>
      <c r="AV693" s="57">
        <f t="shared" si="1326"/>
        <v>0</v>
      </c>
    </row>
    <row r="694" spans="1:48" ht="25.15" hidden="1" customHeight="1">
      <c r="A694" s="103"/>
      <c r="B694" s="65"/>
      <c r="C694" s="72" t="s">
        <v>104</v>
      </c>
      <c r="D694" s="73" t="s">
        <v>105</v>
      </c>
      <c r="E694" s="1378"/>
      <c r="F694" s="1103"/>
      <c r="G694" s="1210"/>
      <c r="H694" s="1103"/>
      <c r="I694" s="1103"/>
      <c r="J694" s="1210"/>
      <c r="K694" s="1210"/>
      <c r="L694" s="1103"/>
      <c r="M694" s="1103"/>
      <c r="N694" s="1103"/>
      <c r="O694" s="1103"/>
      <c r="P694" s="1103"/>
      <c r="Q694" s="1210"/>
      <c r="R694" s="1215"/>
      <c r="S694" s="1116"/>
      <c r="T694" s="1103"/>
      <c r="U694" s="1103"/>
      <c r="V694" s="1103"/>
      <c r="W694" s="1103"/>
      <c r="X694" s="1210"/>
      <c r="Y694" s="1210"/>
      <c r="Z694" s="1103"/>
      <c r="AA694" s="1103"/>
      <c r="AB694" s="1103"/>
      <c r="AC694" s="1103"/>
      <c r="AD694" s="1103"/>
      <c r="AE694" s="1210"/>
      <c r="AF694" s="1210"/>
      <c r="AG694" s="1103"/>
      <c r="AH694" s="1103"/>
      <c r="AI694" s="1352"/>
      <c r="AJ694" s="74">
        <f>SUM(E694:AI694)</f>
        <v>0</v>
      </c>
      <c r="AK694" s="74"/>
      <c r="AL694" s="75">
        <f>+AJ694*AN688</f>
        <v>0</v>
      </c>
      <c r="AM694" s="1070">
        <f t="shared" si="1251"/>
        <v>0</v>
      </c>
      <c r="AN694" s="76"/>
      <c r="AO694" s="636"/>
      <c r="AP694" s="47" t="s">
        <v>106</v>
      </c>
      <c r="AQ694" s="48">
        <f>AQ690*AN688</f>
        <v>0</v>
      </c>
      <c r="AR694" s="48">
        <f>AR690*AN688</f>
        <v>0</v>
      </c>
      <c r="AS694" s="48">
        <f>AS690*AN688</f>
        <v>0</v>
      </c>
      <c r="AT694" s="48">
        <f>AT690*AN688</f>
        <v>0</v>
      </c>
      <c r="AU694" s="48">
        <f>AU690*AN688</f>
        <v>0</v>
      </c>
      <c r="AV694" s="50">
        <f t="shared" si="1326"/>
        <v>0</v>
      </c>
    </row>
    <row r="695" spans="1:48" ht="25.15" hidden="1" customHeight="1">
      <c r="A695" s="103"/>
      <c r="B695" s="65"/>
      <c r="C695" s="77">
        <v>300000</v>
      </c>
      <c r="D695" s="78" t="s">
        <v>107</v>
      </c>
      <c r="E695" s="1327">
        <v>1</v>
      </c>
      <c r="F695" s="1097">
        <v>1</v>
      </c>
      <c r="G695" s="1205">
        <v>1</v>
      </c>
      <c r="H695" s="1097">
        <v>1</v>
      </c>
      <c r="I695" s="1097">
        <v>1</v>
      </c>
      <c r="J695" s="1205">
        <v>1</v>
      </c>
      <c r="K695" s="1205">
        <v>1</v>
      </c>
      <c r="L695" s="1097">
        <v>1</v>
      </c>
      <c r="M695" s="1097">
        <v>1</v>
      </c>
      <c r="N695" s="1097">
        <v>1</v>
      </c>
      <c r="O695" s="1097">
        <v>1</v>
      </c>
      <c r="P695" s="1097">
        <v>1</v>
      </c>
      <c r="Q695" s="1205">
        <v>1</v>
      </c>
      <c r="R695" s="1205">
        <v>1</v>
      </c>
      <c r="S695" s="1097">
        <v>1</v>
      </c>
      <c r="T695" s="1097">
        <v>1</v>
      </c>
      <c r="U695" s="1097">
        <v>1</v>
      </c>
      <c r="V695" s="1097">
        <v>1</v>
      </c>
      <c r="W695" s="1097">
        <v>1</v>
      </c>
      <c r="X695" s="1205">
        <v>1</v>
      </c>
      <c r="Y695" s="1205">
        <v>1</v>
      </c>
      <c r="Z695" s="1097">
        <v>1</v>
      </c>
      <c r="AA695" s="1097">
        <v>1</v>
      </c>
      <c r="AB695" s="1097">
        <v>1</v>
      </c>
      <c r="AC695" s="1097">
        <v>1</v>
      </c>
      <c r="AD695" s="1097">
        <v>1</v>
      </c>
      <c r="AE695" s="1205">
        <v>1</v>
      </c>
      <c r="AF695" s="1205">
        <v>1</v>
      </c>
      <c r="AG695" s="1097">
        <v>1</v>
      </c>
      <c r="AH695" s="1097">
        <v>1</v>
      </c>
      <c r="AI695" s="1328">
        <v>1</v>
      </c>
      <c r="AJ695" s="79"/>
      <c r="AK695" s="79"/>
      <c r="AL695" s="55"/>
      <c r="AM695" s="1067">
        <f t="shared" si="1251"/>
        <v>0</v>
      </c>
      <c r="AN695" s="31"/>
      <c r="AO695" s="622"/>
      <c r="AP695" s="23"/>
      <c r="AQ695" s="23"/>
      <c r="AR695" s="23"/>
      <c r="AS695" s="23"/>
      <c r="AT695" s="23"/>
      <c r="AU695" s="23"/>
      <c r="AV695" s="23"/>
    </row>
    <row r="696" spans="1:48" ht="25.15" hidden="1" customHeight="1">
      <c r="A696" s="103"/>
      <c r="B696" s="65"/>
      <c r="C696" s="80" t="s">
        <v>108</v>
      </c>
      <c r="D696" s="81" t="s">
        <v>109</v>
      </c>
      <c r="E696" s="1374">
        <f>SUM(E690+E692+E693+E694)/E695</f>
        <v>0</v>
      </c>
      <c r="F696" s="1104">
        <f>SUM(F690+F692+F693+F694)/F695</f>
        <v>0</v>
      </c>
      <c r="G696" s="1211">
        <f>SUM(G690+G692+G693+G694)/G695</f>
        <v>0</v>
      </c>
      <c r="H696" s="1104">
        <f t="shared" ref="H696:AH696" si="1329">SUM(H690+H692+H693+H694)/H695</f>
        <v>0</v>
      </c>
      <c r="I696" s="1104">
        <f t="shared" si="1329"/>
        <v>0</v>
      </c>
      <c r="J696" s="1211">
        <f t="shared" si="1329"/>
        <v>0</v>
      </c>
      <c r="K696" s="1211">
        <f t="shared" si="1329"/>
        <v>0</v>
      </c>
      <c r="L696" s="1104">
        <f t="shared" si="1329"/>
        <v>0</v>
      </c>
      <c r="M696" s="1104">
        <f t="shared" si="1329"/>
        <v>0</v>
      </c>
      <c r="N696" s="1104">
        <f t="shared" si="1329"/>
        <v>0</v>
      </c>
      <c r="O696" s="1104">
        <f t="shared" si="1329"/>
        <v>0</v>
      </c>
      <c r="P696" s="1104">
        <f t="shared" si="1329"/>
        <v>0</v>
      </c>
      <c r="Q696" s="1211">
        <f t="shared" si="1329"/>
        <v>0</v>
      </c>
      <c r="R696" s="1211">
        <f t="shared" si="1329"/>
        <v>0</v>
      </c>
      <c r="S696" s="1104">
        <f t="shared" si="1329"/>
        <v>0</v>
      </c>
      <c r="T696" s="1104">
        <f t="shared" si="1329"/>
        <v>0</v>
      </c>
      <c r="U696" s="1104">
        <f t="shared" si="1329"/>
        <v>0</v>
      </c>
      <c r="V696" s="1104">
        <f t="shared" si="1329"/>
        <v>0</v>
      </c>
      <c r="W696" s="1104">
        <f t="shared" si="1329"/>
        <v>0</v>
      </c>
      <c r="X696" s="1211">
        <f t="shared" si="1329"/>
        <v>0</v>
      </c>
      <c r="Y696" s="1211">
        <f t="shared" si="1329"/>
        <v>0</v>
      </c>
      <c r="Z696" s="1104">
        <f t="shared" si="1329"/>
        <v>0</v>
      </c>
      <c r="AA696" s="1104">
        <f t="shared" si="1329"/>
        <v>0</v>
      </c>
      <c r="AB696" s="1104">
        <f t="shared" si="1329"/>
        <v>0</v>
      </c>
      <c r="AC696" s="1104">
        <f t="shared" si="1329"/>
        <v>0</v>
      </c>
      <c r="AD696" s="1104">
        <f t="shared" si="1329"/>
        <v>0</v>
      </c>
      <c r="AE696" s="1211">
        <f t="shared" si="1329"/>
        <v>0</v>
      </c>
      <c r="AF696" s="1211">
        <f t="shared" si="1329"/>
        <v>0</v>
      </c>
      <c r="AG696" s="1104">
        <f t="shared" si="1329"/>
        <v>0</v>
      </c>
      <c r="AH696" s="1104">
        <f t="shared" si="1329"/>
        <v>0</v>
      </c>
      <c r="AI696" s="1335">
        <f>SUM(AI690+AI692+AI693)/AI695</f>
        <v>0</v>
      </c>
      <c r="AJ696" s="104">
        <f>SUM(E696:AI696)</f>
        <v>0</v>
      </c>
      <c r="AK696" s="104"/>
      <c r="AL696" s="83"/>
      <c r="AM696" s="1068">
        <f t="shared" si="1251"/>
        <v>0</v>
      </c>
      <c r="AN696" s="31"/>
      <c r="AO696" s="622"/>
      <c r="AP696" s="23"/>
      <c r="AQ696" s="23"/>
      <c r="AR696" s="23"/>
      <c r="AS696" s="23"/>
      <c r="AT696" s="23"/>
      <c r="AU696" s="23"/>
      <c r="AV696" s="23"/>
    </row>
    <row r="697" spans="1:48" ht="25.15" hidden="1" customHeight="1">
      <c r="A697" s="103"/>
      <c r="B697" s="59"/>
      <c r="C697" s="84">
        <f>+C695*0.8</f>
        <v>240000</v>
      </c>
      <c r="D697" s="85" t="s">
        <v>110</v>
      </c>
      <c r="E697" s="1105"/>
      <c r="F697" s="1106"/>
      <c r="G697" s="1211"/>
      <c r="H697" s="1104"/>
      <c r="I697" s="1104"/>
      <c r="J697" s="1211"/>
      <c r="K697" s="1211"/>
      <c r="L697" s="1104"/>
      <c r="M697" s="1104"/>
      <c r="N697" s="1104"/>
      <c r="O697" s="1107"/>
      <c r="P697" s="1104"/>
      <c r="Q697" s="1211"/>
      <c r="R697" s="1211"/>
      <c r="S697" s="1104"/>
      <c r="T697" s="1104"/>
      <c r="U697" s="1104"/>
      <c r="V697" s="1104"/>
      <c r="W697" s="1104"/>
      <c r="X697" s="1211"/>
      <c r="Y697" s="1211"/>
      <c r="Z697" s="1104"/>
      <c r="AA697" s="1104"/>
      <c r="AB697" s="1104"/>
      <c r="AC697" s="1104"/>
      <c r="AD697" s="1104"/>
      <c r="AE697" s="1211"/>
      <c r="AF697" s="1211"/>
      <c r="AG697" s="1104"/>
      <c r="AH697" s="1104"/>
      <c r="AI697" s="1353"/>
      <c r="AJ697" s="86"/>
      <c r="AK697" s="86"/>
      <c r="AL697" s="690"/>
      <c r="AM697" s="694">
        <f t="shared" si="1251"/>
        <v>0</v>
      </c>
      <c r="AN697" s="31"/>
      <c r="AO697" s="622"/>
      <c r="AP697" s="23"/>
      <c r="AQ697" s="23"/>
      <c r="AR697" s="23"/>
      <c r="AS697" s="23"/>
      <c r="AT697" s="23"/>
      <c r="AU697" s="23"/>
      <c r="AV697" s="23"/>
    </row>
    <row r="698" spans="1:48" ht="25.15" hidden="1" customHeight="1">
      <c r="A698" s="103"/>
      <c r="B698" s="105"/>
      <c r="C698" s="77"/>
      <c r="D698" s="88" t="s">
        <v>111</v>
      </c>
      <c r="E698" s="1108">
        <f>IF(E697="O/H",E696,0+E696)</f>
        <v>0</v>
      </c>
      <c r="F698" s="1089">
        <f t="shared" ref="F698:AI698" si="1330">IF(F697="O/H",F696,+E698+F696)</f>
        <v>0</v>
      </c>
      <c r="G698" s="44">
        <f t="shared" si="1330"/>
        <v>0</v>
      </c>
      <c r="H698" s="1089">
        <f t="shared" si="1330"/>
        <v>0</v>
      </c>
      <c r="I698" s="1089">
        <f t="shared" si="1330"/>
        <v>0</v>
      </c>
      <c r="J698" s="44">
        <f t="shared" si="1330"/>
        <v>0</v>
      </c>
      <c r="K698" s="44">
        <f t="shared" si="1330"/>
        <v>0</v>
      </c>
      <c r="L698" s="1089">
        <f t="shared" si="1330"/>
        <v>0</v>
      </c>
      <c r="M698" s="1089">
        <f t="shared" si="1330"/>
        <v>0</v>
      </c>
      <c r="N698" s="1089">
        <f t="shared" si="1330"/>
        <v>0</v>
      </c>
      <c r="O698" s="1089">
        <f t="shared" si="1330"/>
        <v>0</v>
      </c>
      <c r="P698" s="1089">
        <f t="shared" si="1330"/>
        <v>0</v>
      </c>
      <c r="Q698" s="44">
        <f t="shared" si="1330"/>
        <v>0</v>
      </c>
      <c r="R698" s="44">
        <f t="shared" si="1330"/>
        <v>0</v>
      </c>
      <c r="S698" s="1089">
        <f t="shared" si="1330"/>
        <v>0</v>
      </c>
      <c r="T698" s="1089">
        <f t="shared" si="1330"/>
        <v>0</v>
      </c>
      <c r="U698" s="1089">
        <f t="shared" si="1330"/>
        <v>0</v>
      </c>
      <c r="V698" s="1089">
        <f t="shared" si="1330"/>
        <v>0</v>
      </c>
      <c r="W698" s="1089">
        <f t="shared" si="1330"/>
        <v>0</v>
      </c>
      <c r="X698" s="44">
        <f t="shared" si="1330"/>
        <v>0</v>
      </c>
      <c r="Y698" s="44">
        <f t="shared" si="1330"/>
        <v>0</v>
      </c>
      <c r="Z698" s="1089">
        <f t="shared" si="1330"/>
        <v>0</v>
      </c>
      <c r="AA698" s="1089">
        <f t="shared" si="1330"/>
        <v>0</v>
      </c>
      <c r="AB698" s="1089">
        <f t="shared" si="1330"/>
        <v>0</v>
      </c>
      <c r="AC698" s="1089">
        <f t="shared" si="1330"/>
        <v>0</v>
      </c>
      <c r="AD698" s="1089">
        <f t="shared" si="1330"/>
        <v>0</v>
      </c>
      <c r="AE698" s="44">
        <f t="shared" si="1330"/>
        <v>0</v>
      </c>
      <c r="AF698" s="44">
        <f t="shared" si="1330"/>
        <v>0</v>
      </c>
      <c r="AG698" s="1089">
        <f t="shared" si="1330"/>
        <v>0</v>
      </c>
      <c r="AH698" s="1089">
        <f t="shared" si="1330"/>
        <v>0</v>
      </c>
      <c r="AI698" s="1326">
        <f t="shared" si="1330"/>
        <v>0</v>
      </c>
      <c r="AJ698" s="79"/>
      <c r="AK698" s="86"/>
      <c r="AL698" s="689"/>
      <c r="AM698" s="694">
        <f t="shared" si="1251"/>
        <v>0</v>
      </c>
      <c r="AN698" s="31"/>
      <c r="AO698" s="622"/>
      <c r="AP698" s="23"/>
      <c r="AQ698" s="23"/>
      <c r="AR698" s="23"/>
      <c r="AS698" s="23"/>
      <c r="AT698" s="23"/>
      <c r="AU698" s="23"/>
      <c r="AV698" s="23"/>
    </row>
    <row r="699" spans="1:48" ht="25.15" hidden="1" customHeight="1">
      <c r="A699" s="103"/>
      <c r="B699" s="89"/>
      <c r="C699" s="80"/>
      <c r="D699" s="90" t="s">
        <v>104</v>
      </c>
      <c r="E699" s="1108"/>
      <c r="F699" s="1089"/>
      <c r="G699" s="44"/>
      <c r="H699" s="1089"/>
      <c r="I699" s="1089"/>
      <c r="J699" s="44"/>
      <c r="K699" s="44"/>
      <c r="L699" s="1089"/>
      <c r="M699" s="1089"/>
      <c r="N699" s="1089"/>
      <c r="O699" s="1089"/>
      <c r="P699" s="1089"/>
      <c r="Q699" s="44"/>
      <c r="R699" s="44"/>
      <c r="S699" s="1089"/>
      <c r="T699" s="1089"/>
      <c r="U699" s="1089"/>
      <c r="V699" s="1089"/>
      <c r="W699" s="1089"/>
      <c r="X699" s="44"/>
      <c r="Y699" s="44"/>
      <c r="Z699" s="1089"/>
      <c r="AA699" s="1089"/>
      <c r="AB699" s="1089"/>
      <c r="AC699" s="1089"/>
      <c r="AD699" s="1089"/>
      <c r="AE699" s="44"/>
      <c r="AF699" s="44"/>
      <c r="AG699" s="1089"/>
      <c r="AH699" s="1089"/>
      <c r="AI699" s="1326"/>
      <c r="AJ699" s="79"/>
      <c r="AK699" s="79"/>
      <c r="AL699" s="63"/>
      <c r="AM699" s="1068">
        <f t="shared" si="1251"/>
        <v>0</v>
      </c>
      <c r="AN699" s="64"/>
      <c r="AO699" s="624"/>
      <c r="AP699" s="23"/>
      <c r="AQ699" s="23"/>
      <c r="AR699" s="23"/>
      <c r="AS699" s="23"/>
      <c r="AT699" s="23"/>
      <c r="AU699" s="23"/>
      <c r="AV699" s="23"/>
    </row>
    <row r="700" spans="1:48" ht="25.15" hidden="1" customHeight="1" thickBot="1">
      <c r="A700" s="106"/>
      <c r="B700" s="93"/>
      <c r="C700" s="94"/>
      <c r="D700" s="95" t="s">
        <v>111</v>
      </c>
      <c r="E700" s="1109">
        <f>IF(E699="O/H",E696,0+E696)</f>
        <v>0</v>
      </c>
      <c r="F700" s="1110">
        <f t="shared" ref="F700:AI700" si="1331">IF(F699="O/H",F696,+E700+F696)</f>
        <v>0</v>
      </c>
      <c r="G700" s="1212">
        <f t="shared" si="1331"/>
        <v>0</v>
      </c>
      <c r="H700" s="1110">
        <f t="shared" si="1331"/>
        <v>0</v>
      </c>
      <c r="I700" s="1110">
        <f t="shared" si="1331"/>
        <v>0</v>
      </c>
      <c r="J700" s="1212">
        <f t="shared" si="1331"/>
        <v>0</v>
      </c>
      <c r="K700" s="1212">
        <f t="shared" si="1331"/>
        <v>0</v>
      </c>
      <c r="L700" s="1110">
        <f t="shared" si="1331"/>
        <v>0</v>
      </c>
      <c r="M700" s="1110">
        <f t="shared" si="1331"/>
        <v>0</v>
      </c>
      <c r="N700" s="1110">
        <f t="shared" si="1331"/>
        <v>0</v>
      </c>
      <c r="O700" s="1110">
        <f t="shared" si="1331"/>
        <v>0</v>
      </c>
      <c r="P700" s="1110">
        <f t="shared" si="1331"/>
        <v>0</v>
      </c>
      <c r="Q700" s="1212">
        <f t="shared" si="1331"/>
        <v>0</v>
      </c>
      <c r="R700" s="1212">
        <f t="shared" si="1331"/>
        <v>0</v>
      </c>
      <c r="S700" s="1110">
        <f t="shared" si="1331"/>
        <v>0</v>
      </c>
      <c r="T700" s="1110">
        <f t="shared" si="1331"/>
        <v>0</v>
      </c>
      <c r="U700" s="1110">
        <f t="shared" si="1331"/>
        <v>0</v>
      </c>
      <c r="V700" s="1110">
        <f t="shared" si="1331"/>
        <v>0</v>
      </c>
      <c r="W700" s="1110">
        <f t="shared" si="1331"/>
        <v>0</v>
      </c>
      <c r="X700" s="1212">
        <f t="shared" si="1331"/>
        <v>0</v>
      </c>
      <c r="Y700" s="1212">
        <f t="shared" si="1331"/>
        <v>0</v>
      </c>
      <c r="Z700" s="1110">
        <f t="shared" si="1331"/>
        <v>0</v>
      </c>
      <c r="AA700" s="1110">
        <f t="shared" si="1331"/>
        <v>0</v>
      </c>
      <c r="AB700" s="1110">
        <f t="shared" si="1331"/>
        <v>0</v>
      </c>
      <c r="AC700" s="1110">
        <f t="shared" si="1331"/>
        <v>0</v>
      </c>
      <c r="AD700" s="1110">
        <f t="shared" si="1331"/>
        <v>0</v>
      </c>
      <c r="AE700" s="1212">
        <f t="shared" si="1331"/>
        <v>0</v>
      </c>
      <c r="AF700" s="1212">
        <f t="shared" si="1331"/>
        <v>0</v>
      </c>
      <c r="AG700" s="1110">
        <f t="shared" si="1331"/>
        <v>0</v>
      </c>
      <c r="AH700" s="1110">
        <f t="shared" si="1331"/>
        <v>0</v>
      </c>
      <c r="AI700" s="1340">
        <f t="shared" si="1331"/>
        <v>0</v>
      </c>
      <c r="AJ700" s="96"/>
      <c r="AK700" s="96"/>
      <c r="AL700" s="97"/>
      <c r="AM700" s="1071">
        <f t="shared" si="1251"/>
        <v>0</v>
      </c>
      <c r="AN700" s="98"/>
      <c r="AO700" s="625"/>
      <c r="AP700" s="23"/>
      <c r="AQ700" s="23"/>
      <c r="AR700" s="23"/>
      <c r="AS700" s="23"/>
      <c r="AT700" s="23"/>
      <c r="AU700" s="23"/>
      <c r="AV700" s="23"/>
    </row>
    <row r="701" spans="1:48" ht="25.15" hidden="1" customHeight="1" thickTop="1">
      <c r="A701" s="99"/>
      <c r="B701" s="26" t="s">
        <v>556</v>
      </c>
      <c r="C701" s="27"/>
      <c r="D701" s="28" t="s">
        <v>82</v>
      </c>
      <c r="E701" s="1111"/>
      <c r="F701" s="1111"/>
      <c r="G701" s="1201"/>
      <c r="H701" s="1111"/>
      <c r="I701" s="1111"/>
      <c r="J701" s="1201"/>
      <c r="K701" s="1201"/>
      <c r="L701" s="1111"/>
      <c r="M701" s="1111"/>
      <c r="N701" s="1111"/>
      <c r="O701" s="1111"/>
      <c r="P701" s="1111"/>
      <c r="Q701" s="1201"/>
      <c r="R701" s="1201"/>
      <c r="S701" s="1111"/>
      <c r="T701" s="1111"/>
      <c r="U701" s="1111"/>
      <c r="V701" s="1111"/>
      <c r="W701" s="1111"/>
      <c r="X701" s="1201"/>
      <c r="Y701" s="1201"/>
      <c r="Z701" s="1111"/>
      <c r="AA701" s="1111"/>
      <c r="AB701" s="1111"/>
      <c r="AC701" s="1111"/>
      <c r="AD701" s="1111"/>
      <c r="AE701" s="1201"/>
      <c r="AF701" s="1201"/>
      <c r="AG701" s="1111"/>
      <c r="AH701" s="1111"/>
      <c r="AI701" s="1111"/>
      <c r="AJ701" s="100">
        <f>SUM(Table75[[#This Row],[June''2026]:[Column27]])</f>
        <v>0</v>
      </c>
      <c r="AK701" s="100">
        <f t="shared" si="1250"/>
        <v>0</v>
      </c>
      <c r="AL701" s="101">
        <f>+AJ701*AN701</f>
        <v>0</v>
      </c>
      <c r="AM701" s="1072">
        <f t="shared" si="1251"/>
        <v>0</v>
      </c>
      <c r="AN701" s="102"/>
      <c r="AO701" s="622" t="e">
        <f>Table5[[#This Row],[Total]]*B705/1000</f>
        <v>#VALUE!</v>
      </c>
      <c r="AP701" s="32" t="s">
        <v>179</v>
      </c>
      <c r="AQ701" s="33" t="s">
        <v>84</v>
      </c>
      <c r="AR701" s="33" t="s">
        <v>85</v>
      </c>
      <c r="AS701" s="33" t="s">
        <v>86</v>
      </c>
      <c r="AT701" s="33" t="s">
        <v>87</v>
      </c>
      <c r="AU701" s="33" t="s">
        <v>88</v>
      </c>
      <c r="AV701" s="34" t="s">
        <v>68</v>
      </c>
    </row>
    <row r="702" spans="1:48" ht="25.15" hidden="1" customHeight="1">
      <c r="A702" s="103"/>
      <c r="B702" s="35"/>
      <c r="C702" s="36"/>
      <c r="D702" s="37" t="s">
        <v>90</v>
      </c>
      <c r="E702" s="1373">
        <f>IF(E701="",0,+ E701/E708)</f>
        <v>0</v>
      </c>
      <c r="F702" s="1096">
        <f t="shared" ref="F702:AI702" si="1332">IF(F701="",0, E702+F701/F708)</f>
        <v>0</v>
      </c>
      <c r="G702" s="1207">
        <f t="shared" si="1332"/>
        <v>0</v>
      </c>
      <c r="H702" s="1096">
        <f t="shared" si="1332"/>
        <v>0</v>
      </c>
      <c r="I702" s="1096">
        <f t="shared" si="1332"/>
        <v>0</v>
      </c>
      <c r="J702" s="1207">
        <f t="shared" si="1332"/>
        <v>0</v>
      </c>
      <c r="K702" s="1207">
        <f t="shared" si="1332"/>
        <v>0</v>
      </c>
      <c r="L702" s="1096">
        <f t="shared" si="1332"/>
        <v>0</v>
      </c>
      <c r="M702" s="1096">
        <f t="shared" si="1332"/>
        <v>0</v>
      </c>
      <c r="N702" s="1096">
        <f t="shared" si="1332"/>
        <v>0</v>
      </c>
      <c r="O702" s="1096">
        <f t="shared" si="1332"/>
        <v>0</v>
      </c>
      <c r="P702" s="1096">
        <f t="shared" si="1332"/>
        <v>0</v>
      </c>
      <c r="Q702" s="1207">
        <f t="shared" si="1332"/>
        <v>0</v>
      </c>
      <c r="R702" s="1207">
        <f t="shared" si="1332"/>
        <v>0</v>
      </c>
      <c r="S702" s="1096">
        <f t="shared" si="1332"/>
        <v>0</v>
      </c>
      <c r="T702" s="1096">
        <f t="shared" si="1332"/>
        <v>0</v>
      </c>
      <c r="U702" s="1096">
        <f t="shared" si="1332"/>
        <v>0</v>
      </c>
      <c r="V702" s="1096">
        <f t="shared" si="1332"/>
        <v>0</v>
      </c>
      <c r="W702" s="1096">
        <f t="shared" si="1332"/>
        <v>0</v>
      </c>
      <c r="X702" s="1207">
        <f t="shared" si="1332"/>
        <v>0</v>
      </c>
      <c r="Y702" s="1207">
        <f t="shared" si="1332"/>
        <v>0</v>
      </c>
      <c r="Z702" s="1096">
        <f t="shared" si="1332"/>
        <v>0</v>
      </c>
      <c r="AA702" s="1096">
        <f t="shared" si="1332"/>
        <v>0</v>
      </c>
      <c r="AB702" s="1096">
        <f t="shared" si="1332"/>
        <v>0</v>
      </c>
      <c r="AC702" s="1096">
        <f t="shared" si="1332"/>
        <v>0</v>
      </c>
      <c r="AD702" s="1096">
        <f t="shared" si="1332"/>
        <v>0</v>
      </c>
      <c r="AE702" s="1207">
        <f t="shared" si="1332"/>
        <v>0</v>
      </c>
      <c r="AF702" s="1207">
        <f t="shared" si="1332"/>
        <v>0</v>
      </c>
      <c r="AG702" s="1096">
        <f t="shared" si="1332"/>
        <v>0</v>
      </c>
      <c r="AH702" s="1096">
        <f t="shared" si="1332"/>
        <v>0</v>
      </c>
      <c r="AI702" s="1324">
        <f t="shared" si="1332"/>
        <v>0</v>
      </c>
      <c r="AJ702" s="38"/>
      <c r="AK702" s="29"/>
      <c r="AL702" s="30"/>
      <c r="AM702" s="694">
        <f t="shared" si="1251"/>
        <v>0</v>
      </c>
      <c r="AN702" s="31"/>
      <c r="AO702" s="630"/>
      <c r="AP702" s="39" t="s">
        <v>91</v>
      </c>
      <c r="AQ702" s="40">
        <f>SUM(E701:F701)</f>
        <v>0</v>
      </c>
      <c r="AR702" s="41">
        <f>SUM(G701:M701)</f>
        <v>0</v>
      </c>
      <c r="AS702" s="41">
        <f>SUM(N701:T701)</f>
        <v>0</v>
      </c>
      <c r="AT702" s="41">
        <f>SUM(U701:AA701)</f>
        <v>0</v>
      </c>
      <c r="AU702" s="41">
        <f>SUM(AB701:AI701)</f>
        <v>0</v>
      </c>
      <c r="AV702" s="34">
        <f t="shared" ref="AV702:AV707" si="1333">SUM(AQ702:AU702)</f>
        <v>0</v>
      </c>
    </row>
    <row r="703" spans="1:48" ht="25.15" hidden="1" customHeight="1">
      <c r="A703" s="103"/>
      <c r="B703" s="26" t="s">
        <v>92</v>
      </c>
      <c r="C703" s="42"/>
      <c r="D703" s="43" t="s">
        <v>93</v>
      </c>
      <c r="E703" s="1325"/>
      <c r="F703" s="1089"/>
      <c r="G703" s="44"/>
      <c r="H703" s="1089"/>
      <c r="I703" s="1089"/>
      <c r="J703" s="44"/>
      <c r="K703" s="44"/>
      <c r="L703" s="1089"/>
      <c r="M703" s="1089"/>
      <c r="N703" s="1089"/>
      <c r="O703" s="1089"/>
      <c r="P703" s="1089"/>
      <c r="Q703" s="44"/>
      <c r="R703" s="44"/>
      <c r="S703" s="1089"/>
      <c r="T703" s="1089"/>
      <c r="U703" s="1089"/>
      <c r="V703" s="1089"/>
      <c r="W703" s="1089"/>
      <c r="X703" s="44"/>
      <c r="Y703" s="44"/>
      <c r="Z703" s="1089"/>
      <c r="AA703" s="1089"/>
      <c r="AB703" s="1089"/>
      <c r="AC703" s="1089"/>
      <c r="AD703" s="1089"/>
      <c r="AE703" s="44"/>
      <c r="AF703" s="44"/>
      <c r="AG703" s="1089"/>
      <c r="AH703" s="1089"/>
      <c r="AI703" s="1326"/>
      <c r="AJ703" s="45">
        <f>SUM(E703:AI703)</f>
        <v>0</v>
      </c>
      <c r="AK703" s="45"/>
      <c r="AL703" s="46">
        <f>+AJ703*AN701</f>
        <v>0</v>
      </c>
      <c r="AM703" s="1066">
        <f t="shared" si="1251"/>
        <v>0</v>
      </c>
      <c r="AN703" s="31"/>
      <c r="AO703" s="632">
        <f>(AJ703+AJ705+AJ706+AJ707)*B705/1000</f>
        <v>0</v>
      </c>
      <c r="AP703" s="47" t="s">
        <v>94</v>
      </c>
      <c r="AQ703" s="48">
        <f>SUM(E703:F703)</f>
        <v>0</v>
      </c>
      <c r="AR703" s="49">
        <f>SUM(G703:M703)</f>
        <v>0</v>
      </c>
      <c r="AS703" s="49">
        <f>SUM(N703:T703)</f>
        <v>0</v>
      </c>
      <c r="AT703" s="49">
        <f>SUM(U703:AA703)</f>
        <v>0</v>
      </c>
      <c r="AU703" s="49">
        <f>SUM(AB703:AI703)</f>
        <v>0</v>
      </c>
      <c r="AV703" s="50">
        <f t="shared" si="1333"/>
        <v>0</v>
      </c>
    </row>
    <row r="704" spans="1:48" ht="25.15" hidden="1" customHeight="1">
      <c r="A704" s="103"/>
      <c r="B704" s="51"/>
      <c r="C704" s="52" t="s">
        <v>95</v>
      </c>
      <c r="D704" s="53" t="s">
        <v>96</v>
      </c>
      <c r="E704" s="1327">
        <f>+E703-E701</f>
        <v>0</v>
      </c>
      <c r="F704" s="1097">
        <f>+F703-F701</f>
        <v>0</v>
      </c>
      <c r="G704" s="1205">
        <f>+G703-G701</f>
        <v>0</v>
      </c>
      <c r="H704" s="1097">
        <f>+H703-H701</f>
        <v>0</v>
      </c>
      <c r="I704" s="1097">
        <f t="shared" ref="I704:AJ704" si="1334">+I703-I701</f>
        <v>0</v>
      </c>
      <c r="J704" s="1205">
        <f>+J703-J701</f>
        <v>0</v>
      </c>
      <c r="K704" s="1205">
        <f t="shared" si="1334"/>
        <v>0</v>
      </c>
      <c r="L704" s="1097">
        <f t="shared" si="1334"/>
        <v>0</v>
      </c>
      <c r="M704" s="1097">
        <f t="shared" si="1334"/>
        <v>0</v>
      </c>
      <c r="N704" s="1097">
        <f t="shared" si="1334"/>
        <v>0</v>
      </c>
      <c r="O704" s="1097">
        <f t="shared" si="1334"/>
        <v>0</v>
      </c>
      <c r="P704" s="1097">
        <f t="shared" si="1334"/>
        <v>0</v>
      </c>
      <c r="Q704" s="1205">
        <f t="shared" si="1334"/>
        <v>0</v>
      </c>
      <c r="R704" s="1205">
        <f t="shared" si="1334"/>
        <v>0</v>
      </c>
      <c r="S704" s="1097">
        <f t="shared" si="1334"/>
        <v>0</v>
      </c>
      <c r="T704" s="1097">
        <f t="shared" si="1334"/>
        <v>0</v>
      </c>
      <c r="U704" s="1097">
        <f t="shared" si="1334"/>
        <v>0</v>
      </c>
      <c r="V704" s="1097">
        <f t="shared" si="1334"/>
        <v>0</v>
      </c>
      <c r="W704" s="1097">
        <f t="shared" si="1334"/>
        <v>0</v>
      </c>
      <c r="X704" s="1205">
        <f t="shared" si="1334"/>
        <v>0</v>
      </c>
      <c r="Y704" s="1205">
        <f t="shared" si="1334"/>
        <v>0</v>
      </c>
      <c r="Z704" s="1097">
        <f t="shared" si="1334"/>
        <v>0</v>
      </c>
      <c r="AA704" s="1097">
        <f t="shared" si="1334"/>
        <v>0</v>
      </c>
      <c r="AB704" s="1097">
        <f t="shared" ref="AB704" si="1335">+AB703-AB701</f>
        <v>0</v>
      </c>
      <c r="AC704" s="1097">
        <f t="shared" si="1334"/>
        <v>0</v>
      </c>
      <c r="AD704" s="1097">
        <f t="shared" si="1334"/>
        <v>0</v>
      </c>
      <c r="AE704" s="1205">
        <f t="shared" si="1334"/>
        <v>0</v>
      </c>
      <c r="AF704" s="1205">
        <f t="shared" si="1334"/>
        <v>0</v>
      </c>
      <c r="AG704" s="1097">
        <f t="shared" si="1334"/>
        <v>0</v>
      </c>
      <c r="AH704" s="1097">
        <f t="shared" si="1334"/>
        <v>0</v>
      </c>
      <c r="AI704" s="1328">
        <f t="shared" si="1334"/>
        <v>0</v>
      </c>
      <c r="AJ704" s="54">
        <f t="shared" si="1334"/>
        <v>0</v>
      </c>
      <c r="AK704" s="54"/>
      <c r="AL704" s="55">
        <f>+AJ704*AN701</f>
        <v>0</v>
      </c>
      <c r="AM704" s="1067">
        <f t="shared" si="1251"/>
        <v>0</v>
      </c>
      <c r="AN704" s="31" t="s">
        <v>97</v>
      </c>
      <c r="AO704" s="622"/>
      <c r="AP704" s="39" t="s">
        <v>98</v>
      </c>
      <c r="AQ704" s="56">
        <f>AQ703-AQ702</f>
        <v>0</v>
      </c>
      <c r="AR704" s="70">
        <f>AR703-AR702</f>
        <v>0</v>
      </c>
      <c r="AS704" s="70">
        <f>AS703-AS702</f>
        <v>0</v>
      </c>
      <c r="AT704" s="70">
        <f>AT703-AT702</f>
        <v>0</v>
      </c>
      <c r="AU704" s="70">
        <f>AU703-AU702</f>
        <v>0</v>
      </c>
      <c r="AV704" s="57">
        <f t="shared" si="1333"/>
        <v>0</v>
      </c>
    </row>
    <row r="705" spans="1:48" ht="25.15" hidden="1" customHeight="1">
      <c r="A705" s="58"/>
      <c r="B705" s="59"/>
      <c r="C705" s="60" t="s">
        <v>100</v>
      </c>
      <c r="D705" s="61" t="s">
        <v>101</v>
      </c>
      <c r="E705" s="1329"/>
      <c r="F705" s="1099"/>
      <c r="G705" s="1208"/>
      <c r="H705" s="1099"/>
      <c r="I705" s="1099"/>
      <c r="J705" s="1208"/>
      <c r="K705" s="1208"/>
      <c r="L705" s="1099"/>
      <c r="M705" s="1099"/>
      <c r="N705" s="1099"/>
      <c r="O705" s="1099"/>
      <c r="P705" s="1099"/>
      <c r="Q705" s="1208"/>
      <c r="R705" s="1208"/>
      <c r="S705" s="1099"/>
      <c r="T705" s="1099"/>
      <c r="U705" s="1099"/>
      <c r="V705" s="1099"/>
      <c r="W705" s="1099"/>
      <c r="X705" s="1208"/>
      <c r="Y705" s="1208"/>
      <c r="Z705" s="1099"/>
      <c r="AA705" s="1099"/>
      <c r="AB705" s="1099"/>
      <c r="AC705" s="1099"/>
      <c r="AD705" s="1099"/>
      <c r="AE705" s="1208"/>
      <c r="AF705" s="1208"/>
      <c r="AG705" s="1099"/>
      <c r="AH705" s="1099"/>
      <c r="AI705" s="1330"/>
      <c r="AJ705" s="62">
        <f>SUM(E705:AI705)</f>
        <v>0</v>
      </c>
      <c r="AK705" s="62"/>
      <c r="AL705" s="63">
        <f>+AJ705*AN701</f>
        <v>0</v>
      </c>
      <c r="AM705" s="1068">
        <f t="shared" si="1251"/>
        <v>0</v>
      </c>
      <c r="AN705" s="64" t="e">
        <f>+AJ705/AJ703*100</f>
        <v>#DIV/0!</v>
      </c>
      <c r="AO705" s="635" t="e">
        <f>AO703/AO701</f>
        <v>#VALUE!</v>
      </c>
      <c r="AP705" s="39" t="s">
        <v>102</v>
      </c>
      <c r="AQ705" s="56">
        <f>SUM(E705:F705)</f>
        <v>0</v>
      </c>
      <c r="AR705" s="70">
        <f>SUM(G705:M705)</f>
        <v>0</v>
      </c>
      <c r="AS705" s="70">
        <f>SUM(N705:T705)</f>
        <v>0</v>
      </c>
      <c r="AT705" s="70">
        <f>SUM(U705:AA705)</f>
        <v>0</v>
      </c>
      <c r="AU705" s="70">
        <f>SUM(AB705:AI705)</f>
        <v>0</v>
      </c>
      <c r="AV705" s="57">
        <f t="shared" si="1333"/>
        <v>0</v>
      </c>
    </row>
    <row r="706" spans="1:48" ht="25.15" hidden="1" customHeight="1">
      <c r="A706" s="58" t="s">
        <v>180</v>
      </c>
      <c r="B706" s="65"/>
      <c r="C706" s="66"/>
      <c r="D706" s="67" t="s">
        <v>103</v>
      </c>
      <c r="E706" s="1331"/>
      <c r="F706" s="1101"/>
      <c r="G706" s="1209"/>
      <c r="H706" s="1101"/>
      <c r="I706" s="1101"/>
      <c r="J706" s="1209"/>
      <c r="K706" s="1209"/>
      <c r="L706" s="1101"/>
      <c r="M706" s="1101"/>
      <c r="N706" s="1101"/>
      <c r="O706" s="1101"/>
      <c r="P706" s="1101"/>
      <c r="Q706" s="1209"/>
      <c r="R706" s="1209"/>
      <c r="S706" s="1101"/>
      <c r="T706" s="1101"/>
      <c r="U706" s="1101"/>
      <c r="V706" s="1101"/>
      <c r="W706" s="1101"/>
      <c r="X706" s="1209"/>
      <c r="Y706" s="1209"/>
      <c r="Z706" s="1101"/>
      <c r="AA706" s="1101"/>
      <c r="AB706" s="1101"/>
      <c r="AC706" s="1101"/>
      <c r="AD706" s="1101"/>
      <c r="AE706" s="1209"/>
      <c r="AF706" s="1209"/>
      <c r="AG706" s="1101"/>
      <c r="AH706" s="1101"/>
      <c r="AI706" s="1332"/>
      <c r="AJ706" s="68">
        <f>SUM(E706:AI706)</f>
        <v>0</v>
      </c>
      <c r="AK706" s="68"/>
      <c r="AL706" s="69">
        <f>+AJ706*AN701</f>
        <v>0</v>
      </c>
      <c r="AM706" s="1069">
        <f t="shared" si="1251"/>
        <v>0</v>
      </c>
      <c r="AN706" s="31"/>
      <c r="AO706" s="622"/>
      <c r="AP706" s="39" t="s">
        <v>19</v>
      </c>
      <c r="AQ706" s="56">
        <f>AQ705*AN701</f>
        <v>0</v>
      </c>
      <c r="AR706" s="56">
        <f>AR705*AN701</f>
        <v>0</v>
      </c>
      <c r="AS706" s="56">
        <f>AS705*AN701</f>
        <v>0</v>
      </c>
      <c r="AT706" s="56">
        <f>AT705*AN701</f>
        <v>0</v>
      </c>
      <c r="AU706" s="56">
        <f>AU705*AN701</f>
        <v>0</v>
      </c>
      <c r="AV706" s="57">
        <f t="shared" si="1333"/>
        <v>0</v>
      </c>
    </row>
    <row r="707" spans="1:48" ht="25.15" hidden="1" customHeight="1">
      <c r="A707" s="103"/>
      <c r="B707" s="65"/>
      <c r="C707" s="72" t="s">
        <v>104</v>
      </c>
      <c r="D707" s="73" t="s">
        <v>105</v>
      </c>
      <c r="E707" s="1378"/>
      <c r="F707" s="1103"/>
      <c r="G707" s="1210"/>
      <c r="H707" s="1103"/>
      <c r="I707" s="1103"/>
      <c r="J707" s="1210"/>
      <c r="K707" s="1210"/>
      <c r="L707" s="1103"/>
      <c r="M707" s="1103"/>
      <c r="N707" s="1103"/>
      <c r="O707" s="1103"/>
      <c r="P707" s="1103"/>
      <c r="Q707" s="1210"/>
      <c r="R707" s="1210"/>
      <c r="S707" s="1103"/>
      <c r="T707" s="1103"/>
      <c r="U707" s="1103"/>
      <c r="V707" s="1103"/>
      <c r="W707" s="1103"/>
      <c r="X707" s="1210"/>
      <c r="Y707" s="1210"/>
      <c r="Z707" s="1103"/>
      <c r="AA707" s="1103"/>
      <c r="AB707" s="1103"/>
      <c r="AC707" s="1103"/>
      <c r="AD707" s="1103"/>
      <c r="AE707" s="1210"/>
      <c r="AF707" s="1210"/>
      <c r="AG707" s="1103"/>
      <c r="AH707" s="1103"/>
      <c r="AI707" s="1352"/>
      <c r="AJ707" s="74">
        <f>SUM(E707:AI707)</f>
        <v>0</v>
      </c>
      <c r="AK707" s="74"/>
      <c r="AL707" s="75">
        <f>+AJ707*AN701</f>
        <v>0</v>
      </c>
      <c r="AM707" s="1070">
        <f t="shared" si="1251"/>
        <v>0</v>
      </c>
      <c r="AN707" s="76"/>
      <c r="AO707" s="636"/>
      <c r="AP707" s="47" t="s">
        <v>106</v>
      </c>
      <c r="AQ707" s="48">
        <f>AQ703*AN701</f>
        <v>0</v>
      </c>
      <c r="AR707" s="48">
        <f>AR703*AN701</f>
        <v>0</v>
      </c>
      <c r="AS707" s="48">
        <f>AS703*AN701</f>
        <v>0</v>
      </c>
      <c r="AT707" s="48">
        <f>AT703*AN701</f>
        <v>0</v>
      </c>
      <c r="AU707" s="48">
        <f>AU703*AN701</f>
        <v>0</v>
      </c>
      <c r="AV707" s="50">
        <f t="shared" si="1333"/>
        <v>0</v>
      </c>
    </row>
    <row r="708" spans="1:48" ht="25.15" hidden="1" customHeight="1">
      <c r="A708" s="103"/>
      <c r="B708" s="65"/>
      <c r="C708" s="77">
        <v>300000</v>
      </c>
      <c r="D708" s="78" t="s">
        <v>107</v>
      </c>
      <c r="E708" s="1327">
        <v>1</v>
      </c>
      <c r="F708" s="1097">
        <v>1</v>
      </c>
      <c r="G708" s="1205">
        <v>1</v>
      </c>
      <c r="H708" s="1097">
        <v>1</v>
      </c>
      <c r="I708" s="1097">
        <v>1</v>
      </c>
      <c r="J708" s="1205">
        <v>1</v>
      </c>
      <c r="K708" s="1205">
        <v>1</v>
      </c>
      <c r="L708" s="1097">
        <v>1</v>
      </c>
      <c r="M708" s="1097">
        <v>1</v>
      </c>
      <c r="N708" s="1097">
        <v>1</v>
      </c>
      <c r="O708" s="1097">
        <v>1</v>
      </c>
      <c r="P708" s="1097">
        <v>1</v>
      </c>
      <c r="Q708" s="1205">
        <v>1</v>
      </c>
      <c r="R708" s="1205">
        <v>1</v>
      </c>
      <c r="S708" s="1097">
        <v>1</v>
      </c>
      <c r="T708" s="1097">
        <v>1</v>
      </c>
      <c r="U708" s="1097">
        <v>1</v>
      </c>
      <c r="V708" s="1097">
        <v>1</v>
      </c>
      <c r="W708" s="1097">
        <v>1</v>
      </c>
      <c r="X708" s="1205">
        <v>1</v>
      </c>
      <c r="Y708" s="1205">
        <v>1</v>
      </c>
      <c r="Z708" s="1097">
        <v>1</v>
      </c>
      <c r="AA708" s="1097">
        <v>1</v>
      </c>
      <c r="AB708" s="1097">
        <v>1</v>
      </c>
      <c r="AC708" s="1097">
        <v>1</v>
      </c>
      <c r="AD708" s="1097">
        <v>1</v>
      </c>
      <c r="AE708" s="1205">
        <v>1</v>
      </c>
      <c r="AF708" s="1205">
        <v>1</v>
      </c>
      <c r="AG708" s="1097">
        <v>1</v>
      </c>
      <c r="AH708" s="1097">
        <v>1</v>
      </c>
      <c r="AI708" s="1328">
        <v>1</v>
      </c>
      <c r="AJ708" s="79"/>
      <c r="AK708" s="79"/>
      <c r="AL708" s="55"/>
      <c r="AM708" s="1067">
        <f t="shared" si="1251"/>
        <v>0</v>
      </c>
      <c r="AN708" s="31"/>
      <c r="AO708" s="622"/>
      <c r="AP708" s="23"/>
      <c r="AQ708" s="23"/>
      <c r="AR708" s="23"/>
      <c r="AS708" s="23"/>
      <c r="AT708" s="23"/>
      <c r="AU708" s="23"/>
      <c r="AV708" s="23"/>
    </row>
    <row r="709" spans="1:48" ht="25.15" hidden="1" customHeight="1">
      <c r="A709" s="103"/>
      <c r="B709" s="65"/>
      <c r="C709" s="80" t="s">
        <v>108</v>
      </c>
      <c r="D709" s="81" t="s">
        <v>109</v>
      </c>
      <c r="E709" s="1374">
        <f>SUM(E703+E705+E706+E707)/E708</f>
        <v>0</v>
      </c>
      <c r="F709" s="1104">
        <f>SUM(F703+F705+F706+F707)/F708</f>
        <v>0</v>
      </c>
      <c r="G709" s="1211">
        <f>SUM(G703+G705+G706+G707)/G708</f>
        <v>0</v>
      </c>
      <c r="H709" s="1104">
        <f t="shared" ref="H709:AH709" si="1336">SUM(H703+H705+H706+H707)/H708</f>
        <v>0</v>
      </c>
      <c r="I709" s="1104">
        <f t="shared" si="1336"/>
        <v>0</v>
      </c>
      <c r="J709" s="1211">
        <f t="shared" si="1336"/>
        <v>0</v>
      </c>
      <c r="K709" s="1211">
        <f t="shared" si="1336"/>
        <v>0</v>
      </c>
      <c r="L709" s="1104">
        <f t="shared" si="1336"/>
        <v>0</v>
      </c>
      <c r="M709" s="1104">
        <f t="shared" si="1336"/>
        <v>0</v>
      </c>
      <c r="N709" s="1104">
        <f t="shared" si="1336"/>
        <v>0</v>
      </c>
      <c r="O709" s="1104">
        <f t="shared" si="1336"/>
        <v>0</v>
      </c>
      <c r="P709" s="1104">
        <f t="shared" si="1336"/>
        <v>0</v>
      </c>
      <c r="Q709" s="1211">
        <f t="shared" si="1336"/>
        <v>0</v>
      </c>
      <c r="R709" s="1211">
        <f t="shared" si="1336"/>
        <v>0</v>
      </c>
      <c r="S709" s="1104">
        <f t="shared" si="1336"/>
        <v>0</v>
      </c>
      <c r="T709" s="1104">
        <f t="shared" si="1336"/>
        <v>0</v>
      </c>
      <c r="U709" s="1104">
        <f t="shared" si="1336"/>
        <v>0</v>
      </c>
      <c r="V709" s="1104">
        <f t="shared" si="1336"/>
        <v>0</v>
      </c>
      <c r="W709" s="1104">
        <f t="shared" si="1336"/>
        <v>0</v>
      </c>
      <c r="X709" s="1211">
        <f t="shared" si="1336"/>
        <v>0</v>
      </c>
      <c r="Y709" s="1211">
        <f t="shared" si="1336"/>
        <v>0</v>
      </c>
      <c r="Z709" s="1104">
        <f t="shared" si="1336"/>
        <v>0</v>
      </c>
      <c r="AA709" s="1104">
        <f t="shared" si="1336"/>
        <v>0</v>
      </c>
      <c r="AB709" s="1104">
        <f t="shared" si="1336"/>
        <v>0</v>
      </c>
      <c r="AC709" s="1104">
        <f t="shared" si="1336"/>
        <v>0</v>
      </c>
      <c r="AD709" s="1104">
        <f t="shared" si="1336"/>
        <v>0</v>
      </c>
      <c r="AE709" s="1211">
        <f t="shared" si="1336"/>
        <v>0</v>
      </c>
      <c r="AF709" s="1211">
        <f t="shared" si="1336"/>
        <v>0</v>
      </c>
      <c r="AG709" s="1104">
        <f t="shared" si="1336"/>
        <v>0</v>
      </c>
      <c r="AH709" s="1104">
        <f t="shared" si="1336"/>
        <v>0</v>
      </c>
      <c r="AI709" s="1335">
        <f>SUM(AI703+AI705+AI706)/AI708</f>
        <v>0</v>
      </c>
      <c r="AJ709" s="104">
        <f>SUM(E709:AI709)</f>
        <v>0</v>
      </c>
      <c r="AK709" s="104"/>
      <c r="AL709" s="83"/>
      <c r="AM709" s="1068">
        <f t="shared" si="1251"/>
        <v>0</v>
      </c>
      <c r="AN709" s="31"/>
      <c r="AO709" s="622"/>
      <c r="AP709" s="23"/>
      <c r="AQ709" s="23"/>
      <c r="AR709" s="23"/>
      <c r="AS709" s="23"/>
      <c r="AT709" s="23"/>
      <c r="AU709" s="23"/>
      <c r="AV709" s="23"/>
    </row>
    <row r="710" spans="1:48" ht="25.15" hidden="1" customHeight="1">
      <c r="A710" s="103"/>
      <c r="B710" s="59"/>
      <c r="C710" s="84">
        <f>+C708*0.8</f>
        <v>240000</v>
      </c>
      <c r="D710" s="85" t="s">
        <v>110</v>
      </c>
      <c r="E710" s="1105"/>
      <c r="F710" s="1106"/>
      <c r="G710" s="1211"/>
      <c r="H710" s="1104"/>
      <c r="I710" s="1104"/>
      <c r="J710" s="1211"/>
      <c r="K710" s="1211"/>
      <c r="L710" s="1104"/>
      <c r="M710" s="1104"/>
      <c r="N710" s="1104"/>
      <c r="O710" s="1107"/>
      <c r="P710" s="1104"/>
      <c r="Q710" s="1211"/>
      <c r="R710" s="1211"/>
      <c r="S710" s="1104"/>
      <c r="T710" s="1104"/>
      <c r="U710" s="1104"/>
      <c r="V710" s="1104"/>
      <c r="W710" s="1104"/>
      <c r="X710" s="1211"/>
      <c r="Y710" s="1211"/>
      <c r="Z710" s="1104"/>
      <c r="AA710" s="1104"/>
      <c r="AB710" s="1104"/>
      <c r="AC710" s="1104"/>
      <c r="AD710" s="1104"/>
      <c r="AE710" s="1211"/>
      <c r="AF710" s="1211"/>
      <c r="AG710" s="1104"/>
      <c r="AH710" s="1104"/>
      <c r="AI710" s="1353"/>
      <c r="AJ710" s="86"/>
      <c r="AK710" s="86"/>
      <c r="AL710" s="690"/>
      <c r="AM710" s="694">
        <f t="shared" si="1251"/>
        <v>0</v>
      </c>
      <c r="AN710" s="31"/>
      <c r="AO710" s="622"/>
      <c r="AP710" s="23"/>
      <c r="AQ710" s="23"/>
      <c r="AR710" s="23"/>
      <c r="AS710" s="23"/>
      <c r="AT710" s="23"/>
      <c r="AU710" s="23"/>
      <c r="AV710" s="23"/>
    </row>
    <row r="711" spans="1:48" ht="25.15" hidden="1" customHeight="1">
      <c r="A711" s="103"/>
      <c r="B711" s="105"/>
      <c r="C711" s="77"/>
      <c r="D711" s="88" t="s">
        <v>111</v>
      </c>
      <c r="E711" s="1108">
        <f>IF(E710="O/H",E709,0+E709)</f>
        <v>0</v>
      </c>
      <c r="F711" s="1089">
        <f t="shared" ref="F711:AI711" si="1337">IF(F710="O/H",F709,+E711+F709)</f>
        <v>0</v>
      </c>
      <c r="G711" s="44">
        <f t="shared" si="1337"/>
        <v>0</v>
      </c>
      <c r="H711" s="1089">
        <f t="shared" si="1337"/>
        <v>0</v>
      </c>
      <c r="I711" s="1089">
        <f t="shared" si="1337"/>
        <v>0</v>
      </c>
      <c r="J711" s="44">
        <f t="shared" si="1337"/>
        <v>0</v>
      </c>
      <c r="K711" s="44">
        <f t="shared" si="1337"/>
        <v>0</v>
      </c>
      <c r="L711" s="1089">
        <f t="shared" si="1337"/>
        <v>0</v>
      </c>
      <c r="M711" s="1089">
        <f t="shared" si="1337"/>
        <v>0</v>
      </c>
      <c r="N711" s="1089">
        <f t="shared" si="1337"/>
        <v>0</v>
      </c>
      <c r="O711" s="1089">
        <f t="shared" si="1337"/>
        <v>0</v>
      </c>
      <c r="P711" s="1089">
        <f t="shared" si="1337"/>
        <v>0</v>
      </c>
      <c r="Q711" s="44">
        <f t="shared" si="1337"/>
        <v>0</v>
      </c>
      <c r="R711" s="44">
        <f t="shared" si="1337"/>
        <v>0</v>
      </c>
      <c r="S711" s="1089">
        <f t="shared" si="1337"/>
        <v>0</v>
      </c>
      <c r="T711" s="1089">
        <f t="shared" si="1337"/>
        <v>0</v>
      </c>
      <c r="U711" s="1089">
        <f t="shared" si="1337"/>
        <v>0</v>
      </c>
      <c r="V711" s="1089">
        <f t="shared" si="1337"/>
        <v>0</v>
      </c>
      <c r="W711" s="1089">
        <f t="shared" si="1337"/>
        <v>0</v>
      </c>
      <c r="X711" s="44">
        <f t="shared" si="1337"/>
        <v>0</v>
      </c>
      <c r="Y711" s="44">
        <f t="shared" si="1337"/>
        <v>0</v>
      </c>
      <c r="Z711" s="1089">
        <f t="shared" si="1337"/>
        <v>0</v>
      </c>
      <c r="AA711" s="1089">
        <f t="shared" si="1337"/>
        <v>0</v>
      </c>
      <c r="AB711" s="1089">
        <f t="shared" si="1337"/>
        <v>0</v>
      </c>
      <c r="AC711" s="1089">
        <f t="shared" si="1337"/>
        <v>0</v>
      </c>
      <c r="AD711" s="1089">
        <f t="shared" si="1337"/>
        <v>0</v>
      </c>
      <c r="AE711" s="44">
        <f t="shared" si="1337"/>
        <v>0</v>
      </c>
      <c r="AF711" s="44">
        <f t="shared" si="1337"/>
        <v>0</v>
      </c>
      <c r="AG711" s="1089">
        <f t="shared" si="1337"/>
        <v>0</v>
      </c>
      <c r="AH711" s="1089">
        <f t="shared" si="1337"/>
        <v>0</v>
      </c>
      <c r="AI711" s="1326">
        <f t="shared" si="1337"/>
        <v>0</v>
      </c>
      <c r="AJ711" s="79"/>
      <c r="AK711" s="86"/>
      <c r="AL711" s="689"/>
      <c r="AM711" s="694">
        <f t="shared" ref="AM711:AM774" si="1338">AL713</f>
        <v>0</v>
      </c>
      <c r="AN711" s="31"/>
      <c r="AO711" s="622"/>
      <c r="AP711" s="23"/>
      <c r="AQ711" s="23"/>
      <c r="AR711" s="23"/>
      <c r="AS711" s="23"/>
      <c r="AT711" s="23"/>
      <c r="AU711" s="23"/>
      <c r="AV711" s="23"/>
    </row>
    <row r="712" spans="1:48" ht="25.15" hidden="1" customHeight="1">
      <c r="A712" s="103"/>
      <c r="B712" s="89"/>
      <c r="C712" s="80"/>
      <c r="D712" s="90" t="s">
        <v>104</v>
      </c>
      <c r="E712" s="1108"/>
      <c r="F712" s="1089"/>
      <c r="G712" s="44"/>
      <c r="H712" s="1089"/>
      <c r="I712" s="1089"/>
      <c r="J712" s="44"/>
      <c r="K712" s="44"/>
      <c r="L712" s="1089"/>
      <c r="M712" s="1089"/>
      <c r="N712" s="1089"/>
      <c r="O712" s="1089"/>
      <c r="P712" s="1089"/>
      <c r="Q712" s="44"/>
      <c r="R712" s="44"/>
      <c r="S712" s="1089"/>
      <c r="T712" s="1089"/>
      <c r="U712" s="1089"/>
      <c r="V712" s="1089"/>
      <c r="W712" s="1089"/>
      <c r="X712" s="44"/>
      <c r="Y712" s="44"/>
      <c r="Z712" s="1089"/>
      <c r="AA712" s="1089"/>
      <c r="AB712" s="1089"/>
      <c r="AC712" s="1089"/>
      <c r="AD712" s="1089"/>
      <c r="AE712" s="44"/>
      <c r="AF712" s="44"/>
      <c r="AG712" s="1089"/>
      <c r="AH712" s="1089"/>
      <c r="AI712" s="1326"/>
      <c r="AJ712" s="79"/>
      <c r="AK712" s="79"/>
      <c r="AL712" s="63"/>
      <c r="AM712" s="1068">
        <f t="shared" si="1338"/>
        <v>0</v>
      </c>
      <c r="AN712" s="64"/>
      <c r="AO712" s="624"/>
      <c r="AP712" s="23"/>
      <c r="AQ712" s="23"/>
      <c r="AR712" s="23"/>
      <c r="AS712" s="23"/>
      <c r="AT712" s="23"/>
      <c r="AU712" s="23"/>
      <c r="AV712" s="23"/>
    </row>
    <row r="713" spans="1:48" ht="25.15" hidden="1" customHeight="1" thickBot="1">
      <c r="A713" s="106"/>
      <c r="B713" s="93"/>
      <c r="C713" s="94"/>
      <c r="D713" s="95" t="s">
        <v>111</v>
      </c>
      <c r="E713" s="1109">
        <f>IF(E712="O/H",E709,0+E709)</f>
        <v>0</v>
      </c>
      <c r="F713" s="1110">
        <f t="shared" ref="F713:AI713" si="1339">IF(F712="O/H",F709,+E713+F709)</f>
        <v>0</v>
      </c>
      <c r="G713" s="1212">
        <f t="shared" si="1339"/>
        <v>0</v>
      </c>
      <c r="H713" s="1110">
        <f t="shared" si="1339"/>
        <v>0</v>
      </c>
      <c r="I713" s="1110">
        <f t="shared" si="1339"/>
        <v>0</v>
      </c>
      <c r="J713" s="1212">
        <f t="shared" si="1339"/>
        <v>0</v>
      </c>
      <c r="K713" s="1212">
        <f t="shared" si="1339"/>
        <v>0</v>
      </c>
      <c r="L713" s="1110">
        <f t="shared" si="1339"/>
        <v>0</v>
      </c>
      <c r="M713" s="1110">
        <f t="shared" si="1339"/>
        <v>0</v>
      </c>
      <c r="N713" s="1110">
        <f t="shared" si="1339"/>
        <v>0</v>
      </c>
      <c r="O713" s="1110">
        <f t="shared" si="1339"/>
        <v>0</v>
      </c>
      <c r="P713" s="1110">
        <f t="shared" si="1339"/>
        <v>0</v>
      </c>
      <c r="Q713" s="1212">
        <f t="shared" si="1339"/>
        <v>0</v>
      </c>
      <c r="R713" s="1212">
        <f t="shared" si="1339"/>
        <v>0</v>
      </c>
      <c r="S713" s="1110">
        <f t="shared" si="1339"/>
        <v>0</v>
      </c>
      <c r="T713" s="1110">
        <f t="shared" si="1339"/>
        <v>0</v>
      </c>
      <c r="U713" s="1110">
        <f t="shared" si="1339"/>
        <v>0</v>
      </c>
      <c r="V713" s="1110">
        <f t="shared" si="1339"/>
        <v>0</v>
      </c>
      <c r="W713" s="1110">
        <f t="shared" si="1339"/>
        <v>0</v>
      </c>
      <c r="X713" s="1212">
        <f t="shared" si="1339"/>
        <v>0</v>
      </c>
      <c r="Y713" s="1212">
        <f t="shared" si="1339"/>
        <v>0</v>
      </c>
      <c r="Z713" s="1110">
        <f t="shared" si="1339"/>
        <v>0</v>
      </c>
      <c r="AA713" s="1110">
        <f t="shared" si="1339"/>
        <v>0</v>
      </c>
      <c r="AB713" s="1110">
        <f t="shared" si="1339"/>
        <v>0</v>
      </c>
      <c r="AC713" s="1110">
        <f t="shared" si="1339"/>
        <v>0</v>
      </c>
      <c r="AD713" s="1110">
        <f t="shared" si="1339"/>
        <v>0</v>
      </c>
      <c r="AE713" s="1212">
        <f t="shared" si="1339"/>
        <v>0</v>
      </c>
      <c r="AF713" s="1212">
        <f t="shared" si="1339"/>
        <v>0</v>
      </c>
      <c r="AG713" s="1110">
        <f t="shared" si="1339"/>
        <v>0</v>
      </c>
      <c r="AH713" s="1110">
        <f t="shared" si="1339"/>
        <v>0</v>
      </c>
      <c r="AI713" s="1340">
        <f t="shared" si="1339"/>
        <v>0</v>
      </c>
      <c r="AJ713" s="96"/>
      <c r="AK713" s="96"/>
      <c r="AL713" s="97"/>
      <c r="AM713" s="1071">
        <f t="shared" si="1338"/>
        <v>0</v>
      </c>
      <c r="AN713" s="98"/>
      <c r="AO713" s="625"/>
      <c r="AP713" s="23"/>
      <c r="AQ713" s="23"/>
      <c r="AR713" s="23"/>
      <c r="AS713" s="23"/>
      <c r="AT713" s="23"/>
      <c r="AU713" s="23"/>
      <c r="AV713" s="23"/>
    </row>
    <row r="714" spans="1:48" ht="25.15" hidden="1" customHeight="1" thickTop="1">
      <c r="A714" s="99"/>
      <c r="B714" s="26" t="s">
        <v>183</v>
      </c>
      <c r="C714" s="27"/>
      <c r="D714" s="28" t="s">
        <v>82</v>
      </c>
      <c r="E714" s="1111"/>
      <c r="F714" s="1111"/>
      <c r="G714" s="1201"/>
      <c r="H714" s="1111"/>
      <c r="I714" s="1111"/>
      <c r="J714" s="1201"/>
      <c r="K714" s="1201"/>
      <c r="L714" s="1111"/>
      <c r="M714" s="1111"/>
      <c r="N714" s="1111"/>
      <c r="O714" s="1111"/>
      <c r="P714" s="1111"/>
      <c r="Q714" s="1201"/>
      <c r="R714" s="1201"/>
      <c r="S714" s="1111"/>
      <c r="T714" s="1111"/>
      <c r="U714" s="1111"/>
      <c r="V714" s="1111"/>
      <c r="W714" s="1111"/>
      <c r="X714" s="1201"/>
      <c r="Y714" s="1201"/>
      <c r="Z714" s="1111"/>
      <c r="AA714" s="1111"/>
      <c r="AB714" s="1111"/>
      <c r="AC714" s="1111"/>
      <c r="AD714" s="1111"/>
      <c r="AE714" s="1201"/>
      <c r="AF714" s="1201"/>
      <c r="AG714" s="1111"/>
      <c r="AH714" s="1111"/>
      <c r="AI714" s="1111"/>
      <c r="AJ714" s="100">
        <f>SUM(Table75[[#This Row],[June''2026]:[Column27]])</f>
        <v>0</v>
      </c>
      <c r="AK714" s="100">
        <f t="shared" ref="AK714:AK769" si="1340">AJ716</f>
        <v>0</v>
      </c>
      <c r="AL714" s="101">
        <f>+AJ714*AN714</f>
        <v>0</v>
      </c>
      <c r="AM714" s="1072">
        <f t="shared" si="1338"/>
        <v>0</v>
      </c>
      <c r="AN714" s="102"/>
      <c r="AO714" s="622" t="e">
        <f>Table5[[#This Row],[Total]]*B718/1000</f>
        <v>#VALUE!</v>
      </c>
      <c r="AP714" s="32" t="s">
        <v>166</v>
      </c>
      <c r="AQ714" s="33" t="s">
        <v>84</v>
      </c>
      <c r="AR714" s="33" t="s">
        <v>85</v>
      </c>
      <c r="AS714" s="33" t="s">
        <v>86</v>
      </c>
      <c r="AT714" s="33" t="s">
        <v>87</v>
      </c>
      <c r="AU714" s="33" t="s">
        <v>88</v>
      </c>
      <c r="AV714" s="34" t="s">
        <v>68</v>
      </c>
    </row>
    <row r="715" spans="1:48" ht="25.15" hidden="1" customHeight="1">
      <c r="A715" s="103"/>
      <c r="B715" s="35"/>
      <c r="C715" s="36"/>
      <c r="D715" s="37" t="s">
        <v>90</v>
      </c>
      <c r="E715" s="1373">
        <f>IF(E714="",0,+ E714/E721)</f>
        <v>0</v>
      </c>
      <c r="F715" s="1096">
        <f t="shared" ref="F715:AI715" si="1341">IF(F714="",0, E715+F714/F721)</f>
        <v>0</v>
      </c>
      <c r="G715" s="1207">
        <f t="shared" si="1341"/>
        <v>0</v>
      </c>
      <c r="H715" s="1096">
        <f t="shared" si="1341"/>
        <v>0</v>
      </c>
      <c r="I715" s="1096">
        <f t="shared" si="1341"/>
        <v>0</v>
      </c>
      <c r="J715" s="1207">
        <f t="shared" si="1341"/>
        <v>0</v>
      </c>
      <c r="K715" s="1207">
        <f t="shared" si="1341"/>
        <v>0</v>
      </c>
      <c r="L715" s="1096">
        <f t="shared" si="1341"/>
        <v>0</v>
      </c>
      <c r="M715" s="1096">
        <f t="shared" si="1341"/>
        <v>0</v>
      </c>
      <c r="N715" s="1096">
        <f t="shared" si="1341"/>
        <v>0</v>
      </c>
      <c r="O715" s="1096">
        <f t="shared" si="1341"/>
        <v>0</v>
      </c>
      <c r="P715" s="1096">
        <f t="shared" si="1341"/>
        <v>0</v>
      </c>
      <c r="Q715" s="1207">
        <f t="shared" si="1341"/>
        <v>0</v>
      </c>
      <c r="R715" s="1207">
        <f t="shared" si="1341"/>
        <v>0</v>
      </c>
      <c r="S715" s="1096">
        <f t="shared" si="1341"/>
        <v>0</v>
      </c>
      <c r="T715" s="1096">
        <f t="shared" si="1341"/>
        <v>0</v>
      </c>
      <c r="U715" s="1096">
        <f t="shared" si="1341"/>
        <v>0</v>
      </c>
      <c r="V715" s="1096">
        <f t="shared" si="1341"/>
        <v>0</v>
      </c>
      <c r="W715" s="1096">
        <f t="shared" si="1341"/>
        <v>0</v>
      </c>
      <c r="X715" s="1207">
        <f t="shared" si="1341"/>
        <v>0</v>
      </c>
      <c r="Y715" s="1207">
        <f t="shared" si="1341"/>
        <v>0</v>
      </c>
      <c r="Z715" s="1096">
        <f t="shared" si="1341"/>
        <v>0</v>
      </c>
      <c r="AA715" s="1096">
        <f t="shared" si="1341"/>
        <v>0</v>
      </c>
      <c r="AB715" s="1096">
        <f t="shared" si="1341"/>
        <v>0</v>
      </c>
      <c r="AC715" s="1096">
        <f t="shared" si="1341"/>
        <v>0</v>
      </c>
      <c r="AD715" s="1096">
        <f t="shared" si="1341"/>
        <v>0</v>
      </c>
      <c r="AE715" s="1207">
        <f t="shared" si="1341"/>
        <v>0</v>
      </c>
      <c r="AF715" s="1207">
        <f t="shared" si="1341"/>
        <v>0</v>
      </c>
      <c r="AG715" s="1096">
        <f t="shared" si="1341"/>
        <v>0</v>
      </c>
      <c r="AH715" s="1096">
        <f t="shared" si="1341"/>
        <v>0</v>
      </c>
      <c r="AI715" s="1324">
        <f t="shared" si="1341"/>
        <v>0</v>
      </c>
      <c r="AJ715" s="38"/>
      <c r="AK715" s="29"/>
      <c r="AL715" s="30"/>
      <c r="AM715" s="694">
        <f t="shared" si="1338"/>
        <v>0</v>
      </c>
      <c r="AN715" s="31"/>
      <c r="AO715" s="630"/>
      <c r="AP715" s="39" t="s">
        <v>91</v>
      </c>
      <c r="AQ715" s="40">
        <f>SUM(E714:I714)</f>
        <v>0</v>
      </c>
      <c r="AR715" s="41">
        <f>SUM(J714:P714)</f>
        <v>0</v>
      </c>
      <c r="AS715" s="41">
        <f>SUM(Q714:W714)</f>
        <v>0</v>
      </c>
      <c r="AT715" s="41">
        <f>SUM(X714:AD714)</f>
        <v>0</v>
      </c>
      <c r="AU715" s="41">
        <f>SUM(AE714:AI714)</f>
        <v>0</v>
      </c>
      <c r="AV715" s="34">
        <f t="shared" ref="AV715:AV720" si="1342">SUM(AQ715:AU715)</f>
        <v>0</v>
      </c>
    </row>
    <row r="716" spans="1:48" ht="25.15" hidden="1" customHeight="1">
      <c r="A716" s="103"/>
      <c r="B716" s="26" t="s">
        <v>92</v>
      </c>
      <c r="C716" s="42"/>
      <c r="D716" s="43" t="s">
        <v>93</v>
      </c>
      <c r="E716" s="1325">
        <v>0</v>
      </c>
      <c r="F716" s="1089"/>
      <c r="G716" s="44"/>
      <c r="H716" s="1089"/>
      <c r="I716" s="1089"/>
      <c r="J716" s="44"/>
      <c r="K716" s="44"/>
      <c r="L716" s="1089"/>
      <c r="M716" s="1089"/>
      <c r="N716" s="1089"/>
      <c r="O716" s="1089"/>
      <c r="P716" s="1089"/>
      <c r="Q716" s="44"/>
      <c r="R716" s="44"/>
      <c r="S716" s="1089"/>
      <c r="T716" s="1089"/>
      <c r="U716" s="1089"/>
      <c r="V716" s="1089"/>
      <c r="W716" s="1089"/>
      <c r="X716" s="44"/>
      <c r="Y716" s="44"/>
      <c r="Z716" s="1089"/>
      <c r="AA716" s="1089"/>
      <c r="AB716" s="1089"/>
      <c r="AC716" s="1089"/>
      <c r="AD716" s="1089"/>
      <c r="AE716" s="44"/>
      <c r="AF716" s="44"/>
      <c r="AG716" s="1089"/>
      <c r="AH716" s="1089"/>
      <c r="AI716" s="1326"/>
      <c r="AJ716" s="45">
        <f>SUM(E716:AI716)</f>
        <v>0</v>
      </c>
      <c r="AK716" s="45"/>
      <c r="AL716" s="46">
        <f>+AJ716*AN714</f>
        <v>0</v>
      </c>
      <c r="AM716" s="1066">
        <f t="shared" si="1338"/>
        <v>0</v>
      </c>
      <c r="AN716" s="31"/>
      <c r="AO716" s="632">
        <f>(AJ716+AJ718+AJ719+AJ720)*B718/1000</f>
        <v>0</v>
      </c>
      <c r="AP716" s="47" t="s">
        <v>94</v>
      </c>
      <c r="AQ716" s="48">
        <f>SUM(E716:I716)</f>
        <v>0</v>
      </c>
      <c r="AR716" s="49">
        <f>SUM(J716:P716)</f>
        <v>0</v>
      </c>
      <c r="AS716" s="49">
        <f>SUM(Q716:W716)</f>
        <v>0</v>
      </c>
      <c r="AT716" s="49">
        <f>SUM(X716:AD716)</f>
        <v>0</v>
      </c>
      <c r="AU716" s="49">
        <f>SUM(AE716:AI716)</f>
        <v>0</v>
      </c>
      <c r="AV716" s="50">
        <f t="shared" si="1342"/>
        <v>0</v>
      </c>
    </row>
    <row r="717" spans="1:48" ht="25.15" hidden="1" customHeight="1">
      <c r="A717" s="103"/>
      <c r="B717" s="51"/>
      <c r="C717" s="52" t="s">
        <v>95</v>
      </c>
      <c r="D717" s="53" t="s">
        <v>96</v>
      </c>
      <c r="E717" s="1327">
        <f t="shared" ref="E717:AJ717" si="1343">+E716-E714</f>
        <v>0</v>
      </c>
      <c r="F717" s="1097">
        <f t="shared" si="1343"/>
        <v>0</v>
      </c>
      <c r="G717" s="1205">
        <f t="shared" si="1343"/>
        <v>0</v>
      </c>
      <c r="H717" s="1097">
        <f t="shared" si="1343"/>
        <v>0</v>
      </c>
      <c r="I717" s="1097">
        <f t="shared" si="1343"/>
        <v>0</v>
      </c>
      <c r="J717" s="1205">
        <f t="shared" si="1343"/>
        <v>0</v>
      </c>
      <c r="K717" s="1205">
        <f t="shared" si="1343"/>
        <v>0</v>
      </c>
      <c r="L717" s="1097">
        <f t="shared" si="1343"/>
        <v>0</v>
      </c>
      <c r="M717" s="1097">
        <f t="shared" si="1343"/>
        <v>0</v>
      </c>
      <c r="N717" s="1097">
        <f t="shared" si="1343"/>
        <v>0</v>
      </c>
      <c r="O717" s="1097">
        <f t="shared" si="1343"/>
        <v>0</v>
      </c>
      <c r="P717" s="1097">
        <f t="shared" si="1343"/>
        <v>0</v>
      </c>
      <c r="Q717" s="1205">
        <f t="shared" si="1343"/>
        <v>0</v>
      </c>
      <c r="R717" s="1205">
        <f t="shared" si="1343"/>
        <v>0</v>
      </c>
      <c r="S717" s="1097">
        <f t="shared" si="1343"/>
        <v>0</v>
      </c>
      <c r="T717" s="1097">
        <f t="shared" si="1343"/>
        <v>0</v>
      </c>
      <c r="U717" s="1097">
        <f t="shared" si="1343"/>
        <v>0</v>
      </c>
      <c r="V717" s="1097">
        <f t="shared" si="1343"/>
        <v>0</v>
      </c>
      <c r="W717" s="1097">
        <f t="shared" si="1343"/>
        <v>0</v>
      </c>
      <c r="X717" s="1205">
        <f t="shared" si="1343"/>
        <v>0</v>
      </c>
      <c r="Y717" s="1205">
        <f t="shared" si="1343"/>
        <v>0</v>
      </c>
      <c r="Z717" s="1097">
        <f t="shared" si="1343"/>
        <v>0</v>
      </c>
      <c r="AA717" s="1097">
        <f t="shared" si="1343"/>
        <v>0</v>
      </c>
      <c r="AB717" s="1097">
        <f t="shared" ref="AB717" si="1344">+AB716-AB714</f>
        <v>0</v>
      </c>
      <c r="AC717" s="1097">
        <f t="shared" si="1343"/>
        <v>0</v>
      </c>
      <c r="AD717" s="1097">
        <f t="shared" si="1343"/>
        <v>0</v>
      </c>
      <c r="AE717" s="1205">
        <f t="shared" si="1343"/>
        <v>0</v>
      </c>
      <c r="AF717" s="1205">
        <f t="shared" si="1343"/>
        <v>0</v>
      </c>
      <c r="AG717" s="1097">
        <f t="shared" si="1343"/>
        <v>0</v>
      </c>
      <c r="AH717" s="1097">
        <f t="shared" si="1343"/>
        <v>0</v>
      </c>
      <c r="AI717" s="1328">
        <f t="shared" si="1343"/>
        <v>0</v>
      </c>
      <c r="AJ717" s="54">
        <f t="shared" si="1343"/>
        <v>0</v>
      </c>
      <c r="AK717" s="54"/>
      <c r="AL717" s="55">
        <f>+AJ717*AN714</f>
        <v>0</v>
      </c>
      <c r="AM717" s="1067">
        <f t="shared" si="1338"/>
        <v>0</v>
      </c>
      <c r="AN717" s="31" t="s">
        <v>97</v>
      </c>
      <c r="AO717" s="622"/>
      <c r="AP717" s="39" t="s">
        <v>98</v>
      </c>
      <c r="AQ717" s="56">
        <f>AQ716-AQ715</f>
        <v>0</v>
      </c>
      <c r="AR717" s="70">
        <f>AR716-AR715</f>
        <v>0</v>
      </c>
      <c r="AS717" s="70">
        <f>AS716-AS715</f>
        <v>0</v>
      </c>
      <c r="AT717" s="70">
        <f>AT716-AT715</f>
        <v>0</v>
      </c>
      <c r="AU717" s="70">
        <f>AU716-AU715</f>
        <v>0</v>
      </c>
      <c r="AV717" s="57">
        <f t="shared" si="1342"/>
        <v>0</v>
      </c>
    </row>
    <row r="718" spans="1:48" ht="25.15" hidden="1" customHeight="1">
      <c r="A718" s="58"/>
      <c r="B718" s="59"/>
      <c r="C718" s="60" t="s">
        <v>100</v>
      </c>
      <c r="D718" s="61" t="s">
        <v>101</v>
      </c>
      <c r="E718" s="1329"/>
      <c r="F718" s="1099"/>
      <c r="G718" s="1208"/>
      <c r="H718" s="1099"/>
      <c r="I718" s="1099"/>
      <c r="J718" s="1208"/>
      <c r="K718" s="1208"/>
      <c r="L718" s="1099"/>
      <c r="M718" s="1099"/>
      <c r="N718" s="1099"/>
      <c r="O718" s="1099"/>
      <c r="P718" s="1099"/>
      <c r="Q718" s="1208"/>
      <c r="R718" s="1208"/>
      <c r="S718" s="1099"/>
      <c r="T718" s="1099"/>
      <c r="U718" s="1099"/>
      <c r="V718" s="1099"/>
      <c r="W718" s="1099"/>
      <c r="X718" s="1208"/>
      <c r="Y718" s="1208"/>
      <c r="Z718" s="1099"/>
      <c r="AA718" s="1099"/>
      <c r="AB718" s="1099"/>
      <c r="AC718" s="1099"/>
      <c r="AD718" s="1099"/>
      <c r="AE718" s="1208"/>
      <c r="AF718" s="1208"/>
      <c r="AG718" s="1099"/>
      <c r="AH718" s="1099"/>
      <c r="AI718" s="1330"/>
      <c r="AJ718" s="62">
        <f>SUM(E718:AI718)</f>
        <v>0</v>
      </c>
      <c r="AK718" s="62"/>
      <c r="AL718" s="63">
        <f>+AJ718*AN714</f>
        <v>0</v>
      </c>
      <c r="AM718" s="1068">
        <f t="shared" si="1338"/>
        <v>0</v>
      </c>
      <c r="AN718" s="64" t="e">
        <f>+AJ718/AJ716*100</f>
        <v>#DIV/0!</v>
      </c>
      <c r="AO718" s="635" t="e">
        <f>AO716/AO714</f>
        <v>#VALUE!</v>
      </c>
      <c r="AP718" s="39" t="s">
        <v>102</v>
      </c>
      <c r="AQ718" s="56">
        <f>SUM(E718:I718)</f>
        <v>0</v>
      </c>
      <c r="AR718" s="70">
        <f>SUM(J718:P718)</f>
        <v>0</v>
      </c>
      <c r="AS718" s="70">
        <f>SUM(Q718:W718)</f>
        <v>0</v>
      </c>
      <c r="AT718" s="70">
        <f>SUM(X718:AD718)</f>
        <v>0</v>
      </c>
      <c r="AU718" s="70">
        <f>SUM(AE718:AI718)</f>
        <v>0</v>
      </c>
      <c r="AV718" s="57">
        <f t="shared" si="1342"/>
        <v>0</v>
      </c>
    </row>
    <row r="719" spans="1:48" ht="25.15" hidden="1" customHeight="1">
      <c r="A719" s="58" t="s">
        <v>184</v>
      </c>
      <c r="B719" s="65"/>
      <c r="C719" s="66"/>
      <c r="D719" s="67" t="s">
        <v>103</v>
      </c>
      <c r="E719" s="1331"/>
      <c r="F719" s="1101"/>
      <c r="G719" s="1209"/>
      <c r="H719" s="1101"/>
      <c r="I719" s="1101"/>
      <c r="J719" s="1209"/>
      <c r="K719" s="1209"/>
      <c r="L719" s="1101"/>
      <c r="M719" s="1101"/>
      <c r="N719" s="1101"/>
      <c r="O719" s="1101"/>
      <c r="P719" s="1101"/>
      <c r="Q719" s="1209"/>
      <c r="R719" s="1209"/>
      <c r="S719" s="1101"/>
      <c r="T719" s="1101"/>
      <c r="U719" s="1101"/>
      <c r="V719" s="1101"/>
      <c r="W719" s="1101"/>
      <c r="X719" s="1209"/>
      <c r="Y719" s="1209"/>
      <c r="Z719" s="1101"/>
      <c r="AA719" s="1101"/>
      <c r="AB719" s="1101"/>
      <c r="AC719" s="1101"/>
      <c r="AD719" s="1101"/>
      <c r="AE719" s="1209"/>
      <c r="AF719" s="1209"/>
      <c r="AG719" s="1101"/>
      <c r="AH719" s="1101"/>
      <c r="AI719" s="1332"/>
      <c r="AJ719" s="68">
        <f>SUM(E719:AI719)</f>
        <v>0</v>
      </c>
      <c r="AK719" s="68"/>
      <c r="AL719" s="69">
        <f>+AJ719*AN714</f>
        <v>0</v>
      </c>
      <c r="AM719" s="1069">
        <f t="shared" si="1338"/>
        <v>0</v>
      </c>
      <c r="AN719" s="31"/>
      <c r="AO719" s="622"/>
      <c r="AP719" s="39" t="s">
        <v>19</v>
      </c>
      <c r="AQ719" s="56">
        <f>AQ718*AN714</f>
        <v>0</v>
      </c>
      <c r="AR719" s="56">
        <f>AR718*AN714</f>
        <v>0</v>
      </c>
      <c r="AS719" s="56">
        <f>AS718*AN714</f>
        <v>0</v>
      </c>
      <c r="AT719" s="56">
        <f>AT718*AN714</f>
        <v>0</v>
      </c>
      <c r="AU719" s="56">
        <f>AU718*AN714</f>
        <v>0</v>
      </c>
      <c r="AV719" s="57">
        <f t="shared" si="1342"/>
        <v>0</v>
      </c>
    </row>
    <row r="720" spans="1:48" ht="25.15" hidden="1" customHeight="1">
      <c r="A720" s="103"/>
      <c r="B720" s="65"/>
      <c r="C720" s="72" t="s">
        <v>104</v>
      </c>
      <c r="D720" s="73" t="s">
        <v>105</v>
      </c>
      <c r="E720" s="1378"/>
      <c r="F720" s="1103"/>
      <c r="G720" s="1210"/>
      <c r="H720" s="1103"/>
      <c r="I720" s="1103"/>
      <c r="J720" s="1210"/>
      <c r="K720" s="1210"/>
      <c r="L720" s="1103"/>
      <c r="M720" s="1103"/>
      <c r="N720" s="1103"/>
      <c r="O720" s="1103"/>
      <c r="P720" s="1103"/>
      <c r="Q720" s="1210"/>
      <c r="R720" s="1210"/>
      <c r="S720" s="1103"/>
      <c r="T720" s="1103"/>
      <c r="U720" s="1103"/>
      <c r="V720" s="1103"/>
      <c r="W720" s="1103"/>
      <c r="X720" s="1210"/>
      <c r="Y720" s="1210"/>
      <c r="Z720" s="1103"/>
      <c r="AA720" s="1103"/>
      <c r="AB720" s="1103"/>
      <c r="AC720" s="1103"/>
      <c r="AD720" s="1103"/>
      <c r="AE720" s="1210"/>
      <c r="AF720" s="1210"/>
      <c r="AG720" s="1103"/>
      <c r="AH720" s="1103"/>
      <c r="AI720" s="1352"/>
      <c r="AJ720" s="74">
        <f>SUM(E720:AI720)</f>
        <v>0</v>
      </c>
      <c r="AK720" s="74"/>
      <c r="AL720" s="75">
        <f>+AJ720*AN714</f>
        <v>0</v>
      </c>
      <c r="AM720" s="1070">
        <f t="shared" si="1338"/>
        <v>0</v>
      </c>
      <c r="AN720" s="76"/>
      <c r="AO720" s="636"/>
      <c r="AP720" s="47" t="s">
        <v>106</v>
      </c>
      <c r="AQ720" s="48">
        <f>AQ716*AN714</f>
        <v>0</v>
      </c>
      <c r="AR720" s="48">
        <f>AR716*AN714</f>
        <v>0</v>
      </c>
      <c r="AS720" s="48">
        <f>AS716*AN714</f>
        <v>0</v>
      </c>
      <c r="AT720" s="48">
        <f>AT716*AN714</f>
        <v>0</v>
      </c>
      <c r="AU720" s="48">
        <f>AU716*AN714</f>
        <v>0</v>
      </c>
      <c r="AV720" s="50">
        <f t="shared" si="1342"/>
        <v>0</v>
      </c>
    </row>
    <row r="721" spans="1:48" ht="25.15" hidden="1" customHeight="1">
      <c r="A721" s="103"/>
      <c r="B721" s="65"/>
      <c r="C721" s="77">
        <v>300000</v>
      </c>
      <c r="D721" s="78" t="s">
        <v>107</v>
      </c>
      <c r="E721" s="1327">
        <v>1</v>
      </c>
      <c r="F721" s="1097">
        <v>1</v>
      </c>
      <c r="G721" s="1205">
        <v>1</v>
      </c>
      <c r="H721" s="1097">
        <v>1</v>
      </c>
      <c r="I721" s="1097">
        <v>1</v>
      </c>
      <c r="J721" s="1205">
        <v>1</v>
      </c>
      <c r="K721" s="1205">
        <v>1</v>
      </c>
      <c r="L721" s="1097">
        <v>1</v>
      </c>
      <c r="M721" s="1097">
        <v>1</v>
      </c>
      <c r="N721" s="1097">
        <v>1</v>
      </c>
      <c r="O721" s="1097">
        <v>1</v>
      </c>
      <c r="P721" s="1097">
        <v>1</v>
      </c>
      <c r="Q721" s="1205">
        <v>1</v>
      </c>
      <c r="R721" s="1205">
        <v>1</v>
      </c>
      <c r="S721" s="1097">
        <v>1</v>
      </c>
      <c r="T721" s="1097">
        <v>1</v>
      </c>
      <c r="U721" s="1097">
        <v>1</v>
      </c>
      <c r="V721" s="1097">
        <v>1</v>
      </c>
      <c r="W721" s="1097">
        <v>1</v>
      </c>
      <c r="X721" s="1205">
        <v>1</v>
      </c>
      <c r="Y721" s="1205">
        <v>1</v>
      </c>
      <c r="Z721" s="1097">
        <v>1</v>
      </c>
      <c r="AA721" s="1097">
        <v>1</v>
      </c>
      <c r="AB721" s="1097">
        <v>1</v>
      </c>
      <c r="AC721" s="1097">
        <v>1</v>
      </c>
      <c r="AD721" s="1097">
        <v>1</v>
      </c>
      <c r="AE721" s="1205">
        <v>1</v>
      </c>
      <c r="AF721" s="1205">
        <v>1</v>
      </c>
      <c r="AG721" s="1097">
        <v>1</v>
      </c>
      <c r="AH721" s="1097">
        <v>1</v>
      </c>
      <c r="AI721" s="1328">
        <v>1</v>
      </c>
      <c r="AJ721" s="79"/>
      <c r="AK721" s="79"/>
      <c r="AL721" s="55"/>
      <c r="AM721" s="1067">
        <f t="shared" si="1338"/>
        <v>0</v>
      </c>
      <c r="AN721" s="31"/>
      <c r="AO721" s="622"/>
      <c r="AP721" s="23"/>
      <c r="AQ721" s="23"/>
      <c r="AR721" s="23"/>
      <c r="AS721" s="23"/>
      <c r="AT721" s="23"/>
      <c r="AU721" s="23"/>
      <c r="AV721" s="23"/>
    </row>
    <row r="722" spans="1:48" ht="25.15" hidden="1" customHeight="1">
      <c r="A722" s="103"/>
      <c r="B722" s="65"/>
      <c r="C722" s="80" t="s">
        <v>108</v>
      </c>
      <c r="D722" s="81" t="s">
        <v>109</v>
      </c>
      <c r="E722" s="1374">
        <f>SUM(E716+E718+E719+E720)/E721</f>
        <v>0</v>
      </c>
      <c r="F722" s="1104">
        <f>SUM(F716+F718+F719+F720)/F721</f>
        <v>0</v>
      </c>
      <c r="G722" s="1211">
        <f>SUM(G716+G718+G719+G720)/G721</f>
        <v>0</v>
      </c>
      <c r="H722" s="1104">
        <f t="shared" ref="H722:AH722" si="1345">SUM(H716+H718+H719+H720)/H721</f>
        <v>0</v>
      </c>
      <c r="I722" s="1104">
        <f t="shared" si="1345"/>
        <v>0</v>
      </c>
      <c r="J722" s="1211">
        <f t="shared" si="1345"/>
        <v>0</v>
      </c>
      <c r="K722" s="1211">
        <f t="shared" si="1345"/>
        <v>0</v>
      </c>
      <c r="L722" s="1104">
        <f t="shared" si="1345"/>
        <v>0</v>
      </c>
      <c r="M722" s="1104">
        <f t="shared" si="1345"/>
        <v>0</v>
      </c>
      <c r="N722" s="1104">
        <f t="shared" si="1345"/>
        <v>0</v>
      </c>
      <c r="O722" s="1104">
        <f t="shared" si="1345"/>
        <v>0</v>
      </c>
      <c r="P722" s="1104">
        <f t="shared" si="1345"/>
        <v>0</v>
      </c>
      <c r="Q722" s="1211">
        <f t="shared" si="1345"/>
        <v>0</v>
      </c>
      <c r="R722" s="1211">
        <f t="shared" si="1345"/>
        <v>0</v>
      </c>
      <c r="S722" s="1104">
        <f t="shared" si="1345"/>
        <v>0</v>
      </c>
      <c r="T722" s="1104">
        <f t="shared" si="1345"/>
        <v>0</v>
      </c>
      <c r="U722" s="1104">
        <f t="shared" si="1345"/>
        <v>0</v>
      </c>
      <c r="V722" s="1104">
        <f t="shared" si="1345"/>
        <v>0</v>
      </c>
      <c r="W722" s="1104">
        <f t="shared" si="1345"/>
        <v>0</v>
      </c>
      <c r="X722" s="1211">
        <f t="shared" si="1345"/>
        <v>0</v>
      </c>
      <c r="Y722" s="1211">
        <f t="shared" si="1345"/>
        <v>0</v>
      </c>
      <c r="Z722" s="1104">
        <f t="shared" si="1345"/>
        <v>0</v>
      </c>
      <c r="AA722" s="1104">
        <f t="shared" si="1345"/>
        <v>0</v>
      </c>
      <c r="AB722" s="1104">
        <f t="shared" si="1345"/>
        <v>0</v>
      </c>
      <c r="AC722" s="1104">
        <f t="shared" si="1345"/>
        <v>0</v>
      </c>
      <c r="AD722" s="1104">
        <f t="shared" si="1345"/>
        <v>0</v>
      </c>
      <c r="AE722" s="1211">
        <f t="shared" si="1345"/>
        <v>0</v>
      </c>
      <c r="AF722" s="1211">
        <f t="shared" si="1345"/>
        <v>0</v>
      </c>
      <c r="AG722" s="1104">
        <f t="shared" si="1345"/>
        <v>0</v>
      </c>
      <c r="AH722" s="1104">
        <f t="shared" si="1345"/>
        <v>0</v>
      </c>
      <c r="AI722" s="1335">
        <f>SUM(AI716+AI718+AI719)/AI721</f>
        <v>0</v>
      </c>
      <c r="AJ722" s="104">
        <f>SUM(E722:AI722)</f>
        <v>0</v>
      </c>
      <c r="AK722" s="104"/>
      <c r="AL722" s="83"/>
      <c r="AM722" s="1068">
        <f t="shared" si="1338"/>
        <v>0</v>
      </c>
      <c r="AN722" s="31"/>
      <c r="AO722" s="622"/>
      <c r="AP722" s="23"/>
      <c r="AQ722" s="23"/>
      <c r="AR722" s="23"/>
      <c r="AS722" s="23"/>
      <c r="AT722" s="23"/>
      <c r="AU722" s="23"/>
      <c r="AV722" s="23"/>
    </row>
    <row r="723" spans="1:48" ht="25.15" hidden="1" customHeight="1">
      <c r="A723" s="103"/>
      <c r="B723" s="59"/>
      <c r="C723" s="84">
        <f>+C721*0.8</f>
        <v>240000</v>
      </c>
      <c r="D723" s="85" t="s">
        <v>110</v>
      </c>
      <c r="E723" s="1105"/>
      <c r="F723" s="1106"/>
      <c r="G723" s="1211"/>
      <c r="H723" s="1104"/>
      <c r="I723" s="1104"/>
      <c r="J723" s="1211"/>
      <c r="K723" s="1211"/>
      <c r="L723" s="1104"/>
      <c r="M723" s="1104"/>
      <c r="N723" s="1104"/>
      <c r="O723" s="1107"/>
      <c r="P723" s="1104"/>
      <c r="Q723" s="1211"/>
      <c r="R723" s="1211"/>
      <c r="S723" s="1104"/>
      <c r="T723" s="1104"/>
      <c r="U723" s="1104"/>
      <c r="V723" s="1104"/>
      <c r="W723" s="1104"/>
      <c r="X723" s="1211"/>
      <c r="Y723" s="1211"/>
      <c r="Z723" s="1104"/>
      <c r="AA723" s="1104"/>
      <c r="AB723" s="1104"/>
      <c r="AC723" s="1104"/>
      <c r="AD723" s="1104"/>
      <c r="AE723" s="1211"/>
      <c r="AF723" s="1211"/>
      <c r="AG723" s="1104"/>
      <c r="AH723" s="1104"/>
      <c r="AI723" s="1353"/>
      <c r="AJ723" s="86"/>
      <c r="AK723" s="86"/>
      <c r="AL723" s="690"/>
      <c r="AM723" s="694">
        <f t="shared" si="1338"/>
        <v>0</v>
      </c>
      <c r="AN723" s="31"/>
      <c r="AO723" s="622"/>
      <c r="AP723" s="23"/>
      <c r="AQ723" s="23"/>
      <c r="AR723" s="23"/>
      <c r="AS723" s="23"/>
      <c r="AT723" s="23"/>
      <c r="AU723" s="23"/>
      <c r="AV723" s="23"/>
    </row>
    <row r="724" spans="1:48" ht="25.15" hidden="1" customHeight="1">
      <c r="A724" s="103"/>
      <c r="B724" s="105"/>
      <c r="C724" s="77"/>
      <c r="D724" s="88" t="s">
        <v>111</v>
      </c>
      <c r="E724" s="1108">
        <f>IF(E723="O/H",E722,0+E722)</f>
        <v>0</v>
      </c>
      <c r="F724" s="1089">
        <f t="shared" ref="F724:AI724" si="1346">IF(F723="O/H",F722,+E724+F722)</f>
        <v>0</v>
      </c>
      <c r="G724" s="44">
        <f t="shared" si="1346"/>
        <v>0</v>
      </c>
      <c r="H724" s="1089">
        <f t="shared" si="1346"/>
        <v>0</v>
      </c>
      <c r="I724" s="1089">
        <f t="shared" si="1346"/>
        <v>0</v>
      </c>
      <c r="J724" s="44">
        <f t="shared" si="1346"/>
        <v>0</v>
      </c>
      <c r="K724" s="44">
        <f t="shared" si="1346"/>
        <v>0</v>
      </c>
      <c r="L724" s="1089">
        <f t="shared" si="1346"/>
        <v>0</v>
      </c>
      <c r="M724" s="1089">
        <f t="shared" si="1346"/>
        <v>0</v>
      </c>
      <c r="N724" s="1089">
        <f t="shared" si="1346"/>
        <v>0</v>
      </c>
      <c r="O724" s="1089">
        <f t="shared" si="1346"/>
        <v>0</v>
      </c>
      <c r="P724" s="1089">
        <f t="shared" si="1346"/>
        <v>0</v>
      </c>
      <c r="Q724" s="44">
        <f t="shared" si="1346"/>
        <v>0</v>
      </c>
      <c r="R724" s="44">
        <f t="shared" si="1346"/>
        <v>0</v>
      </c>
      <c r="S724" s="1089">
        <f t="shared" si="1346"/>
        <v>0</v>
      </c>
      <c r="T724" s="1089">
        <f t="shared" si="1346"/>
        <v>0</v>
      </c>
      <c r="U724" s="1089">
        <f t="shared" si="1346"/>
        <v>0</v>
      </c>
      <c r="V724" s="1089">
        <f t="shared" si="1346"/>
        <v>0</v>
      </c>
      <c r="W724" s="1089">
        <f t="shared" si="1346"/>
        <v>0</v>
      </c>
      <c r="X724" s="44">
        <f t="shared" si="1346"/>
        <v>0</v>
      </c>
      <c r="Y724" s="44">
        <f t="shared" si="1346"/>
        <v>0</v>
      </c>
      <c r="Z724" s="1089">
        <f t="shared" si="1346"/>
        <v>0</v>
      </c>
      <c r="AA724" s="1089">
        <f t="shared" si="1346"/>
        <v>0</v>
      </c>
      <c r="AB724" s="1089">
        <f t="shared" si="1346"/>
        <v>0</v>
      </c>
      <c r="AC724" s="1089">
        <f t="shared" si="1346"/>
        <v>0</v>
      </c>
      <c r="AD724" s="1089">
        <f t="shared" si="1346"/>
        <v>0</v>
      </c>
      <c r="AE724" s="44">
        <f t="shared" si="1346"/>
        <v>0</v>
      </c>
      <c r="AF724" s="44">
        <f t="shared" si="1346"/>
        <v>0</v>
      </c>
      <c r="AG724" s="1089">
        <f t="shared" si="1346"/>
        <v>0</v>
      </c>
      <c r="AH724" s="1089">
        <f t="shared" si="1346"/>
        <v>0</v>
      </c>
      <c r="AI724" s="1326">
        <f t="shared" si="1346"/>
        <v>0</v>
      </c>
      <c r="AJ724" s="79"/>
      <c r="AK724" s="86"/>
      <c r="AL724" s="689"/>
      <c r="AM724" s="694">
        <f t="shared" si="1338"/>
        <v>0</v>
      </c>
      <c r="AN724" s="31"/>
      <c r="AO724" s="622"/>
      <c r="AP724" s="23"/>
      <c r="AQ724" s="23"/>
      <c r="AR724" s="23"/>
      <c r="AS724" s="23"/>
      <c r="AT724" s="23"/>
      <c r="AU724" s="23"/>
      <c r="AV724" s="23"/>
    </row>
    <row r="725" spans="1:48" s="23" customFormat="1" ht="20.65" hidden="1" customHeight="1">
      <c r="A725" s="274"/>
      <c r="B725" s="312"/>
      <c r="C725" s="308"/>
      <c r="D725" s="795" t="s">
        <v>112</v>
      </c>
      <c r="E725" s="1108">
        <f>IF(AND(ISNUMBER(E716)),236607+E722)</f>
        <v>236607</v>
      </c>
      <c r="F725" s="1089" t="str">
        <f>IF(AND(ISNUMBER(F716)),E725+F722,"")</f>
        <v/>
      </c>
      <c r="G725" s="44" t="str">
        <f t="shared" ref="G725" si="1347">IF(AND(ISNUMBER(G716)),F725+G722,"")</f>
        <v/>
      </c>
      <c r="H725" s="1089" t="str">
        <f t="shared" ref="H725" si="1348">IF(AND(ISNUMBER(H716)),G725+H722,"")</f>
        <v/>
      </c>
      <c r="I725" s="1089" t="str">
        <f>IF(AND(ISNUMBER(I716)),H725+I722,"")</f>
        <v/>
      </c>
      <c r="J725" s="44" t="str">
        <f>IF(AND(ISNUMBER(J716)),I725+J722,"")</f>
        <v/>
      </c>
      <c r="K725" s="44" t="str">
        <f>IF(AND(ISNUMBER(K716)),J725+K722,"")</f>
        <v/>
      </c>
      <c r="L725" s="1089" t="str">
        <f t="shared" ref="L725" si="1349">IF(AND(ISNUMBER(L716)),K725+L722,"")</f>
        <v/>
      </c>
      <c r="M725" s="1089" t="str">
        <f t="shared" ref="M725" si="1350">IF(AND(ISNUMBER(M716)),L725+M722,"")</f>
        <v/>
      </c>
      <c r="N725" s="1089" t="str">
        <f t="shared" ref="N725" si="1351">IF(AND(ISNUMBER(N716)),M725+N722,"")</f>
        <v/>
      </c>
      <c r="O725" s="1089" t="str">
        <f t="shared" ref="O725" si="1352">IF(AND(ISNUMBER(O716)),N725+O722,"")</f>
        <v/>
      </c>
      <c r="P725" s="1089" t="str">
        <f t="shared" ref="P725" si="1353">IF(AND(ISNUMBER(P716)),O725+P722,"")</f>
        <v/>
      </c>
      <c r="Q725" s="44" t="str">
        <f t="shared" ref="Q725" si="1354">IF(AND(ISNUMBER(Q716)),P725+Q722,"")</f>
        <v/>
      </c>
      <c r="R725" s="44" t="str">
        <f t="shared" ref="R725" si="1355">IF(AND(ISNUMBER(R716)),Q725+R722,"")</f>
        <v/>
      </c>
      <c r="S725" s="1089" t="str">
        <f t="shared" ref="S725" si="1356">IF(AND(ISNUMBER(S716)),R725+S722,"")</f>
        <v/>
      </c>
      <c r="T725" s="1089" t="str">
        <f t="shared" ref="T725" si="1357">IF(AND(ISNUMBER(T716)),S725+T722,"")</f>
        <v/>
      </c>
      <c r="U725" s="1089" t="str">
        <f t="shared" ref="U725" si="1358">IF(AND(ISNUMBER(U716)),T725+U722,"")</f>
        <v/>
      </c>
      <c r="V725" s="1089" t="str">
        <f t="shared" ref="V725" si="1359">IF(AND(ISNUMBER(V716)),U725+V722,"")</f>
        <v/>
      </c>
      <c r="W725" s="1089" t="str">
        <f t="shared" ref="W725" si="1360">IF(AND(ISNUMBER(W716)),V725+W722,"")</f>
        <v/>
      </c>
      <c r="X725" s="44" t="str">
        <f t="shared" ref="X725" si="1361">IF(AND(ISNUMBER(X716)),W725+X722,"")</f>
        <v/>
      </c>
      <c r="Y725" s="44" t="str">
        <f t="shared" ref="Y725" si="1362">IF(AND(ISNUMBER(Y716)),X725+Y722,"")</f>
        <v/>
      </c>
      <c r="Z725" s="1089" t="str">
        <f t="shared" ref="Z725" si="1363">IF(AND(ISNUMBER(Z716)),Y725+Z722,"")</f>
        <v/>
      </c>
      <c r="AA725" s="1089" t="str">
        <f t="shared" ref="AA725" si="1364">IF(AND(ISNUMBER(AA716)),Z725+AA722,"")</f>
        <v/>
      </c>
      <c r="AB725" s="1089" t="str">
        <f t="shared" ref="AB725" si="1365">IF(AND(ISNUMBER(AB716)),AA725+AB722,"")</f>
        <v/>
      </c>
      <c r="AC725" s="1089" t="str">
        <f t="shared" ref="AC725" si="1366">IF(AND(ISNUMBER(AC716)),AB725+AC722,"")</f>
        <v/>
      </c>
      <c r="AD725" s="1089" t="str">
        <f t="shared" ref="AD725" si="1367">IF(AND(ISNUMBER(AD716)),AC725+AD722,"")</f>
        <v/>
      </c>
      <c r="AE725" s="44" t="str">
        <f t="shared" ref="AE725" si="1368">IF(AND(ISNUMBER(AE716)),AD725+AE722,"")</f>
        <v/>
      </c>
      <c r="AF725" s="44" t="str">
        <f t="shared" ref="AF725" si="1369">IF(AND(ISNUMBER(AF716)),AE725+AF722,"")</f>
        <v/>
      </c>
      <c r="AG725" s="1089" t="str">
        <f t="shared" ref="AG725" si="1370">IF(AND(ISNUMBER(AG716)),AF725+AG722,"")</f>
        <v/>
      </c>
      <c r="AH725" s="1089" t="str">
        <f t="shared" ref="AH725" si="1371">IF(AND(ISNUMBER(AH716)),AG725+AH722,"")</f>
        <v/>
      </c>
      <c r="AI725" s="1089" t="str">
        <f t="shared" ref="AI725" si="1372">IF(AND(ISNUMBER(AI716)),AH725+AI722,"")</f>
        <v/>
      </c>
      <c r="AJ725" s="793"/>
      <c r="AK725" s="793"/>
      <c r="AL725" s="909"/>
      <c r="AM725" s="890">
        <f t="shared" si="1338"/>
        <v>0</v>
      </c>
      <c r="AN725" s="76"/>
      <c r="AO725" s="624"/>
      <c r="AP725" s="285"/>
      <c r="AQ725" s="285"/>
      <c r="AR725" s="285"/>
      <c r="AS725" s="285"/>
      <c r="AT725" s="286"/>
      <c r="AU725" s="285"/>
      <c r="AV725" s="287"/>
    </row>
    <row r="726" spans="1:48" ht="25.15" hidden="1" customHeight="1">
      <c r="A726" s="103"/>
      <c r="B726" s="89"/>
      <c r="C726" s="80"/>
      <c r="D726" s="90" t="s">
        <v>104</v>
      </c>
      <c r="E726" s="1108"/>
      <c r="F726" s="1089"/>
      <c r="G726" s="44"/>
      <c r="H726" s="1089"/>
      <c r="I726" s="1089"/>
      <c r="J726" s="44"/>
      <c r="K726" s="44"/>
      <c r="L726" s="1089"/>
      <c r="M726" s="1089"/>
      <c r="N726" s="1089"/>
      <c r="O726" s="1089"/>
      <c r="P726" s="1089"/>
      <c r="Q726" s="44"/>
      <c r="R726" s="44"/>
      <c r="S726" s="1089"/>
      <c r="T726" s="1089"/>
      <c r="U726" s="1089"/>
      <c r="V726" s="1089"/>
      <c r="W726" s="1089"/>
      <c r="X726" s="44"/>
      <c r="Y726" s="44"/>
      <c r="Z726" s="1089"/>
      <c r="AA726" s="1089"/>
      <c r="AB726" s="1089"/>
      <c r="AC726" s="1089"/>
      <c r="AD726" s="1089"/>
      <c r="AE726" s="44"/>
      <c r="AF726" s="44"/>
      <c r="AG726" s="1089"/>
      <c r="AH726" s="1089"/>
      <c r="AI726" s="1326"/>
      <c r="AJ726" s="79"/>
      <c r="AK726" s="79"/>
      <c r="AL726" s="63"/>
      <c r="AM726" s="1068">
        <f t="shared" si="1338"/>
        <v>0</v>
      </c>
      <c r="AN726" s="64"/>
      <c r="AO726" s="624"/>
      <c r="AP726" s="23"/>
      <c r="AQ726" s="23"/>
      <c r="AR726" s="23"/>
      <c r="AS726" s="23"/>
      <c r="AT726" s="23"/>
      <c r="AU726" s="23"/>
      <c r="AV726" s="23"/>
    </row>
    <row r="727" spans="1:48" ht="25.15" hidden="1" customHeight="1" thickBot="1">
      <c r="A727" s="106"/>
      <c r="B727" s="93"/>
      <c r="C727" s="94"/>
      <c r="D727" s="95" t="s">
        <v>111</v>
      </c>
      <c r="E727" s="1109">
        <f>IF(E726="O/H",E722,0+E722)</f>
        <v>0</v>
      </c>
      <c r="F727" s="1110">
        <f t="shared" ref="F727:AI727" si="1373">IF(F726="O/H",F722,+E727+F722)</f>
        <v>0</v>
      </c>
      <c r="G727" s="1212">
        <f t="shared" si="1373"/>
        <v>0</v>
      </c>
      <c r="H727" s="1110">
        <f t="shared" si="1373"/>
        <v>0</v>
      </c>
      <c r="I727" s="1110">
        <f t="shared" si="1373"/>
        <v>0</v>
      </c>
      <c r="J727" s="1212">
        <f t="shared" si="1373"/>
        <v>0</v>
      </c>
      <c r="K727" s="1212">
        <f t="shared" si="1373"/>
        <v>0</v>
      </c>
      <c r="L727" s="1110">
        <f t="shared" si="1373"/>
        <v>0</v>
      </c>
      <c r="M727" s="1110">
        <f t="shared" si="1373"/>
        <v>0</v>
      </c>
      <c r="N727" s="1110">
        <f t="shared" si="1373"/>
        <v>0</v>
      </c>
      <c r="O727" s="1110">
        <f t="shared" si="1373"/>
        <v>0</v>
      </c>
      <c r="P727" s="1110">
        <f t="shared" si="1373"/>
        <v>0</v>
      </c>
      <c r="Q727" s="1212">
        <f t="shared" si="1373"/>
        <v>0</v>
      </c>
      <c r="R727" s="1212">
        <f t="shared" si="1373"/>
        <v>0</v>
      </c>
      <c r="S727" s="1110">
        <f t="shared" si="1373"/>
        <v>0</v>
      </c>
      <c r="T727" s="1110">
        <f t="shared" si="1373"/>
        <v>0</v>
      </c>
      <c r="U727" s="1110">
        <f t="shared" si="1373"/>
        <v>0</v>
      </c>
      <c r="V727" s="1110">
        <f t="shared" si="1373"/>
        <v>0</v>
      </c>
      <c r="W727" s="1110">
        <f t="shared" si="1373"/>
        <v>0</v>
      </c>
      <c r="X727" s="1212">
        <f t="shared" si="1373"/>
        <v>0</v>
      </c>
      <c r="Y727" s="1212">
        <f t="shared" si="1373"/>
        <v>0</v>
      </c>
      <c r="Z727" s="1110">
        <f t="shared" si="1373"/>
        <v>0</v>
      </c>
      <c r="AA727" s="1110">
        <f t="shared" si="1373"/>
        <v>0</v>
      </c>
      <c r="AB727" s="1110">
        <f t="shared" si="1373"/>
        <v>0</v>
      </c>
      <c r="AC727" s="1110">
        <f t="shared" si="1373"/>
        <v>0</v>
      </c>
      <c r="AD727" s="1110">
        <f t="shared" si="1373"/>
        <v>0</v>
      </c>
      <c r="AE727" s="1212">
        <f t="shared" si="1373"/>
        <v>0</v>
      </c>
      <c r="AF727" s="1212">
        <f t="shared" si="1373"/>
        <v>0</v>
      </c>
      <c r="AG727" s="1110">
        <f t="shared" si="1373"/>
        <v>0</v>
      </c>
      <c r="AH727" s="1110">
        <f t="shared" si="1373"/>
        <v>0</v>
      </c>
      <c r="AI727" s="1340">
        <f t="shared" si="1373"/>
        <v>0</v>
      </c>
      <c r="AJ727" s="96"/>
      <c r="AK727" s="96"/>
      <c r="AL727" s="97"/>
      <c r="AM727" s="1071">
        <f t="shared" si="1338"/>
        <v>0</v>
      </c>
      <c r="AN727" s="98"/>
      <c r="AO727" s="625"/>
      <c r="AP727" s="23"/>
      <c r="AQ727" s="23"/>
      <c r="AR727" s="23"/>
      <c r="AS727" s="23"/>
      <c r="AT727" s="23"/>
      <c r="AU727" s="23"/>
      <c r="AV727" s="23"/>
    </row>
    <row r="728" spans="1:48" ht="25.15" hidden="1" customHeight="1" thickTop="1">
      <c r="A728" s="99"/>
      <c r="B728" s="26" t="s">
        <v>185</v>
      </c>
      <c r="C728" s="27"/>
      <c r="D728" s="28" t="s">
        <v>82</v>
      </c>
      <c r="E728" s="1111"/>
      <c r="F728" s="1111"/>
      <c r="G728" s="1201"/>
      <c r="H728" s="1111"/>
      <c r="I728" s="1111"/>
      <c r="J728" s="1201"/>
      <c r="K728" s="1201"/>
      <c r="L728" s="1111"/>
      <c r="M728" s="1111"/>
      <c r="N728" s="1111"/>
      <c r="O728" s="1111"/>
      <c r="P728" s="1111"/>
      <c r="Q728" s="1201"/>
      <c r="R728" s="1201"/>
      <c r="S728" s="1111"/>
      <c r="T728" s="1111"/>
      <c r="U728" s="1111"/>
      <c r="V728" s="1111"/>
      <c r="W728" s="1111"/>
      <c r="X728" s="1201"/>
      <c r="Y728" s="1201"/>
      <c r="Z728" s="1111"/>
      <c r="AA728" s="1111"/>
      <c r="AB728" s="1111"/>
      <c r="AC728" s="1111"/>
      <c r="AD728" s="1111"/>
      <c r="AE728" s="1201"/>
      <c r="AF728" s="1201"/>
      <c r="AG728" s="1111"/>
      <c r="AH728" s="1111"/>
      <c r="AI728" s="1111"/>
      <c r="AJ728" s="100">
        <f>SUM(Table75[[#This Row],[June''2026]:[Column27]])</f>
        <v>0</v>
      </c>
      <c r="AK728" s="100">
        <f t="shared" si="1340"/>
        <v>0</v>
      </c>
      <c r="AL728" s="101">
        <f>+AJ728*AN728</f>
        <v>0</v>
      </c>
      <c r="AM728" s="1072">
        <f t="shared" si="1338"/>
        <v>0</v>
      </c>
      <c r="AN728" s="102"/>
      <c r="AO728" s="622" t="e">
        <f>Table5[[#This Row],[Total]]*B732/1000</f>
        <v>#VALUE!</v>
      </c>
      <c r="AP728" s="32" t="s">
        <v>166</v>
      </c>
      <c r="AQ728" s="33" t="s">
        <v>84</v>
      </c>
      <c r="AR728" s="33" t="s">
        <v>85</v>
      </c>
      <c r="AS728" s="33" t="s">
        <v>86</v>
      </c>
      <c r="AT728" s="33" t="s">
        <v>87</v>
      </c>
      <c r="AU728" s="33" t="s">
        <v>88</v>
      </c>
      <c r="AV728" s="34" t="s">
        <v>68</v>
      </c>
    </row>
    <row r="729" spans="1:48" ht="25.15" hidden="1" customHeight="1">
      <c r="A729" s="103"/>
      <c r="B729" s="35"/>
      <c r="C729" s="36"/>
      <c r="D729" s="37" t="s">
        <v>90</v>
      </c>
      <c r="E729" s="1373">
        <f>IF(E728="",0,+ E728/E735)</f>
        <v>0</v>
      </c>
      <c r="F729" s="1096">
        <f t="shared" ref="F729:AI729" si="1374">IF(F728="",0, E729+F728/F735)</f>
        <v>0</v>
      </c>
      <c r="G729" s="1207">
        <f t="shared" si="1374"/>
        <v>0</v>
      </c>
      <c r="H729" s="1096">
        <f t="shared" si="1374"/>
        <v>0</v>
      </c>
      <c r="I729" s="1096">
        <f t="shared" si="1374"/>
        <v>0</v>
      </c>
      <c r="J729" s="1207">
        <f t="shared" si="1374"/>
        <v>0</v>
      </c>
      <c r="K729" s="1207">
        <f t="shared" si="1374"/>
        <v>0</v>
      </c>
      <c r="L729" s="1096">
        <f t="shared" si="1374"/>
        <v>0</v>
      </c>
      <c r="M729" s="1096">
        <f t="shared" si="1374"/>
        <v>0</v>
      </c>
      <c r="N729" s="1096">
        <f t="shared" si="1374"/>
        <v>0</v>
      </c>
      <c r="O729" s="1096">
        <f t="shared" si="1374"/>
        <v>0</v>
      </c>
      <c r="P729" s="1096">
        <f t="shared" si="1374"/>
        <v>0</v>
      </c>
      <c r="Q729" s="1207">
        <f t="shared" si="1374"/>
        <v>0</v>
      </c>
      <c r="R729" s="1207">
        <f t="shared" si="1374"/>
        <v>0</v>
      </c>
      <c r="S729" s="1096">
        <f t="shared" si="1374"/>
        <v>0</v>
      </c>
      <c r="T729" s="1096">
        <f t="shared" si="1374"/>
        <v>0</v>
      </c>
      <c r="U729" s="1096">
        <f t="shared" si="1374"/>
        <v>0</v>
      </c>
      <c r="V729" s="1096">
        <f t="shared" si="1374"/>
        <v>0</v>
      </c>
      <c r="W729" s="1096">
        <f t="shared" si="1374"/>
        <v>0</v>
      </c>
      <c r="X729" s="1207">
        <f t="shared" si="1374"/>
        <v>0</v>
      </c>
      <c r="Y729" s="1207">
        <f t="shared" si="1374"/>
        <v>0</v>
      </c>
      <c r="Z729" s="1096">
        <f t="shared" si="1374"/>
        <v>0</v>
      </c>
      <c r="AA729" s="1096">
        <f t="shared" si="1374"/>
        <v>0</v>
      </c>
      <c r="AB729" s="1096">
        <f t="shared" si="1374"/>
        <v>0</v>
      </c>
      <c r="AC729" s="1096">
        <f t="shared" si="1374"/>
        <v>0</v>
      </c>
      <c r="AD729" s="1096">
        <f t="shared" si="1374"/>
        <v>0</v>
      </c>
      <c r="AE729" s="1207">
        <f t="shared" si="1374"/>
        <v>0</v>
      </c>
      <c r="AF729" s="1207">
        <f t="shared" si="1374"/>
        <v>0</v>
      </c>
      <c r="AG729" s="1096">
        <f t="shared" si="1374"/>
        <v>0</v>
      </c>
      <c r="AH729" s="1096">
        <f t="shared" si="1374"/>
        <v>0</v>
      </c>
      <c r="AI729" s="1324">
        <f t="shared" si="1374"/>
        <v>0</v>
      </c>
      <c r="AJ729" s="38"/>
      <c r="AK729" s="29"/>
      <c r="AL729" s="30"/>
      <c r="AM729" s="694">
        <f t="shared" si="1338"/>
        <v>0</v>
      </c>
      <c r="AN729" s="31"/>
      <c r="AO729" s="630"/>
      <c r="AP729" s="39" t="s">
        <v>91</v>
      </c>
      <c r="AQ729" s="40">
        <f>SUM(E728:I728)</f>
        <v>0</v>
      </c>
      <c r="AR729" s="41">
        <f>SUM(J728:P728)</f>
        <v>0</v>
      </c>
      <c r="AS729" s="41">
        <f>SUM(Q728:W728)</f>
        <v>0</v>
      </c>
      <c r="AT729" s="41">
        <f>SUM(X728:AD728)</f>
        <v>0</v>
      </c>
      <c r="AU729" s="41">
        <f>SUM(AE728:AI728)</f>
        <v>0</v>
      </c>
      <c r="AV729" s="34">
        <f t="shared" ref="AV729:AV734" si="1375">SUM(AQ729:AU729)</f>
        <v>0</v>
      </c>
    </row>
    <row r="730" spans="1:48" ht="25.15" hidden="1" customHeight="1">
      <c r="A730" s="103"/>
      <c r="B730" s="26" t="s">
        <v>92</v>
      </c>
      <c r="C730" s="42"/>
      <c r="D730" s="43" t="s">
        <v>93</v>
      </c>
      <c r="E730" s="1325"/>
      <c r="F730" s="1089"/>
      <c r="G730" s="44"/>
      <c r="H730" s="1089"/>
      <c r="I730" s="1089"/>
      <c r="J730" s="44"/>
      <c r="K730" s="44"/>
      <c r="L730" s="1089"/>
      <c r="M730" s="1089"/>
      <c r="N730" s="1089"/>
      <c r="O730" s="1089"/>
      <c r="P730" s="1089"/>
      <c r="Q730" s="44"/>
      <c r="R730" s="44"/>
      <c r="S730" s="1089"/>
      <c r="T730" s="1089"/>
      <c r="U730" s="1089"/>
      <c r="V730" s="1089"/>
      <c r="W730" s="1089"/>
      <c r="X730" s="44"/>
      <c r="Y730" s="44"/>
      <c r="Z730" s="1089"/>
      <c r="AA730" s="1089"/>
      <c r="AB730" s="1089"/>
      <c r="AC730" s="1089"/>
      <c r="AD730" s="1089"/>
      <c r="AE730" s="44"/>
      <c r="AF730" s="44"/>
      <c r="AG730" s="1089"/>
      <c r="AH730" s="1089"/>
      <c r="AI730" s="1326"/>
      <c r="AJ730" s="45">
        <f>SUM(E730:AI730)</f>
        <v>0</v>
      </c>
      <c r="AK730" s="45"/>
      <c r="AL730" s="46">
        <f>+AJ730*AN728</f>
        <v>0</v>
      </c>
      <c r="AM730" s="1066">
        <f t="shared" si="1338"/>
        <v>0</v>
      </c>
      <c r="AN730" s="31"/>
      <c r="AO730" s="632">
        <f>(AJ730+AJ732+AJ733+AJ734)*B732/1000</f>
        <v>0</v>
      </c>
      <c r="AP730" s="47" t="s">
        <v>94</v>
      </c>
      <c r="AQ730" s="48">
        <f>SUM(E730:I730)</f>
        <v>0</v>
      </c>
      <c r="AR730" s="49">
        <f>SUM(J730:P730)</f>
        <v>0</v>
      </c>
      <c r="AS730" s="49">
        <f>SUM(Q730:W730)</f>
        <v>0</v>
      </c>
      <c r="AT730" s="49">
        <f>SUM(X730:AD730)</f>
        <v>0</v>
      </c>
      <c r="AU730" s="49">
        <f>SUM(AE730:AI730)</f>
        <v>0</v>
      </c>
      <c r="AV730" s="50">
        <f t="shared" si="1375"/>
        <v>0</v>
      </c>
    </row>
    <row r="731" spans="1:48" ht="25.15" hidden="1" customHeight="1">
      <c r="A731" s="103"/>
      <c r="B731" s="51"/>
      <c r="C731" s="52" t="s">
        <v>95</v>
      </c>
      <c r="D731" s="53" t="s">
        <v>96</v>
      </c>
      <c r="E731" s="1327">
        <f t="shared" ref="E731:AJ731" si="1376">+E730-E728</f>
        <v>0</v>
      </c>
      <c r="F731" s="1097">
        <f t="shared" si="1376"/>
        <v>0</v>
      </c>
      <c r="G731" s="1205">
        <f t="shared" si="1376"/>
        <v>0</v>
      </c>
      <c r="H731" s="1097">
        <f t="shared" si="1376"/>
        <v>0</v>
      </c>
      <c r="I731" s="1097">
        <f t="shared" si="1376"/>
        <v>0</v>
      </c>
      <c r="J731" s="1205">
        <f t="shared" si="1376"/>
        <v>0</v>
      </c>
      <c r="K731" s="1205">
        <f t="shared" si="1376"/>
        <v>0</v>
      </c>
      <c r="L731" s="1097">
        <f t="shared" si="1376"/>
        <v>0</v>
      </c>
      <c r="M731" s="1097">
        <f t="shared" si="1376"/>
        <v>0</v>
      </c>
      <c r="N731" s="1097">
        <f t="shared" si="1376"/>
        <v>0</v>
      </c>
      <c r="O731" s="1097">
        <f t="shared" si="1376"/>
        <v>0</v>
      </c>
      <c r="P731" s="1097">
        <f t="shared" si="1376"/>
        <v>0</v>
      </c>
      <c r="Q731" s="1205">
        <f t="shared" si="1376"/>
        <v>0</v>
      </c>
      <c r="R731" s="1205">
        <f t="shared" si="1376"/>
        <v>0</v>
      </c>
      <c r="S731" s="1097">
        <f t="shared" si="1376"/>
        <v>0</v>
      </c>
      <c r="T731" s="1097">
        <f t="shared" si="1376"/>
        <v>0</v>
      </c>
      <c r="U731" s="1097">
        <f t="shared" si="1376"/>
        <v>0</v>
      </c>
      <c r="V731" s="1097">
        <f t="shared" si="1376"/>
        <v>0</v>
      </c>
      <c r="W731" s="1097">
        <f t="shared" si="1376"/>
        <v>0</v>
      </c>
      <c r="X731" s="1205">
        <f t="shared" si="1376"/>
        <v>0</v>
      </c>
      <c r="Y731" s="1205">
        <f t="shared" si="1376"/>
        <v>0</v>
      </c>
      <c r="Z731" s="1097">
        <f t="shared" si="1376"/>
        <v>0</v>
      </c>
      <c r="AA731" s="1097">
        <f t="shared" si="1376"/>
        <v>0</v>
      </c>
      <c r="AB731" s="1097">
        <f t="shared" si="1376"/>
        <v>0</v>
      </c>
      <c r="AC731" s="1097">
        <f t="shared" si="1376"/>
        <v>0</v>
      </c>
      <c r="AD731" s="1097">
        <f t="shared" si="1376"/>
        <v>0</v>
      </c>
      <c r="AE731" s="1205">
        <f t="shared" si="1376"/>
        <v>0</v>
      </c>
      <c r="AF731" s="1205">
        <f t="shared" si="1376"/>
        <v>0</v>
      </c>
      <c r="AG731" s="1097">
        <f t="shared" si="1376"/>
        <v>0</v>
      </c>
      <c r="AH731" s="1097">
        <f t="shared" si="1376"/>
        <v>0</v>
      </c>
      <c r="AI731" s="1328">
        <f t="shared" si="1376"/>
        <v>0</v>
      </c>
      <c r="AJ731" s="54">
        <f t="shared" si="1376"/>
        <v>0</v>
      </c>
      <c r="AK731" s="54"/>
      <c r="AL731" s="55">
        <f>+AJ731*AN728</f>
        <v>0</v>
      </c>
      <c r="AM731" s="1067">
        <f t="shared" si="1338"/>
        <v>0</v>
      </c>
      <c r="AN731" s="31" t="s">
        <v>97</v>
      </c>
      <c r="AO731" s="622"/>
      <c r="AP731" s="39" t="s">
        <v>98</v>
      </c>
      <c r="AQ731" s="56">
        <f>AQ730-AQ729</f>
        <v>0</v>
      </c>
      <c r="AR731" s="70">
        <f>AR730-AR729</f>
        <v>0</v>
      </c>
      <c r="AS731" s="70">
        <f>AS730-AS729</f>
        <v>0</v>
      </c>
      <c r="AT731" s="70">
        <f>AT730-AT729</f>
        <v>0</v>
      </c>
      <c r="AU731" s="70">
        <f>AU730-AU729</f>
        <v>0</v>
      </c>
      <c r="AV731" s="57">
        <f t="shared" si="1375"/>
        <v>0</v>
      </c>
    </row>
    <row r="732" spans="1:48" ht="25.15" hidden="1" customHeight="1">
      <c r="A732" s="58"/>
      <c r="B732" s="59"/>
      <c r="C732" s="60" t="s">
        <v>100</v>
      </c>
      <c r="D732" s="61" t="s">
        <v>101</v>
      </c>
      <c r="E732" s="1329"/>
      <c r="F732" s="1099"/>
      <c r="G732" s="1208"/>
      <c r="H732" s="1099"/>
      <c r="I732" s="1099"/>
      <c r="J732" s="1208"/>
      <c r="K732" s="1208"/>
      <c r="L732" s="1099"/>
      <c r="M732" s="1099"/>
      <c r="N732" s="1099"/>
      <c r="O732" s="1099"/>
      <c r="P732" s="1099"/>
      <c r="Q732" s="1208"/>
      <c r="R732" s="1208"/>
      <c r="S732" s="1099"/>
      <c r="T732" s="1099"/>
      <c r="U732" s="1099"/>
      <c r="V732" s="1099"/>
      <c r="W732" s="1099"/>
      <c r="X732" s="1208"/>
      <c r="Y732" s="1208"/>
      <c r="Z732" s="1099"/>
      <c r="AA732" s="1099"/>
      <c r="AB732" s="1099"/>
      <c r="AC732" s="1099"/>
      <c r="AD732" s="1099"/>
      <c r="AE732" s="1208"/>
      <c r="AF732" s="1208"/>
      <c r="AG732" s="1099"/>
      <c r="AH732" s="1099"/>
      <c r="AI732" s="1330"/>
      <c r="AJ732" s="62">
        <f>SUM(E732:AI732)</f>
        <v>0</v>
      </c>
      <c r="AK732" s="62"/>
      <c r="AL732" s="63">
        <f>+AJ732*AN728</f>
        <v>0</v>
      </c>
      <c r="AM732" s="1068">
        <f t="shared" si="1338"/>
        <v>0</v>
      </c>
      <c r="AN732" s="64" t="e">
        <f>+AJ732/AJ730*100</f>
        <v>#DIV/0!</v>
      </c>
      <c r="AO732" s="635" t="e">
        <f>AO730/AO728</f>
        <v>#VALUE!</v>
      </c>
      <c r="AP732" s="39" t="s">
        <v>102</v>
      </c>
      <c r="AQ732" s="56">
        <f>SUM(E732:I732)</f>
        <v>0</v>
      </c>
      <c r="AR732" s="70">
        <f>SUM(J732:P732)</f>
        <v>0</v>
      </c>
      <c r="AS732" s="70">
        <f>SUM(Q732:W732)</f>
        <v>0</v>
      </c>
      <c r="AT732" s="70">
        <f>SUM(X732:AD732)</f>
        <v>0</v>
      </c>
      <c r="AU732" s="70">
        <f>SUM(AE732:AI732)</f>
        <v>0</v>
      </c>
      <c r="AV732" s="57">
        <f t="shared" si="1375"/>
        <v>0</v>
      </c>
    </row>
    <row r="733" spans="1:48" ht="25.15" hidden="1" customHeight="1">
      <c r="A733" s="58" t="s">
        <v>186</v>
      </c>
      <c r="B733" s="65"/>
      <c r="C733" s="66"/>
      <c r="D733" s="67" t="s">
        <v>103</v>
      </c>
      <c r="E733" s="1331"/>
      <c r="F733" s="1101"/>
      <c r="G733" s="1209"/>
      <c r="H733" s="1101"/>
      <c r="I733" s="1101"/>
      <c r="J733" s="1209"/>
      <c r="K733" s="1209"/>
      <c r="L733" s="1101"/>
      <c r="M733" s="1101"/>
      <c r="N733" s="1101"/>
      <c r="O733" s="1101"/>
      <c r="P733" s="1101"/>
      <c r="Q733" s="1209"/>
      <c r="R733" s="1209"/>
      <c r="S733" s="1101"/>
      <c r="T733" s="1101"/>
      <c r="U733" s="1101"/>
      <c r="V733" s="1101"/>
      <c r="W733" s="1101"/>
      <c r="X733" s="1209"/>
      <c r="Y733" s="1209"/>
      <c r="Z733" s="1101"/>
      <c r="AA733" s="1101"/>
      <c r="AB733" s="1101"/>
      <c r="AC733" s="1101"/>
      <c r="AD733" s="1101"/>
      <c r="AE733" s="1209"/>
      <c r="AF733" s="1209"/>
      <c r="AG733" s="1101"/>
      <c r="AH733" s="1101"/>
      <c r="AI733" s="1332"/>
      <c r="AJ733" s="68">
        <f>SUM(E733:AI733)</f>
        <v>0</v>
      </c>
      <c r="AK733" s="68"/>
      <c r="AL733" s="69">
        <f>+AJ733*AN728</f>
        <v>0</v>
      </c>
      <c r="AM733" s="1069">
        <f t="shared" si="1338"/>
        <v>0</v>
      </c>
      <c r="AN733" s="31"/>
      <c r="AO733" s="622"/>
      <c r="AP733" s="39" t="s">
        <v>19</v>
      </c>
      <c r="AQ733" s="56">
        <f>AQ732*AN728</f>
        <v>0</v>
      </c>
      <c r="AR733" s="56">
        <f>AR732*AN728</f>
        <v>0</v>
      </c>
      <c r="AS733" s="56">
        <f>AS732*AN728</f>
        <v>0</v>
      </c>
      <c r="AT733" s="56">
        <f>AT732*AN728</f>
        <v>0</v>
      </c>
      <c r="AU733" s="56">
        <f>AU732*AN728</f>
        <v>0</v>
      </c>
      <c r="AV733" s="57">
        <f t="shared" si="1375"/>
        <v>0</v>
      </c>
    </row>
    <row r="734" spans="1:48" ht="25.15" hidden="1" customHeight="1">
      <c r="A734" s="103"/>
      <c r="B734" s="65"/>
      <c r="C734" s="72" t="s">
        <v>104</v>
      </c>
      <c r="D734" s="73" t="s">
        <v>105</v>
      </c>
      <c r="E734" s="1378"/>
      <c r="F734" s="1103"/>
      <c r="G734" s="1210"/>
      <c r="H734" s="1103"/>
      <c r="I734" s="1103"/>
      <c r="J734" s="1210"/>
      <c r="K734" s="1210"/>
      <c r="L734" s="1103"/>
      <c r="M734" s="1103"/>
      <c r="N734" s="1103"/>
      <c r="O734" s="1103"/>
      <c r="P734" s="1103"/>
      <c r="Q734" s="1210"/>
      <c r="R734" s="1210"/>
      <c r="S734" s="1103"/>
      <c r="T734" s="1103"/>
      <c r="U734" s="1103"/>
      <c r="V734" s="1103"/>
      <c r="W734" s="1103"/>
      <c r="X734" s="1210"/>
      <c r="Y734" s="1210"/>
      <c r="Z734" s="1103"/>
      <c r="AA734" s="1103"/>
      <c r="AB734" s="1103"/>
      <c r="AC734" s="1103"/>
      <c r="AD734" s="1103"/>
      <c r="AE734" s="1210"/>
      <c r="AF734" s="1210"/>
      <c r="AG734" s="1103"/>
      <c r="AH734" s="1103"/>
      <c r="AI734" s="1352"/>
      <c r="AJ734" s="74">
        <f>SUM(E734:AI734)</f>
        <v>0</v>
      </c>
      <c r="AK734" s="74"/>
      <c r="AL734" s="75">
        <f>+AJ734*AN728</f>
        <v>0</v>
      </c>
      <c r="AM734" s="1070">
        <f t="shared" si="1338"/>
        <v>0</v>
      </c>
      <c r="AN734" s="76"/>
      <c r="AO734" s="636"/>
      <c r="AP734" s="47" t="s">
        <v>106</v>
      </c>
      <c r="AQ734" s="48">
        <f>AQ730*AN728</f>
        <v>0</v>
      </c>
      <c r="AR734" s="48">
        <f>AR730*AN728</f>
        <v>0</v>
      </c>
      <c r="AS734" s="48">
        <f>AS730*AN728</f>
        <v>0</v>
      </c>
      <c r="AT734" s="48">
        <f>AT730*AN728</f>
        <v>0</v>
      </c>
      <c r="AU734" s="48">
        <f>AU730*AN728</f>
        <v>0</v>
      </c>
      <c r="AV734" s="50">
        <f t="shared" si="1375"/>
        <v>0</v>
      </c>
    </row>
    <row r="735" spans="1:48" ht="25.15" hidden="1" customHeight="1">
      <c r="A735" s="103"/>
      <c r="B735" s="65"/>
      <c r="C735" s="77">
        <v>300000</v>
      </c>
      <c r="D735" s="78" t="s">
        <v>107</v>
      </c>
      <c r="E735" s="1327">
        <v>1</v>
      </c>
      <c r="F735" s="1097">
        <v>1</v>
      </c>
      <c r="G735" s="1205">
        <v>1</v>
      </c>
      <c r="H735" s="1097">
        <v>1</v>
      </c>
      <c r="I735" s="1097">
        <v>1</v>
      </c>
      <c r="J735" s="1205">
        <v>1</v>
      </c>
      <c r="K735" s="1205">
        <v>1</v>
      </c>
      <c r="L735" s="1097">
        <v>1</v>
      </c>
      <c r="M735" s="1097">
        <v>1</v>
      </c>
      <c r="N735" s="1097">
        <v>1</v>
      </c>
      <c r="O735" s="1097">
        <v>1</v>
      </c>
      <c r="P735" s="1097">
        <v>1</v>
      </c>
      <c r="Q735" s="1205">
        <v>1</v>
      </c>
      <c r="R735" s="1205">
        <v>1</v>
      </c>
      <c r="S735" s="1097">
        <v>1</v>
      </c>
      <c r="T735" s="1097">
        <v>1</v>
      </c>
      <c r="U735" s="1097">
        <v>1</v>
      </c>
      <c r="V735" s="1097">
        <v>1</v>
      </c>
      <c r="W735" s="1097">
        <v>1</v>
      </c>
      <c r="X735" s="1205">
        <v>1</v>
      </c>
      <c r="Y735" s="1205">
        <v>1</v>
      </c>
      <c r="Z735" s="1097">
        <v>1</v>
      </c>
      <c r="AA735" s="1097">
        <v>1</v>
      </c>
      <c r="AB735" s="1097">
        <v>1</v>
      </c>
      <c r="AC735" s="1097">
        <v>1</v>
      </c>
      <c r="AD735" s="1097">
        <v>1</v>
      </c>
      <c r="AE735" s="1205">
        <v>1</v>
      </c>
      <c r="AF735" s="1205">
        <v>1</v>
      </c>
      <c r="AG735" s="1097">
        <v>1</v>
      </c>
      <c r="AH735" s="1097">
        <v>1</v>
      </c>
      <c r="AI735" s="1328">
        <v>1</v>
      </c>
      <c r="AJ735" s="79"/>
      <c r="AK735" s="79"/>
      <c r="AL735" s="55"/>
      <c r="AM735" s="1067">
        <f t="shared" si="1338"/>
        <v>0</v>
      </c>
      <c r="AN735" s="31"/>
      <c r="AO735" s="622"/>
      <c r="AP735" s="23"/>
      <c r="AQ735" s="23"/>
      <c r="AR735" s="23"/>
      <c r="AS735" s="23"/>
      <c r="AT735" s="23"/>
      <c r="AU735" s="23"/>
      <c r="AV735" s="23"/>
    </row>
    <row r="736" spans="1:48" ht="25.15" hidden="1" customHeight="1">
      <c r="A736" s="103"/>
      <c r="B736" s="65"/>
      <c r="C736" s="80" t="s">
        <v>108</v>
      </c>
      <c r="D736" s="81" t="s">
        <v>109</v>
      </c>
      <c r="E736" s="1374">
        <f>SUM(E730+E732+E733+E734)/E735</f>
        <v>0</v>
      </c>
      <c r="F736" s="1104">
        <f>SUM(F730+F732+F733+F734)/F735</f>
        <v>0</v>
      </c>
      <c r="G736" s="1211">
        <f>SUM(G730+G732+G733+G734)/G735</f>
        <v>0</v>
      </c>
      <c r="H736" s="1104">
        <f t="shared" ref="H736:AH736" si="1377">SUM(H730+H732+H733+H734)/H735</f>
        <v>0</v>
      </c>
      <c r="I736" s="1104">
        <f t="shared" si="1377"/>
        <v>0</v>
      </c>
      <c r="J736" s="1211">
        <f t="shared" si="1377"/>
        <v>0</v>
      </c>
      <c r="K736" s="1211">
        <f t="shared" si="1377"/>
        <v>0</v>
      </c>
      <c r="L736" s="1104">
        <f t="shared" si="1377"/>
        <v>0</v>
      </c>
      <c r="M736" s="1104">
        <f t="shared" si="1377"/>
        <v>0</v>
      </c>
      <c r="N736" s="1104">
        <f t="shared" si="1377"/>
        <v>0</v>
      </c>
      <c r="O736" s="1104">
        <f t="shared" si="1377"/>
        <v>0</v>
      </c>
      <c r="P736" s="1104">
        <f t="shared" si="1377"/>
        <v>0</v>
      </c>
      <c r="Q736" s="1211">
        <f t="shared" si="1377"/>
        <v>0</v>
      </c>
      <c r="R736" s="1211">
        <f t="shared" si="1377"/>
        <v>0</v>
      </c>
      <c r="S736" s="1104">
        <f t="shared" si="1377"/>
        <v>0</v>
      </c>
      <c r="T736" s="1104">
        <f t="shared" si="1377"/>
        <v>0</v>
      </c>
      <c r="U736" s="1104">
        <f t="shared" si="1377"/>
        <v>0</v>
      </c>
      <c r="V736" s="1104">
        <f t="shared" si="1377"/>
        <v>0</v>
      </c>
      <c r="W736" s="1104">
        <f t="shared" si="1377"/>
        <v>0</v>
      </c>
      <c r="X736" s="1211">
        <f t="shared" si="1377"/>
        <v>0</v>
      </c>
      <c r="Y736" s="1211">
        <f t="shared" si="1377"/>
        <v>0</v>
      </c>
      <c r="Z736" s="1104">
        <f t="shared" si="1377"/>
        <v>0</v>
      </c>
      <c r="AA736" s="1104">
        <f t="shared" si="1377"/>
        <v>0</v>
      </c>
      <c r="AB736" s="1104">
        <f t="shared" si="1377"/>
        <v>0</v>
      </c>
      <c r="AC736" s="1104">
        <f t="shared" si="1377"/>
        <v>0</v>
      </c>
      <c r="AD736" s="1104">
        <f t="shared" si="1377"/>
        <v>0</v>
      </c>
      <c r="AE736" s="1211">
        <f t="shared" si="1377"/>
        <v>0</v>
      </c>
      <c r="AF736" s="1211">
        <f t="shared" si="1377"/>
        <v>0</v>
      </c>
      <c r="AG736" s="1104">
        <f t="shared" si="1377"/>
        <v>0</v>
      </c>
      <c r="AH736" s="1104">
        <f t="shared" si="1377"/>
        <v>0</v>
      </c>
      <c r="AI736" s="1335">
        <f>SUM(AI730+AI732+AI733)/AI735</f>
        <v>0</v>
      </c>
      <c r="AJ736" s="104">
        <f>SUM(E736:AI736)</f>
        <v>0</v>
      </c>
      <c r="AK736" s="104"/>
      <c r="AL736" s="83"/>
      <c r="AM736" s="1068">
        <f t="shared" si="1338"/>
        <v>0</v>
      </c>
      <c r="AN736" s="31"/>
      <c r="AO736" s="622"/>
      <c r="AP736" s="23"/>
      <c r="AQ736" s="23"/>
      <c r="AR736" s="23"/>
      <c r="AS736" s="23"/>
      <c r="AT736" s="23"/>
      <c r="AU736" s="23"/>
      <c r="AV736" s="23"/>
    </row>
    <row r="737" spans="1:48" ht="25.15" hidden="1" customHeight="1">
      <c r="A737" s="103"/>
      <c r="B737" s="59"/>
      <c r="C737" s="84">
        <f>+C735*0.8</f>
        <v>240000</v>
      </c>
      <c r="D737" s="85" t="s">
        <v>110</v>
      </c>
      <c r="E737" s="1105"/>
      <c r="F737" s="1106"/>
      <c r="G737" s="1211"/>
      <c r="H737" s="1104"/>
      <c r="I737" s="1104"/>
      <c r="J737" s="1211"/>
      <c r="K737" s="1211"/>
      <c r="L737" s="1104"/>
      <c r="M737" s="1104"/>
      <c r="N737" s="1104"/>
      <c r="O737" s="1107"/>
      <c r="P737" s="1104"/>
      <c r="Q737" s="1211"/>
      <c r="R737" s="1211"/>
      <c r="S737" s="1104"/>
      <c r="T737" s="1104"/>
      <c r="U737" s="1104"/>
      <c r="V737" s="1104"/>
      <c r="W737" s="1104"/>
      <c r="X737" s="1211"/>
      <c r="Y737" s="1211"/>
      <c r="Z737" s="1104"/>
      <c r="AA737" s="1104"/>
      <c r="AB737" s="1104"/>
      <c r="AC737" s="1104"/>
      <c r="AD737" s="1104"/>
      <c r="AE737" s="1211"/>
      <c r="AF737" s="1211"/>
      <c r="AG737" s="1104"/>
      <c r="AH737" s="1104"/>
      <c r="AI737" s="1353"/>
      <c r="AJ737" s="86"/>
      <c r="AK737" s="86"/>
      <c r="AL737" s="690"/>
      <c r="AM737" s="694">
        <f t="shared" si="1338"/>
        <v>0</v>
      </c>
      <c r="AN737" s="31"/>
      <c r="AO737" s="622"/>
      <c r="AP737" s="23"/>
      <c r="AQ737" s="23"/>
      <c r="AR737" s="23"/>
      <c r="AS737" s="23"/>
      <c r="AT737" s="23"/>
      <c r="AU737" s="23"/>
      <c r="AV737" s="23"/>
    </row>
    <row r="738" spans="1:48" ht="25.15" hidden="1" customHeight="1">
      <c r="A738" s="103"/>
      <c r="B738" s="105"/>
      <c r="C738" s="77"/>
      <c r="D738" s="88" t="s">
        <v>111</v>
      </c>
      <c r="E738" s="1108">
        <f>IF(E737="O/H",E736,0+E736)</f>
        <v>0</v>
      </c>
      <c r="F738" s="1089">
        <f t="shared" ref="F738:AI738" si="1378">IF(F737="O/H",F736,+E738+F736)</f>
        <v>0</v>
      </c>
      <c r="G738" s="44">
        <f t="shared" si="1378"/>
        <v>0</v>
      </c>
      <c r="H738" s="1089">
        <f t="shared" si="1378"/>
        <v>0</v>
      </c>
      <c r="I738" s="1089">
        <f t="shared" si="1378"/>
        <v>0</v>
      </c>
      <c r="J738" s="44">
        <f t="shared" si="1378"/>
        <v>0</v>
      </c>
      <c r="K738" s="44">
        <f t="shared" si="1378"/>
        <v>0</v>
      </c>
      <c r="L738" s="1089">
        <f t="shared" si="1378"/>
        <v>0</v>
      </c>
      <c r="M738" s="1089">
        <f t="shared" si="1378"/>
        <v>0</v>
      </c>
      <c r="N738" s="1089">
        <f t="shared" si="1378"/>
        <v>0</v>
      </c>
      <c r="O738" s="1089">
        <f t="shared" si="1378"/>
        <v>0</v>
      </c>
      <c r="P738" s="1089">
        <f t="shared" si="1378"/>
        <v>0</v>
      </c>
      <c r="Q738" s="44">
        <f t="shared" si="1378"/>
        <v>0</v>
      </c>
      <c r="R738" s="44">
        <f t="shared" si="1378"/>
        <v>0</v>
      </c>
      <c r="S738" s="1089">
        <f t="shared" si="1378"/>
        <v>0</v>
      </c>
      <c r="T738" s="1089">
        <f t="shared" si="1378"/>
        <v>0</v>
      </c>
      <c r="U738" s="1089">
        <f t="shared" si="1378"/>
        <v>0</v>
      </c>
      <c r="V738" s="1089">
        <f t="shared" si="1378"/>
        <v>0</v>
      </c>
      <c r="W738" s="1089">
        <f t="shared" si="1378"/>
        <v>0</v>
      </c>
      <c r="X738" s="44">
        <f t="shared" si="1378"/>
        <v>0</v>
      </c>
      <c r="Y738" s="44">
        <f t="shared" si="1378"/>
        <v>0</v>
      </c>
      <c r="Z738" s="1089">
        <f t="shared" si="1378"/>
        <v>0</v>
      </c>
      <c r="AA738" s="1089">
        <f t="shared" si="1378"/>
        <v>0</v>
      </c>
      <c r="AB738" s="1089">
        <f t="shared" si="1378"/>
        <v>0</v>
      </c>
      <c r="AC738" s="1089">
        <f t="shared" si="1378"/>
        <v>0</v>
      </c>
      <c r="AD738" s="1089">
        <f t="shared" si="1378"/>
        <v>0</v>
      </c>
      <c r="AE738" s="44">
        <f t="shared" si="1378"/>
        <v>0</v>
      </c>
      <c r="AF738" s="44">
        <f t="shared" si="1378"/>
        <v>0</v>
      </c>
      <c r="AG738" s="1089">
        <f t="shared" si="1378"/>
        <v>0</v>
      </c>
      <c r="AH738" s="1089">
        <f t="shared" si="1378"/>
        <v>0</v>
      </c>
      <c r="AI738" s="1326">
        <f t="shared" si="1378"/>
        <v>0</v>
      </c>
      <c r="AJ738" s="79"/>
      <c r="AK738" s="86"/>
      <c r="AL738" s="689"/>
      <c r="AM738" s="694">
        <f t="shared" si="1338"/>
        <v>0</v>
      </c>
      <c r="AN738" s="31"/>
      <c r="AO738" s="622"/>
      <c r="AP738" s="23"/>
      <c r="AQ738" s="23"/>
      <c r="AR738" s="23"/>
      <c r="AS738" s="23"/>
      <c r="AT738" s="23"/>
      <c r="AU738" s="23"/>
      <c r="AV738" s="23"/>
    </row>
    <row r="739" spans="1:48" ht="25.15" hidden="1" customHeight="1">
      <c r="A739" s="103"/>
      <c r="B739" s="89"/>
      <c r="C739" s="80"/>
      <c r="D739" s="90" t="s">
        <v>104</v>
      </c>
      <c r="E739" s="1108"/>
      <c r="F739" s="1089"/>
      <c r="G739" s="44"/>
      <c r="H739" s="1089"/>
      <c r="I739" s="1089"/>
      <c r="J739" s="44"/>
      <c r="K739" s="44"/>
      <c r="L739" s="1089"/>
      <c r="M739" s="1089"/>
      <c r="N739" s="1089"/>
      <c r="O739" s="1089"/>
      <c r="P739" s="1089"/>
      <c r="Q739" s="44"/>
      <c r="R739" s="44"/>
      <c r="S739" s="1089"/>
      <c r="T739" s="1089"/>
      <c r="U739" s="1089"/>
      <c r="V739" s="1089"/>
      <c r="W739" s="1089"/>
      <c r="X739" s="44"/>
      <c r="Y739" s="44"/>
      <c r="Z739" s="1089"/>
      <c r="AA739" s="1089"/>
      <c r="AB739" s="1089"/>
      <c r="AC739" s="1089"/>
      <c r="AD739" s="1089"/>
      <c r="AE739" s="44"/>
      <c r="AF739" s="44"/>
      <c r="AG739" s="1089"/>
      <c r="AH739" s="1089"/>
      <c r="AI739" s="1326"/>
      <c r="AJ739" s="79"/>
      <c r="AK739" s="79"/>
      <c r="AL739" s="63"/>
      <c r="AM739" s="1068">
        <f t="shared" si="1338"/>
        <v>0</v>
      </c>
      <c r="AN739" s="64"/>
      <c r="AO739" s="624"/>
      <c r="AP739" s="23"/>
      <c r="AQ739" s="23"/>
      <c r="AR739" s="23"/>
      <c r="AS739" s="23"/>
      <c r="AT739" s="23"/>
      <c r="AU739" s="23"/>
      <c r="AV739" s="23"/>
    </row>
    <row r="740" spans="1:48" ht="25.15" hidden="1" customHeight="1" thickBot="1">
      <c r="A740" s="106"/>
      <c r="B740" s="93"/>
      <c r="C740" s="94"/>
      <c r="D740" s="95" t="s">
        <v>111</v>
      </c>
      <c r="E740" s="1109">
        <f>IF(E739="O/H",E736,0+E736)</f>
        <v>0</v>
      </c>
      <c r="F740" s="1110">
        <f t="shared" ref="F740:AI740" si="1379">IF(F739="O/H",F736,+E740+F736)</f>
        <v>0</v>
      </c>
      <c r="G740" s="1212">
        <f t="shared" si="1379"/>
        <v>0</v>
      </c>
      <c r="H740" s="1110">
        <f t="shared" si="1379"/>
        <v>0</v>
      </c>
      <c r="I740" s="1110">
        <f t="shared" si="1379"/>
        <v>0</v>
      </c>
      <c r="J740" s="1212">
        <f t="shared" si="1379"/>
        <v>0</v>
      </c>
      <c r="K740" s="1212">
        <f t="shared" si="1379"/>
        <v>0</v>
      </c>
      <c r="L740" s="1110">
        <f t="shared" si="1379"/>
        <v>0</v>
      </c>
      <c r="M740" s="1110">
        <f t="shared" si="1379"/>
        <v>0</v>
      </c>
      <c r="N740" s="1110">
        <f t="shared" si="1379"/>
        <v>0</v>
      </c>
      <c r="O740" s="1110">
        <f t="shared" si="1379"/>
        <v>0</v>
      </c>
      <c r="P740" s="1110">
        <f t="shared" si="1379"/>
        <v>0</v>
      </c>
      <c r="Q740" s="1212">
        <f t="shared" si="1379"/>
        <v>0</v>
      </c>
      <c r="R740" s="1212">
        <f t="shared" si="1379"/>
        <v>0</v>
      </c>
      <c r="S740" s="1110">
        <f t="shared" si="1379"/>
        <v>0</v>
      </c>
      <c r="T740" s="1110">
        <f t="shared" si="1379"/>
        <v>0</v>
      </c>
      <c r="U740" s="1110">
        <f t="shared" si="1379"/>
        <v>0</v>
      </c>
      <c r="V740" s="1110">
        <f t="shared" si="1379"/>
        <v>0</v>
      </c>
      <c r="W740" s="1110">
        <f t="shared" si="1379"/>
        <v>0</v>
      </c>
      <c r="X740" s="1212">
        <f t="shared" si="1379"/>
        <v>0</v>
      </c>
      <c r="Y740" s="1212">
        <f t="shared" si="1379"/>
        <v>0</v>
      </c>
      <c r="Z740" s="1110">
        <f t="shared" si="1379"/>
        <v>0</v>
      </c>
      <c r="AA740" s="1110">
        <f t="shared" si="1379"/>
        <v>0</v>
      </c>
      <c r="AB740" s="1110">
        <f t="shared" si="1379"/>
        <v>0</v>
      </c>
      <c r="AC740" s="1110">
        <f t="shared" si="1379"/>
        <v>0</v>
      </c>
      <c r="AD740" s="1110">
        <f t="shared" si="1379"/>
        <v>0</v>
      </c>
      <c r="AE740" s="1212">
        <f t="shared" si="1379"/>
        <v>0</v>
      </c>
      <c r="AF740" s="1212">
        <f t="shared" si="1379"/>
        <v>0</v>
      </c>
      <c r="AG740" s="1110">
        <f t="shared" si="1379"/>
        <v>0</v>
      </c>
      <c r="AH740" s="1110">
        <f t="shared" si="1379"/>
        <v>0</v>
      </c>
      <c r="AI740" s="1340">
        <f t="shared" si="1379"/>
        <v>0</v>
      </c>
      <c r="AJ740" s="96"/>
      <c r="AK740" s="96"/>
      <c r="AL740" s="97"/>
      <c r="AM740" s="1071">
        <f t="shared" si="1338"/>
        <v>0</v>
      </c>
      <c r="AN740" s="98"/>
      <c r="AO740" s="625"/>
      <c r="AP740" s="23"/>
      <c r="AQ740" s="23"/>
      <c r="AR740" s="23"/>
      <c r="AS740" s="23"/>
      <c r="AT740" s="23"/>
      <c r="AU740" s="23"/>
      <c r="AV740" s="23"/>
    </row>
    <row r="741" spans="1:48" ht="25.15" hidden="1" customHeight="1" thickTop="1">
      <c r="A741" s="99"/>
      <c r="B741" s="26" t="s">
        <v>187</v>
      </c>
      <c r="C741" s="27"/>
      <c r="D741" s="28" t="s">
        <v>82</v>
      </c>
      <c r="E741" s="1111"/>
      <c r="F741" s="1111"/>
      <c r="G741" s="1201"/>
      <c r="H741" s="1111"/>
      <c r="I741" s="1111"/>
      <c r="J741" s="1201"/>
      <c r="K741" s="1201"/>
      <c r="L741" s="1111"/>
      <c r="M741" s="1111"/>
      <c r="N741" s="1111"/>
      <c r="O741" s="1111"/>
      <c r="P741" s="1111"/>
      <c r="Q741" s="1201"/>
      <c r="R741" s="1201"/>
      <c r="S741" s="1111"/>
      <c r="T741" s="1111"/>
      <c r="U741" s="1111"/>
      <c r="V741" s="1111"/>
      <c r="W741" s="1111"/>
      <c r="X741" s="1201"/>
      <c r="Y741" s="1201"/>
      <c r="Z741" s="1111"/>
      <c r="AA741" s="1111"/>
      <c r="AB741" s="1111"/>
      <c r="AC741" s="1111"/>
      <c r="AD741" s="1111"/>
      <c r="AE741" s="1201"/>
      <c r="AF741" s="1201"/>
      <c r="AG741" s="1111"/>
      <c r="AH741" s="1111"/>
      <c r="AI741" s="1111"/>
      <c r="AJ741" s="100">
        <f>SUM(Table75[[#This Row],[June''2026]:[Column27]])</f>
        <v>0</v>
      </c>
      <c r="AK741" s="100">
        <f t="shared" si="1340"/>
        <v>0</v>
      </c>
      <c r="AL741" s="101">
        <f>+AJ741*AN741</f>
        <v>0</v>
      </c>
      <c r="AM741" s="1072">
        <f t="shared" si="1338"/>
        <v>0</v>
      </c>
      <c r="AN741" s="102"/>
      <c r="AO741" s="622" t="e">
        <f>Table5[[#This Row],[Total]]*B745/1000</f>
        <v>#VALUE!</v>
      </c>
      <c r="AP741" s="32" t="s">
        <v>179</v>
      </c>
      <c r="AQ741" s="33" t="s">
        <v>84</v>
      </c>
      <c r="AR741" s="33" t="s">
        <v>85</v>
      </c>
      <c r="AS741" s="33" t="s">
        <v>86</v>
      </c>
      <c r="AT741" s="33" t="s">
        <v>87</v>
      </c>
      <c r="AU741" s="33" t="s">
        <v>88</v>
      </c>
      <c r="AV741" s="34" t="s">
        <v>68</v>
      </c>
    </row>
    <row r="742" spans="1:48" ht="25.15" hidden="1" customHeight="1">
      <c r="A742" s="103"/>
      <c r="B742" s="35"/>
      <c r="C742" s="36"/>
      <c r="D742" s="37" t="s">
        <v>90</v>
      </c>
      <c r="E742" s="1373">
        <f>IF(E741="",0,+ E741/E748)</f>
        <v>0</v>
      </c>
      <c r="F742" s="1096">
        <f t="shared" ref="F742:AI742" si="1380">IF(F741="",0, E742+F741/F748)</f>
        <v>0</v>
      </c>
      <c r="G742" s="1207">
        <f t="shared" si="1380"/>
        <v>0</v>
      </c>
      <c r="H742" s="1096">
        <f t="shared" si="1380"/>
        <v>0</v>
      </c>
      <c r="I742" s="1096">
        <f t="shared" si="1380"/>
        <v>0</v>
      </c>
      <c r="J742" s="1207">
        <f t="shared" si="1380"/>
        <v>0</v>
      </c>
      <c r="K742" s="1207">
        <f t="shared" si="1380"/>
        <v>0</v>
      </c>
      <c r="L742" s="1096">
        <f t="shared" si="1380"/>
        <v>0</v>
      </c>
      <c r="M742" s="1096">
        <f t="shared" si="1380"/>
        <v>0</v>
      </c>
      <c r="N742" s="1096">
        <f t="shared" si="1380"/>
        <v>0</v>
      </c>
      <c r="O742" s="1096">
        <f t="shared" si="1380"/>
        <v>0</v>
      </c>
      <c r="P742" s="1096">
        <f t="shared" si="1380"/>
        <v>0</v>
      </c>
      <c r="Q742" s="1207">
        <f t="shared" si="1380"/>
        <v>0</v>
      </c>
      <c r="R742" s="1207">
        <f t="shared" si="1380"/>
        <v>0</v>
      </c>
      <c r="S742" s="1096">
        <f t="shared" si="1380"/>
        <v>0</v>
      </c>
      <c r="T742" s="1096">
        <f t="shared" si="1380"/>
        <v>0</v>
      </c>
      <c r="U742" s="1096">
        <f t="shared" si="1380"/>
        <v>0</v>
      </c>
      <c r="V742" s="1096">
        <f t="shared" si="1380"/>
        <v>0</v>
      </c>
      <c r="W742" s="1096">
        <f t="shared" si="1380"/>
        <v>0</v>
      </c>
      <c r="X742" s="1207">
        <f t="shared" si="1380"/>
        <v>0</v>
      </c>
      <c r="Y742" s="1207">
        <f t="shared" si="1380"/>
        <v>0</v>
      </c>
      <c r="Z742" s="1096">
        <f t="shared" si="1380"/>
        <v>0</v>
      </c>
      <c r="AA742" s="1096">
        <f t="shared" si="1380"/>
        <v>0</v>
      </c>
      <c r="AB742" s="1096">
        <f t="shared" si="1380"/>
        <v>0</v>
      </c>
      <c r="AC742" s="1096">
        <f t="shared" si="1380"/>
        <v>0</v>
      </c>
      <c r="AD742" s="1096">
        <f t="shared" si="1380"/>
        <v>0</v>
      </c>
      <c r="AE742" s="1207">
        <f t="shared" si="1380"/>
        <v>0</v>
      </c>
      <c r="AF742" s="1207">
        <f t="shared" si="1380"/>
        <v>0</v>
      </c>
      <c r="AG742" s="1096">
        <f t="shared" si="1380"/>
        <v>0</v>
      </c>
      <c r="AH742" s="1096">
        <f t="shared" si="1380"/>
        <v>0</v>
      </c>
      <c r="AI742" s="1324">
        <f t="shared" si="1380"/>
        <v>0</v>
      </c>
      <c r="AJ742" s="38"/>
      <c r="AK742" s="29"/>
      <c r="AL742" s="30"/>
      <c r="AM742" s="694">
        <f t="shared" si="1338"/>
        <v>0</v>
      </c>
      <c r="AN742" s="31"/>
      <c r="AO742" s="630"/>
      <c r="AP742" s="39" t="s">
        <v>91</v>
      </c>
      <c r="AQ742" s="40">
        <f>SUM(E741:I741)</f>
        <v>0</v>
      </c>
      <c r="AR742" s="41">
        <f>SUM(J741:P741)</f>
        <v>0</v>
      </c>
      <c r="AS742" s="41">
        <f>SUM(Q741:W741)</f>
        <v>0</v>
      </c>
      <c r="AT742" s="41">
        <f>SUM(X741:AD741)</f>
        <v>0</v>
      </c>
      <c r="AU742" s="41">
        <f>SUM(AE741:AI741)</f>
        <v>0</v>
      </c>
      <c r="AV742" s="34">
        <f t="shared" ref="AV742:AV747" si="1381">SUM(AQ742:AU742)</f>
        <v>0</v>
      </c>
    </row>
    <row r="743" spans="1:48" ht="25.15" hidden="1" customHeight="1">
      <c r="A743" s="103"/>
      <c r="B743" s="26" t="s">
        <v>92</v>
      </c>
      <c r="C743" s="42"/>
      <c r="D743" s="43" t="s">
        <v>93</v>
      </c>
      <c r="E743" s="1325"/>
      <c r="F743" s="1089"/>
      <c r="G743" s="44"/>
      <c r="H743" s="1089"/>
      <c r="I743" s="1089"/>
      <c r="J743" s="44"/>
      <c r="K743" s="44"/>
      <c r="L743" s="1089"/>
      <c r="M743" s="1089"/>
      <c r="N743" s="1089"/>
      <c r="O743" s="1089"/>
      <c r="P743" s="1089"/>
      <c r="Q743" s="44"/>
      <c r="R743" s="44"/>
      <c r="S743" s="1089"/>
      <c r="T743" s="1089"/>
      <c r="U743" s="1089"/>
      <c r="V743" s="1089"/>
      <c r="W743" s="1089"/>
      <c r="X743" s="44"/>
      <c r="Y743" s="44"/>
      <c r="Z743" s="1089"/>
      <c r="AA743" s="1089"/>
      <c r="AB743" s="1089"/>
      <c r="AC743" s="1089"/>
      <c r="AD743" s="1089"/>
      <c r="AE743" s="44"/>
      <c r="AF743" s="44"/>
      <c r="AG743" s="1089"/>
      <c r="AH743" s="1089"/>
      <c r="AI743" s="1326"/>
      <c r="AJ743" s="45">
        <f>SUM(E743:AI743)</f>
        <v>0</v>
      </c>
      <c r="AK743" s="45"/>
      <c r="AL743" s="46">
        <f>+AJ743*AN741</f>
        <v>0</v>
      </c>
      <c r="AM743" s="1066">
        <f t="shared" si="1338"/>
        <v>0</v>
      </c>
      <c r="AN743" s="31"/>
      <c r="AO743" s="632">
        <f>(AJ743+AJ745+AJ746+AJ747)*B745/1000</f>
        <v>0</v>
      </c>
      <c r="AP743" s="47" t="s">
        <v>94</v>
      </c>
      <c r="AQ743" s="48">
        <f>SUM(E743:I743)</f>
        <v>0</v>
      </c>
      <c r="AR743" s="49">
        <f>SUM(J743:P743)</f>
        <v>0</v>
      </c>
      <c r="AS743" s="49">
        <f>SUM(Q743:W743)</f>
        <v>0</v>
      </c>
      <c r="AT743" s="49">
        <f>SUM(X743:AD743)</f>
        <v>0</v>
      </c>
      <c r="AU743" s="49">
        <f>SUM(AE743:AI743)</f>
        <v>0</v>
      </c>
      <c r="AV743" s="50">
        <f t="shared" si="1381"/>
        <v>0</v>
      </c>
    </row>
    <row r="744" spans="1:48" ht="24.75" hidden="1" customHeight="1">
      <c r="A744" s="103"/>
      <c r="B744" s="51"/>
      <c r="C744" s="52" t="s">
        <v>95</v>
      </c>
      <c r="D744" s="53" t="s">
        <v>96</v>
      </c>
      <c r="E744" s="1327">
        <f t="shared" ref="E744:AJ744" si="1382">+E743-E741</f>
        <v>0</v>
      </c>
      <c r="F744" s="1097">
        <f t="shared" si="1382"/>
        <v>0</v>
      </c>
      <c r="G744" s="1205">
        <f t="shared" si="1382"/>
        <v>0</v>
      </c>
      <c r="H744" s="1097">
        <f t="shared" si="1382"/>
        <v>0</v>
      </c>
      <c r="I744" s="1097">
        <f t="shared" si="1382"/>
        <v>0</v>
      </c>
      <c r="J744" s="1205">
        <f t="shared" si="1382"/>
        <v>0</v>
      </c>
      <c r="K744" s="1205">
        <f t="shared" si="1382"/>
        <v>0</v>
      </c>
      <c r="L744" s="1097">
        <f t="shared" si="1382"/>
        <v>0</v>
      </c>
      <c r="M744" s="1097">
        <f t="shared" si="1382"/>
        <v>0</v>
      </c>
      <c r="N744" s="1097">
        <f t="shared" si="1382"/>
        <v>0</v>
      </c>
      <c r="O744" s="1097">
        <f t="shared" si="1382"/>
        <v>0</v>
      </c>
      <c r="P744" s="1097">
        <f t="shared" si="1382"/>
        <v>0</v>
      </c>
      <c r="Q744" s="1205">
        <f t="shared" si="1382"/>
        <v>0</v>
      </c>
      <c r="R744" s="1205">
        <f t="shared" si="1382"/>
        <v>0</v>
      </c>
      <c r="S744" s="1097">
        <f t="shared" si="1382"/>
        <v>0</v>
      </c>
      <c r="T744" s="1097">
        <f t="shared" si="1382"/>
        <v>0</v>
      </c>
      <c r="U744" s="1097">
        <f t="shared" si="1382"/>
        <v>0</v>
      </c>
      <c r="V744" s="1097">
        <f t="shared" si="1382"/>
        <v>0</v>
      </c>
      <c r="W744" s="1097">
        <f t="shared" si="1382"/>
        <v>0</v>
      </c>
      <c r="X744" s="1205">
        <f t="shared" si="1382"/>
        <v>0</v>
      </c>
      <c r="Y744" s="1205">
        <f t="shared" si="1382"/>
        <v>0</v>
      </c>
      <c r="Z744" s="1097">
        <f t="shared" si="1382"/>
        <v>0</v>
      </c>
      <c r="AA744" s="1097">
        <f t="shared" si="1382"/>
        <v>0</v>
      </c>
      <c r="AB744" s="1097">
        <f t="shared" si="1382"/>
        <v>0</v>
      </c>
      <c r="AC744" s="1097">
        <f t="shared" si="1382"/>
        <v>0</v>
      </c>
      <c r="AD744" s="1097">
        <f t="shared" si="1382"/>
        <v>0</v>
      </c>
      <c r="AE744" s="1205">
        <f t="shared" si="1382"/>
        <v>0</v>
      </c>
      <c r="AF744" s="1205">
        <f t="shared" si="1382"/>
        <v>0</v>
      </c>
      <c r="AG744" s="1097">
        <f t="shared" si="1382"/>
        <v>0</v>
      </c>
      <c r="AH744" s="1097">
        <f t="shared" si="1382"/>
        <v>0</v>
      </c>
      <c r="AI744" s="1328">
        <f t="shared" si="1382"/>
        <v>0</v>
      </c>
      <c r="AJ744" s="54">
        <f t="shared" si="1382"/>
        <v>0</v>
      </c>
      <c r="AK744" s="54"/>
      <c r="AL744" s="55">
        <f>+AJ744*AN741</f>
        <v>0</v>
      </c>
      <c r="AM744" s="1067">
        <f t="shared" si="1338"/>
        <v>0</v>
      </c>
      <c r="AN744" s="31" t="s">
        <v>97</v>
      </c>
      <c r="AO744" s="622"/>
      <c r="AP744" s="39" t="s">
        <v>98</v>
      </c>
      <c r="AQ744" s="56">
        <f>AQ743-AQ742</f>
        <v>0</v>
      </c>
      <c r="AR744" s="70">
        <f>AR743-AR742</f>
        <v>0</v>
      </c>
      <c r="AS744" s="70">
        <f>AS743-AS742</f>
        <v>0</v>
      </c>
      <c r="AT744" s="70">
        <f>AT743-AT742</f>
        <v>0</v>
      </c>
      <c r="AU744" s="70">
        <f>AU743-AU742</f>
        <v>0</v>
      </c>
      <c r="AV744" s="57">
        <f t="shared" si="1381"/>
        <v>0</v>
      </c>
    </row>
    <row r="745" spans="1:48" ht="24.75" hidden="1" customHeight="1">
      <c r="A745" s="58"/>
      <c r="B745" s="59"/>
      <c r="C745" s="60" t="s">
        <v>100</v>
      </c>
      <c r="D745" s="61" t="s">
        <v>101</v>
      </c>
      <c r="E745" s="1329"/>
      <c r="F745" s="1099"/>
      <c r="G745" s="1208"/>
      <c r="H745" s="1099"/>
      <c r="I745" s="1099"/>
      <c r="J745" s="1208"/>
      <c r="K745" s="1208"/>
      <c r="L745" s="1099"/>
      <c r="M745" s="1099"/>
      <c r="N745" s="1099"/>
      <c r="O745" s="1099"/>
      <c r="P745" s="1099"/>
      <c r="Q745" s="1208"/>
      <c r="R745" s="1208"/>
      <c r="S745" s="1099"/>
      <c r="T745" s="1099"/>
      <c r="U745" s="1099"/>
      <c r="V745" s="1099"/>
      <c r="W745" s="1099"/>
      <c r="X745" s="1208"/>
      <c r="Y745" s="1208"/>
      <c r="Z745" s="1099"/>
      <c r="AA745" s="1099"/>
      <c r="AB745" s="1099"/>
      <c r="AC745" s="1099"/>
      <c r="AD745" s="1099"/>
      <c r="AE745" s="1208"/>
      <c r="AF745" s="1208"/>
      <c r="AG745" s="1099"/>
      <c r="AH745" s="1099"/>
      <c r="AI745" s="1330"/>
      <c r="AJ745" s="62">
        <f>SUM(E745:AI745)</f>
        <v>0</v>
      </c>
      <c r="AK745" s="62"/>
      <c r="AL745" s="63">
        <f>+AJ745*AN741</f>
        <v>0</v>
      </c>
      <c r="AM745" s="1068">
        <f t="shared" si="1338"/>
        <v>0</v>
      </c>
      <c r="AN745" s="64" t="e">
        <f>+AJ745/AJ743*100</f>
        <v>#DIV/0!</v>
      </c>
      <c r="AO745" s="635" t="e">
        <f>AO743/AO741</f>
        <v>#VALUE!</v>
      </c>
      <c r="AP745" s="39" t="s">
        <v>102</v>
      </c>
      <c r="AQ745" s="56">
        <f>SUM(E745:I745)</f>
        <v>0</v>
      </c>
      <c r="AR745" s="70">
        <f>SUM(J745:P745)</f>
        <v>0</v>
      </c>
      <c r="AS745" s="70">
        <f>SUM(Q745:W745)</f>
        <v>0</v>
      </c>
      <c r="AT745" s="70">
        <f>SUM(X745:AD745)</f>
        <v>0</v>
      </c>
      <c r="AU745" s="70">
        <f>SUM(AE745:AI745)</f>
        <v>0</v>
      </c>
      <c r="AV745" s="57">
        <f t="shared" si="1381"/>
        <v>0</v>
      </c>
    </row>
    <row r="746" spans="1:48" ht="24.75" hidden="1" customHeight="1">
      <c r="A746" s="58" t="s">
        <v>188</v>
      </c>
      <c r="B746" s="65"/>
      <c r="C746" s="66"/>
      <c r="D746" s="67" t="s">
        <v>103</v>
      </c>
      <c r="E746" s="1331"/>
      <c r="F746" s="1101"/>
      <c r="G746" s="1209"/>
      <c r="H746" s="1101"/>
      <c r="I746" s="1101"/>
      <c r="J746" s="1209"/>
      <c r="K746" s="1209"/>
      <c r="L746" s="1101"/>
      <c r="M746" s="1101"/>
      <c r="N746" s="1101"/>
      <c r="O746" s="1101"/>
      <c r="P746" s="1101"/>
      <c r="Q746" s="1209"/>
      <c r="R746" s="1209"/>
      <c r="S746" s="1101"/>
      <c r="T746" s="1101"/>
      <c r="U746" s="1101"/>
      <c r="V746" s="1101"/>
      <c r="W746" s="1101"/>
      <c r="X746" s="1209"/>
      <c r="Y746" s="1209"/>
      <c r="Z746" s="1101"/>
      <c r="AA746" s="1101"/>
      <c r="AB746" s="1101"/>
      <c r="AC746" s="1101"/>
      <c r="AD746" s="1101"/>
      <c r="AE746" s="1209"/>
      <c r="AF746" s="1209"/>
      <c r="AG746" s="1101"/>
      <c r="AH746" s="1101"/>
      <c r="AI746" s="1332"/>
      <c r="AJ746" s="68">
        <f>SUM(E746:AI746)</f>
        <v>0</v>
      </c>
      <c r="AK746" s="68"/>
      <c r="AL746" s="69">
        <f>+AJ746*AN741</f>
        <v>0</v>
      </c>
      <c r="AM746" s="1069">
        <f t="shared" si="1338"/>
        <v>0</v>
      </c>
      <c r="AN746" s="31"/>
      <c r="AO746" s="622"/>
      <c r="AP746" s="39" t="s">
        <v>19</v>
      </c>
      <c r="AQ746" s="56">
        <f>AQ745*AN741</f>
        <v>0</v>
      </c>
      <c r="AR746" s="56">
        <f>AR745*AN741</f>
        <v>0</v>
      </c>
      <c r="AS746" s="56">
        <f>AS745*AN741</f>
        <v>0</v>
      </c>
      <c r="AT746" s="56">
        <f>AT745*AN741</f>
        <v>0</v>
      </c>
      <c r="AU746" s="56">
        <f>AU745*AN741</f>
        <v>0</v>
      </c>
      <c r="AV746" s="57">
        <f t="shared" si="1381"/>
        <v>0</v>
      </c>
    </row>
    <row r="747" spans="1:48" ht="25.15" hidden="1" customHeight="1">
      <c r="A747" s="103"/>
      <c r="B747" s="65"/>
      <c r="C747" s="72" t="s">
        <v>104</v>
      </c>
      <c r="D747" s="73" t="s">
        <v>105</v>
      </c>
      <c r="E747" s="1378"/>
      <c r="F747" s="1103"/>
      <c r="G747" s="1210"/>
      <c r="H747" s="1103"/>
      <c r="I747" s="1103"/>
      <c r="J747" s="1210"/>
      <c r="K747" s="1210"/>
      <c r="L747" s="1103"/>
      <c r="M747" s="1103"/>
      <c r="N747" s="1103"/>
      <c r="O747" s="1103"/>
      <c r="P747" s="1103"/>
      <c r="Q747" s="1210"/>
      <c r="R747" s="1210"/>
      <c r="S747" s="1103"/>
      <c r="T747" s="1103"/>
      <c r="U747" s="1103"/>
      <c r="V747" s="1103"/>
      <c r="W747" s="1103"/>
      <c r="X747" s="1210"/>
      <c r="Y747" s="1210"/>
      <c r="Z747" s="1103"/>
      <c r="AA747" s="1103"/>
      <c r="AB747" s="1103"/>
      <c r="AC747" s="1103"/>
      <c r="AD747" s="1103"/>
      <c r="AE747" s="1210"/>
      <c r="AF747" s="1210"/>
      <c r="AG747" s="1103"/>
      <c r="AH747" s="1103"/>
      <c r="AI747" s="1352"/>
      <c r="AJ747" s="74">
        <f>SUM(E747:AI747)</f>
        <v>0</v>
      </c>
      <c r="AK747" s="74"/>
      <c r="AL747" s="75">
        <f>+AJ747*AN741</f>
        <v>0</v>
      </c>
      <c r="AM747" s="1070">
        <f t="shared" si="1338"/>
        <v>0</v>
      </c>
      <c r="AN747" s="76"/>
      <c r="AO747" s="636"/>
      <c r="AP747" s="47" t="s">
        <v>106</v>
      </c>
      <c r="AQ747" s="48">
        <f>AQ743*AN741</f>
        <v>0</v>
      </c>
      <c r="AR747" s="48">
        <f>AR743*AN741</f>
        <v>0</v>
      </c>
      <c r="AS747" s="48">
        <f>AS743*AN741</f>
        <v>0</v>
      </c>
      <c r="AT747" s="48">
        <f>AT743*AN741</f>
        <v>0</v>
      </c>
      <c r="AU747" s="48">
        <f>AU743*AN741</f>
        <v>0</v>
      </c>
      <c r="AV747" s="50">
        <f t="shared" si="1381"/>
        <v>0</v>
      </c>
    </row>
    <row r="748" spans="1:48" ht="25.15" hidden="1" customHeight="1">
      <c r="A748" s="103"/>
      <c r="B748" s="65"/>
      <c r="C748" s="77">
        <v>300000</v>
      </c>
      <c r="D748" s="78" t="s">
        <v>107</v>
      </c>
      <c r="E748" s="1327">
        <v>1</v>
      </c>
      <c r="F748" s="1097">
        <v>1</v>
      </c>
      <c r="G748" s="1205">
        <v>1</v>
      </c>
      <c r="H748" s="1097">
        <v>1</v>
      </c>
      <c r="I748" s="1097">
        <v>1</v>
      </c>
      <c r="J748" s="1205">
        <v>1</v>
      </c>
      <c r="K748" s="1205">
        <v>1</v>
      </c>
      <c r="L748" s="1097">
        <v>1</v>
      </c>
      <c r="M748" s="1097">
        <v>1</v>
      </c>
      <c r="N748" s="1097">
        <v>1</v>
      </c>
      <c r="O748" s="1097">
        <v>1</v>
      </c>
      <c r="P748" s="1097">
        <v>1</v>
      </c>
      <c r="Q748" s="1205">
        <v>1</v>
      </c>
      <c r="R748" s="1205">
        <v>1</v>
      </c>
      <c r="S748" s="1097">
        <v>1</v>
      </c>
      <c r="T748" s="1097">
        <v>1</v>
      </c>
      <c r="U748" s="1097">
        <v>1</v>
      </c>
      <c r="V748" s="1097">
        <v>1</v>
      </c>
      <c r="W748" s="1097">
        <v>1</v>
      </c>
      <c r="X748" s="1205">
        <v>1</v>
      </c>
      <c r="Y748" s="1205">
        <v>1</v>
      </c>
      <c r="Z748" s="1097">
        <v>1</v>
      </c>
      <c r="AA748" s="1097">
        <v>1</v>
      </c>
      <c r="AB748" s="1097">
        <v>1</v>
      </c>
      <c r="AC748" s="1097">
        <v>1</v>
      </c>
      <c r="AD748" s="1097">
        <v>1</v>
      </c>
      <c r="AE748" s="1205">
        <v>1</v>
      </c>
      <c r="AF748" s="1205">
        <v>1</v>
      </c>
      <c r="AG748" s="1097">
        <v>1</v>
      </c>
      <c r="AH748" s="1097">
        <v>1</v>
      </c>
      <c r="AI748" s="1328">
        <v>1</v>
      </c>
      <c r="AJ748" s="79"/>
      <c r="AK748" s="79"/>
      <c r="AL748" s="55"/>
      <c r="AM748" s="1067">
        <f t="shared" si="1338"/>
        <v>0</v>
      </c>
      <c r="AN748" s="31"/>
      <c r="AO748" s="622"/>
      <c r="AP748" s="23"/>
      <c r="AQ748" s="23"/>
      <c r="AR748" s="23"/>
      <c r="AS748" s="23"/>
      <c r="AT748" s="23"/>
      <c r="AU748" s="23"/>
      <c r="AV748" s="23"/>
    </row>
    <row r="749" spans="1:48" ht="25.15" hidden="1" customHeight="1">
      <c r="A749" s="103"/>
      <c r="B749" s="65"/>
      <c r="C749" s="80" t="s">
        <v>108</v>
      </c>
      <c r="D749" s="81" t="s">
        <v>109</v>
      </c>
      <c r="E749" s="1374">
        <f>SUM(E743+E745+E746+E747)/E748</f>
        <v>0</v>
      </c>
      <c r="F749" s="1104">
        <f>SUM(F743+F745+F746+F747)/F748</f>
        <v>0</v>
      </c>
      <c r="G749" s="1211">
        <f>SUM(G743+G745+G746+G747)/G748</f>
        <v>0</v>
      </c>
      <c r="H749" s="1104">
        <f t="shared" ref="H749:AH749" si="1383">SUM(H743+H745+H746+H747)/H748</f>
        <v>0</v>
      </c>
      <c r="I749" s="1104">
        <f t="shared" si="1383"/>
        <v>0</v>
      </c>
      <c r="J749" s="1211">
        <f t="shared" si="1383"/>
        <v>0</v>
      </c>
      <c r="K749" s="1211">
        <f t="shared" si="1383"/>
        <v>0</v>
      </c>
      <c r="L749" s="1104">
        <f t="shared" si="1383"/>
        <v>0</v>
      </c>
      <c r="M749" s="1104">
        <f t="shared" si="1383"/>
        <v>0</v>
      </c>
      <c r="N749" s="1104">
        <f t="shared" si="1383"/>
        <v>0</v>
      </c>
      <c r="O749" s="1104">
        <f t="shared" si="1383"/>
        <v>0</v>
      </c>
      <c r="P749" s="1104">
        <f t="shared" si="1383"/>
        <v>0</v>
      </c>
      <c r="Q749" s="1211">
        <f t="shared" si="1383"/>
        <v>0</v>
      </c>
      <c r="R749" s="1211">
        <f t="shared" si="1383"/>
        <v>0</v>
      </c>
      <c r="S749" s="1104">
        <f t="shared" si="1383"/>
        <v>0</v>
      </c>
      <c r="T749" s="1104">
        <f t="shared" si="1383"/>
        <v>0</v>
      </c>
      <c r="U749" s="1104">
        <f t="shared" si="1383"/>
        <v>0</v>
      </c>
      <c r="V749" s="1104">
        <f t="shared" si="1383"/>
        <v>0</v>
      </c>
      <c r="W749" s="1104">
        <f t="shared" si="1383"/>
        <v>0</v>
      </c>
      <c r="X749" s="1211">
        <f t="shared" si="1383"/>
        <v>0</v>
      </c>
      <c r="Y749" s="1211">
        <f t="shared" si="1383"/>
        <v>0</v>
      </c>
      <c r="Z749" s="1104">
        <f t="shared" si="1383"/>
        <v>0</v>
      </c>
      <c r="AA749" s="1104">
        <f t="shared" si="1383"/>
        <v>0</v>
      </c>
      <c r="AB749" s="1104">
        <f t="shared" si="1383"/>
        <v>0</v>
      </c>
      <c r="AC749" s="1104">
        <f t="shared" si="1383"/>
        <v>0</v>
      </c>
      <c r="AD749" s="1104">
        <f t="shared" si="1383"/>
        <v>0</v>
      </c>
      <c r="AE749" s="1211">
        <f t="shared" si="1383"/>
        <v>0</v>
      </c>
      <c r="AF749" s="1211">
        <f t="shared" si="1383"/>
        <v>0</v>
      </c>
      <c r="AG749" s="1104">
        <f t="shared" si="1383"/>
        <v>0</v>
      </c>
      <c r="AH749" s="1104">
        <f t="shared" si="1383"/>
        <v>0</v>
      </c>
      <c r="AI749" s="1335">
        <f>SUM(AI743+AI745+AI746)/AI748</f>
        <v>0</v>
      </c>
      <c r="AJ749" s="104">
        <f>SUM(E749:AI749)</f>
        <v>0</v>
      </c>
      <c r="AK749" s="104"/>
      <c r="AL749" s="83"/>
      <c r="AM749" s="1068">
        <f t="shared" si="1338"/>
        <v>0</v>
      </c>
      <c r="AN749" s="31"/>
      <c r="AO749" s="622"/>
      <c r="AP749" s="23"/>
      <c r="AQ749" s="23"/>
      <c r="AR749" s="23"/>
      <c r="AS749" s="23"/>
      <c r="AT749" s="23"/>
      <c r="AU749" s="23"/>
      <c r="AV749" s="23"/>
    </row>
    <row r="750" spans="1:48" ht="25.15" hidden="1" customHeight="1">
      <c r="A750" s="103"/>
      <c r="B750" s="59"/>
      <c r="C750" s="84">
        <f>+C748*0.8</f>
        <v>240000</v>
      </c>
      <c r="D750" s="85" t="s">
        <v>110</v>
      </c>
      <c r="E750" s="1105"/>
      <c r="F750" s="1106"/>
      <c r="G750" s="1211"/>
      <c r="H750" s="1104"/>
      <c r="I750" s="1104"/>
      <c r="J750" s="1211"/>
      <c r="K750" s="1211"/>
      <c r="L750" s="1104"/>
      <c r="M750" s="1104"/>
      <c r="N750" s="1104"/>
      <c r="O750" s="1107"/>
      <c r="P750" s="1104"/>
      <c r="Q750" s="1211"/>
      <c r="R750" s="1211"/>
      <c r="S750" s="1104"/>
      <c r="T750" s="1104"/>
      <c r="U750" s="1104"/>
      <c r="V750" s="1104"/>
      <c r="W750" s="1104"/>
      <c r="X750" s="1211"/>
      <c r="Y750" s="1211"/>
      <c r="Z750" s="1104"/>
      <c r="AA750" s="1104"/>
      <c r="AB750" s="1104"/>
      <c r="AC750" s="1104"/>
      <c r="AD750" s="1104"/>
      <c r="AE750" s="1211"/>
      <c r="AF750" s="1211"/>
      <c r="AG750" s="1104"/>
      <c r="AH750" s="1104"/>
      <c r="AI750" s="1353"/>
      <c r="AJ750" s="86"/>
      <c r="AK750" s="86"/>
      <c r="AL750" s="690"/>
      <c r="AM750" s="694">
        <f t="shared" si="1338"/>
        <v>0</v>
      </c>
      <c r="AN750" s="31"/>
      <c r="AO750" s="622"/>
      <c r="AP750" s="23"/>
      <c r="AQ750" s="23"/>
      <c r="AR750" s="23"/>
      <c r="AS750" s="23"/>
      <c r="AT750" s="23"/>
      <c r="AU750" s="23"/>
      <c r="AV750" s="23"/>
    </row>
    <row r="751" spans="1:48" ht="25.15" hidden="1" customHeight="1">
      <c r="A751" s="103"/>
      <c r="B751" s="105"/>
      <c r="C751" s="77"/>
      <c r="D751" s="88" t="s">
        <v>111</v>
      </c>
      <c r="E751" s="1108">
        <f>IF(E750="O/H",E749,0+E749)</f>
        <v>0</v>
      </c>
      <c r="F751" s="1089">
        <f t="shared" ref="F751:AI751" si="1384">IF(F750="O/H",F749,+E751+F749)</f>
        <v>0</v>
      </c>
      <c r="G751" s="44">
        <f t="shared" si="1384"/>
        <v>0</v>
      </c>
      <c r="H751" s="1089">
        <f t="shared" si="1384"/>
        <v>0</v>
      </c>
      <c r="I751" s="1089">
        <f t="shared" si="1384"/>
        <v>0</v>
      </c>
      <c r="J751" s="44">
        <f t="shared" si="1384"/>
        <v>0</v>
      </c>
      <c r="K751" s="44">
        <f t="shared" si="1384"/>
        <v>0</v>
      </c>
      <c r="L751" s="1089">
        <f t="shared" si="1384"/>
        <v>0</v>
      </c>
      <c r="M751" s="1089">
        <f t="shared" si="1384"/>
        <v>0</v>
      </c>
      <c r="N751" s="1089">
        <f t="shared" si="1384"/>
        <v>0</v>
      </c>
      <c r="O751" s="1089">
        <f t="shared" si="1384"/>
        <v>0</v>
      </c>
      <c r="P751" s="1089">
        <f t="shared" si="1384"/>
        <v>0</v>
      </c>
      <c r="Q751" s="44">
        <f t="shared" si="1384"/>
        <v>0</v>
      </c>
      <c r="R751" s="44">
        <f t="shared" si="1384"/>
        <v>0</v>
      </c>
      <c r="S751" s="1089">
        <f t="shared" si="1384"/>
        <v>0</v>
      </c>
      <c r="T751" s="1089">
        <f t="shared" si="1384"/>
        <v>0</v>
      </c>
      <c r="U751" s="1089">
        <f t="shared" si="1384"/>
        <v>0</v>
      </c>
      <c r="V751" s="1089">
        <f t="shared" si="1384"/>
        <v>0</v>
      </c>
      <c r="W751" s="1089">
        <f t="shared" si="1384"/>
        <v>0</v>
      </c>
      <c r="X751" s="44">
        <f t="shared" si="1384"/>
        <v>0</v>
      </c>
      <c r="Y751" s="44">
        <f t="shared" si="1384"/>
        <v>0</v>
      </c>
      <c r="Z751" s="1089">
        <f t="shared" si="1384"/>
        <v>0</v>
      </c>
      <c r="AA751" s="1089">
        <f t="shared" si="1384"/>
        <v>0</v>
      </c>
      <c r="AB751" s="1089">
        <f t="shared" si="1384"/>
        <v>0</v>
      </c>
      <c r="AC751" s="1089">
        <f t="shared" si="1384"/>
        <v>0</v>
      </c>
      <c r="AD751" s="1089">
        <f t="shared" si="1384"/>
        <v>0</v>
      </c>
      <c r="AE751" s="44">
        <f t="shared" si="1384"/>
        <v>0</v>
      </c>
      <c r="AF751" s="44">
        <f t="shared" si="1384"/>
        <v>0</v>
      </c>
      <c r="AG751" s="1089">
        <f t="shared" si="1384"/>
        <v>0</v>
      </c>
      <c r="AH751" s="1089">
        <f t="shared" si="1384"/>
        <v>0</v>
      </c>
      <c r="AI751" s="1326">
        <f t="shared" si="1384"/>
        <v>0</v>
      </c>
      <c r="AJ751" s="79"/>
      <c r="AK751" s="86"/>
      <c r="AL751" s="689"/>
      <c r="AM751" s="694">
        <f t="shared" si="1338"/>
        <v>0</v>
      </c>
      <c r="AN751" s="31"/>
      <c r="AO751" s="622"/>
      <c r="AP751" s="23"/>
      <c r="AQ751" s="23"/>
      <c r="AR751" s="23"/>
      <c r="AS751" s="23"/>
      <c r="AT751" s="23"/>
      <c r="AU751" s="23"/>
      <c r="AV751" s="23"/>
    </row>
    <row r="752" spans="1:48" s="23" customFormat="1" ht="20.65" hidden="1" customHeight="1">
      <c r="A752" s="274"/>
      <c r="B752" s="312"/>
      <c r="C752" s="308"/>
      <c r="D752" s="795" t="s">
        <v>112</v>
      </c>
      <c r="E752" s="1108" t="b">
        <f>IF(AND(ISNUMBER(E743)),58092+E749)</f>
        <v>0</v>
      </c>
      <c r="F752" s="1089" t="str">
        <f>IF(AND(ISNUMBER(F743)),E752+F749,"")</f>
        <v/>
      </c>
      <c r="G752" s="44" t="str">
        <f t="shared" ref="G752" si="1385">IF(AND(ISNUMBER(G743)),F752+G749,"")</f>
        <v/>
      </c>
      <c r="H752" s="1089" t="str">
        <f t="shared" ref="H752" si="1386">IF(AND(ISNUMBER(H743)),G752+H749,"")</f>
        <v/>
      </c>
      <c r="I752" s="1089" t="str">
        <f>IF(AND(ISNUMBER(I743)),H752+I749,"")</f>
        <v/>
      </c>
      <c r="J752" s="44" t="str">
        <f>IF(AND(ISNUMBER(J743)),I752+J749,"")</f>
        <v/>
      </c>
      <c r="K752" s="44" t="str">
        <f>IF(AND(ISNUMBER(K743)),J752+K749,"")</f>
        <v/>
      </c>
      <c r="L752" s="1089" t="str">
        <f t="shared" ref="L752" si="1387">IF(AND(ISNUMBER(L743)),K752+L749,"")</f>
        <v/>
      </c>
      <c r="M752" s="1089" t="str">
        <f t="shared" ref="M752" si="1388">IF(AND(ISNUMBER(M743)),L752+M749,"")</f>
        <v/>
      </c>
      <c r="N752" s="1089" t="str">
        <f t="shared" ref="N752" si="1389">IF(AND(ISNUMBER(N743)),M752+N749,"")</f>
        <v/>
      </c>
      <c r="O752" s="1089" t="str">
        <f t="shared" ref="O752" si="1390">IF(AND(ISNUMBER(O743)),N752+O749,"")</f>
        <v/>
      </c>
      <c r="P752" s="1089" t="str">
        <f t="shared" ref="P752" si="1391">IF(AND(ISNUMBER(P743)),O752+P749,"")</f>
        <v/>
      </c>
      <c r="Q752" s="44" t="str">
        <f t="shared" ref="Q752" si="1392">IF(AND(ISNUMBER(Q743)),P752+Q749,"")</f>
        <v/>
      </c>
      <c r="R752" s="44" t="str">
        <f t="shared" ref="R752" si="1393">IF(AND(ISNUMBER(R743)),Q752+R749,"")</f>
        <v/>
      </c>
      <c r="S752" s="1089" t="str">
        <f t="shared" ref="S752" si="1394">IF(AND(ISNUMBER(S743)),R752+S749,"")</f>
        <v/>
      </c>
      <c r="T752" s="1089" t="str">
        <f t="shared" ref="T752" si="1395">IF(AND(ISNUMBER(T743)),S752+T749,"")</f>
        <v/>
      </c>
      <c r="U752" s="1089" t="str">
        <f t="shared" ref="U752" si="1396">IF(AND(ISNUMBER(U743)),T752+U749,"")</f>
        <v/>
      </c>
      <c r="V752" s="1089" t="str">
        <f t="shared" ref="V752" si="1397">IF(AND(ISNUMBER(V743)),U752+V749,"")</f>
        <v/>
      </c>
      <c r="W752" s="1089" t="str">
        <f t="shared" ref="W752" si="1398">IF(AND(ISNUMBER(W743)),V752+W749,"")</f>
        <v/>
      </c>
      <c r="X752" s="44" t="str">
        <f t="shared" ref="X752" si="1399">IF(AND(ISNUMBER(X743)),W752+X749,"")</f>
        <v/>
      </c>
      <c r="Y752" s="44" t="str">
        <f t="shared" ref="Y752" si="1400">IF(AND(ISNUMBER(Y743)),X752+Y749,"")</f>
        <v/>
      </c>
      <c r="Z752" s="1089" t="str">
        <f t="shared" ref="Z752" si="1401">IF(AND(ISNUMBER(Z743)),Y752+Z749,"")</f>
        <v/>
      </c>
      <c r="AA752" s="1089" t="str">
        <f t="shared" ref="AA752" si="1402">IF(AND(ISNUMBER(AA743)),Z752+AA749,"")</f>
        <v/>
      </c>
      <c r="AB752" s="1089" t="str">
        <f t="shared" ref="AB752" si="1403">IF(AND(ISNUMBER(AB743)),AA752+AB749,"")</f>
        <v/>
      </c>
      <c r="AC752" s="1089" t="str">
        <f t="shared" ref="AC752" si="1404">IF(AND(ISNUMBER(AC743)),AB752+AC749,"")</f>
        <v/>
      </c>
      <c r="AD752" s="1089" t="str">
        <f t="shared" ref="AD752" si="1405">IF(AND(ISNUMBER(AD743)),AC752+AD749,"")</f>
        <v/>
      </c>
      <c r="AE752" s="44" t="str">
        <f t="shared" ref="AE752" si="1406">IF(AND(ISNUMBER(AE743)),AD752+AE749,"")</f>
        <v/>
      </c>
      <c r="AF752" s="44" t="str">
        <f t="shared" ref="AF752" si="1407">IF(AND(ISNUMBER(AF743)),AE752+AF749,"")</f>
        <v/>
      </c>
      <c r="AG752" s="1089" t="str">
        <f t="shared" ref="AG752" si="1408">IF(AND(ISNUMBER(AG743)),AF752+AG749,"")</f>
        <v/>
      </c>
      <c r="AH752" s="1089" t="str">
        <f t="shared" ref="AH752" si="1409">IF(AND(ISNUMBER(AH743)),AG752+AH749,"")</f>
        <v/>
      </c>
      <c r="AI752" s="1089" t="str">
        <f t="shared" ref="AI752" si="1410">IF(AND(ISNUMBER(AI743)),AH752+AI749,"")</f>
        <v/>
      </c>
      <c r="AJ752" s="793"/>
      <c r="AK752" s="793"/>
      <c r="AL752" s="909"/>
      <c r="AM752" s="890">
        <f t="shared" si="1338"/>
        <v>0</v>
      </c>
      <c r="AN752" s="76"/>
      <c r="AO752" s="624"/>
      <c r="AP752" s="285"/>
      <c r="AQ752" s="285"/>
      <c r="AR752" s="285"/>
      <c r="AS752" s="285"/>
      <c r="AT752" s="286"/>
      <c r="AU752" s="285"/>
      <c r="AV752" s="287"/>
    </row>
    <row r="753" spans="1:48" ht="25.15" hidden="1" customHeight="1">
      <c r="A753" s="103"/>
      <c r="B753" s="89"/>
      <c r="C753" s="80"/>
      <c r="D753" s="90" t="s">
        <v>104</v>
      </c>
      <c r="E753" s="1108"/>
      <c r="F753" s="1089"/>
      <c r="G753" s="44"/>
      <c r="H753" s="1089"/>
      <c r="I753" s="1089"/>
      <c r="J753" s="44"/>
      <c r="K753" s="44"/>
      <c r="L753" s="1089"/>
      <c r="M753" s="1089"/>
      <c r="N753" s="1089"/>
      <c r="O753" s="1089"/>
      <c r="P753" s="1089"/>
      <c r="Q753" s="44"/>
      <c r="R753" s="44"/>
      <c r="S753" s="1089"/>
      <c r="T753" s="1089"/>
      <c r="U753" s="1089"/>
      <c r="V753" s="1089"/>
      <c r="W753" s="1089"/>
      <c r="X753" s="44"/>
      <c r="Y753" s="44"/>
      <c r="Z753" s="1089"/>
      <c r="AA753" s="1089"/>
      <c r="AB753" s="1089"/>
      <c r="AC753" s="1089"/>
      <c r="AD753" s="1089"/>
      <c r="AE753" s="44"/>
      <c r="AF753" s="44"/>
      <c r="AG753" s="1089"/>
      <c r="AH753" s="1089"/>
      <c r="AI753" s="1326"/>
      <c r="AJ753" s="79"/>
      <c r="AK753" s="79"/>
      <c r="AL753" s="63"/>
      <c r="AM753" s="1068">
        <f t="shared" si="1338"/>
        <v>0</v>
      </c>
      <c r="AN753" s="64"/>
      <c r="AO753" s="624"/>
      <c r="AP753" s="23"/>
      <c r="AQ753" s="23"/>
      <c r="AR753" s="23"/>
      <c r="AS753" s="23"/>
      <c r="AT753" s="23"/>
      <c r="AU753" s="23"/>
      <c r="AV753" s="23"/>
    </row>
    <row r="754" spans="1:48" ht="25.15" hidden="1" customHeight="1" thickBot="1">
      <c r="A754" s="106"/>
      <c r="B754" s="93"/>
      <c r="C754" s="94"/>
      <c r="D754" s="95" t="s">
        <v>111</v>
      </c>
      <c r="E754" s="1109">
        <f>IF(E753="O/H",E749,0+E749)</f>
        <v>0</v>
      </c>
      <c r="F754" s="1110">
        <f t="shared" ref="F754:AI754" si="1411">IF(F753="O/H",F749,+E754+F749)</f>
        <v>0</v>
      </c>
      <c r="G754" s="1212">
        <f t="shared" si="1411"/>
        <v>0</v>
      </c>
      <c r="H754" s="1110">
        <f t="shared" si="1411"/>
        <v>0</v>
      </c>
      <c r="I754" s="1110">
        <f t="shared" si="1411"/>
        <v>0</v>
      </c>
      <c r="J754" s="1212">
        <f t="shared" si="1411"/>
        <v>0</v>
      </c>
      <c r="K754" s="1212">
        <f t="shared" si="1411"/>
        <v>0</v>
      </c>
      <c r="L754" s="1110">
        <f t="shared" si="1411"/>
        <v>0</v>
      </c>
      <c r="M754" s="1110">
        <f t="shared" si="1411"/>
        <v>0</v>
      </c>
      <c r="N754" s="1110">
        <f t="shared" si="1411"/>
        <v>0</v>
      </c>
      <c r="O754" s="1110">
        <f t="shared" si="1411"/>
        <v>0</v>
      </c>
      <c r="P754" s="1110">
        <f t="shared" si="1411"/>
        <v>0</v>
      </c>
      <c r="Q754" s="1212">
        <f t="shared" si="1411"/>
        <v>0</v>
      </c>
      <c r="R754" s="1212">
        <f t="shared" si="1411"/>
        <v>0</v>
      </c>
      <c r="S754" s="1110">
        <f t="shared" si="1411"/>
        <v>0</v>
      </c>
      <c r="T754" s="1110">
        <f t="shared" si="1411"/>
        <v>0</v>
      </c>
      <c r="U754" s="1110">
        <f t="shared" si="1411"/>
        <v>0</v>
      </c>
      <c r="V754" s="1110">
        <f t="shared" si="1411"/>
        <v>0</v>
      </c>
      <c r="W754" s="1110">
        <f t="shared" si="1411"/>
        <v>0</v>
      </c>
      <c r="X754" s="1212">
        <f t="shared" si="1411"/>
        <v>0</v>
      </c>
      <c r="Y754" s="1212">
        <f t="shared" si="1411"/>
        <v>0</v>
      </c>
      <c r="Z754" s="1110">
        <f t="shared" si="1411"/>
        <v>0</v>
      </c>
      <c r="AA754" s="1110">
        <f t="shared" si="1411"/>
        <v>0</v>
      </c>
      <c r="AB754" s="1110">
        <f t="shared" si="1411"/>
        <v>0</v>
      </c>
      <c r="AC754" s="1110">
        <f t="shared" si="1411"/>
        <v>0</v>
      </c>
      <c r="AD754" s="1110">
        <f t="shared" si="1411"/>
        <v>0</v>
      </c>
      <c r="AE754" s="1212">
        <f t="shared" si="1411"/>
        <v>0</v>
      </c>
      <c r="AF754" s="1212">
        <f t="shared" si="1411"/>
        <v>0</v>
      </c>
      <c r="AG754" s="1110">
        <f t="shared" si="1411"/>
        <v>0</v>
      </c>
      <c r="AH754" s="1110">
        <f t="shared" si="1411"/>
        <v>0</v>
      </c>
      <c r="AI754" s="1340">
        <f t="shared" si="1411"/>
        <v>0</v>
      </c>
      <c r="AJ754" s="96"/>
      <c r="AK754" s="96"/>
      <c r="AL754" s="97"/>
      <c r="AM754" s="1071">
        <f t="shared" si="1338"/>
        <v>0</v>
      </c>
      <c r="AN754" s="98"/>
      <c r="AO754" s="625"/>
      <c r="AP754" s="23"/>
      <c r="AQ754" s="23"/>
      <c r="AR754" s="23"/>
      <c r="AS754" s="23"/>
      <c r="AT754" s="23"/>
      <c r="AU754" s="23"/>
      <c r="AV754" s="23"/>
    </row>
    <row r="755" spans="1:48" ht="25.15" hidden="1" customHeight="1" thickTop="1">
      <c r="A755" s="99"/>
      <c r="B755" s="26" t="s">
        <v>189</v>
      </c>
      <c r="C755" s="27"/>
      <c r="D755" s="28" t="s">
        <v>82</v>
      </c>
      <c r="E755" s="1111"/>
      <c r="F755" s="1111"/>
      <c r="G755" s="1201"/>
      <c r="H755" s="1111"/>
      <c r="I755" s="1111"/>
      <c r="J755" s="1201"/>
      <c r="K755" s="1201"/>
      <c r="L755" s="1111"/>
      <c r="M755" s="1111"/>
      <c r="N755" s="1111"/>
      <c r="O755" s="1111"/>
      <c r="P755" s="1111"/>
      <c r="Q755" s="1201"/>
      <c r="R755" s="1201"/>
      <c r="S755" s="1111"/>
      <c r="T755" s="1111"/>
      <c r="U755" s="1111"/>
      <c r="V755" s="1111"/>
      <c r="W755" s="1111"/>
      <c r="X755" s="1201"/>
      <c r="Y755" s="1201"/>
      <c r="Z755" s="1111"/>
      <c r="AA755" s="1111"/>
      <c r="AB755" s="1111"/>
      <c r="AC755" s="1111"/>
      <c r="AD755" s="1111"/>
      <c r="AE755" s="1201"/>
      <c r="AF755" s="1201"/>
      <c r="AG755" s="1111"/>
      <c r="AH755" s="1111"/>
      <c r="AI755" s="1111"/>
      <c r="AJ755" s="100">
        <f>SUM(Table75[[#This Row],[June''2026]:[Column27]])</f>
        <v>0</v>
      </c>
      <c r="AK755" s="100">
        <f t="shared" si="1340"/>
        <v>0</v>
      </c>
      <c r="AL755" s="101">
        <f>+AJ755*AN755</f>
        <v>0</v>
      </c>
      <c r="AM755" s="1072">
        <f t="shared" si="1338"/>
        <v>0</v>
      </c>
      <c r="AN755" s="102"/>
      <c r="AO755" s="622" t="e">
        <f>Table5[[#This Row],[Total]]*B759/1000</f>
        <v>#VALUE!</v>
      </c>
      <c r="AP755" s="32" t="s">
        <v>145</v>
      </c>
      <c r="AQ755" s="33" t="s">
        <v>84</v>
      </c>
      <c r="AR755" s="33" t="s">
        <v>85</v>
      </c>
      <c r="AS755" s="33" t="s">
        <v>86</v>
      </c>
      <c r="AT755" s="33" t="s">
        <v>87</v>
      </c>
      <c r="AU755" s="33" t="s">
        <v>88</v>
      </c>
      <c r="AV755" s="34" t="s">
        <v>68</v>
      </c>
    </row>
    <row r="756" spans="1:48" ht="25.15" hidden="1" customHeight="1">
      <c r="A756" s="103"/>
      <c r="B756" s="35"/>
      <c r="C756" s="36"/>
      <c r="D756" s="37" t="s">
        <v>90</v>
      </c>
      <c r="E756" s="1373">
        <f>IF(E755="",0,+ E755/E762)</f>
        <v>0</v>
      </c>
      <c r="F756" s="1096">
        <f t="shared" ref="F756:AI756" si="1412">IF(F755="",0, E756+F755/F762)</f>
        <v>0</v>
      </c>
      <c r="G756" s="1207">
        <f t="shared" si="1412"/>
        <v>0</v>
      </c>
      <c r="H756" s="1096">
        <f t="shared" si="1412"/>
        <v>0</v>
      </c>
      <c r="I756" s="1096">
        <f t="shared" si="1412"/>
        <v>0</v>
      </c>
      <c r="J756" s="1207">
        <f t="shared" si="1412"/>
        <v>0</v>
      </c>
      <c r="K756" s="1207">
        <f t="shared" si="1412"/>
        <v>0</v>
      </c>
      <c r="L756" s="1096">
        <f t="shared" si="1412"/>
        <v>0</v>
      </c>
      <c r="M756" s="1096">
        <f t="shared" si="1412"/>
        <v>0</v>
      </c>
      <c r="N756" s="1096">
        <f t="shared" si="1412"/>
        <v>0</v>
      </c>
      <c r="O756" s="1096">
        <f t="shared" si="1412"/>
        <v>0</v>
      </c>
      <c r="P756" s="1096">
        <f t="shared" si="1412"/>
        <v>0</v>
      </c>
      <c r="Q756" s="1207">
        <f t="shared" si="1412"/>
        <v>0</v>
      </c>
      <c r="R756" s="1207">
        <f t="shared" si="1412"/>
        <v>0</v>
      </c>
      <c r="S756" s="1096">
        <f t="shared" si="1412"/>
        <v>0</v>
      </c>
      <c r="T756" s="1096">
        <f t="shared" si="1412"/>
        <v>0</v>
      </c>
      <c r="U756" s="1096">
        <f t="shared" si="1412"/>
        <v>0</v>
      </c>
      <c r="V756" s="1096">
        <f t="shared" si="1412"/>
        <v>0</v>
      </c>
      <c r="W756" s="1096">
        <f t="shared" si="1412"/>
        <v>0</v>
      </c>
      <c r="X756" s="1207">
        <f t="shared" si="1412"/>
        <v>0</v>
      </c>
      <c r="Y756" s="1207">
        <f t="shared" si="1412"/>
        <v>0</v>
      </c>
      <c r="Z756" s="1096">
        <f t="shared" si="1412"/>
        <v>0</v>
      </c>
      <c r="AA756" s="1096">
        <f t="shared" si="1412"/>
        <v>0</v>
      </c>
      <c r="AB756" s="1096">
        <f t="shared" si="1412"/>
        <v>0</v>
      </c>
      <c r="AC756" s="1096">
        <f t="shared" si="1412"/>
        <v>0</v>
      </c>
      <c r="AD756" s="1096">
        <f t="shared" si="1412"/>
        <v>0</v>
      </c>
      <c r="AE756" s="1207">
        <f t="shared" si="1412"/>
        <v>0</v>
      </c>
      <c r="AF756" s="1207">
        <f t="shared" si="1412"/>
        <v>0</v>
      </c>
      <c r="AG756" s="1096">
        <f t="shared" si="1412"/>
        <v>0</v>
      </c>
      <c r="AH756" s="1096">
        <f t="shared" si="1412"/>
        <v>0</v>
      </c>
      <c r="AI756" s="1324">
        <f t="shared" si="1412"/>
        <v>0</v>
      </c>
      <c r="AJ756" s="38"/>
      <c r="AK756" s="29"/>
      <c r="AL756" s="30"/>
      <c r="AM756" s="694">
        <f t="shared" si="1338"/>
        <v>0</v>
      </c>
      <c r="AN756" s="31"/>
      <c r="AO756" s="630"/>
      <c r="AP756" s="39" t="s">
        <v>91</v>
      </c>
      <c r="AQ756" s="40">
        <f>SUM(E755:I755)</f>
        <v>0</v>
      </c>
      <c r="AR756" s="41">
        <f>SUM(J755:P755)</f>
        <v>0</v>
      </c>
      <c r="AS756" s="41">
        <f>SUM(Q755:W755)</f>
        <v>0</v>
      </c>
      <c r="AT756" s="41">
        <f>SUM(X755:AD755)</f>
        <v>0</v>
      </c>
      <c r="AU756" s="41">
        <f>SUM(AE755:AI755)</f>
        <v>0</v>
      </c>
      <c r="AV756" s="34">
        <f t="shared" ref="AV756:AV761" si="1413">SUM(AQ756:AU756)</f>
        <v>0</v>
      </c>
    </row>
    <row r="757" spans="1:48" ht="25.15" hidden="1" customHeight="1">
      <c r="A757" s="103"/>
      <c r="B757" s="26" t="s">
        <v>92</v>
      </c>
      <c r="C757" s="42"/>
      <c r="D757" s="43" t="s">
        <v>93</v>
      </c>
      <c r="E757" s="1325"/>
      <c r="F757" s="1089"/>
      <c r="G757" s="44"/>
      <c r="H757" s="1089"/>
      <c r="I757" s="1089"/>
      <c r="J757" s="44"/>
      <c r="K757" s="44"/>
      <c r="L757" s="1089"/>
      <c r="M757" s="1089"/>
      <c r="N757" s="1089"/>
      <c r="O757" s="1089"/>
      <c r="P757" s="1089"/>
      <c r="Q757" s="44"/>
      <c r="R757" s="44"/>
      <c r="S757" s="1089"/>
      <c r="T757" s="1089"/>
      <c r="U757" s="1089"/>
      <c r="V757" s="1089"/>
      <c r="W757" s="1089"/>
      <c r="X757" s="44"/>
      <c r="Y757" s="44"/>
      <c r="Z757" s="1089"/>
      <c r="AA757" s="1089"/>
      <c r="AB757" s="1089"/>
      <c r="AC757" s="1089"/>
      <c r="AD757" s="1089"/>
      <c r="AE757" s="44"/>
      <c r="AF757" s="44"/>
      <c r="AG757" s="1089"/>
      <c r="AH757" s="1089"/>
      <c r="AI757" s="1326"/>
      <c r="AJ757" s="45">
        <f>SUM(E757:AI757)</f>
        <v>0</v>
      </c>
      <c r="AK757" s="45"/>
      <c r="AL757" s="46">
        <f>+AJ757*AN755</f>
        <v>0</v>
      </c>
      <c r="AM757" s="1066">
        <f t="shared" si="1338"/>
        <v>0</v>
      </c>
      <c r="AN757" s="31"/>
      <c r="AO757" s="632">
        <f>(AJ757+AJ759+AJ760+AJ761)*B759/1000</f>
        <v>0</v>
      </c>
      <c r="AP757" s="47" t="s">
        <v>94</v>
      </c>
      <c r="AQ757" s="48">
        <f>SUM(E757:I757)</f>
        <v>0</v>
      </c>
      <c r="AR757" s="49">
        <f>SUM(J757:P757)</f>
        <v>0</v>
      </c>
      <c r="AS757" s="49">
        <f>SUM(Q757:W757)</f>
        <v>0</v>
      </c>
      <c r="AT757" s="49">
        <f>SUM(X757:AD757)</f>
        <v>0</v>
      </c>
      <c r="AU757" s="49">
        <f>SUM(AE757:AI757)</f>
        <v>0</v>
      </c>
      <c r="AV757" s="50">
        <f t="shared" si="1413"/>
        <v>0</v>
      </c>
    </row>
    <row r="758" spans="1:48" ht="25.15" hidden="1" customHeight="1">
      <c r="A758" s="103"/>
      <c r="B758" s="51"/>
      <c r="C758" s="52" t="s">
        <v>95</v>
      </c>
      <c r="D758" s="53" t="s">
        <v>96</v>
      </c>
      <c r="E758" s="1327">
        <f t="shared" ref="E758:AJ758" si="1414">+E757-E755</f>
        <v>0</v>
      </c>
      <c r="F758" s="1097">
        <f t="shared" si="1414"/>
        <v>0</v>
      </c>
      <c r="G758" s="1205">
        <f t="shared" si="1414"/>
        <v>0</v>
      </c>
      <c r="H758" s="1097">
        <f t="shared" si="1414"/>
        <v>0</v>
      </c>
      <c r="I758" s="1097">
        <f t="shared" si="1414"/>
        <v>0</v>
      </c>
      <c r="J758" s="1205">
        <f t="shared" si="1414"/>
        <v>0</v>
      </c>
      <c r="K758" s="1205">
        <f t="shared" si="1414"/>
        <v>0</v>
      </c>
      <c r="L758" s="1097">
        <f t="shared" si="1414"/>
        <v>0</v>
      </c>
      <c r="M758" s="1097">
        <f t="shared" si="1414"/>
        <v>0</v>
      </c>
      <c r="N758" s="1097">
        <f t="shared" si="1414"/>
        <v>0</v>
      </c>
      <c r="O758" s="1097">
        <f t="shared" si="1414"/>
        <v>0</v>
      </c>
      <c r="P758" s="1097">
        <f t="shared" si="1414"/>
        <v>0</v>
      </c>
      <c r="Q758" s="1205">
        <f t="shared" si="1414"/>
        <v>0</v>
      </c>
      <c r="R758" s="1205">
        <f t="shared" si="1414"/>
        <v>0</v>
      </c>
      <c r="S758" s="1097">
        <f t="shared" si="1414"/>
        <v>0</v>
      </c>
      <c r="T758" s="1097">
        <f t="shared" si="1414"/>
        <v>0</v>
      </c>
      <c r="U758" s="1097">
        <f t="shared" si="1414"/>
        <v>0</v>
      </c>
      <c r="V758" s="1097">
        <f t="shared" si="1414"/>
        <v>0</v>
      </c>
      <c r="W758" s="1097">
        <f t="shared" si="1414"/>
        <v>0</v>
      </c>
      <c r="X758" s="1205">
        <f t="shared" si="1414"/>
        <v>0</v>
      </c>
      <c r="Y758" s="1205">
        <f t="shared" si="1414"/>
        <v>0</v>
      </c>
      <c r="Z758" s="1097">
        <f t="shared" si="1414"/>
        <v>0</v>
      </c>
      <c r="AA758" s="1097">
        <f t="shared" si="1414"/>
        <v>0</v>
      </c>
      <c r="AB758" s="1097">
        <f t="shared" si="1414"/>
        <v>0</v>
      </c>
      <c r="AC758" s="1097">
        <f t="shared" si="1414"/>
        <v>0</v>
      </c>
      <c r="AD758" s="1097">
        <f t="shared" si="1414"/>
        <v>0</v>
      </c>
      <c r="AE758" s="1205">
        <f t="shared" si="1414"/>
        <v>0</v>
      </c>
      <c r="AF758" s="1205">
        <f t="shared" si="1414"/>
        <v>0</v>
      </c>
      <c r="AG758" s="1097">
        <f t="shared" si="1414"/>
        <v>0</v>
      </c>
      <c r="AH758" s="1097">
        <f t="shared" si="1414"/>
        <v>0</v>
      </c>
      <c r="AI758" s="1328">
        <f t="shared" si="1414"/>
        <v>0</v>
      </c>
      <c r="AJ758" s="54">
        <f t="shared" si="1414"/>
        <v>0</v>
      </c>
      <c r="AK758" s="54"/>
      <c r="AL758" s="55">
        <f>+AJ758*AN755</f>
        <v>0</v>
      </c>
      <c r="AM758" s="1067">
        <f t="shared" si="1338"/>
        <v>0</v>
      </c>
      <c r="AN758" s="31" t="s">
        <v>97</v>
      </c>
      <c r="AO758" s="622"/>
      <c r="AP758" s="39" t="s">
        <v>98</v>
      </c>
      <c r="AQ758" s="56">
        <f>AQ757-AQ756</f>
        <v>0</v>
      </c>
      <c r="AR758" s="70">
        <f>AR757-AR756</f>
        <v>0</v>
      </c>
      <c r="AS758" s="70">
        <f>AS757-AS756</f>
        <v>0</v>
      </c>
      <c r="AT758" s="70">
        <f>AT757-AT756</f>
        <v>0</v>
      </c>
      <c r="AU758" s="70">
        <f>AU757-AU756</f>
        <v>0</v>
      </c>
      <c r="AV758" s="57">
        <f t="shared" si="1413"/>
        <v>0</v>
      </c>
    </row>
    <row r="759" spans="1:48" ht="25.15" hidden="1" customHeight="1">
      <c r="A759" s="58"/>
      <c r="B759" s="59"/>
      <c r="C759" s="60" t="s">
        <v>100</v>
      </c>
      <c r="D759" s="61" t="s">
        <v>101</v>
      </c>
      <c r="E759" s="1329"/>
      <c r="F759" s="1099"/>
      <c r="G759" s="1208"/>
      <c r="H759" s="1099"/>
      <c r="I759" s="1099"/>
      <c r="J759" s="1208"/>
      <c r="K759" s="1208"/>
      <c r="L759" s="1099"/>
      <c r="M759" s="1099"/>
      <c r="N759" s="1099"/>
      <c r="O759" s="1099"/>
      <c r="P759" s="1099"/>
      <c r="Q759" s="1208"/>
      <c r="R759" s="1208"/>
      <c r="S759" s="1099"/>
      <c r="T759" s="1099"/>
      <c r="U759" s="1099"/>
      <c r="V759" s="1099"/>
      <c r="W759" s="1099"/>
      <c r="X759" s="1208"/>
      <c r="Y759" s="1208"/>
      <c r="Z759" s="1099"/>
      <c r="AA759" s="1099"/>
      <c r="AB759" s="1099"/>
      <c r="AC759" s="1099"/>
      <c r="AD759" s="1099"/>
      <c r="AE759" s="1208"/>
      <c r="AF759" s="1208"/>
      <c r="AG759" s="1099"/>
      <c r="AH759" s="1099"/>
      <c r="AI759" s="1330"/>
      <c r="AJ759" s="62">
        <f>SUM(E759:AI759)</f>
        <v>0</v>
      </c>
      <c r="AK759" s="62"/>
      <c r="AL759" s="63">
        <f>+AJ759*AN755</f>
        <v>0</v>
      </c>
      <c r="AM759" s="1068">
        <f t="shared" si="1338"/>
        <v>0</v>
      </c>
      <c r="AN759" s="64" t="e">
        <f>+AJ759/AJ757*100</f>
        <v>#DIV/0!</v>
      </c>
      <c r="AO759" s="635" t="e">
        <f>AO757/AO755</f>
        <v>#VALUE!</v>
      </c>
      <c r="AP759" s="39" t="s">
        <v>102</v>
      </c>
      <c r="AQ759" s="56">
        <f>SUM(E759:I759)</f>
        <v>0</v>
      </c>
      <c r="AR759" s="70">
        <f>SUM(J759:P759)</f>
        <v>0</v>
      </c>
      <c r="AS759" s="70">
        <f>SUM(Q759:W759)</f>
        <v>0</v>
      </c>
      <c r="AT759" s="70">
        <f>SUM(X759:AD759)</f>
        <v>0</v>
      </c>
      <c r="AU759" s="70">
        <f>SUM(AE759:AI759)</f>
        <v>0</v>
      </c>
      <c r="AV759" s="57">
        <f t="shared" si="1413"/>
        <v>0</v>
      </c>
    </row>
    <row r="760" spans="1:48" ht="25.15" hidden="1" customHeight="1">
      <c r="A760" s="58" t="s">
        <v>180</v>
      </c>
      <c r="B760" s="65"/>
      <c r="C760" s="66"/>
      <c r="D760" s="67" t="s">
        <v>103</v>
      </c>
      <c r="E760" s="1331"/>
      <c r="F760" s="1101"/>
      <c r="G760" s="1209"/>
      <c r="H760" s="1101"/>
      <c r="I760" s="1101"/>
      <c r="J760" s="1209"/>
      <c r="K760" s="1209"/>
      <c r="L760" s="1101"/>
      <c r="M760" s="1101"/>
      <c r="N760" s="1101"/>
      <c r="O760" s="1101"/>
      <c r="P760" s="1101"/>
      <c r="Q760" s="1209"/>
      <c r="R760" s="1209"/>
      <c r="S760" s="1101"/>
      <c r="T760" s="1101"/>
      <c r="U760" s="1101"/>
      <c r="V760" s="1101"/>
      <c r="W760" s="1101"/>
      <c r="X760" s="1209"/>
      <c r="Y760" s="1209"/>
      <c r="Z760" s="1101"/>
      <c r="AA760" s="1101"/>
      <c r="AB760" s="1101"/>
      <c r="AC760" s="1101"/>
      <c r="AD760" s="1101"/>
      <c r="AE760" s="1209"/>
      <c r="AF760" s="1209"/>
      <c r="AG760" s="1101"/>
      <c r="AH760" s="1101"/>
      <c r="AI760" s="1332"/>
      <c r="AJ760" s="68">
        <f>SUM(E760:AI760)</f>
        <v>0</v>
      </c>
      <c r="AK760" s="68"/>
      <c r="AL760" s="69">
        <f>+AJ760*AN755</f>
        <v>0</v>
      </c>
      <c r="AM760" s="1069">
        <f t="shared" si="1338"/>
        <v>0</v>
      </c>
      <c r="AN760" s="31"/>
      <c r="AO760" s="622"/>
      <c r="AP760" s="39" t="s">
        <v>19</v>
      </c>
      <c r="AQ760" s="56">
        <f>AQ759*AN755</f>
        <v>0</v>
      </c>
      <c r="AR760" s="56">
        <f>AR759*AN755</f>
        <v>0</v>
      </c>
      <c r="AS760" s="56">
        <f>AS759*AN755</f>
        <v>0</v>
      </c>
      <c r="AT760" s="56">
        <f>AT759*AN755</f>
        <v>0</v>
      </c>
      <c r="AU760" s="56">
        <f>AU759*AN755</f>
        <v>0</v>
      </c>
      <c r="AV760" s="57">
        <f t="shared" si="1413"/>
        <v>0</v>
      </c>
    </row>
    <row r="761" spans="1:48" ht="25.15" hidden="1" customHeight="1">
      <c r="A761" s="103"/>
      <c r="B761" s="65"/>
      <c r="C761" s="72" t="s">
        <v>104</v>
      </c>
      <c r="D761" s="73" t="s">
        <v>105</v>
      </c>
      <c r="E761" s="1378"/>
      <c r="F761" s="1103"/>
      <c r="G761" s="1210"/>
      <c r="H761" s="1103"/>
      <c r="I761" s="1103"/>
      <c r="J761" s="1210"/>
      <c r="K761" s="1210"/>
      <c r="L761" s="1103"/>
      <c r="M761" s="1103"/>
      <c r="N761" s="1103"/>
      <c r="O761" s="1103"/>
      <c r="P761" s="1103"/>
      <c r="Q761" s="1210"/>
      <c r="R761" s="1210"/>
      <c r="S761" s="1103"/>
      <c r="T761" s="1103"/>
      <c r="U761" s="1103"/>
      <c r="V761" s="1103"/>
      <c r="W761" s="1103"/>
      <c r="X761" s="1210"/>
      <c r="Y761" s="1210"/>
      <c r="Z761" s="1103"/>
      <c r="AA761" s="1103"/>
      <c r="AB761" s="1103"/>
      <c r="AC761" s="1103"/>
      <c r="AD761" s="1103"/>
      <c r="AE761" s="1210"/>
      <c r="AF761" s="1210"/>
      <c r="AG761" s="1103"/>
      <c r="AH761" s="1103"/>
      <c r="AI761" s="1352"/>
      <c r="AJ761" s="74">
        <f>SUM(E761:AI761)</f>
        <v>0</v>
      </c>
      <c r="AK761" s="74"/>
      <c r="AL761" s="75">
        <f>+AJ761*AN755</f>
        <v>0</v>
      </c>
      <c r="AM761" s="1070">
        <f t="shared" si="1338"/>
        <v>0</v>
      </c>
      <c r="AN761" s="76"/>
      <c r="AO761" s="636"/>
      <c r="AP761" s="47" t="s">
        <v>106</v>
      </c>
      <c r="AQ761" s="48">
        <f>AQ757*AN755</f>
        <v>0</v>
      </c>
      <c r="AR761" s="48">
        <f>AR757*AN755</f>
        <v>0</v>
      </c>
      <c r="AS761" s="48">
        <f>AS757*AN755</f>
        <v>0</v>
      </c>
      <c r="AT761" s="48">
        <f>AT757*AN755</f>
        <v>0</v>
      </c>
      <c r="AU761" s="48">
        <f>AU757*AN755</f>
        <v>0</v>
      </c>
      <c r="AV761" s="50">
        <f t="shared" si="1413"/>
        <v>0</v>
      </c>
    </row>
    <row r="762" spans="1:48" ht="25.15" hidden="1" customHeight="1">
      <c r="A762" s="103"/>
      <c r="B762" s="65"/>
      <c r="C762" s="77">
        <v>300000</v>
      </c>
      <c r="D762" s="78" t="s">
        <v>107</v>
      </c>
      <c r="E762" s="1327">
        <v>1</v>
      </c>
      <c r="F762" s="1097">
        <v>1</v>
      </c>
      <c r="G762" s="1205">
        <v>1</v>
      </c>
      <c r="H762" s="1097">
        <v>1</v>
      </c>
      <c r="I762" s="1097">
        <v>1</v>
      </c>
      <c r="J762" s="1205">
        <v>1</v>
      </c>
      <c r="K762" s="1205">
        <v>1</v>
      </c>
      <c r="L762" s="1097">
        <v>1</v>
      </c>
      <c r="M762" s="1097">
        <v>1</v>
      </c>
      <c r="N762" s="1097">
        <v>1</v>
      </c>
      <c r="O762" s="1097">
        <v>1</v>
      </c>
      <c r="P762" s="1097">
        <v>1</v>
      </c>
      <c r="Q762" s="1205">
        <v>1</v>
      </c>
      <c r="R762" s="1205">
        <v>1</v>
      </c>
      <c r="S762" s="1097">
        <v>1</v>
      </c>
      <c r="T762" s="1097">
        <v>1</v>
      </c>
      <c r="U762" s="1097">
        <v>1</v>
      </c>
      <c r="V762" s="1097">
        <v>1</v>
      </c>
      <c r="W762" s="1097">
        <v>1</v>
      </c>
      <c r="X762" s="1205">
        <v>1</v>
      </c>
      <c r="Y762" s="1205">
        <v>1</v>
      </c>
      <c r="Z762" s="1097">
        <v>1</v>
      </c>
      <c r="AA762" s="1097">
        <v>1</v>
      </c>
      <c r="AB762" s="1097">
        <v>1</v>
      </c>
      <c r="AC762" s="1097">
        <v>1</v>
      </c>
      <c r="AD762" s="1097">
        <v>1</v>
      </c>
      <c r="AE762" s="1205">
        <v>1</v>
      </c>
      <c r="AF762" s="1205">
        <v>1</v>
      </c>
      <c r="AG762" s="1097">
        <v>1</v>
      </c>
      <c r="AH762" s="1097">
        <v>1</v>
      </c>
      <c r="AI762" s="1328">
        <v>1</v>
      </c>
      <c r="AJ762" s="79"/>
      <c r="AK762" s="79"/>
      <c r="AL762" s="55"/>
      <c r="AM762" s="1067">
        <f t="shared" si="1338"/>
        <v>0</v>
      </c>
      <c r="AN762" s="31"/>
      <c r="AO762" s="622"/>
      <c r="AP762" s="23"/>
      <c r="AQ762" s="23"/>
      <c r="AR762" s="23"/>
      <c r="AS762" s="23"/>
      <c r="AT762" s="23"/>
      <c r="AU762" s="23"/>
      <c r="AV762" s="23"/>
    </row>
    <row r="763" spans="1:48" ht="25.15" hidden="1" customHeight="1">
      <c r="A763" s="103"/>
      <c r="B763" s="65"/>
      <c r="C763" s="80" t="s">
        <v>108</v>
      </c>
      <c r="D763" s="81" t="s">
        <v>109</v>
      </c>
      <c r="E763" s="1374">
        <f>SUM(E757+E759+E760+E761)/E762</f>
        <v>0</v>
      </c>
      <c r="F763" s="1104">
        <f>SUM(F757+F759+F760+F761)/F762</f>
        <v>0</v>
      </c>
      <c r="G763" s="1211">
        <f>SUM(G757+G759+G760+G761)/G762</f>
        <v>0</v>
      </c>
      <c r="H763" s="1104">
        <f t="shared" ref="H763:AH763" si="1415">SUM(H757+H759+H760+H761)/H762</f>
        <v>0</v>
      </c>
      <c r="I763" s="1104">
        <f t="shared" si="1415"/>
        <v>0</v>
      </c>
      <c r="J763" s="1211">
        <f t="shared" si="1415"/>
        <v>0</v>
      </c>
      <c r="K763" s="1211">
        <f t="shared" si="1415"/>
        <v>0</v>
      </c>
      <c r="L763" s="1104">
        <f t="shared" si="1415"/>
        <v>0</v>
      </c>
      <c r="M763" s="1104">
        <f t="shared" si="1415"/>
        <v>0</v>
      </c>
      <c r="N763" s="1104">
        <f t="shared" si="1415"/>
        <v>0</v>
      </c>
      <c r="O763" s="1104">
        <f t="shared" si="1415"/>
        <v>0</v>
      </c>
      <c r="P763" s="1104">
        <f t="shared" si="1415"/>
        <v>0</v>
      </c>
      <c r="Q763" s="1211">
        <f t="shared" si="1415"/>
        <v>0</v>
      </c>
      <c r="R763" s="1211">
        <f t="shared" si="1415"/>
        <v>0</v>
      </c>
      <c r="S763" s="1104">
        <f t="shared" si="1415"/>
        <v>0</v>
      </c>
      <c r="T763" s="1104">
        <f t="shared" si="1415"/>
        <v>0</v>
      </c>
      <c r="U763" s="1104">
        <f t="shared" si="1415"/>
        <v>0</v>
      </c>
      <c r="V763" s="1104">
        <f t="shared" si="1415"/>
        <v>0</v>
      </c>
      <c r="W763" s="1104">
        <f t="shared" si="1415"/>
        <v>0</v>
      </c>
      <c r="X763" s="1211">
        <f t="shared" si="1415"/>
        <v>0</v>
      </c>
      <c r="Y763" s="1211">
        <f t="shared" si="1415"/>
        <v>0</v>
      </c>
      <c r="Z763" s="1104">
        <f t="shared" si="1415"/>
        <v>0</v>
      </c>
      <c r="AA763" s="1104">
        <f t="shared" si="1415"/>
        <v>0</v>
      </c>
      <c r="AB763" s="1104">
        <f t="shared" si="1415"/>
        <v>0</v>
      </c>
      <c r="AC763" s="1104">
        <f t="shared" si="1415"/>
        <v>0</v>
      </c>
      <c r="AD763" s="1104">
        <f t="shared" si="1415"/>
        <v>0</v>
      </c>
      <c r="AE763" s="1211">
        <f t="shared" si="1415"/>
        <v>0</v>
      </c>
      <c r="AF763" s="1211">
        <f t="shared" si="1415"/>
        <v>0</v>
      </c>
      <c r="AG763" s="1104">
        <f t="shared" si="1415"/>
        <v>0</v>
      </c>
      <c r="AH763" s="1104">
        <f t="shared" si="1415"/>
        <v>0</v>
      </c>
      <c r="AI763" s="1335">
        <f>SUM(AI757+AI759+AI760)/AI762</f>
        <v>0</v>
      </c>
      <c r="AJ763" s="104">
        <f>SUM(E763:AI763)</f>
        <v>0</v>
      </c>
      <c r="AK763" s="104"/>
      <c r="AL763" s="83"/>
      <c r="AM763" s="1068">
        <f t="shared" si="1338"/>
        <v>0</v>
      </c>
      <c r="AN763" s="31"/>
      <c r="AO763" s="622"/>
      <c r="AP763" s="23"/>
      <c r="AQ763" s="23"/>
      <c r="AR763" s="23"/>
      <c r="AS763" s="23"/>
      <c r="AT763" s="23"/>
      <c r="AU763" s="23"/>
      <c r="AV763" s="23"/>
    </row>
    <row r="764" spans="1:48" ht="25.15" hidden="1" customHeight="1">
      <c r="A764" s="103"/>
      <c r="B764" s="59"/>
      <c r="C764" s="84">
        <f>+C762*0.8</f>
        <v>240000</v>
      </c>
      <c r="D764" s="85" t="s">
        <v>110</v>
      </c>
      <c r="E764" s="1105"/>
      <c r="F764" s="1106"/>
      <c r="G764" s="1211"/>
      <c r="H764" s="1104"/>
      <c r="I764" s="1104"/>
      <c r="J764" s="1211"/>
      <c r="K764" s="1211"/>
      <c r="L764" s="1104"/>
      <c r="M764" s="1104"/>
      <c r="N764" s="1104"/>
      <c r="O764" s="1107"/>
      <c r="P764" s="1104"/>
      <c r="Q764" s="1211"/>
      <c r="R764" s="1211"/>
      <c r="S764" s="1104"/>
      <c r="T764" s="1104"/>
      <c r="U764" s="1104"/>
      <c r="V764" s="1104"/>
      <c r="W764" s="1104"/>
      <c r="X764" s="1211"/>
      <c r="Y764" s="1211"/>
      <c r="Z764" s="1104"/>
      <c r="AA764" s="1104"/>
      <c r="AB764" s="1104"/>
      <c r="AC764" s="1104"/>
      <c r="AD764" s="1104"/>
      <c r="AE764" s="1211"/>
      <c r="AF764" s="1211"/>
      <c r="AG764" s="1104"/>
      <c r="AH764" s="1104"/>
      <c r="AI764" s="1353"/>
      <c r="AJ764" s="86"/>
      <c r="AK764" s="86"/>
      <c r="AL764" s="690"/>
      <c r="AM764" s="694">
        <f t="shared" si="1338"/>
        <v>0</v>
      </c>
      <c r="AN764" s="31"/>
      <c r="AO764" s="622"/>
      <c r="AP764" s="23"/>
      <c r="AQ764" s="23"/>
      <c r="AR764" s="23"/>
      <c r="AS764" s="23"/>
      <c r="AT764" s="23"/>
      <c r="AU764" s="23"/>
      <c r="AV764" s="23"/>
    </row>
    <row r="765" spans="1:48" ht="25.15" hidden="1" customHeight="1">
      <c r="A765" s="103"/>
      <c r="B765" s="105"/>
      <c r="C765" s="77"/>
      <c r="D765" s="88" t="s">
        <v>111</v>
      </c>
      <c r="E765" s="1108">
        <f>IF(E764="O/H",E763,0+E763)</f>
        <v>0</v>
      </c>
      <c r="F765" s="1089">
        <f t="shared" ref="F765:AI765" si="1416">IF(F764="O/H",F763,+E765+F763)</f>
        <v>0</v>
      </c>
      <c r="G765" s="44">
        <f t="shared" si="1416"/>
        <v>0</v>
      </c>
      <c r="H765" s="1089">
        <f t="shared" si="1416"/>
        <v>0</v>
      </c>
      <c r="I765" s="1089">
        <f t="shared" si="1416"/>
        <v>0</v>
      </c>
      <c r="J765" s="44">
        <f t="shared" si="1416"/>
        <v>0</v>
      </c>
      <c r="K765" s="44">
        <f t="shared" si="1416"/>
        <v>0</v>
      </c>
      <c r="L765" s="1089">
        <f t="shared" si="1416"/>
        <v>0</v>
      </c>
      <c r="M765" s="1089">
        <f t="shared" si="1416"/>
        <v>0</v>
      </c>
      <c r="N765" s="1089">
        <f t="shared" si="1416"/>
        <v>0</v>
      </c>
      <c r="O765" s="1089">
        <f t="shared" si="1416"/>
        <v>0</v>
      </c>
      <c r="P765" s="1089">
        <f t="shared" si="1416"/>
        <v>0</v>
      </c>
      <c r="Q765" s="44">
        <f t="shared" si="1416"/>
        <v>0</v>
      </c>
      <c r="R765" s="44">
        <f t="shared" si="1416"/>
        <v>0</v>
      </c>
      <c r="S765" s="1089">
        <f t="shared" si="1416"/>
        <v>0</v>
      </c>
      <c r="T765" s="1089">
        <f t="shared" si="1416"/>
        <v>0</v>
      </c>
      <c r="U765" s="1089">
        <f t="shared" si="1416"/>
        <v>0</v>
      </c>
      <c r="V765" s="1089">
        <f t="shared" si="1416"/>
        <v>0</v>
      </c>
      <c r="W765" s="1089">
        <f t="shared" si="1416"/>
        <v>0</v>
      </c>
      <c r="X765" s="44">
        <f t="shared" si="1416"/>
        <v>0</v>
      </c>
      <c r="Y765" s="44">
        <f t="shared" si="1416"/>
        <v>0</v>
      </c>
      <c r="Z765" s="1089">
        <f t="shared" si="1416"/>
        <v>0</v>
      </c>
      <c r="AA765" s="1089">
        <f t="shared" si="1416"/>
        <v>0</v>
      </c>
      <c r="AB765" s="1089">
        <f t="shared" si="1416"/>
        <v>0</v>
      </c>
      <c r="AC765" s="1089">
        <f t="shared" si="1416"/>
        <v>0</v>
      </c>
      <c r="AD765" s="1089">
        <f t="shared" si="1416"/>
        <v>0</v>
      </c>
      <c r="AE765" s="44">
        <f t="shared" si="1416"/>
        <v>0</v>
      </c>
      <c r="AF765" s="44">
        <f t="shared" si="1416"/>
        <v>0</v>
      </c>
      <c r="AG765" s="1089">
        <f t="shared" si="1416"/>
        <v>0</v>
      </c>
      <c r="AH765" s="1089">
        <f t="shared" si="1416"/>
        <v>0</v>
      </c>
      <c r="AI765" s="1326">
        <f t="shared" si="1416"/>
        <v>0</v>
      </c>
      <c r="AJ765" s="79"/>
      <c r="AK765" s="86"/>
      <c r="AL765" s="689"/>
      <c r="AM765" s="694">
        <f t="shared" si="1338"/>
        <v>0</v>
      </c>
      <c r="AN765" s="31"/>
      <c r="AO765" s="622"/>
      <c r="AP765" s="23"/>
      <c r="AQ765" s="23"/>
      <c r="AR765" s="23"/>
      <c r="AS765" s="23"/>
      <c r="AT765" s="23"/>
      <c r="AU765" s="23"/>
      <c r="AV765" s="23"/>
    </row>
    <row r="766" spans="1:48" s="23" customFormat="1" ht="20.65" hidden="1" customHeight="1">
      <c r="A766" s="274"/>
      <c r="B766" s="312"/>
      <c r="C766" s="308"/>
      <c r="D766" s="795" t="s">
        <v>112</v>
      </c>
      <c r="E766" s="1108" t="b">
        <f>IF(AND(ISNUMBER(E757)),58092+E763)</f>
        <v>0</v>
      </c>
      <c r="F766" s="1089" t="str">
        <f>IF(AND(ISNUMBER(F757)),E766+F763,"")</f>
        <v/>
      </c>
      <c r="G766" s="44" t="str">
        <f t="shared" ref="G766" si="1417">IF(AND(ISNUMBER(G757)),F766+G763,"")</f>
        <v/>
      </c>
      <c r="H766" s="1089" t="str">
        <f t="shared" ref="H766" si="1418">IF(AND(ISNUMBER(H757)),G766+H763,"")</f>
        <v/>
      </c>
      <c r="I766" s="1089" t="str">
        <f>IF(AND(ISNUMBER(I757)),H766+I763,"")</f>
        <v/>
      </c>
      <c r="J766" s="44" t="str">
        <f>IF(AND(ISNUMBER(J757)),I766+J763,"")</f>
        <v/>
      </c>
      <c r="K766" s="44" t="str">
        <f>IF(AND(ISNUMBER(K757)),J766+K763,"")</f>
        <v/>
      </c>
      <c r="L766" s="1089" t="str">
        <f t="shared" ref="L766" si="1419">IF(AND(ISNUMBER(L757)),K766+L763,"")</f>
        <v/>
      </c>
      <c r="M766" s="1089" t="str">
        <f t="shared" ref="M766" si="1420">IF(AND(ISNUMBER(M757)),L766+M763,"")</f>
        <v/>
      </c>
      <c r="N766" s="1089" t="str">
        <f t="shared" ref="N766" si="1421">IF(AND(ISNUMBER(N757)),M766+N763,"")</f>
        <v/>
      </c>
      <c r="O766" s="1089" t="str">
        <f t="shared" ref="O766" si="1422">IF(AND(ISNUMBER(O757)),N766+O763,"")</f>
        <v/>
      </c>
      <c r="P766" s="1089" t="str">
        <f t="shared" ref="P766" si="1423">IF(AND(ISNUMBER(P757)),O766+P763,"")</f>
        <v/>
      </c>
      <c r="Q766" s="44" t="str">
        <f t="shared" ref="Q766" si="1424">IF(AND(ISNUMBER(Q757)),P766+Q763,"")</f>
        <v/>
      </c>
      <c r="R766" s="44" t="str">
        <f t="shared" ref="R766" si="1425">IF(AND(ISNUMBER(R757)),Q766+R763,"")</f>
        <v/>
      </c>
      <c r="S766" s="1089" t="str">
        <f t="shared" ref="S766" si="1426">IF(AND(ISNUMBER(S757)),R766+S763,"")</f>
        <v/>
      </c>
      <c r="T766" s="1089" t="str">
        <f t="shared" ref="T766" si="1427">IF(AND(ISNUMBER(T757)),S766+T763,"")</f>
        <v/>
      </c>
      <c r="U766" s="1089" t="str">
        <f t="shared" ref="U766" si="1428">IF(AND(ISNUMBER(U757)),T766+U763,"")</f>
        <v/>
      </c>
      <c r="V766" s="1089" t="str">
        <f t="shared" ref="V766" si="1429">IF(AND(ISNUMBER(V757)),U766+V763,"")</f>
        <v/>
      </c>
      <c r="W766" s="1089" t="str">
        <f t="shared" ref="W766" si="1430">IF(AND(ISNUMBER(W757)),V766+W763,"")</f>
        <v/>
      </c>
      <c r="X766" s="44" t="str">
        <f t="shared" ref="X766" si="1431">IF(AND(ISNUMBER(X757)),W766+X763,"")</f>
        <v/>
      </c>
      <c r="Y766" s="44" t="str">
        <f t="shared" ref="Y766" si="1432">IF(AND(ISNUMBER(Y757)),X766+Y763,"")</f>
        <v/>
      </c>
      <c r="Z766" s="1089" t="str">
        <f t="shared" ref="Z766" si="1433">IF(AND(ISNUMBER(Z757)),Y766+Z763,"")</f>
        <v/>
      </c>
      <c r="AA766" s="1089" t="str">
        <f t="shared" ref="AA766" si="1434">IF(AND(ISNUMBER(AA757)),Z766+AA763,"")</f>
        <v/>
      </c>
      <c r="AB766" s="1089" t="str">
        <f t="shared" ref="AB766" si="1435">IF(AND(ISNUMBER(AB757)),AA766+AB763,"")</f>
        <v/>
      </c>
      <c r="AC766" s="1089" t="str">
        <f t="shared" ref="AC766" si="1436">IF(AND(ISNUMBER(AC757)),AB766+AC763,"")</f>
        <v/>
      </c>
      <c r="AD766" s="1089" t="str">
        <f t="shared" ref="AD766" si="1437">IF(AND(ISNUMBER(AD757)),AC766+AD763,"")</f>
        <v/>
      </c>
      <c r="AE766" s="44" t="str">
        <f t="shared" ref="AE766" si="1438">IF(AND(ISNUMBER(AE757)),AD766+AE763,"")</f>
        <v/>
      </c>
      <c r="AF766" s="44" t="str">
        <f t="shared" ref="AF766" si="1439">IF(AND(ISNUMBER(AF757)),AE766+AF763,"")</f>
        <v/>
      </c>
      <c r="AG766" s="1089" t="str">
        <f t="shared" ref="AG766" si="1440">IF(AND(ISNUMBER(AG757)),AF766+AG763,"")</f>
        <v/>
      </c>
      <c r="AH766" s="1089" t="str">
        <f t="shared" ref="AH766" si="1441">IF(AND(ISNUMBER(AH757)),AG766+AH763,"")</f>
        <v/>
      </c>
      <c r="AI766" s="1089" t="str">
        <f t="shared" ref="AI766" si="1442">IF(AND(ISNUMBER(AI757)),AH766+AI763,"")</f>
        <v/>
      </c>
      <c r="AJ766" s="793"/>
      <c r="AK766" s="793"/>
      <c r="AL766" s="909"/>
      <c r="AM766" s="890">
        <f t="shared" si="1338"/>
        <v>0</v>
      </c>
      <c r="AN766" s="76"/>
      <c r="AO766" s="624"/>
      <c r="AP766" s="285"/>
      <c r="AQ766" s="285"/>
      <c r="AR766" s="285"/>
      <c r="AS766" s="285"/>
      <c r="AT766" s="286"/>
      <c r="AU766" s="285"/>
      <c r="AV766" s="287"/>
    </row>
    <row r="767" spans="1:48" ht="25.15" hidden="1" customHeight="1">
      <c r="A767" s="103"/>
      <c r="B767" s="89"/>
      <c r="C767" s="80"/>
      <c r="D767" s="90" t="s">
        <v>104</v>
      </c>
      <c r="E767" s="1108"/>
      <c r="F767" s="1089"/>
      <c r="G767" s="44"/>
      <c r="H767" s="1089"/>
      <c r="I767" s="1089"/>
      <c r="J767" s="44"/>
      <c r="K767" s="44"/>
      <c r="L767" s="1089"/>
      <c r="M767" s="1089"/>
      <c r="N767" s="1089"/>
      <c r="O767" s="1089"/>
      <c r="P767" s="1089"/>
      <c r="Q767" s="44"/>
      <c r="R767" s="44"/>
      <c r="S767" s="1089"/>
      <c r="T767" s="1089"/>
      <c r="U767" s="1089"/>
      <c r="V767" s="1089"/>
      <c r="W767" s="1089"/>
      <c r="X767" s="44"/>
      <c r="Y767" s="44"/>
      <c r="Z767" s="1089"/>
      <c r="AA767" s="1089"/>
      <c r="AB767" s="1089"/>
      <c r="AC767" s="1089"/>
      <c r="AD767" s="1089"/>
      <c r="AE767" s="44"/>
      <c r="AF767" s="44"/>
      <c r="AG767" s="1089"/>
      <c r="AH767" s="1089"/>
      <c r="AI767" s="1326"/>
      <c r="AJ767" s="79"/>
      <c r="AK767" s="79"/>
      <c r="AL767" s="63"/>
      <c r="AM767" s="1068">
        <f t="shared" si="1338"/>
        <v>0</v>
      </c>
      <c r="AN767" s="64"/>
      <c r="AO767" s="624"/>
      <c r="AP767" s="23"/>
      <c r="AQ767" s="23"/>
      <c r="AR767" s="23"/>
      <c r="AS767" s="23"/>
      <c r="AT767" s="23"/>
      <c r="AU767" s="23"/>
      <c r="AV767" s="23"/>
    </row>
    <row r="768" spans="1:48" ht="25.15" hidden="1" customHeight="1" thickBot="1">
      <c r="A768" s="106"/>
      <c r="B768" s="93"/>
      <c r="C768" s="94"/>
      <c r="D768" s="95" t="s">
        <v>111</v>
      </c>
      <c r="E768" s="1109">
        <f>IF(E767="O/H",E763,0+E763)</f>
        <v>0</v>
      </c>
      <c r="F768" s="1110">
        <f t="shared" ref="F768:AI768" si="1443">IF(F767="O/H",F763,+E768+F763)</f>
        <v>0</v>
      </c>
      <c r="G768" s="1212">
        <f t="shared" si="1443"/>
        <v>0</v>
      </c>
      <c r="H768" s="1110">
        <f t="shared" si="1443"/>
        <v>0</v>
      </c>
      <c r="I768" s="1110">
        <f t="shared" si="1443"/>
        <v>0</v>
      </c>
      <c r="J768" s="1212">
        <f t="shared" si="1443"/>
        <v>0</v>
      </c>
      <c r="K768" s="1212">
        <f t="shared" si="1443"/>
        <v>0</v>
      </c>
      <c r="L768" s="1110">
        <f t="shared" si="1443"/>
        <v>0</v>
      </c>
      <c r="M768" s="1110">
        <f t="shared" si="1443"/>
        <v>0</v>
      </c>
      <c r="N768" s="1110">
        <f t="shared" si="1443"/>
        <v>0</v>
      </c>
      <c r="O768" s="1110">
        <f t="shared" si="1443"/>
        <v>0</v>
      </c>
      <c r="P768" s="1110">
        <f t="shared" si="1443"/>
        <v>0</v>
      </c>
      <c r="Q768" s="1212">
        <f t="shared" si="1443"/>
        <v>0</v>
      </c>
      <c r="R768" s="1212">
        <f t="shared" si="1443"/>
        <v>0</v>
      </c>
      <c r="S768" s="1110">
        <f t="shared" si="1443"/>
        <v>0</v>
      </c>
      <c r="T768" s="1110">
        <f t="shared" si="1443"/>
        <v>0</v>
      </c>
      <c r="U768" s="1110">
        <f t="shared" si="1443"/>
        <v>0</v>
      </c>
      <c r="V768" s="1110">
        <f t="shared" si="1443"/>
        <v>0</v>
      </c>
      <c r="W768" s="1110">
        <f t="shared" si="1443"/>
        <v>0</v>
      </c>
      <c r="X768" s="1212">
        <f t="shared" si="1443"/>
        <v>0</v>
      </c>
      <c r="Y768" s="1212">
        <f t="shared" si="1443"/>
        <v>0</v>
      </c>
      <c r="Z768" s="1110">
        <f t="shared" si="1443"/>
        <v>0</v>
      </c>
      <c r="AA768" s="1110">
        <f t="shared" si="1443"/>
        <v>0</v>
      </c>
      <c r="AB768" s="1110">
        <f t="shared" si="1443"/>
        <v>0</v>
      </c>
      <c r="AC768" s="1110">
        <f t="shared" si="1443"/>
        <v>0</v>
      </c>
      <c r="AD768" s="1110">
        <f t="shared" si="1443"/>
        <v>0</v>
      </c>
      <c r="AE768" s="1212">
        <f t="shared" si="1443"/>
        <v>0</v>
      </c>
      <c r="AF768" s="1212">
        <f t="shared" si="1443"/>
        <v>0</v>
      </c>
      <c r="AG768" s="1110">
        <f t="shared" si="1443"/>
        <v>0</v>
      </c>
      <c r="AH768" s="1110">
        <f t="shared" si="1443"/>
        <v>0</v>
      </c>
      <c r="AI768" s="1340">
        <f t="shared" si="1443"/>
        <v>0</v>
      </c>
      <c r="AJ768" s="96"/>
      <c r="AK768" s="96"/>
      <c r="AL768" s="97"/>
      <c r="AM768" s="1071">
        <f t="shared" si="1338"/>
        <v>0</v>
      </c>
      <c r="AN768" s="98"/>
      <c r="AO768" s="625"/>
      <c r="AP768" s="23"/>
      <c r="AQ768" s="23"/>
      <c r="AR768" s="23"/>
      <c r="AS768" s="23"/>
      <c r="AT768" s="23"/>
      <c r="AU768" s="23"/>
      <c r="AV768" s="23"/>
    </row>
    <row r="769" spans="1:48" ht="25.15" hidden="1" customHeight="1" thickTop="1">
      <c r="A769" s="99"/>
      <c r="B769" s="26" t="s">
        <v>190</v>
      </c>
      <c r="C769" s="27"/>
      <c r="D769" s="28" t="s">
        <v>82</v>
      </c>
      <c r="E769" s="1111"/>
      <c r="F769" s="1111"/>
      <c r="G769" s="1201"/>
      <c r="H769" s="1111"/>
      <c r="I769" s="1111"/>
      <c r="J769" s="1201"/>
      <c r="K769" s="1201"/>
      <c r="L769" s="1111"/>
      <c r="M769" s="1111"/>
      <c r="N769" s="1111"/>
      <c r="O769" s="1111"/>
      <c r="P769" s="1111"/>
      <c r="Q769" s="1201"/>
      <c r="R769" s="1201"/>
      <c r="S769" s="1111"/>
      <c r="T769" s="1111"/>
      <c r="U769" s="1111"/>
      <c r="V769" s="1111"/>
      <c r="W769" s="1111"/>
      <c r="X769" s="1201"/>
      <c r="Y769" s="1201"/>
      <c r="Z769" s="1111"/>
      <c r="AA769" s="1111"/>
      <c r="AB769" s="1111"/>
      <c r="AC769" s="1111"/>
      <c r="AD769" s="1111"/>
      <c r="AE769" s="1201"/>
      <c r="AF769" s="1201"/>
      <c r="AG769" s="1111"/>
      <c r="AH769" s="1111"/>
      <c r="AI769" s="1111"/>
      <c r="AJ769" s="100">
        <f>SUM(Table75[[#This Row],[June''2026]:[Column27]])</f>
        <v>0</v>
      </c>
      <c r="AK769" s="100">
        <f t="shared" si="1340"/>
        <v>0</v>
      </c>
      <c r="AL769" s="101">
        <f>+AJ769*AN769</f>
        <v>0</v>
      </c>
      <c r="AM769" s="1072">
        <f t="shared" si="1338"/>
        <v>0</v>
      </c>
      <c r="AN769" s="102"/>
      <c r="AO769" s="622" t="e">
        <f>Table5[[#This Row],[Total]]*B773/1000</f>
        <v>#VALUE!</v>
      </c>
      <c r="AP769" s="32" t="s">
        <v>145</v>
      </c>
      <c r="AQ769" s="33" t="s">
        <v>84</v>
      </c>
      <c r="AR769" s="33" t="s">
        <v>85</v>
      </c>
      <c r="AS769" s="33" t="s">
        <v>86</v>
      </c>
      <c r="AT769" s="33" t="s">
        <v>87</v>
      </c>
      <c r="AU769" s="33" t="s">
        <v>88</v>
      </c>
      <c r="AV769" s="34" t="s">
        <v>68</v>
      </c>
    </row>
    <row r="770" spans="1:48" ht="25.15" hidden="1" customHeight="1">
      <c r="A770" s="103"/>
      <c r="B770" s="35"/>
      <c r="C770" s="36"/>
      <c r="D770" s="37" t="s">
        <v>90</v>
      </c>
      <c r="E770" s="1373">
        <f>IF(E769="",0,+ E769/E776)</f>
        <v>0</v>
      </c>
      <c r="F770" s="1096">
        <f t="shared" ref="F770:AI770" si="1444">IF(F769="",0, E770+F769/F776)</f>
        <v>0</v>
      </c>
      <c r="G770" s="1207">
        <f t="shared" si="1444"/>
        <v>0</v>
      </c>
      <c r="H770" s="1096">
        <f t="shared" si="1444"/>
        <v>0</v>
      </c>
      <c r="I770" s="1096">
        <f t="shared" si="1444"/>
        <v>0</v>
      </c>
      <c r="J770" s="1207">
        <f t="shared" si="1444"/>
        <v>0</v>
      </c>
      <c r="K770" s="1207">
        <f t="shared" si="1444"/>
        <v>0</v>
      </c>
      <c r="L770" s="1096">
        <f t="shared" si="1444"/>
        <v>0</v>
      </c>
      <c r="M770" s="1096">
        <f t="shared" si="1444"/>
        <v>0</v>
      </c>
      <c r="N770" s="1096">
        <f t="shared" si="1444"/>
        <v>0</v>
      </c>
      <c r="O770" s="1096">
        <f t="shared" si="1444"/>
        <v>0</v>
      </c>
      <c r="P770" s="1096">
        <f t="shared" si="1444"/>
        <v>0</v>
      </c>
      <c r="Q770" s="1207">
        <f t="shared" si="1444"/>
        <v>0</v>
      </c>
      <c r="R770" s="1207">
        <f t="shared" si="1444"/>
        <v>0</v>
      </c>
      <c r="S770" s="1096">
        <f t="shared" si="1444"/>
        <v>0</v>
      </c>
      <c r="T770" s="1096">
        <f t="shared" si="1444"/>
        <v>0</v>
      </c>
      <c r="U770" s="1096">
        <f t="shared" si="1444"/>
        <v>0</v>
      </c>
      <c r="V770" s="1096">
        <f t="shared" si="1444"/>
        <v>0</v>
      </c>
      <c r="W770" s="1096">
        <f t="shared" si="1444"/>
        <v>0</v>
      </c>
      <c r="X770" s="1207">
        <f t="shared" si="1444"/>
        <v>0</v>
      </c>
      <c r="Y770" s="1207">
        <f t="shared" si="1444"/>
        <v>0</v>
      </c>
      <c r="Z770" s="1096">
        <f t="shared" si="1444"/>
        <v>0</v>
      </c>
      <c r="AA770" s="1096">
        <f t="shared" si="1444"/>
        <v>0</v>
      </c>
      <c r="AB770" s="1096">
        <f t="shared" si="1444"/>
        <v>0</v>
      </c>
      <c r="AC770" s="1096">
        <f t="shared" si="1444"/>
        <v>0</v>
      </c>
      <c r="AD770" s="1096">
        <f t="shared" si="1444"/>
        <v>0</v>
      </c>
      <c r="AE770" s="1207">
        <f t="shared" si="1444"/>
        <v>0</v>
      </c>
      <c r="AF770" s="1207">
        <f t="shared" si="1444"/>
        <v>0</v>
      </c>
      <c r="AG770" s="1096">
        <f t="shared" si="1444"/>
        <v>0</v>
      </c>
      <c r="AH770" s="1096">
        <f t="shared" si="1444"/>
        <v>0</v>
      </c>
      <c r="AI770" s="1324">
        <f t="shared" si="1444"/>
        <v>0</v>
      </c>
      <c r="AJ770" s="38"/>
      <c r="AK770" s="29"/>
      <c r="AL770" s="30"/>
      <c r="AM770" s="694">
        <f t="shared" si="1338"/>
        <v>0</v>
      </c>
      <c r="AN770" s="31"/>
      <c r="AO770" s="630"/>
      <c r="AP770" s="39" t="s">
        <v>91</v>
      </c>
      <c r="AQ770" s="40">
        <f>SUM(E769:I769)</f>
        <v>0</v>
      </c>
      <c r="AR770" s="41">
        <f>SUM(J769:P769)</f>
        <v>0</v>
      </c>
      <c r="AS770" s="41">
        <f>SUM(Q769:W769)</f>
        <v>0</v>
      </c>
      <c r="AT770" s="41">
        <f>SUM(X769:AD769)</f>
        <v>0</v>
      </c>
      <c r="AU770" s="41">
        <f>SUM(AE769:AI769)</f>
        <v>0</v>
      </c>
      <c r="AV770" s="34">
        <f t="shared" ref="AV770:AV775" si="1445">SUM(AQ770:AU770)</f>
        <v>0</v>
      </c>
    </row>
    <row r="771" spans="1:48" ht="25.15" hidden="1" customHeight="1">
      <c r="A771" s="103"/>
      <c r="B771" s="26" t="s">
        <v>92</v>
      </c>
      <c r="C771" s="42"/>
      <c r="D771" s="43" t="s">
        <v>93</v>
      </c>
      <c r="E771" s="1325"/>
      <c r="F771" s="1089"/>
      <c r="G771" s="44"/>
      <c r="H771" s="1089"/>
      <c r="I771" s="1089"/>
      <c r="J771" s="44"/>
      <c r="K771" s="44"/>
      <c r="L771" s="1089"/>
      <c r="M771" s="1089"/>
      <c r="N771" s="1089"/>
      <c r="O771" s="1089"/>
      <c r="P771" s="1089"/>
      <c r="Q771" s="44"/>
      <c r="R771" s="44"/>
      <c r="S771" s="1089"/>
      <c r="T771" s="1089"/>
      <c r="U771" s="1089"/>
      <c r="V771" s="1089"/>
      <c r="W771" s="1089"/>
      <c r="X771" s="44"/>
      <c r="Y771" s="44"/>
      <c r="Z771" s="1089"/>
      <c r="AA771" s="1089"/>
      <c r="AB771" s="1089"/>
      <c r="AC771" s="1089"/>
      <c r="AD771" s="1089"/>
      <c r="AE771" s="44"/>
      <c r="AF771" s="44"/>
      <c r="AG771" s="1089"/>
      <c r="AH771" s="1089"/>
      <c r="AI771" s="1326"/>
      <c r="AJ771" s="45">
        <f>SUM(E771:AI771)</f>
        <v>0</v>
      </c>
      <c r="AK771" s="45"/>
      <c r="AL771" s="46">
        <f>+AJ771*AN769</f>
        <v>0</v>
      </c>
      <c r="AM771" s="1066">
        <f t="shared" si="1338"/>
        <v>0</v>
      </c>
      <c r="AN771" s="31"/>
      <c r="AO771" s="632">
        <f>(AJ771+AJ773+AJ774+AJ775)*B773/1000</f>
        <v>0</v>
      </c>
      <c r="AP771" s="47" t="s">
        <v>94</v>
      </c>
      <c r="AQ771" s="48">
        <f>SUM(E771:I771)</f>
        <v>0</v>
      </c>
      <c r="AR771" s="49">
        <f>SUM(J771:P771)</f>
        <v>0</v>
      </c>
      <c r="AS771" s="49">
        <f>SUM(Q771:W771)</f>
        <v>0</v>
      </c>
      <c r="AT771" s="49">
        <f>SUM(X771:AD771)</f>
        <v>0</v>
      </c>
      <c r="AU771" s="49">
        <f>SUM(AE771:AI771)</f>
        <v>0</v>
      </c>
      <c r="AV771" s="50">
        <f t="shared" si="1445"/>
        <v>0</v>
      </c>
    </row>
    <row r="772" spans="1:48" ht="25.15" hidden="1" customHeight="1">
      <c r="A772" s="103"/>
      <c r="B772" s="51"/>
      <c r="C772" s="52" t="s">
        <v>95</v>
      </c>
      <c r="D772" s="53" t="s">
        <v>96</v>
      </c>
      <c r="E772" s="1327">
        <f t="shared" ref="E772:AJ772" si="1446">+E771-E769</f>
        <v>0</v>
      </c>
      <c r="F772" s="1097">
        <f t="shared" si="1446"/>
        <v>0</v>
      </c>
      <c r="G772" s="1205">
        <f t="shared" si="1446"/>
        <v>0</v>
      </c>
      <c r="H772" s="1097">
        <f t="shared" si="1446"/>
        <v>0</v>
      </c>
      <c r="I772" s="1097">
        <f t="shared" si="1446"/>
        <v>0</v>
      </c>
      <c r="J772" s="1205">
        <f t="shared" si="1446"/>
        <v>0</v>
      </c>
      <c r="K772" s="1205">
        <f t="shared" si="1446"/>
        <v>0</v>
      </c>
      <c r="L772" s="1097">
        <f t="shared" si="1446"/>
        <v>0</v>
      </c>
      <c r="M772" s="1097">
        <f t="shared" si="1446"/>
        <v>0</v>
      </c>
      <c r="N772" s="1097">
        <f t="shared" si="1446"/>
        <v>0</v>
      </c>
      <c r="O772" s="1097">
        <f t="shared" si="1446"/>
        <v>0</v>
      </c>
      <c r="P772" s="1097">
        <f t="shared" si="1446"/>
        <v>0</v>
      </c>
      <c r="Q772" s="1205">
        <f t="shared" si="1446"/>
        <v>0</v>
      </c>
      <c r="R772" s="1205">
        <f t="shared" si="1446"/>
        <v>0</v>
      </c>
      <c r="S772" s="1097">
        <f t="shared" si="1446"/>
        <v>0</v>
      </c>
      <c r="T772" s="1097">
        <f t="shared" si="1446"/>
        <v>0</v>
      </c>
      <c r="U772" s="1097">
        <f t="shared" si="1446"/>
        <v>0</v>
      </c>
      <c r="V772" s="1097">
        <f t="shared" si="1446"/>
        <v>0</v>
      </c>
      <c r="W772" s="1097">
        <f t="shared" si="1446"/>
        <v>0</v>
      </c>
      <c r="X772" s="1205">
        <f t="shared" si="1446"/>
        <v>0</v>
      </c>
      <c r="Y772" s="1205">
        <f t="shared" si="1446"/>
        <v>0</v>
      </c>
      <c r="Z772" s="1097">
        <f t="shared" si="1446"/>
        <v>0</v>
      </c>
      <c r="AA772" s="1097">
        <f t="shared" si="1446"/>
        <v>0</v>
      </c>
      <c r="AB772" s="1097">
        <f t="shared" si="1446"/>
        <v>0</v>
      </c>
      <c r="AC772" s="1097">
        <f t="shared" si="1446"/>
        <v>0</v>
      </c>
      <c r="AD772" s="1097">
        <f t="shared" si="1446"/>
        <v>0</v>
      </c>
      <c r="AE772" s="1205">
        <f t="shared" si="1446"/>
        <v>0</v>
      </c>
      <c r="AF772" s="1205">
        <f t="shared" si="1446"/>
        <v>0</v>
      </c>
      <c r="AG772" s="1097">
        <f t="shared" si="1446"/>
        <v>0</v>
      </c>
      <c r="AH772" s="1097">
        <f t="shared" si="1446"/>
        <v>0</v>
      </c>
      <c r="AI772" s="1328">
        <f t="shared" si="1446"/>
        <v>0</v>
      </c>
      <c r="AJ772" s="54">
        <f t="shared" si="1446"/>
        <v>0</v>
      </c>
      <c r="AK772" s="54"/>
      <c r="AL772" s="55">
        <f>+AJ772*AN769</f>
        <v>0</v>
      </c>
      <c r="AM772" s="1067">
        <f t="shared" si="1338"/>
        <v>0</v>
      </c>
      <c r="AN772" s="31" t="s">
        <v>97</v>
      </c>
      <c r="AO772" s="622"/>
      <c r="AP772" s="39" t="s">
        <v>98</v>
      </c>
      <c r="AQ772" s="56">
        <f>AQ771-AQ770</f>
        <v>0</v>
      </c>
      <c r="AR772" s="70">
        <f>AR771-AR770</f>
        <v>0</v>
      </c>
      <c r="AS772" s="70">
        <f>AS771-AS770</f>
        <v>0</v>
      </c>
      <c r="AT772" s="70">
        <f>AT771-AT770</f>
        <v>0</v>
      </c>
      <c r="AU772" s="70">
        <f>AU771-AU770</f>
        <v>0</v>
      </c>
      <c r="AV772" s="57">
        <f t="shared" si="1445"/>
        <v>0</v>
      </c>
    </row>
    <row r="773" spans="1:48" ht="25.15" hidden="1" customHeight="1">
      <c r="A773" s="58"/>
      <c r="B773" s="59"/>
      <c r="C773" s="60" t="s">
        <v>100</v>
      </c>
      <c r="D773" s="61" t="s">
        <v>101</v>
      </c>
      <c r="E773" s="1329"/>
      <c r="F773" s="1099"/>
      <c r="G773" s="1208"/>
      <c r="H773" s="1099"/>
      <c r="I773" s="1099"/>
      <c r="J773" s="1208"/>
      <c r="K773" s="1208"/>
      <c r="L773" s="1099"/>
      <c r="M773" s="1099"/>
      <c r="N773" s="1099"/>
      <c r="O773" s="1099"/>
      <c r="P773" s="1099"/>
      <c r="Q773" s="1208"/>
      <c r="R773" s="1208"/>
      <c r="S773" s="1099"/>
      <c r="T773" s="1099"/>
      <c r="U773" s="1099"/>
      <c r="V773" s="1099"/>
      <c r="W773" s="1099"/>
      <c r="X773" s="1208"/>
      <c r="Y773" s="1208"/>
      <c r="Z773" s="1099"/>
      <c r="AA773" s="1099"/>
      <c r="AB773" s="1099"/>
      <c r="AC773" s="1099"/>
      <c r="AD773" s="1099"/>
      <c r="AE773" s="1208"/>
      <c r="AF773" s="1208"/>
      <c r="AG773" s="1099"/>
      <c r="AH773" s="1099"/>
      <c r="AI773" s="1330"/>
      <c r="AJ773" s="62">
        <f>SUM(E773:AI773)</f>
        <v>0</v>
      </c>
      <c r="AK773" s="62"/>
      <c r="AL773" s="63">
        <f>+AJ773*AN769</f>
        <v>0</v>
      </c>
      <c r="AM773" s="1068">
        <f t="shared" si="1338"/>
        <v>0</v>
      </c>
      <c r="AN773" s="64" t="e">
        <f>+AJ773/AJ771*100</f>
        <v>#DIV/0!</v>
      </c>
      <c r="AO773" s="635" t="e">
        <f>AO771/AO769</f>
        <v>#VALUE!</v>
      </c>
      <c r="AP773" s="39" t="s">
        <v>102</v>
      </c>
      <c r="AQ773" s="56">
        <f>SUM(E773:I773)</f>
        <v>0</v>
      </c>
      <c r="AR773" s="70">
        <f>SUM(J773:P773)</f>
        <v>0</v>
      </c>
      <c r="AS773" s="70">
        <f>SUM(Q773:W773)</f>
        <v>0</v>
      </c>
      <c r="AT773" s="70">
        <f>SUM(X773:AD773)</f>
        <v>0</v>
      </c>
      <c r="AU773" s="70">
        <f>SUM(AE773:AI773)</f>
        <v>0</v>
      </c>
      <c r="AV773" s="57">
        <f t="shared" si="1445"/>
        <v>0</v>
      </c>
    </row>
    <row r="774" spans="1:48" ht="25.15" hidden="1" customHeight="1">
      <c r="A774" s="58" t="s">
        <v>178</v>
      </c>
      <c r="B774" s="65"/>
      <c r="C774" s="66"/>
      <c r="D774" s="67" t="s">
        <v>103</v>
      </c>
      <c r="E774" s="1331"/>
      <c r="F774" s="1101"/>
      <c r="G774" s="1209"/>
      <c r="H774" s="1101"/>
      <c r="I774" s="1101"/>
      <c r="J774" s="1209"/>
      <c r="K774" s="1209"/>
      <c r="L774" s="1101"/>
      <c r="M774" s="1101"/>
      <c r="N774" s="1101"/>
      <c r="O774" s="1101"/>
      <c r="P774" s="1101"/>
      <c r="Q774" s="1209"/>
      <c r="R774" s="1209"/>
      <c r="S774" s="1101"/>
      <c r="T774" s="1101"/>
      <c r="U774" s="1101"/>
      <c r="V774" s="1101"/>
      <c r="W774" s="1101"/>
      <c r="X774" s="1209"/>
      <c r="Y774" s="1209"/>
      <c r="Z774" s="1101"/>
      <c r="AA774" s="1101"/>
      <c r="AB774" s="1101"/>
      <c r="AC774" s="1101"/>
      <c r="AD774" s="1101"/>
      <c r="AE774" s="1209"/>
      <c r="AF774" s="1209"/>
      <c r="AG774" s="1101"/>
      <c r="AH774" s="1101"/>
      <c r="AI774" s="1332"/>
      <c r="AJ774" s="68">
        <f>SUM(E774:AI774)</f>
        <v>0</v>
      </c>
      <c r="AK774" s="68"/>
      <c r="AL774" s="69">
        <f>+AJ774*AN769</f>
        <v>0</v>
      </c>
      <c r="AM774" s="1069">
        <f t="shared" si="1338"/>
        <v>0</v>
      </c>
      <c r="AN774" s="31"/>
      <c r="AO774" s="622"/>
      <c r="AP774" s="39" t="s">
        <v>19</v>
      </c>
      <c r="AQ774" s="56">
        <f>AQ773*AN769</f>
        <v>0</v>
      </c>
      <c r="AR774" s="56">
        <f>AR773*AN769</f>
        <v>0</v>
      </c>
      <c r="AS774" s="56">
        <f>AS773*AN769</f>
        <v>0</v>
      </c>
      <c r="AT774" s="56">
        <f>AT773*AN769</f>
        <v>0</v>
      </c>
      <c r="AU774" s="56">
        <f>AU773*AN769</f>
        <v>0</v>
      </c>
      <c r="AV774" s="57">
        <f t="shared" si="1445"/>
        <v>0</v>
      </c>
    </row>
    <row r="775" spans="1:48" ht="25.15" hidden="1" customHeight="1">
      <c r="A775" s="103"/>
      <c r="B775" s="65"/>
      <c r="C775" s="72" t="s">
        <v>104</v>
      </c>
      <c r="D775" s="73" t="s">
        <v>105</v>
      </c>
      <c r="E775" s="1378"/>
      <c r="F775" s="1103"/>
      <c r="G775" s="1210"/>
      <c r="H775" s="1103"/>
      <c r="I775" s="1103"/>
      <c r="J775" s="1210"/>
      <c r="K775" s="1210"/>
      <c r="L775" s="1103"/>
      <c r="M775" s="1103"/>
      <c r="N775" s="1103"/>
      <c r="O775" s="1103"/>
      <c r="P775" s="1103"/>
      <c r="Q775" s="1210"/>
      <c r="R775" s="1210"/>
      <c r="S775" s="1103"/>
      <c r="T775" s="1103"/>
      <c r="U775" s="1103"/>
      <c r="V775" s="1103"/>
      <c r="W775" s="1103"/>
      <c r="X775" s="1210"/>
      <c r="Y775" s="1210"/>
      <c r="Z775" s="1103"/>
      <c r="AA775" s="1103"/>
      <c r="AB775" s="1103"/>
      <c r="AC775" s="1103"/>
      <c r="AD775" s="1103"/>
      <c r="AE775" s="1210"/>
      <c r="AF775" s="1210"/>
      <c r="AG775" s="1103"/>
      <c r="AH775" s="1103"/>
      <c r="AI775" s="1352"/>
      <c r="AJ775" s="74">
        <f>SUM(E775:AI775)</f>
        <v>0</v>
      </c>
      <c r="AK775" s="74"/>
      <c r="AL775" s="75">
        <f>+AJ775*AN769</f>
        <v>0</v>
      </c>
      <c r="AM775" s="1070">
        <f t="shared" ref="AM775:AM837" si="1447">AL777</f>
        <v>0</v>
      </c>
      <c r="AN775" s="76"/>
      <c r="AO775" s="636"/>
      <c r="AP775" s="47" t="s">
        <v>106</v>
      </c>
      <c r="AQ775" s="48">
        <f>AQ771*AN769</f>
        <v>0</v>
      </c>
      <c r="AR775" s="48">
        <f>AR771*AN769</f>
        <v>0</v>
      </c>
      <c r="AS775" s="48">
        <f>AS771*AN769</f>
        <v>0</v>
      </c>
      <c r="AT775" s="48">
        <f>AT771*AN769</f>
        <v>0</v>
      </c>
      <c r="AU775" s="48">
        <f>AU771*AN769</f>
        <v>0</v>
      </c>
      <c r="AV775" s="50">
        <f t="shared" si="1445"/>
        <v>0</v>
      </c>
    </row>
    <row r="776" spans="1:48" ht="25.15" hidden="1" customHeight="1">
      <c r="A776" s="103"/>
      <c r="B776" s="65"/>
      <c r="C776" s="77">
        <v>300000</v>
      </c>
      <c r="D776" s="78" t="s">
        <v>107</v>
      </c>
      <c r="E776" s="1327">
        <v>1</v>
      </c>
      <c r="F776" s="1097">
        <v>1</v>
      </c>
      <c r="G776" s="1205">
        <v>1</v>
      </c>
      <c r="H776" s="1097">
        <v>1</v>
      </c>
      <c r="I776" s="1097">
        <v>1</v>
      </c>
      <c r="J776" s="1205">
        <v>1</v>
      </c>
      <c r="K776" s="1205">
        <v>1</v>
      </c>
      <c r="L776" s="1097">
        <v>1</v>
      </c>
      <c r="M776" s="1097">
        <v>1</v>
      </c>
      <c r="N776" s="1097">
        <v>1</v>
      </c>
      <c r="O776" s="1097">
        <v>1</v>
      </c>
      <c r="P776" s="1097">
        <v>1</v>
      </c>
      <c r="Q776" s="1205">
        <v>1</v>
      </c>
      <c r="R776" s="1205">
        <v>1</v>
      </c>
      <c r="S776" s="1097">
        <v>1</v>
      </c>
      <c r="T776" s="1097">
        <v>1</v>
      </c>
      <c r="U776" s="1097">
        <v>1</v>
      </c>
      <c r="V776" s="1097">
        <v>1</v>
      </c>
      <c r="W776" s="1097">
        <v>1</v>
      </c>
      <c r="X776" s="1205">
        <v>1</v>
      </c>
      <c r="Y776" s="1205">
        <v>1</v>
      </c>
      <c r="Z776" s="1097">
        <v>1</v>
      </c>
      <c r="AA776" s="1097">
        <v>1</v>
      </c>
      <c r="AB776" s="1097">
        <v>1</v>
      </c>
      <c r="AC776" s="1097">
        <v>1</v>
      </c>
      <c r="AD776" s="1097">
        <v>1</v>
      </c>
      <c r="AE776" s="1205">
        <v>1</v>
      </c>
      <c r="AF776" s="1205">
        <v>1</v>
      </c>
      <c r="AG776" s="1097">
        <v>1</v>
      </c>
      <c r="AH776" s="1097">
        <v>1</v>
      </c>
      <c r="AI776" s="1328">
        <v>1</v>
      </c>
      <c r="AJ776" s="79"/>
      <c r="AK776" s="79"/>
      <c r="AL776" s="55"/>
      <c r="AM776" s="1067">
        <f t="shared" si="1447"/>
        <v>0</v>
      </c>
      <c r="AN776" s="31"/>
      <c r="AO776" s="622"/>
      <c r="AP776" s="23"/>
      <c r="AQ776" s="23"/>
      <c r="AR776" s="23"/>
      <c r="AS776" s="23"/>
      <c r="AT776" s="23"/>
      <c r="AU776" s="23"/>
      <c r="AV776" s="23"/>
    </row>
    <row r="777" spans="1:48" ht="25.15" hidden="1" customHeight="1">
      <c r="A777" s="103"/>
      <c r="B777" s="65"/>
      <c r="C777" s="80" t="s">
        <v>108</v>
      </c>
      <c r="D777" s="81" t="s">
        <v>109</v>
      </c>
      <c r="E777" s="1374">
        <f>SUM(E771+E773+E774+E775)/E776</f>
        <v>0</v>
      </c>
      <c r="F777" s="1104">
        <f>SUM(F771+F773+F774+F775)/F776</f>
        <v>0</v>
      </c>
      <c r="G777" s="1211">
        <f>SUM(G771+G773+G774+G775)/G776</f>
        <v>0</v>
      </c>
      <c r="H777" s="1104">
        <f t="shared" ref="H777:AH777" si="1448">SUM(H771+H773+H774+H775)/H776</f>
        <v>0</v>
      </c>
      <c r="I777" s="1104">
        <f t="shared" si="1448"/>
        <v>0</v>
      </c>
      <c r="J777" s="1211">
        <f t="shared" si="1448"/>
        <v>0</v>
      </c>
      <c r="K777" s="1211">
        <f t="shared" si="1448"/>
        <v>0</v>
      </c>
      <c r="L777" s="1104">
        <f t="shared" si="1448"/>
        <v>0</v>
      </c>
      <c r="M777" s="1104">
        <f t="shared" si="1448"/>
        <v>0</v>
      </c>
      <c r="N777" s="1104">
        <f t="shared" si="1448"/>
        <v>0</v>
      </c>
      <c r="O777" s="1104">
        <f t="shared" si="1448"/>
        <v>0</v>
      </c>
      <c r="P777" s="1104">
        <f t="shared" si="1448"/>
        <v>0</v>
      </c>
      <c r="Q777" s="1211">
        <f t="shared" si="1448"/>
        <v>0</v>
      </c>
      <c r="R777" s="1211">
        <f t="shared" si="1448"/>
        <v>0</v>
      </c>
      <c r="S777" s="1104">
        <f t="shared" si="1448"/>
        <v>0</v>
      </c>
      <c r="T777" s="1104">
        <f t="shared" si="1448"/>
        <v>0</v>
      </c>
      <c r="U777" s="1104">
        <f t="shared" si="1448"/>
        <v>0</v>
      </c>
      <c r="V777" s="1104">
        <f t="shared" si="1448"/>
        <v>0</v>
      </c>
      <c r="W777" s="1104">
        <f t="shared" si="1448"/>
        <v>0</v>
      </c>
      <c r="X777" s="1211">
        <f t="shared" si="1448"/>
        <v>0</v>
      </c>
      <c r="Y777" s="1211">
        <f t="shared" si="1448"/>
        <v>0</v>
      </c>
      <c r="Z777" s="1104">
        <f t="shared" si="1448"/>
        <v>0</v>
      </c>
      <c r="AA777" s="1104">
        <f t="shared" si="1448"/>
        <v>0</v>
      </c>
      <c r="AB777" s="1104">
        <f t="shared" si="1448"/>
        <v>0</v>
      </c>
      <c r="AC777" s="1104">
        <f t="shared" si="1448"/>
        <v>0</v>
      </c>
      <c r="AD777" s="1104">
        <f t="shared" si="1448"/>
        <v>0</v>
      </c>
      <c r="AE777" s="1211">
        <f t="shared" si="1448"/>
        <v>0</v>
      </c>
      <c r="AF777" s="1211">
        <f t="shared" si="1448"/>
        <v>0</v>
      </c>
      <c r="AG777" s="1104">
        <f t="shared" si="1448"/>
        <v>0</v>
      </c>
      <c r="AH777" s="1104">
        <f t="shared" si="1448"/>
        <v>0</v>
      </c>
      <c r="AI777" s="1335">
        <f>SUM(AI771+AI773+AI774)/AI776</f>
        <v>0</v>
      </c>
      <c r="AJ777" s="104">
        <f>SUM(E777:AI777)</f>
        <v>0</v>
      </c>
      <c r="AK777" s="104"/>
      <c r="AL777" s="83"/>
      <c r="AM777" s="1068">
        <f t="shared" si="1447"/>
        <v>0</v>
      </c>
      <c r="AN777" s="31"/>
      <c r="AO777" s="622"/>
      <c r="AP777" s="23"/>
      <c r="AQ777" s="23"/>
      <c r="AR777" s="23"/>
      <c r="AS777" s="23"/>
      <c r="AT777" s="23"/>
      <c r="AU777" s="23"/>
      <c r="AV777" s="23"/>
    </row>
    <row r="778" spans="1:48" ht="25.15" hidden="1" customHeight="1">
      <c r="A778" s="103"/>
      <c r="B778" s="59"/>
      <c r="C778" s="84">
        <f>+C776*0.8</f>
        <v>240000</v>
      </c>
      <c r="D778" s="85" t="s">
        <v>110</v>
      </c>
      <c r="E778" s="1105"/>
      <c r="F778" s="1106"/>
      <c r="G778" s="1211"/>
      <c r="H778" s="1104"/>
      <c r="I778" s="1104"/>
      <c r="J778" s="1211"/>
      <c r="K778" s="1211"/>
      <c r="L778" s="1104"/>
      <c r="M778" s="1104"/>
      <c r="N778" s="1104"/>
      <c r="O778" s="1107"/>
      <c r="P778" s="1104"/>
      <c r="Q778" s="1211"/>
      <c r="R778" s="1211"/>
      <c r="S778" s="1104"/>
      <c r="T778" s="1104"/>
      <c r="U778" s="1104"/>
      <c r="V778" s="1104"/>
      <c r="W778" s="1104"/>
      <c r="X778" s="1211"/>
      <c r="Y778" s="1211"/>
      <c r="Z778" s="1104"/>
      <c r="AA778" s="1104"/>
      <c r="AB778" s="1104"/>
      <c r="AC778" s="1104"/>
      <c r="AD778" s="1104"/>
      <c r="AE778" s="1211"/>
      <c r="AF778" s="1211"/>
      <c r="AG778" s="1104"/>
      <c r="AH778" s="1104"/>
      <c r="AI778" s="1353"/>
      <c r="AJ778" s="86"/>
      <c r="AK778" s="86"/>
      <c r="AL778" s="690"/>
      <c r="AM778" s="694">
        <f t="shared" si="1447"/>
        <v>0</v>
      </c>
      <c r="AN778" s="31"/>
      <c r="AO778" s="622"/>
      <c r="AP778" s="23"/>
      <c r="AQ778" s="23"/>
      <c r="AR778" s="23"/>
      <c r="AS778" s="23"/>
      <c r="AT778" s="23"/>
      <c r="AU778" s="23"/>
      <c r="AV778" s="23"/>
    </row>
    <row r="779" spans="1:48" ht="25.15" hidden="1" customHeight="1">
      <c r="A779" s="103"/>
      <c r="B779" s="105"/>
      <c r="C779" s="77"/>
      <c r="D779" s="88" t="s">
        <v>111</v>
      </c>
      <c r="E779" s="1108">
        <f>IF(E778="O/H",E777,0+E777)</f>
        <v>0</v>
      </c>
      <c r="F779" s="1089">
        <f t="shared" ref="F779:AI779" si="1449">IF(F778="O/H",F777,+E779+F777)</f>
        <v>0</v>
      </c>
      <c r="G779" s="44">
        <f t="shared" si="1449"/>
        <v>0</v>
      </c>
      <c r="H779" s="1089">
        <f t="shared" si="1449"/>
        <v>0</v>
      </c>
      <c r="I779" s="1089">
        <f t="shared" si="1449"/>
        <v>0</v>
      </c>
      <c r="J779" s="44">
        <f t="shared" si="1449"/>
        <v>0</v>
      </c>
      <c r="K779" s="44">
        <f t="shared" si="1449"/>
        <v>0</v>
      </c>
      <c r="L779" s="1089">
        <f t="shared" si="1449"/>
        <v>0</v>
      </c>
      <c r="M779" s="1089">
        <f t="shared" si="1449"/>
        <v>0</v>
      </c>
      <c r="N779" s="1089">
        <f t="shared" si="1449"/>
        <v>0</v>
      </c>
      <c r="O779" s="1089">
        <f t="shared" si="1449"/>
        <v>0</v>
      </c>
      <c r="P779" s="1089">
        <f t="shared" si="1449"/>
        <v>0</v>
      </c>
      <c r="Q779" s="44">
        <f t="shared" si="1449"/>
        <v>0</v>
      </c>
      <c r="R779" s="44">
        <f t="shared" si="1449"/>
        <v>0</v>
      </c>
      <c r="S779" s="1089">
        <f t="shared" si="1449"/>
        <v>0</v>
      </c>
      <c r="T779" s="1089">
        <f t="shared" si="1449"/>
        <v>0</v>
      </c>
      <c r="U779" s="1089">
        <f t="shared" si="1449"/>
        <v>0</v>
      </c>
      <c r="V779" s="1089">
        <f t="shared" si="1449"/>
        <v>0</v>
      </c>
      <c r="W779" s="1089">
        <f t="shared" si="1449"/>
        <v>0</v>
      </c>
      <c r="X779" s="44">
        <f t="shared" si="1449"/>
        <v>0</v>
      </c>
      <c r="Y779" s="44">
        <f t="shared" si="1449"/>
        <v>0</v>
      </c>
      <c r="Z779" s="1089">
        <f t="shared" si="1449"/>
        <v>0</v>
      </c>
      <c r="AA779" s="1089">
        <f t="shared" si="1449"/>
        <v>0</v>
      </c>
      <c r="AB779" s="1089">
        <f t="shared" si="1449"/>
        <v>0</v>
      </c>
      <c r="AC779" s="1089">
        <f t="shared" si="1449"/>
        <v>0</v>
      </c>
      <c r="AD779" s="1089">
        <f t="shared" si="1449"/>
        <v>0</v>
      </c>
      <c r="AE779" s="44">
        <f t="shared" si="1449"/>
        <v>0</v>
      </c>
      <c r="AF779" s="44">
        <f t="shared" si="1449"/>
        <v>0</v>
      </c>
      <c r="AG779" s="1089">
        <f t="shared" si="1449"/>
        <v>0</v>
      </c>
      <c r="AH779" s="1089">
        <f t="shared" si="1449"/>
        <v>0</v>
      </c>
      <c r="AI779" s="1326">
        <f t="shared" si="1449"/>
        <v>0</v>
      </c>
      <c r="AJ779" s="79"/>
      <c r="AK779" s="86"/>
      <c r="AL779" s="689"/>
      <c r="AM779" s="694">
        <f t="shared" si="1447"/>
        <v>0</v>
      </c>
      <c r="AN779" s="31"/>
      <c r="AO779" s="622"/>
      <c r="AP779" s="23"/>
      <c r="AQ779" s="23"/>
      <c r="AR779" s="23"/>
      <c r="AS779" s="23"/>
      <c r="AT779" s="23"/>
      <c r="AU779" s="23"/>
      <c r="AV779" s="23"/>
    </row>
    <row r="780" spans="1:48" s="23" customFormat="1" ht="20.65" hidden="1" customHeight="1">
      <c r="A780" s="274"/>
      <c r="B780" s="312"/>
      <c r="C780" s="308"/>
      <c r="D780" s="795" t="s">
        <v>112</v>
      </c>
      <c r="E780" s="1108" t="b">
        <f>IF(AND(ISNUMBER(E771)),58092+E777)</f>
        <v>0</v>
      </c>
      <c r="F780" s="1089" t="str">
        <f>IF(AND(ISNUMBER(F771)),E780+F777,"")</f>
        <v/>
      </c>
      <c r="G780" s="44" t="str">
        <f t="shared" ref="G780" si="1450">IF(AND(ISNUMBER(G771)),F780+G777,"")</f>
        <v/>
      </c>
      <c r="H780" s="1089" t="str">
        <f t="shared" ref="H780" si="1451">IF(AND(ISNUMBER(H771)),G780+H777,"")</f>
        <v/>
      </c>
      <c r="I780" s="1089" t="str">
        <f>IF(AND(ISNUMBER(I771)),H780+I777,"")</f>
        <v/>
      </c>
      <c r="J780" s="44" t="str">
        <f>IF(AND(ISNUMBER(J771)),I780+J777,"")</f>
        <v/>
      </c>
      <c r="K780" s="44" t="str">
        <f>IF(AND(ISNUMBER(K771)),J780+K777,"")</f>
        <v/>
      </c>
      <c r="L780" s="1089" t="str">
        <f t="shared" ref="L780" si="1452">IF(AND(ISNUMBER(L771)),K780+L777,"")</f>
        <v/>
      </c>
      <c r="M780" s="1089" t="str">
        <f t="shared" ref="M780" si="1453">IF(AND(ISNUMBER(M771)),L780+M777,"")</f>
        <v/>
      </c>
      <c r="N780" s="1089" t="str">
        <f t="shared" ref="N780" si="1454">IF(AND(ISNUMBER(N771)),M780+N777,"")</f>
        <v/>
      </c>
      <c r="O780" s="1089" t="str">
        <f t="shared" ref="O780" si="1455">IF(AND(ISNUMBER(O771)),N780+O777,"")</f>
        <v/>
      </c>
      <c r="P780" s="1089" t="str">
        <f t="shared" ref="P780" si="1456">IF(AND(ISNUMBER(P771)),O780+P777,"")</f>
        <v/>
      </c>
      <c r="Q780" s="44" t="str">
        <f t="shared" ref="Q780" si="1457">IF(AND(ISNUMBER(Q771)),P780+Q777,"")</f>
        <v/>
      </c>
      <c r="R780" s="44" t="str">
        <f t="shared" ref="R780" si="1458">IF(AND(ISNUMBER(R771)),Q780+R777,"")</f>
        <v/>
      </c>
      <c r="S780" s="1089" t="str">
        <f t="shared" ref="S780" si="1459">IF(AND(ISNUMBER(S771)),R780+S777,"")</f>
        <v/>
      </c>
      <c r="T780" s="1089" t="str">
        <f t="shared" ref="T780" si="1460">IF(AND(ISNUMBER(T771)),S780+T777,"")</f>
        <v/>
      </c>
      <c r="U780" s="1089" t="str">
        <f t="shared" ref="U780" si="1461">IF(AND(ISNUMBER(U771)),T780+U777,"")</f>
        <v/>
      </c>
      <c r="V780" s="1089" t="str">
        <f t="shared" ref="V780" si="1462">IF(AND(ISNUMBER(V771)),U780+V777,"")</f>
        <v/>
      </c>
      <c r="W780" s="1089" t="str">
        <f t="shared" ref="W780" si="1463">IF(AND(ISNUMBER(W771)),V780+W777,"")</f>
        <v/>
      </c>
      <c r="X780" s="44" t="str">
        <f t="shared" ref="X780" si="1464">IF(AND(ISNUMBER(X771)),W780+X777,"")</f>
        <v/>
      </c>
      <c r="Y780" s="44" t="str">
        <f t="shared" ref="Y780" si="1465">IF(AND(ISNUMBER(Y771)),X780+Y777,"")</f>
        <v/>
      </c>
      <c r="Z780" s="1089" t="str">
        <f t="shared" ref="Z780" si="1466">IF(AND(ISNUMBER(Z771)),Y780+Z777,"")</f>
        <v/>
      </c>
      <c r="AA780" s="1089" t="str">
        <f t="shared" ref="AA780" si="1467">IF(AND(ISNUMBER(AA771)),Z780+AA777,"")</f>
        <v/>
      </c>
      <c r="AB780" s="1089" t="str">
        <f t="shared" ref="AB780" si="1468">IF(AND(ISNUMBER(AB771)),AA780+AB777,"")</f>
        <v/>
      </c>
      <c r="AC780" s="1089" t="str">
        <f t="shared" ref="AC780" si="1469">IF(AND(ISNUMBER(AC771)),AB780+AC777,"")</f>
        <v/>
      </c>
      <c r="AD780" s="1089" t="str">
        <f t="shared" ref="AD780" si="1470">IF(AND(ISNUMBER(AD771)),AC780+AD777,"")</f>
        <v/>
      </c>
      <c r="AE780" s="44" t="str">
        <f t="shared" ref="AE780" si="1471">IF(AND(ISNUMBER(AE771)),AD780+AE777,"")</f>
        <v/>
      </c>
      <c r="AF780" s="44" t="str">
        <f t="shared" ref="AF780" si="1472">IF(AND(ISNUMBER(AF771)),AE780+AF777,"")</f>
        <v/>
      </c>
      <c r="AG780" s="1089" t="str">
        <f t="shared" ref="AG780" si="1473">IF(AND(ISNUMBER(AG771)),AF780+AG777,"")</f>
        <v/>
      </c>
      <c r="AH780" s="1089" t="str">
        <f t="shared" ref="AH780" si="1474">IF(AND(ISNUMBER(AH771)),AG780+AH777,"")</f>
        <v/>
      </c>
      <c r="AI780" s="1089" t="str">
        <f t="shared" ref="AI780" si="1475">IF(AND(ISNUMBER(AI771)),AH780+AI777,"")</f>
        <v/>
      </c>
      <c r="AJ780" s="793"/>
      <c r="AK780" s="793"/>
      <c r="AL780" s="909"/>
      <c r="AM780" s="890">
        <f t="shared" si="1447"/>
        <v>0</v>
      </c>
      <c r="AN780" s="76"/>
      <c r="AO780" s="624"/>
      <c r="AP780" s="285"/>
      <c r="AQ780" s="285"/>
      <c r="AR780" s="285"/>
      <c r="AS780" s="285"/>
      <c r="AT780" s="286"/>
      <c r="AU780" s="285"/>
      <c r="AV780" s="287"/>
    </row>
    <row r="781" spans="1:48" ht="25.15" hidden="1" customHeight="1">
      <c r="A781" s="103"/>
      <c r="B781" s="89"/>
      <c r="C781" s="80"/>
      <c r="D781" s="90" t="s">
        <v>104</v>
      </c>
      <c r="E781" s="1108"/>
      <c r="F781" s="1089"/>
      <c r="G781" s="44"/>
      <c r="H781" s="1089"/>
      <c r="I781" s="1089"/>
      <c r="J781" s="44"/>
      <c r="K781" s="44"/>
      <c r="L781" s="1089"/>
      <c r="M781" s="1089"/>
      <c r="N781" s="1089"/>
      <c r="O781" s="1089"/>
      <c r="P781" s="1089"/>
      <c r="Q781" s="44"/>
      <c r="R781" s="44"/>
      <c r="S781" s="1089"/>
      <c r="T781" s="1089"/>
      <c r="U781" s="1089"/>
      <c r="V781" s="1089"/>
      <c r="W781" s="1089"/>
      <c r="X781" s="44"/>
      <c r="Y781" s="44"/>
      <c r="Z781" s="1089"/>
      <c r="AA781" s="1089"/>
      <c r="AB781" s="1089"/>
      <c r="AC781" s="1089"/>
      <c r="AD781" s="1089"/>
      <c r="AE781" s="44"/>
      <c r="AF781" s="44"/>
      <c r="AG781" s="1089"/>
      <c r="AH781" s="1089"/>
      <c r="AI781" s="1326"/>
      <c r="AJ781" s="79"/>
      <c r="AK781" s="79"/>
      <c r="AL781" s="63"/>
      <c r="AM781" s="1068">
        <f t="shared" si="1447"/>
        <v>0</v>
      </c>
      <c r="AN781" s="64"/>
      <c r="AO781" s="624"/>
      <c r="AP781" s="23"/>
      <c r="AQ781" s="23"/>
      <c r="AR781" s="23"/>
      <c r="AS781" s="23"/>
      <c r="AT781" s="23"/>
      <c r="AU781" s="23"/>
      <c r="AV781" s="23"/>
    </row>
    <row r="782" spans="1:48" ht="25.15" hidden="1" customHeight="1" thickBot="1">
      <c r="A782" s="106"/>
      <c r="B782" s="93"/>
      <c r="C782" s="94"/>
      <c r="D782" s="95" t="s">
        <v>111</v>
      </c>
      <c r="E782" s="1109">
        <f>IF(E781="O/H",E777,0+E777)</f>
        <v>0</v>
      </c>
      <c r="F782" s="1110">
        <f t="shared" ref="F782:AI782" si="1476">IF(F781="O/H",F777,+E782+F777)</f>
        <v>0</v>
      </c>
      <c r="G782" s="1212">
        <f t="shared" si="1476"/>
        <v>0</v>
      </c>
      <c r="H782" s="1110">
        <f t="shared" si="1476"/>
        <v>0</v>
      </c>
      <c r="I782" s="1110">
        <f t="shared" si="1476"/>
        <v>0</v>
      </c>
      <c r="J782" s="1212">
        <f t="shared" si="1476"/>
        <v>0</v>
      </c>
      <c r="K782" s="1212">
        <f t="shared" si="1476"/>
        <v>0</v>
      </c>
      <c r="L782" s="1110">
        <f t="shared" si="1476"/>
        <v>0</v>
      </c>
      <c r="M782" s="1110">
        <f t="shared" si="1476"/>
        <v>0</v>
      </c>
      <c r="N782" s="1110">
        <f t="shared" si="1476"/>
        <v>0</v>
      </c>
      <c r="O782" s="1110">
        <f t="shared" si="1476"/>
        <v>0</v>
      </c>
      <c r="P782" s="1110">
        <f t="shared" si="1476"/>
        <v>0</v>
      </c>
      <c r="Q782" s="1212">
        <f t="shared" si="1476"/>
        <v>0</v>
      </c>
      <c r="R782" s="1212">
        <f t="shared" si="1476"/>
        <v>0</v>
      </c>
      <c r="S782" s="1110">
        <f t="shared" si="1476"/>
        <v>0</v>
      </c>
      <c r="T782" s="1110">
        <f t="shared" si="1476"/>
        <v>0</v>
      </c>
      <c r="U782" s="1110">
        <f t="shared" si="1476"/>
        <v>0</v>
      </c>
      <c r="V782" s="1110">
        <f t="shared" si="1476"/>
        <v>0</v>
      </c>
      <c r="W782" s="1110">
        <f t="shared" si="1476"/>
        <v>0</v>
      </c>
      <c r="X782" s="1212">
        <f t="shared" si="1476"/>
        <v>0</v>
      </c>
      <c r="Y782" s="1212">
        <f t="shared" si="1476"/>
        <v>0</v>
      </c>
      <c r="Z782" s="1110">
        <f t="shared" si="1476"/>
        <v>0</v>
      </c>
      <c r="AA782" s="1110">
        <f t="shared" si="1476"/>
        <v>0</v>
      </c>
      <c r="AB782" s="1110">
        <f t="shared" si="1476"/>
        <v>0</v>
      </c>
      <c r="AC782" s="1110">
        <f t="shared" si="1476"/>
        <v>0</v>
      </c>
      <c r="AD782" s="1110">
        <f t="shared" si="1476"/>
        <v>0</v>
      </c>
      <c r="AE782" s="1212">
        <f t="shared" si="1476"/>
        <v>0</v>
      </c>
      <c r="AF782" s="1212">
        <f t="shared" si="1476"/>
        <v>0</v>
      </c>
      <c r="AG782" s="1110">
        <f t="shared" si="1476"/>
        <v>0</v>
      </c>
      <c r="AH782" s="1110">
        <f t="shared" si="1476"/>
        <v>0</v>
      </c>
      <c r="AI782" s="1340">
        <f t="shared" si="1476"/>
        <v>0</v>
      </c>
      <c r="AJ782" s="96"/>
      <c r="AK782" s="96"/>
      <c r="AL782" s="97"/>
      <c r="AM782" s="1071">
        <f t="shared" si="1447"/>
        <v>0</v>
      </c>
      <c r="AN782" s="98"/>
      <c r="AO782" s="625"/>
      <c r="AP782" s="23"/>
      <c r="AQ782" s="23"/>
      <c r="AR782" s="23"/>
      <c r="AS782" s="23"/>
      <c r="AT782" s="23"/>
      <c r="AU782" s="23"/>
      <c r="AV782" s="23"/>
    </row>
    <row r="783" spans="1:48" ht="25.15" hidden="1" customHeight="1" thickTop="1">
      <c r="A783" s="99"/>
      <c r="B783" s="26" t="s">
        <v>191</v>
      </c>
      <c r="C783" s="27"/>
      <c r="D783" s="28" t="s">
        <v>82</v>
      </c>
      <c r="E783" s="1111"/>
      <c r="F783" s="1111"/>
      <c r="G783" s="1201"/>
      <c r="H783" s="1111"/>
      <c r="I783" s="1111"/>
      <c r="J783" s="1201"/>
      <c r="K783" s="1201"/>
      <c r="L783" s="1111"/>
      <c r="M783" s="1111"/>
      <c r="N783" s="1111"/>
      <c r="O783" s="1111"/>
      <c r="P783" s="1111"/>
      <c r="Q783" s="1201"/>
      <c r="R783" s="1201"/>
      <c r="S783" s="1111"/>
      <c r="T783" s="1111"/>
      <c r="U783" s="1111"/>
      <c r="V783" s="1111"/>
      <c r="W783" s="1111"/>
      <c r="X783" s="1201"/>
      <c r="Y783" s="1201"/>
      <c r="Z783" s="1111"/>
      <c r="AA783" s="1111"/>
      <c r="AB783" s="1111"/>
      <c r="AC783" s="1111"/>
      <c r="AD783" s="1111"/>
      <c r="AE783" s="1201"/>
      <c r="AF783" s="1201"/>
      <c r="AG783" s="1111"/>
      <c r="AH783" s="1111"/>
      <c r="AI783" s="1111"/>
      <c r="AJ783" s="100">
        <f>SUM(Table75[[#This Row],[June''2026]:[Column27]])</f>
        <v>0</v>
      </c>
      <c r="AK783" s="100">
        <f t="shared" ref="AK783:AK837" si="1477">AJ785</f>
        <v>0</v>
      </c>
      <c r="AL783" s="101">
        <f>+AJ783*AN783</f>
        <v>0</v>
      </c>
      <c r="AM783" s="1072">
        <f t="shared" si="1447"/>
        <v>0</v>
      </c>
      <c r="AN783" s="102"/>
      <c r="AO783" s="622" t="e">
        <f>Table5[[#This Row],[Total]]*B787/1000</f>
        <v>#VALUE!</v>
      </c>
      <c r="AP783" s="32" t="s">
        <v>145</v>
      </c>
      <c r="AQ783" s="33" t="s">
        <v>84</v>
      </c>
      <c r="AR783" s="33" t="s">
        <v>85</v>
      </c>
      <c r="AS783" s="33" t="s">
        <v>86</v>
      </c>
      <c r="AT783" s="33" t="s">
        <v>87</v>
      </c>
      <c r="AU783" s="33" t="s">
        <v>88</v>
      </c>
      <c r="AV783" s="34" t="s">
        <v>68</v>
      </c>
    </row>
    <row r="784" spans="1:48" ht="25.15" hidden="1" customHeight="1">
      <c r="A784" s="103"/>
      <c r="B784" s="35"/>
      <c r="C784" s="36"/>
      <c r="D784" s="37" t="s">
        <v>90</v>
      </c>
      <c r="E784" s="1373">
        <f>IF(E783="",0,+ E783/E790)</f>
        <v>0</v>
      </c>
      <c r="F784" s="1096">
        <f t="shared" ref="F784:AI784" si="1478">IF(F783="",0, E784+F783/F790)</f>
        <v>0</v>
      </c>
      <c r="G784" s="1207">
        <f t="shared" si="1478"/>
        <v>0</v>
      </c>
      <c r="H784" s="1096">
        <f t="shared" si="1478"/>
        <v>0</v>
      </c>
      <c r="I784" s="1096">
        <f t="shared" si="1478"/>
        <v>0</v>
      </c>
      <c r="J784" s="1207">
        <f t="shared" si="1478"/>
        <v>0</v>
      </c>
      <c r="K784" s="1207">
        <f t="shared" si="1478"/>
        <v>0</v>
      </c>
      <c r="L784" s="1096">
        <f t="shared" si="1478"/>
        <v>0</v>
      </c>
      <c r="M784" s="1096">
        <f t="shared" si="1478"/>
        <v>0</v>
      </c>
      <c r="N784" s="1096">
        <f t="shared" si="1478"/>
        <v>0</v>
      </c>
      <c r="O784" s="1096">
        <f t="shared" si="1478"/>
        <v>0</v>
      </c>
      <c r="P784" s="1096">
        <f t="shared" si="1478"/>
        <v>0</v>
      </c>
      <c r="Q784" s="1207">
        <f t="shared" si="1478"/>
        <v>0</v>
      </c>
      <c r="R784" s="1207">
        <f t="shared" si="1478"/>
        <v>0</v>
      </c>
      <c r="S784" s="1096">
        <f t="shared" si="1478"/>
        <v>0</v>
      </c>
      <c r="T784" s="1096">
        <f t="shared" si="1478"/>
        <v>0</v>
      </c>
      <c r="U784" s="1096">
        <f t="shared" si="1478"/>
        <v>0</v>
      </c>
      <c r="V784" s="1096">
        <f t="shared" si="1478"/>
        <v>0</v>
      </c>
      <c r="W784" s="1096">
        <f t="shared" si="1478"/>
        <v>0</v>
      </c>
      <c r="X784" s="1207">
        <f t="shared" si="1478"/>
        <v>0</v>
      </c>
      <c r="Y784" s="1207">
        <f t="shared" si="1478"/>
        <v>0</v>
      </c>
      <c r="Z784" s="1096">
        <f t="shared" si="1478"/>
        <v>0</v>
      </c>
      <c r="AA784" s="1096">
        <f t="shared" si="1478"/>
        <v>0</v>
      </c>
      <c r="AB784" s="1096">
        <f t="shared" si="1478"/>
        <v>0</v>
      </c>
      <c r="AC784" s="1096">
        <f t="shared" si="1478"/>
        <v>0</v>
      </c>
      <c r="AD784" s="1096">
        <f t="shared" si="1478"/>
        <v>0</v>
      </c>
      <c r="AE784" s="1207">
        <f t="shared" si="1478"/>
        <v>0</v>
      </c>
      <c r="AF784" s="1207">
        <f t="shared" si="1478"/>
        <v>0</v>
      </c>
      <c r="AG784" s="1096">
        <f t="shared" si="1478"/>
        <v>0</v>
      </c>
      <c r="AH784" s="1096">
        <f t="shared" si="1478"/>
        <v>0</v>
      </c>
      <c r="AI784" s="1324">
        <f t="shared" si="1478"/>
        <v>0</v>
      </c>
      <c r="AJ784" s="38"/>
      <c r="AK784" s="29"/>
      <c r="AL784" s="30"/>
      <c r="AM784" s="694">
        <f t="shared" si="1447"/>
        <v>0</v>
      </c>
      <c r="AN784" s="31"/>
      <c r="AO784" s="630"/>
      <c r="AP784" s="39" t="s">
        <v>91</v>
      </c>
      <c r="AQ784" s="40">
        <f>SUM(E783:I783)</f>
        <v>0</v>
      </c>
      <c r="AR784" s="41">
        <f>SUM(J783:P783)</f>
        <v>0</v>
      </c>
      <c r="AS784" s="41">
        <f>SUM(Q783:W783)</f>
        <v>0</v>
      </c>
      <c r="AT784" s="41">
        <f>SUM(X783:AD783)</f>
        <v>0</v>
      </c>
      <c r="AU784" s="41">
        <f>SUM(AE783:AI783)</f>
        <v>0</v>
      </c>
      <c r="AV784" s="34">
        <f t="shared" ref="AV784:AV789" si="1479">SUM(AQ784:AU784)</f>
        <v>0</v>
      </c>
    </row>
    <row r="785" spans="1:48" ht="25.15" hidden="1" customHeight="1">
      <c r="A785" s="103"/>
      <c r="B785" s="26" t="s">
        <v>92</v>
      </c>
      <c r="C785" s="42"/>
      <c r="D785" s="43" t="s">
        <v>93</v>
      </c>
      <c r="E785" s="1325"/>
      <c r="F785" s="1089"/>
      <c r="G785" s="44"/>
      <c r="H785" s="1089"/>
      <c r="I785" s="1089"/>
      <c r="J785" s="44"/>
      <c r="K785" s="44"/>
      <c r="L785" s="1089"/>
      <c r="M785" s="1089"/>
      <c r="N785" s="1089"/>
      <c r="O785" s="1089"/>
      <c r="P785" s="1089"/>
      <c r="Q785" s="44"/>
      <c r="R785" s="44"/>
      <c r="S785" s="1089"/>
      <c r="T785" s="1089"/>
      <c r="U785" s="1089"/>
      <c r="V785" s="1089"/>
      <c r="W785" s="1089"/>
      <c r="X785" s="44"/>
      <c r="Y785" s="44"/>
      <c r="Z785" s="1089"/>
      <c r="AA785" s="1089"/>
      <c r="AB785" s="1089"/>
      <c r="AC785" s="1089"/>
      <c r="AD785" s="1089"/>
      <c r="AE785" s="44"/>
      <c r="AF785" s="44"/>
      <c r="AG785" s="1089"/>
      <c r="AH785" s="1089"/>
      <c r="AI785" s="1326"/>
      <c r="AJ785" s="45">
        <f>SUM(E785:AI785)</f>
        <v>0</v>
      </c>
      <c r="AK785" s="45"/>
      <c r="AL785" s="46">
        <f>+AJ785*AN783</f>
        <v>0</v>
      </c>
      <c r="AM785" s="1066">
        <f t="shared" si="1447"/>
        <v>0</v>
      </c>
      <c r="AN785" s="31"/>
      <c r="AO785" s="632">
        <f>(AJ785+AJ787+AJ788+AJ789)*B787/1000</f>
        <v>0</v>
      </c>
      <c r="AP785" s="47" t="s">
        <v>94</v>
      </c>
      <c r="AQ785" s="48">
        <f>SUM(E785:I785)</f>
        <v>0</v>
      </c>
      <c r="AR785" s="49">
        <f>SUM(J785:P785)</f>
        <v>0</v>
      </c>
      <c r="AS785" s="49">
        <f>SUM(Q785:W785)</f>
        <v>0</v>
      </c>
      <c r="AT785" s="49">
        <f>SUM(X785:AD785)</f>
        <v>0</v>
      </c>
      <c r="AU785" s="49">
        <f>SUM(AE785:AI785)</f>
        <v>0</v>
      </c>
      <c r="AV785" s="50">
        <f t="shared" si="1479"/>
        <v>0</v>
      </c>
    </row>
    <row r="786" spans="1:48" ht="25.15" hidden="1" customHeight="1">
      <c r="A786" s="103"/>
      <c r="B786" s="51"/>
      <c r="C786" s="52" t="s">
        <v>95</v>
      </c>
      <c r="D786" s="53" t="s">
        <v>96</v>
      </c>
      <c r="E786" s="1327">
        <f t="shared" ref="E786:AJ786" si="1480">+E785-E783</f>
        <v>0</v>
      </c>
      <c r="F786" s="1097">
        <f t="shared" si="1480"/>
        <v>0</v>
      </c>
      <c r="G786" s="1205">
        <f t="shared" si="1480"/>
        <v>0</v>
      </c>
      <c r="H786" s="1097">
        <f t="shared" si="1480"/>
        <v>0</v>
      </c>
      <c r="I786" s="1097">
        <f t="shared" si="1480"/>
        <v>0</v>
      </c>
      <c r="J786" s="1205">
        <f t="shared" si="1480"/>
        <v>0</v>
      </c>
      <c r="K786" s="1205">
        <f t="shared" si="1480"/>
        <v>0</v>
      </c>
      <c r="L786" s="1097">
        <f t="shared" si="1480"/>
        <v>0</v>
      </c>
      <c r="M786" s="1097">
        <f t="shared" si="1480"/>
        <v>0</v>
      </c>
      <c r="N786" s="1097">
        <f t="shared" si="1480"/>
        <v>0</v>
      </c>
      <c r="O786" s="1097">
        <f t="shared" si="1480"/>
        <v>0</v>
      </c>
      <c r="P786" s="1097">
        <f t="shared" si="1480"/>
        <v>0</v>
      </c>
      <c r="Q786" s="1205">
        <f t="shared" si="1480"/>
        <v>0</v>
      </c>
      <c r="R786" s="1205">
        <f t="shared" si="1480"/>
        <v>0</v>
      </c>
      <c r="S786" s="1097">
        <f t="shared" si="1480"/>
        <v>0</v>
      </c>
      <c r="T786" s="1097">
        <f t="shared" si="1480"/>
        <v>0</v>
      </c>
      <c r="U786" s="1097">
        <f t="shared" si="1480"/>
        <v>0</v>
      </c>
      <c r="V786" s="1097">
        <f t="shared" si="1480"/>
        <v>0</v>
      </c>
      <c r="W786" s="1097">
        <f t="shared" si="1480"/>
        <v>0</v>
      </c>
      <c r="X786" s="1205">
        <f t="shared" si="1480"/>
        <v>0</v>
      </c>
      <c r="Y786" s="1205">
        <f t="shared" si="1480"/>
        <v>0</v>
      </c>
      <c r="Z786" s="1097">
        <f t="shared" si="1480"/>
        <v>0</v>
      </c>
      <c r="AA786" s="1097">
        <f t="shared" si="1480"/>
        <v>0</v>
      </c>
      <c r="AB786" s="1097">
        <f t="shared" si="1480"/>
        <v>0</v>
      </c>
      <c r="AC786" s="1097">
        <f t="shared" si="1480"/>
        <v>0</v>
      </c>
      <c r="AD786" s="1097">
        <f t="shared" si="1480"/>
        <v>0</v>
      </c>
      <c r="AE786" s="1205">
        <f t="shared" si="1480"/>
        <v>0</v>
      </c>
      <c r="AF786" s="1205">
        <f t="shared" si="1480"/>
        <v>0</v>
      </c>
      <c r="AG786" s="1097">
        <f t="shared" si="1480"/>
        <v>0</v>
      </c>
      <c r="AH786" s="1097">
        <f t="shared" si="1480"/>
        <v>0</v>
      </c>
      <c r="AI786" s="1328">
        <f t="shared" si="1480"/>
        <v>0</v>
      </c>
      <c r="AJ786" s="54">
        <f t="shared" si="1480"/>
        <v>0</v>
      </c>
      <c r="AK786" s="54"/>
      <c r="AL786" s="55">
        <f>+AJ786*AN783</f>
        <v>0</v>
      </c>
      <c r="AM786" s="1067">
        <f t="shared" si="1447"/>
        <v>0</v>
      </c>
      <c r="AN786" s="31" t="s">
        <v>97</v>
      </c>
      <c r="AO786" s="622"/>
      <c r="AP786" s="39" t="s">
        <v>98</v>
      </c>
      <c r="AQ786" s="56">
        <f>AQ785-AQ784</f>
        <v>0</v>
      </c>
      <c r="AR786" s="70">
        <f>AR785-AR784</f>
        <v>0</v>
      </c>
      <c r="AS786" s="70">
        <f>AS785-AS784</f>
        <v>0</v>
      </c>
      <c r="AT786" s="70">
        <f>AT785-AT784</f>
        <v>0</v>
      </c>
      <c r="AU786" s="70">
        <f>AU785-AU784</f>
        <v>0</v>
      </c>
      <c r="AV786" s="57">
        <f t="shared" si="1479"/>
        <v>0</v>
      </c>
    </row>
    <row r="787" spans="1:48" ht="25.15" hidden="1" customHeight="1">
      <c r="A787" s="58"/>
      <c r="B787" s="59"/>
      <c r="C787" s="60" t="s">
        <v>100</v>
      </c>
      <c r="D787" s="61" t="s">
        <v>101</v>
      </c>
      <c r="E787" s="1329"/>
      <c r="F787" s="1099"/>
      <c r="G787" s="1208"/>
      <c r="H787" s="1099"/>
      <c r="I787" s="1099"/>
      <c r="J787" s="1208"/>
      <c r="K787" s="1208"/>
      <c r="L787" s="1099"/>
      <c r="M787" s="1099"/>
      <c r="N787" s="1099"/>
      <c r="O787" s="1099"/>
      <c r="P787" s="1099"/>
      <c r="Q787" s="1208"/>
      <c r="R787" s="1208"/>
      <c r="S787" s="1099"/>
      <c r="T787" s="1099"/>
      <c r="U787" s="1099"/>
      <c r="V787" s="1099"/>
      <c r="W787" s="1099"/>
      <c r="X787" s="1208"/>
      <c r="Y787" s="1208"/>
      <c r="Z787" s="1099"/>
      <c r="AA787" s="1099"/>
      <c r="AB787" s="1099"/>
      <c r="AC787" s="1099"/>
      <c r="AD787" s="1099"/>
      <c r="AE787" s="1208"/>
      <c r="AF787" s="1208"/>
      <c r="AG787" s="1099"/>
      <c r="AH787" s="1099"/>
      <c r="AI787" s="1330"/>
      <c r="AJ787" s="62">
        <f>SUM(E787:AI787)</f>
        <v>0</v>
      </c>
      <c r="AK787" s="62"/>
      <c r="AL787" s="63">
        <f>+AJ787*AN783</f>
        <v>0</v>
      </c>
      <c r="AM787" s="1068">
        <f t="shared" si="1447"/>
        <v>0</v>
      </c>
      <c r="AN787" s="64" t="e">
        <f>+AJ787/AJ785*100</f>
        <v>#DIV/0!</v>
      </c>
      <c r="AO787" s="635" t="e">
        <f>AO785/AO783</f>
        <v>#VALUE!</v>
      </c>
      <c r="AP787" s="39" t="s">
        <v>102</v>
      </c>
      <c r="AQ787" s="56">
        <f>SUM(E787:I787)</f>
        <v>0</v>
      </c>
      <c r="AR787" s="70">
        <f>SUM(J787:P787)</f>
        <v>0</v>
      </c>
      <c r="AS787" s="70">
        <f>SUM(Q787:W787)</f>
        <v>0</v>
      </c>
      <c r="AT787" s="70">
        <f>SUM(X787:AD787)</f>
        <v>0</v>
      </c>
      <c r="AU787" s="70">
        <f>SUM(AE787:AI787)</f>
        <v>0</v>
      </c>
      <c r="AV787" s="57">
        <f t="shared" si="1479"/>
        <v>0</v>
      </c>
    </row>
    <row r="788" spans="1:48" ht="25.15" hidden="1" customHeight="1">
      <c r="A788" s="58" t="s">
        <v>180</v>
      </c>
      <c r="B788" s="65"/>
      <c r="C788" s="66"/>
      <c r="D788" s="67" t="s">
        <v>103</v>
      </c>
      <c r="E788" s="1331"/>
      <c r="F788" s="1101"/>
      <c r="G788" s="1209"/>
      <c r="H788" s="1101"/>
      <c r="I788" s="1101"/>
      <c r="J788" s="1209"/>
      <c r="K788" s="1209"/>
      <c r="L788" s="1101"/>
      <c r="M788" s="1101"/>
      <c r="N788" s="1101"/>
      <c r="O788" s="1101"/>
      <c r="P788" s="1101"/>
      <c r="Q788" s="1209"/>
      <c r="R788" s="1209"/>
      <c r="S788" s="1101"/>
      <c r="T788" s="1101"/>
      <c r="U788" s="1101"/>
      <c r="V788" s="1101"/>
      <c r="W788" s="1101"/>
      <c r="X788" s="1209"/>
      <c r="Y788" s="1209"/>
      <c r="Z788" s="1101"/>
      <c r="AA788" s="1101"/>
      <c r="AB788" s="1101"/>
      <c r="AC788" s="1101"/>
      <c r="AD788" s="1101"/>
      <c r="AE788" s="1209"/>
      <c r="AF788" s="1209"/>
      <c r="AG788" s="1101"/>
      <c r="AH788" s="1101"/>
      <c r="AI788" s="1332"/>
      <c r="AJ788" s="68">
        <f>SUM(E788:AI788)</f>
        <v>0</v>
      </c>
      <c r="AK788" s="68"/>
      <c r="AL788" s="69">
        <f>+AJ788*AN783</f>
        <v>0</v>
      </c>
      <c r="AM788" s="1069">
        <f t="shared" si="1447"/>
        <v>0</v>
      </c>
      <c r="AN788" s="31"/>
      <c r="AO788" s="622"/>
      <c r="AP788" s="39" t="s">
        <v>19</v>
      </c>
      <c r="AQ788" s="56">
        <f>AQ787*AN783</f>
        <v>0</v>
      </c>
      <c r="AR788" s="56">
        <f>AR787*AN783</f>
        <v>0</v>
      </c>
      <c r="AS788" s="56">
        <f>AS787*AN783</f>
        <v>0</v>
      </c>
      <c r="AT788" s="56">
        <f>AT787*AN783</f>
        <v>0</v>
      </c>
      <c r="AU788" s="56">
        <f>AU787*AN783</f>
        <v>0</v>
      </c>
      <c r="AV788" s="57">
        <f t="shared" si="1479"/>
        <v>0</v>
      </c>
    </row>
    <row r="789" spans="1:48" ht="25.15" hidden="1" customHeight="1">
      <c r="A789" s="103"/>
      <c r="B789" s="65"/>
      <c r="C789" s="72" t="s">
        <v>104</v>
      </c>
      <c r="D789" s="73" t="s">
        <v>105</v>
      </c>
      <c r="E789" s="1378"/>
      <c r="F789" s="1103"/>
      <c r="G789" s="1210"/>
      <c r="H789" s="1103"/>
      <c r="I789" s="1103"/>
      <c r="J789" s="1210"/>
      <c r="K789" s="1210"/>
      <c r="L789" s="1103"/>
      <c r="M789" s="1103"/>
      <c r="N789" s="1103"/>
      <c r="O789" s="1103"/>
      <c r="P789" s="1103"/>
      <c r="Q789" s="1210"/>
      <c r="R789" s="1210"/>
      <c r="S789" s="1103"/>
      <c r="T789" s="1103"/>
      <c r="U789" s="1103"/>
      <c r="V789" s="1103"/>
      <c r="W789" s="1103"/>
      <c r="X789" s="1210"/>
      <c r="Y789" s="1210"/>
      <c r="Z789" s="1103"/>
      <c r="AA789" s="1103"/>
      <c r="AB789" s="1103"/>
      <c r="AC789" s="1103"/>
      <c r="AD789" s="1103"/>
      <c r="AE789" s="1210"/>
      <c r="AF789" s="1210"/>
      <c r="AG789" s="1103"/>
      <c r="AH789" s="1103"/>
      <c r="AI789" s="1352"/>
      <c r="AJ789" s="74">
        <f>SUM(E789:AI789)</f>
        <v>0</v>
      </c>
      <c r="AK789" s="74"/>
      <c r="AL789" s="75">
        <f>+AJ789*AN783</f>
        <v>0</v>
      </c>
      <c r="AM789" s="1070">
        <f t="shared" si="1447"/>
        <v>0</v>
      </c>
      <c r="AN789" s="76"/>
      <c r="AO789" s="636"/>
      <c r="AP789" s="47" t="s">
        <v>106</v>
      </c>
      <c r="AQ789" s="48">
        <f>AQ785*AN783</f>
        <v>0</v>
      </c>
      <c r="AR789" s="48">
        <f>AR785*AN783</f>
        <v>0</v>
      </c>
      <c r="AS789" s="48">
        <f>AS785*AN783</f>
        <v>0</v>
      </c>
      <c r="AT789" s="48">
        <f>AT785*AN783</f>
        <v>0</v>
      </c>
      <c r="AU789" s="48">
        <f>AU785*AN783</f>
        <v>0</v>
      </c>
      <c r="AV789" s="50">
        <f t="shared" si="1479"/>
        <v>0</v>
      </c>
    </row>
    <row r="790" spans="1:48" ht="25.15" hidden="1" customHeight="1">
      <c r="A790" s="103"/>
      <c r="B790" s="65"/>
      <c r="C790" s="77">
        <v>300000</v>
      </c>
      <c r="D790" s="78" t="s">
        <v>107</v>
      </c>
      <c r="E790" s="1327">
        <v>1</v>
      </c>
      <c r="F790" s="1097">
        <v>1</v>
      </c>
      <c r="G790" s="1205">
        <v>1</v>
      </c>
      <c r="H790" s="1097">
        <v>1</v>
      </c>
      <c r="I790" s="1097">
        <v>1</v>
      </c>
      <c r="J790" s="1205">
        <v>1</v>
      </c>
      <c r="K790" s="1205">
        <v>1</v>
      </c>
      <c r="L790" s="1097">
        <v>1</v>
      </c>
      <c r="M790" s="1097">
        <v>1</v>
      </c>
      <c r="N790" s="1097">
        <v>1</v>
      </c>
      <c r="O790" s="1097">
        <v>1</v>
      </c>
      <c r="P790" s="1097">
        <v>1</v>
      </c>
      <c r="Q790" s="1205">
        <v>1</v>
      </c>
      <c r="R790" s="1205">
        <v>1</v>
      </c>
      <c r="S790" s="1097">
        <v>1</v>
      </c>
      <c r="T790" s="1097">
        <v>1</v>
      </c>
      <c r="U790" s="1097">
        <v>1</v>
      </c>
      <c r="V790" s="1097">
        <v>1</v>
      </c>
      <c r="W790" s="1097">
        <v>1</v>
      </c>
      <c r="X790" s="1205">
        <v>1</v>
      </c>
      <c r="Y790" s="1205">
        <v>1</v>
      </c>
      <c r="Z790" s="1097">
        <v>1</v>
      </c>
      <c r="AA790" s="1097">
        <v>1</v>
      </c>
      <c r="AB790" s="1097">
        <v>1</v>
      </c>
      <c r="AC790" s="1097">
        <v>1</v>
      </c>
      <c r="AD790" s="1097">
        <v>1</v>
      </c>
      <c r="AE790" s="1205">
        <v>1</v>
      </c>
      <c r="AF790" s="1205">
        <v>1</v>
      </c>
      <c r="AG790" s="1097">
        <v>1</v>
      </c>
      <c r="AH790" s="1097">
        <v>1</v>
      </c>
      <c r="AI790" s="1328">
        <v>1</v>
      </c>
      <c r="AJ790" s="79"/>
      <c r="AK790" s="79"/>
      <c r="AL790" s="55"/>
      <c r="AM790" s="1067">
        <f t="shared" si="1447"/>
        <v>0</v>
      </c>
      <c r="AN790" s="31"/>
      <c r="AO790" s="622"/>
      <c r="AP790" s="23"/>
      <c r="AQ790" s="23"/>
      <c r="AR790" s="23"/>
      <c r="AS790" s="23"/>
      <c r="AT790" s="23"/>
      <c r="AU790" s="23"/>
      <c r="AV790" s="23"/>
    </row>
    <row r="791" spans="1:48" ht="25.15" hidden="1" customHeight="1">
      <c r="A791" s="103"/>
      <c r="B791" s="65"/>
      <c r="C791" s="80" t="s">
        <v>108</v>
      </c>
      <c r="D791" s="81" t="s">
        <v>109</v>
      </c>
      <c r="E791" s="1374">
        <f>SUM(E785+E787+E788+E789)/E790</f>
        <v>0</v>
      </c>
      <c r="F791" s="1104">
        <f>SUM(F785+F787+F788+F789)/F790</f>
        <v>0</v>
      </c>
      <c r="G791" s="1211">
        <f>SUM(G785+G787+G788+G789)/G790</f>
        <v>0</v>
      </c>
      <c r="H791" s="1104">
        <f t="shared" ref="H791:AH791" si="1481">SUM(H785+H787+H788+H789)/H790</f>
        <v>0</v>
      </c>
      <c r="I791" s="1104">
        <f t="shared" si="1481"/>
        <v>0</v>
      </c>
      <c r="J791" s="1211">
        <f t="shared" si="1481"/>
        <v>0</v>
      </c>
      <c r="K791" s="1211">
        <f t="shared" si="1481"/>
        <v>0</v>
      </c>
      <c r="L791" s="1104">
        <f t="shared" si="1481"/>
        <v>0</v>
      </c>
      <c r="M791" s="1104">
        <f t="shared" si="1481"/>
        <v>0</v>
      </c>
      <c r="N791" s="1104">
        <f t="shared" si="1481"/>
        <v>0</v>
      </c>
      <c r="O791" s="1104">
        <f t="shared" si="1481"/>
        <v>0</v>
      </c>
      <c r="P791" s="1104">
        <f t="shared" si="1481"/>
        <v>0</v>
      </c>
      <c r="Q791" s="1211">
        <f t="shared" si="1481"/>
        <v>0</v>
      </c>
      <c r="R791" s="1211">
        <f t="shared" si="1481"/>
        <v>0</v>
      </c>
      <c r="S791" s="1104">
        <f t="shared" si="1481"/>
        <v>0</v>
      </c>
      <c r="T791" s="1104">
        <f t="shared" si="1481"/>
        <v>0</v>
      </c>
      <c r="U791" s="1104">
        <f t="shared" si="1481"/>
        <v>0</v>
      </c>
      <c r="V791" s="1104">
        <f t="shared" si="1481"/>
        <v>0</v>
      </c>
      <c r="W791" s="1104">
        <f t="shared" si="1481"/>
        <v>0</v>
      </c>
      <c r="X791" s="1211">
        <f t="shared" si="1481"/>
        <v>0</v>
      </c>
      <c r="Y791" s="1211">
        <f t="shared" si="1481"/>
        <v>0</v>
      </c>
      <c r="Z791" s="1104">
        <f t="shared" si="1481"/>
        <v>0</v>
      </c>
      <c r="AA791" s="1104">
        <f t="shared" si="1481"/>
        <v>0</v>
      </c>
      <c r="AB791" s="1104">
        <f t="shared" si="1481"/>
        <v>0</v>
      </c>
      <c r="AC791" s="1104">
        <f t="shared" si="1481"/>
        <v>0</v>
      </c>
      <c r="AD791" s="1104">
        <f t="shared" si="1481"/>
        <v>0</v>
      </c>
      <c r="AE791" s="1211">
        <f t="shared" si="1481"/>
        <v>0</v>
      </c>
      <c r="AF791" s="1211">
        <f t="shared" si="1481"/>
        <v>0</v>
      </c>
      <c r="AG791" s="1104">
        <f t="shared" si="1481"/>
        <v>0</v>
      </c>
      <c r="AH791" s="1104">
        <f t="shared" si="1481"/>
        <v>0</v>
      </c>
      <c r="AI791" s="1335">
        <f>SUM(AI785+AI787+AI788)/AI790</f>
        <v>0</v>
      </c>
      <c r="AJ791" s="104">
        <f>SUM(E791:AI791)</f>
        <v>0</v>
      </c>
      <c r="AK791" s="104"/>
      <c r="AL791" s="83"/>
      <c r="AM791" s="1068">
        <f t="shared" si="1447"/>
        <v>0</v>
      </c>
      <c r="AN791" s="31"/>
      <c r="AO791" s="622"/>
      <c r="AP791" s="23"/>
      <c r="AQ791" s="23"/>
      <c r="AR791" s="23"/>
      <c r="AS791" s="23"/>
      <c r="AT791" s="23"/>
      <c r="AU791" s="23"/>
      <c r="AV791" s="23"/>
    </row>
    <row r="792" spans="1:48" ht="25.15" hidden="1" customHeight="1">
      <c r="A792" s="103"/>
      <c r="B792" s="59"/>
      <c r="C792" s="84">
        <f>+C790*0.8</f>
        <v>240000</v>
      </c>
      <c r="D792" s="85" t="s">
        <v>110</v>
      </c>
      <c r="E792" s="1105"/>
      <c r="F792" s="1106"/>
      <c r="G792" s="1211"/>
      <c r="H792" s="1104"/>
      <c r="I792" s="1104"/>
      <c r="J792" s="1211"/>
      <c r="K792" s="1211"/>
      <c r="L792" s="1104"/>
      <c r="M792" s="1104"/>
      <c r="N792" s="1104"/>
      <c r="O792" s="1107"/>
      <c r="P792" s="1104"/>
      <c r="Q792" s="1211"/>
      <c r="R792" s="1211"/>
      <c r="S792" s="1104"/>
      <c r="T792" s="1104"/>
      <c r="U792" s="1104"/>
      <c r="V792" s="1104"/>
      <c r="W792" s="1104"/>
      <c r="X792" s="1211"/>
      <c r="Y792" s="1211"/>
      <c r="Z792" s="1104"/>
      <c r="AA792" s="1104"/>
      <c r="AB792" s="1104"/>
      <c r="AC792" s="1104"/>
      <c r="AD792" s="1104"/>
      <c r="AE792" s="1211"/>
      <c r="AF792" s="1211"/>
      <c r="AG792" s="1104"/>
      <c r="AH792" s="1104"/>
      <c r="AI792" s="1353"/>
      <c r="AJ792" s="86"/>
      <c r="AK792" s="86"/>
      <c r="AL792" s="690"/>
      <c r="AM792" s="694">
        <f t="shared" si="1447"/>
        <v>0</v>
      </c>
      <c r="AN792" s="31"/>
      <c r="AO792" s="622"/>
      <c r="AP792" s="23"/>
      <c r="AQ792" s="23"/>
      <c r="AR792" s="23"/>
      <c r="AS792" s="23"/>
      <c r="AT792" s="23"/>
      <c r="AU792" s="23"/>
      <c r="AV792" s="23"/>
    </row>
    <row r="793" spans="1:48" ht="25.15" hidden="1" customHeight="1">
      <c r="A793" s="103"/>
      <c r="B793" s="105"/>
      <c r="C793" s="77"/>
      <c r="D793" s="88" t="s">
        <v>111</v>
      </c>
      <c r="E793" s="1108">
        <f>IF(E792="O/H",E791,0+E791)</f>
        <v>0</v>
      </c>
      <c r="F793" s="1089">
        <f t="shared" ref="F793:AI793" si="1482">IF(F792="O/H",F791,+E793+F791)</f>
        <v>0</v>
      </c>
      <c r="G793" s="44">
        <f t="shared" si="1482"/>
        <v>0</v>
      </c>
      <c r="H793" s="1089">
        <f t="shared" si="1482"/>
        <v>0</v>
      </c>
      <c r="I793" s="1089">
        <f t="shared" si="1482"/>
        <v>0</v>
      </c>
      <c r="J793" s="44">
        <f t="shared" si="1482"/>
        <v>0</v>
      </c>
      <c r="K793" s="44">
        <f t="shared" si="1482"/>
        <v>0</v>
      </c>
      <c r="L793" s="1089">
        <f t="shared" si="1482"/>
        <v>0</v>
      </c>
      <c r="M793" s="1089">
        <f t="shared" si="1482"/>
        <v>0</v>
      </c>
      <c r="N793" s="1089">
        <f t="shared" si="1482"/>
        <v>0</v>
      </c>
      <c r="O793" s="1089">
        <f t="shared" si="1482"/>
        <v>0</v>
      </c>
      <c r="P793" s="1089">
        <f t="shared" si="1482"/>
        <v>0</v>
      </c>
      <c r="Q793" s="44">
        <f t="shared" si="1482"/>
        <v>0</v>
      </c>
      <c r="R793" s="44">
        <f t="shared" si="1482"/>
        <v>0</v>
      </c>
      <c r="S793" s="1089">
        <f t="shared" si="1482"/>
        <v>0</v>
      </c>
      <c r="T793" s="1089">
        <f t="shared" si="1482"/>
        <v>0</v>
      </c>
      <c r="U793" s="1089">
        <f t="shared" si="1482"/>
        <v>0</v>
      </c>
      <c r="V793" s="1089">
        <f t="shared" si="1482"/>
        <v>0</v>
      </c>
      <c r="W793" s="1089">
        <f t="shared" si="1482"/>
        <v>0</v>
      </c>
      <c r="X793" s="44">
        <f t="shared" si="1482"/>
        <v>0</v>
      </c>
      <c r="Y793" s="44">
        <f t="shared" si="1482"/>
        <v>0</v>
      </c>
      <c r="Z793" s="1089">
        <f t="shared" si="1482"/>
        <v>0</v>
      </c>
      <c r="AA793" s="1089">
        <f t="shared" si="1482"/>
        <v>0</v>
      </c>
      <c r="AB793" s="1089">
        <f t="shared" si="1482"/>
        <v>0</v>
      </c>
      <c r="AC793" s="1089">
        <f t="shared" si="1482"/>
        <v>0</v>
      </c>
      <c r="AD793" s="1089">
        <f t="shared" si="1482"/>
        <v>0</v>
      </c>
      <c r="AE793" s="44">
        <f t="shared" si="1482"/>
        <v>0</v>
      </c>
      <c r="AF793" s="44">
        <f t="shared" si="1482"/>
        <v>0</v>
      </c>
      <c r="AG793" s="1089">
        <f t="shared" si="1482"/>
        <v>0</v>
      </c>
      <c r="AH793" s="1089">
        <f t="shared" si="1482"/>
        <v>0</v>
      </c>
      <c r="AI793" s="1326">
        <f t="shared" si="1482"/>
        <v>0</v>
      </c>
      <c r="AJ793" s="79"/>
      <c r="AK793" s="86"/>
      <c r="AL793" s="689"/>
      <c r="AM793" s="694">
        <f t="shared" si="1447"/>
        <v>0</v>
      </c>
      <c r="AN793" s="31"/>
      <c r="AO793" s="622"/>
      <c r="AP793" s="23"/>
      <c r="AQ793" s="23"/>
      <c r="AR793" s="23"/>
      <c r="AS793" s="23"/>
      <c r="AT793" s="23"/>
      <c r="AU793" s="23"/>
      <c r="AV793" s="23"/>
    </row>
    <row r="794" spans="1:48" ht="25.15" hidden="1" customHeight="1">
      <c r="A794" s="103"/>
      <c r="B794" s="89"/>
      <c r="C794" s="80"/>
      <c r="D794" s="90" t="s">
        <v>104</v>
      </c>
      <c r="E794" s="1108"/>
      <c r="F794" s="1089"/>
      <c r="G794" s="44"/>
      <c r="H794" s="1089"/>
      <c r="I794" s="1089"/>
      <c r="J794" s="44"/>
      <c r="K794" s="44"/>
      <c r="L794" s="1089"/>
      <c r="M794" s="1089"/>
      <c r="N794" s="1089"/>
      <c r="O794" s="1089"/>
      <c r="P794" s="1089"/>
      <c r="Q794" s="44"/>
      <c r="R794" s="44"/>
      <c r="S794" s="1089"/>
      <c r="T794" s="1089"/>
      <c r="U794" s="1089"/>
      <c r="V794" s="1089"/>
      <c r="W794" s="1089"/>
      <c r="X794" s="44"/>
      <c r="Y794" s="44"/>
      <c r="Z794" s="1089"/>
      <c r="AA794" s="1089"/>
      <c r="AB794" s="1089"/>
      <c r="AC794" s="1089"/>
      <c r="AD794" s="1089"/>
      <c r="AE794" s="44"/>
      <c r="AF794" s="44"/>
      <c r="AG794" s="1089"/>
      <c r="AH794" s="1089"/>
      <c r="AI794" s="1326"/>
      <c r="AJ794" s="79"/>
      <c r="AK794" s="79"/>
      <c r="AL794" s="63"/>
      <c r="AM794" s="1068">
        <f t="shared" si="1447"/>
        <v>0</v>
      </c>
      <c r="AN794" s="64"/>
      <c r="AO794" s="624"/>
      <c r="AP794" s="23"/>
      <c r="AQ794" s="23"/>
      <c r="AR794" s="23"/>
      <c r="AS794" s="23"/>
      <c r="AT794" s="23"/>
      <c r="AU794" s="23"/>
      <c r="AV794" s="23"/>
    </row>
    <row r="795" spans="1:48" ht="25.15" hidden="1" customHeight="1" thickBot="1">
      <c r="A795" s="106"/>
      <c r="B795" s="93"/>
      <c r="C795" s="94"/>
      <c r="D795" s="95" t="s">
        <v>111</v>
      </c>
      <c r="E795" s="1109">
        <f>IF(E794="O/H",E791,0+E791)</f>
        <v>0</v>
      </c>
      <c r="F795" s="1110">
        <f t="shared" ref="F795:AI795" si="1483">IF(F794="O/H",F791,+E795+F791)</f>
        <v>0</v>
      </c>
      <c r="G795" s="1212">
        <f t="shared" si="1483"/>
        <v>0</v>
      </c>
      <c r="H795" s="1110">
        <f t="shared" si="1483"/>
        <v>0</v>
      </c>
      <c r="I795" s="1110">
        <f t="shared" si="1483"/>
        <v>0</v>
      </c>
      <c r="J795" s="1212">
        <f t="shared" si="1483"/>
        <v>0</v>
      </c>
      <c r="K795" s="1212">
        <f t="shared" si="1483"/>
        <v>0</v>
      </c>
      <c r="L795" s="1110">
        <f t="shared" si="1483"/>
        <v>0</v>
      </c>
      <c r="M795" s="1110">
        <f t="shared" si="1483"/>
        <v>0</v>
      </c>
      <c r="N795" s="1110">
        <f t="shared" si="1483"/>
        <v>0</v>
      </c>
      <c r="O795" s="1110">
        <f t="shared" si="1483"/>
        <v>0</v>
      </c>
      <c r="P795" s="1110">
        <f t="shared" si="1483"/>
        <v>0</v>
      </c>
      <c r="Q795" s="1212">
        <f t="shared" si="1483"/>
        <v>0</v>
      </c>
      <c r="R795" s="1212">
        <f t="shared" si="1483"/>
        <v>0</v>
      </c>
      <c r="S795" s="1110">
        <f t="shared" si="1483"/>
        <v>0</v>
      </c>
      <c r="T795" s="1110">
        <f t="shared" si="1483"/>
        <v>0</v>
      </c>
      <c r="U795" s="1110">
        <f t="shared" si="1483"/>
        <v>0</v>
      </c>
      <c r="V795" s="1110">
        <f t="shared" si="1483"/>
        <v>0</v>
      </c>
      <c r="W795" s="1110">
        <f t="shared" si="1483"/>
        <v>0</v>
      </c>
      <c r="X795" s="1212">
        <f t="shared" si="1483"/>
        <v>0</v>
      </c>
      <c r="Y795" s="1212">
        <f t="shared" si="1483"/>
        <v>0</v>
      </c>
      <c r="Z795" s="1110">
        <f t="shared" si="1483"/>
        <v>0</v>
      </c>
      <c r="AA795" s="1110">
        <f t="shared" si="1483"/>
        <v>0</v>
      </c>
      <c r="AB795" s="1110">
        <f t="shared" si="1483"/>
        <v>0</v>
      </c>
      <c r="AC795" s="1110">
        <f t="shared" si="1483"/>
        <v>0</v>
      </c>
      <c r="AD795" s="1110">
        <f t="shared" si="1483"/>
        <v>0</v>
      </c>
      <c r="AE795" s="1212">
        <f t="shared" si="1483"/>
        <v>0</v>
      </c>
      <c r="AF795" s="1212">
        <f t="shared" si="1483"/>
        <v>0</v>
      </c>
      <c r="AG795" s="1110">
        <f t="shared" si="1483"/>
        <v>0</v>
      </c>
      <c r="AH795" s="1110">
        <f t="shared" si="1483"/>
        <v>0</v>
      </c>
      <c r="AI795" s="1340">
        <f t="shared" si="1483"/>
        <v>0</v>
      </c>
      <c r="AJ795" s="96"/>
      <c r="AK795" s="96"/>
      <c r="AL795" s="97"/>
      <c r="AM795" s="1071">
        <f t="shared" si="1447"/>
        <v>0</v>
      </c>
      <c r="AN795" s="98"/>
      <c r="AO795" s="625"/>
      <c r="AP795" s="23"/>
      <c r="AQ795" s="23"/>
      <c r="AR795" s="23"/>
      <c r="AS795" s="23"/>
      <c r="AT795" s="23"/>
      <c r="AU795" s="23"/>
      <c r="AV795" s="23"/>
    </row>
    <row r="796" spans="1:48" ht="25.15" hidden="1" customHeight="1" thickTop="1">
      <c r="A796" s="99"/>
      <c r="B796" s="26" t="s">
        <v>192</v>
      </c>
      <c r="C796" s="27"/>
      <c r="D796" s="28" t="s">
        <v>82</v>
      </c>
      <c r="E796" s="1111"/>
      <c r="F796" s="1111"/>
      <c r="G796" s="1201"/>
      <c r="H796" s="1111"/>
      <c r="I796" s="1111"/>
      <c r="J796" s="1201"/>
      <c r="K796" s="1201"/>
      <c r="L796" s="1111"/>
      <c r="M796" s="1111"/>
      <c r="N796" s="1111"/>
      <c r="O796" s="1111"/>
      <c r="P796" s="1111"/>
      <c r="Q796" s="1201"/>
      <c r="R796" s="1201"/>
      <c r="S796" s="1111"/>
      <c r="T796" s="1111"/>
      <c r="U796" s="1111"/>
      <c r="V796" s="1111"/>
      <c r="W796" s="1111"/>
      <c r="X796" s="1201"/>
      <c r="Y796" s="1201"/>
      <c r="Z796" s="1111"/>
      <c r="AA796" s="1111"/>
      <c r="AB796" s="1111"/>
      <c r="AC796" s="1111"/>
      <c r="AD796" s="1111"/>
      <c r="AE796" s="1201"/>
      <c r="AF796" s="1201"/>
      <c r="AG796" s="1111"/>
      <c r="AH796" s="1111"/>
      <c r="AI796" s="1111"/>
      <c r="AJ796" s="100">
        <f>SUM(Table75[[#This Row],[June''2026]:[Column27]])</f>
        <v>0</v>
      </c>
      <c r="AK796" s="100">
        <f t="shared" si="1477"/>
        <v>0</v>
      </c>
      <c r="AL796" s="101">
        <f>+AJ796*AN796</f>
        <v>0</v>
      </c>
      <c r="AM796" s="1072">
        <f t="shared" si="1447"/>
        <v>0</v>
      </c>
      <c r="AN796" s="102"/>
      <c r="AO796" s="622" t="e">
        <f>Table5[[#This Row],[Total]]*B800/1000</f>
        <v>#VALUE!</v>
      </c>
      <c r="AP796" s="32" t="s">
        <v>193</v>
      </c>
      <c r="AQ796" s="33" t="s">
        <v>84</v>
      </c>
      <c r="AR796" s="33" t="s">
        <v>85</v>
      </c>
      <c r="AS796" s="33" t="s">
        <v>86</v>
      </c>
      <c r="AT796" s="33" t="s">
        <v>87</v>
      </c>
      <c r="AU796" s="33" t="s">
        <v>88</v>
      </c>
      <c r="AV796" s="34" t="s">
        <v>68</v>
      </c>
    </row>
    <row r="797" spans="1:48" ht="25.15" hidden="1" customHeight="1">
      <c r="A797" s="103"/>
      <c r="B797" s="35" t="s">
        <v>194</v>
      </c>
      <c r="C797" s="36"/>
      <c r="D797" s="37" t="s">
        <v>90</v>
      </c>
      <c r="E797" s="1373">
        <f>IF(E796="",0,+ E796/E803)</f>
        <v>0</v>
      </c>
      <c r="F797" s="1096">
        <f t="shared" ref="F797:AI797" si="1484">IF(F796="",0, E797+F796/F803)</f>
        <v>0</v>
      </c>
      <c r="G797" s="1207">
        <f t="shared" si="1484"/>
        <v>0</v>
      </c>
      <c r="H797" s="1096">
        <f t="shared" si="1484"/>
        <v>0</v>
      </c>
      <c r="I797" s="1096">
        <f t="shared" si="1484"/>
        <v>0</v>
      </c>
      <c r="J797" s="1207">
        <f t="shared" si="1484"/>
        <v>0</v>
      </c>
      <c r="K797" s="1207">
        <f t="shared" si="1484"/>
        <v>0</v>
      </c>
      <c r="L797" s="1096">
        <f t="shared" si="1484"/>
        <v>0</v>
      </c>
      <c r="M797" s="1096">
        <f t="shared" si="1484"/>
        <v>0</v>
      </c>
      <c r="N797" s="1096">
        <f t="shared" si="1484"/>
        <v>0</v>
      </c>
      <c r="O797" s="1096">
        <f t="shared" si="1484"/>
        <v>0</v>
      </c>
      <c r="P797" s="1096">
        <f t="shared" si="1484"/>
        <v>0</v>
      </c>
      <c r="Q797" s="1207">
        <f t="shared" si="1484"/>
        <v>0</v>
      </c>
      <c r="R797" s="1207">
        <f t="shared" si="1484"/>
        <v>0</v>
      </c>
      <c r="S797" s="1096">
        <f t="shared" si="1484"/>
        <v>0</v>
      </c>
      <c r="T797" s="1096">
        <f t="shared" si="1484"/>
        <v>0</v>
      </c>
      <c r="U797" s="1096">
        <f t="shared" si="1484"/>
        <v>0</v>
      </c>
      <c r="V797" s="1096">
        <f t="shared" si="1484"/>
        <v>0</v>
      </c>
      <c r="W797" s="1096">
        <f t="shared" si="1484"/>
        <v>0</v>
      </c>
      <c r="X797" s="1207">
        <f t="shared" si="1484"/>
        <v>0</v>
      </c>
      <c r="Y797" s="1207">
        <f t="shared" si="1484"/>
        <v>0</v>
      </c>
      <c r="Z797" s="1096">
        <f t="shared" si="1484"/>
        <v>0</v>
      </c>
      <c r="AA797" s="1096">
        <f t="shared" si="1484"/>
        <v>0</v>
      </c>
      <c r="AB797" s="1096">
        <f t="shared" si="1484"/>
        <v>0</v>
      </c>
      <c r="AC797" s="1096">
        <f t="shared" si="1484"/>
        <v>0</v>
      </c>
      <c r="AD797" s="1096">
        <f t="shared" si="1484"/>
        <v>0</v>
      </c>
      <c r="AE797" s="1207">
        <f t="shared" si="1484"/>
        <v>0</v>
      </c>
      <c r="AF797" s="1207">
        <f t="shared" si="1484"/>
        <v>0</v>
      </c>
      <c r="AG797" s="1096">
        <f t="shared" si="1484"/>
        <v>0</v>
      </c>
      <c r="AH797" s="1096">
        <f t="shared" si="1484"/>
        <v>0</v>
      </c>
      <c r="AI797" s="1324">
        <f t="shared" si="1484"/>
        <v>0</v>
      </c>
      <c r="AJ797" s="38"/>
      <c r="AK797" s="29"/>
      <c r="AL797" s="30"/>
      <c r="AM797" s="694">
        <f t="shared" si="1447"/>
        <v>0</v>
      </c>
      <c r="AN797" s="31"/>
      <c r="AO797" s="630"/>
      <c r="AP797" s="39" t="s">
        <v>91</v>
      </c>
      <c r="AQ797" s="40">
        <f>SUM(E796:I796)</f>
        <v>0</v>
      </c>
      <c r="AR797" s="41">
        <f>SUM(J796:P796)</f>
        <v>0</v>
      </c>
      <c r="AS797" s="41">
        <f>SUM(Q796:W796)</f>
        <v>0</v>
      </c>
      <c r="AT797" s="41">
        <f>SUM(X796:AD796)</f>
        <v>0</v>
      </c>
      <c r="AU797" s="41">
        <f>SUM(AE796:AI796)</f>
        <v>0</v>
      </c>
      <c r="AV797" s="34">
        <f t="shared" ref="AV797:AV802" si="1485">SUM(AQ797:AU797)</f>
        <v>0</v>
      </c>
    </row>
    <row r="798" spans="1:48" ht="25.15" hidden="1" customHeight="1">
      <c r="A798" s="103"/>
      <c r="B798" s="26" t="s">
        <v>92</v>
      </c>
      <c r="C798" s="42"/>
      <c r="D798" s="43" t="s">
        <v>93</v>
      </c>
      <c r="E798" s="1325"/>
      <c r="F798" s="1089"/>
      <c r="G798" s="44"/>
      <c r="H798" s="1089"/>
      <c r="I798" s="1089"/>
      <c r="J798" s="44"/>
      <c r="K798" s="44"/>
      <c r="L798" s="1089"/>
      <c r="M798" s="1089"/>
      <c r="N798" s="1089"/>
      <c r="O798" s="1089"/>
      <c r="P798" s="1089"/>
      <c r="Q798" s="44"/>
      <c r="R798" s="44"/>
      <c r="S798" s="1089"/>
      <c r="T798" s="1089"/>
      <c r="U798" s="1089"/>
      <c r="V798" s="1089"/>
      <c r="W798" s="1089"/>
      <c r="X798" s="44"/>
      <c r="Y798" s="44"/>
      <c r="Z798" s="1089"/>
      <c r="AA798" s="1089"/>
      <c r="AB798" s="1089"/>
      <c r="AC798" s="1089"/>
      <c r="AD798" s="1089"/>
      <c r="AE798" s="44"/>
      <c r="AF798" s="44"/>
      <c r="AG798" s="1089"/>
      <c r="AH798" s="1089"/>
      <c r="AI798" s="1326"/>
      <c r="AJ798" s="45">
        <f>SUM(E798:AI798)</f>
        <v>0</v>
      </c>
      <c r="AK798" s="45"/>
      <c r="AL798" s="46">
        <f>+AJ798*AN796</f>
        <v>0</v>
      </c>
      <c r="AM798" s="1066">
        <f t="shared" si="1447"/>
        <v>0</v>
      </c>
      <c r="AN798" s="31"/>
      <c r="AO798" s="632">
        <f>(AJ798+AJ800+AJ801+AJ802)*B800/1000</f>
        <v>0</v>
      </c>
      <c r="AP798" s="47" t="s">
        <v>94</v>
      </c>
      <c r="AQ798" s="48">
        <f>SUM(E798:I798)</f>
        <v>0</v>
      </c>
      <c r="AR798" s="49">
        <f>SUM(J798:P798)</f>
        <v>0</v>
      </c>
      <c r="AS798" s="49">
        <f>SUM(Q798:W798)</f>
        <v>0</v>
      </c>
      <c r="AT798" s="49">
        <f>SUM(X798:AD798)</f>
        <v>0</v>
      </c>
      <c r="AU798" s="49">
        <f>SUM(AE798:AI798)</f>
        <v>0</v>
      </c>
      <c r="AV798" s="50">
        <f t="shared" si="1485"/>
        <v>0</v>
      </c>
    </row>
    <row r="799" spans="1:48" ht="25.15" hidden="1" customHeight="1">
      <c r="A799" s="103"/>
      <c r="B799" s="51"/>
      <c r="C799" s="52" t="s">
        <v>95</v>
      </c>
      <c r="D799" s="53" t="s">
        <v>96</v>
      </c>
      <c r="E799" s="1327">
        <f t="shared" ref="E799:AJ799" si="1486">+E798-E796</f>
        <v>0</v>
      </c>
      <c r="F799" s="1097">
        <f t="shared" si="1486"/>
        <v>0</v>
      </c>
      <c r="G799" s="1205">
        <f t="shared" si="1486"/>
        <v>0</v>
      </c>
      <c r="H799" s="1097">
        <f t="shared" si="1486"/>
        <v>0</v>
      </c>
      <c r="I799" s="1097">
        <f t="shared" si="1486"/>
        <v>0</v>
      </c>
      <c r="J799" s="1205">
        <f t="shared" si="1486"/>
        <v>0</v>
      </c>
      <c r="K799" s="1205">
        <f t="shared" si="1486"/>
        <v>0</v>
      </c>
      <c r="L799" s="1097">
        <f t="shared" si="1486"/>
        <v>0</v>
      </c>
      <c r="M799" s="1097">
        <f t="shared" si="1486"/>
        <v>0</v>
      </c>
      <c r="N799" s="1097">
        <f t="shared" si="1486"/>
        <v>0</v>
      </c>
      <c r="O799" s="1097">
        <f t="shared" si="1486"/>
        <v>0</v>
      </c>
      <c r="P799" s="1097">
        <f t="shared" si="1486"/>
        <v>0</v>
      </c>
      <c r="Q799" s="1205">
        <f t="shared" si="1486"/>
        <v>0</v>
      </c>
      <c r="R799" s="1205">
        <f t="shared" si="1486"/>
        <v>0</v>
      </c>
      <c r="S799" s="1097">
        <f t="shared" si="1486"/>
        <v>0</v>
      </c>
      <c r="T799" s="1097">
        <f t="shared" ref="T799" si="1487">+T798-T796</f>
        <v>0</v>
      </c>
      <c r="U799" s="1097">
        <f t="shared" si="1486"/>
        <v>0</v>
      </c>
      <c r="V799" s="1097">
        <f t="shared" si="1486"/>
        <v>0</v>
      </c>
      <c r="W799" s="1097">
        <f t="shared" si="1486"/>
        <v>0</v>
      </c>
      <c r="X799" s="1205">
        <f t="shared" si="1486"/>
        <v>0</v>
      </c>
      <c r="Y799" s="1205">
        <f t="shared" si="1486"/>
        <v>0</v>
      </c>
      <c r="Z799" s="1097">
        <f t="shared" si="1486"/>
        <v>0</v>
      </c>
      <c r="AA799" s="1097">
        <f t="shared" si="1486"/>
        <v>0</v>
      </c>
      <c r="AB799" s="1097">
        <f t="shared" si="1486"/>
        <v>0</v>
      </c>
      <c r="AC799" s="1097">
        <f t="shared" si="1486"/>
        <v>0</v>
      </c>
      <c r="AD799" s="1097">
        <f t="shared" si="1486"/>
        <v>0</v>
      </c>
      <c r="AE799" s="1205">
        <f t="shared" si="1486"/>
        <v>0</v>
      </c>
      <c r="AF799" s="1205">
        <f t="shared" si="1486"/>
        <v>0</v>
      </c>
      <c r="AG799" s="1097">
        <f t="shared" si="1486"/>
        <v>0</v>
      </c>
      <c r="AH799" s="1097">
        <f t="shared" si="1486"/>
        <v>0</v>
      </c>
      <c r="AI799" s="1328">
        <f t="shared" si="1486"/>
        <v>0</v>
      </c>
      <c r="AJ799" s="54">
        <f t="shared" si="1486"/>
        <v>0</v>
      </c>
      <c r="AK799" s="54"/>
      <c r="AL799" s="55">
        <f>+AJ799*AN796</f>
        <v>0</v>
      </c>
      <c r="AM799" s="1067">
        <f t="shared" si="1447"/>
        <v>0</v>
      </c>
      <c r="AN799" s="31" t="s">
        <v>97</v>
      </c>
      <c r="AO799" s="622"/>
      <c r="AP799" s="39" t="s">
        <v>98</v>
      </c>
      <c r="AQ799" s="56">
        <f>AQ798-AQ797</f>
        <v>0</v>
      </c>
      <c r="AR799" s="70">
        <f>AR798-AR797</f>
        <v>0</v>
      </c>
      <c r="AS799" s="70">
        <f>AS798-AS797</f>
        <v>0</v>
      </c>
      <c r="AT799" s="70">
        <f>AT798-AT797</f>
        <v>0</v>
      </c>
      <c r="AU799" s="70">
        <f>AU798-AU797</f>
        <v>0</v>
      </c>
      <c r="AV799" s="57">
        <f t="shared" si="1485"/>
        <v>0</v>
      </c>
    </row>
    <row r="800" spans="1:48" ht="25.15" hidden="1" customHeight="1">
      <c r="A800" s="58"/>
      <c r="B800" s="59"/>
      <c r="C800" s="60" t="s">
        <v>100</v>
      </c>
      <c r="D800" s="61" t="s">
        <v>101</v>
      </c>
      <c r="E800" s="1329"/>
      <c r="F800" s="1099"/>
      <c r="G800" s="1208"/>
      <c r="H800" s="1099"/>
      <c r="I800" s="1099"/>
      <c r="J800" s="1208"/>
      <c r="K800" s="1208"/>
      <c r="L800" s="1099"/>
      <c r="M800" s="1099"/>
      <c r="N800" s="1099"/>
      <c r="O800" s="1099"/>
      <c r="P800" s="1099"/>
      <c r="Q800" s="1208"/>
      <c r="R800" s="1208"/>
      <c r="S800" s="1099"/>
      <c r="T800" s="1099"/>
      <c r="U800" s="1099"/>
      <c r="V800" s="1099"/>
      <c r="W800" s="1099"/>
      <c r="X800" s="1208"/>
      <c r="Y800" s="1208"/>
      <c r="Z800" s="1099"/>
      <c r="AA800" s="1099"/>
      <c r="AB800" s="1099"/>
      <c r="AC800" s="1099"/>
      <c r="AD800" s="1099"/>
      <c r="AE800" s="1208"/>
      <c r="AF800" s="1208"/>
      <c r="AG800" s="1099"/>
      <c r="AH800" s="1099"/>
      <c r="AI800" s="1330"/>
      <c r="AJ800" s="62">
        <f>SUM(E800:AI800)</f>
        <v>0</v>
      </c>
      <c r="AK800" s="62"/>
      <c r="AL800" s="63">
        <f>+AJ800*AN796</f>
        <v>0</v>
      </c>
      <c r="AM800" s="1068">
        <f t="shared" si="1447"/>
        <v>0</v>
      </c>
      <c r="AN800" s="64" t="e">
        <f>+AJ800/AJ798*100</f>
        <v>#DIV/0!</v>
      </c>
      <c r="AO800" s="635" t="e">
        <f>AO798/AO796</f>
        <v>#VALUE!</v>
      </c>
      <c r="AP800" s="39" t="s">
        <v>102</v>
      </c>
      <c r="AQ800" s="56">
        <f>SUM(E800:I800)</f>
        <v>0</v>
      </c>
      <c r="AR800" s="70">
        <f>SUM(J800:P800)</f>
        <v>0</v>
      </c>
      <c r="AS800" s="70">
        <f>SUM(Q800:W800)</f>
        <v>0</v>
      </c>
      <c r="AT800" s="70">
        <f>SUM(X800:AD800)</f>
        <v>0</v>
      </c>
      <c r="AU800" s="70">
        <f>SUM(AE800:AI800)</f>
        <v>0</v>
      </c>
      <c r="AV800" s="57">
        <f t="shared" si="1485"/>
        <v>0</v>
      </c>
    </row>
    <row r="801" spans="1:48" ht="25.15" hidden="1" customHeight="1">
      <c r="A801" s="58" t="s">
        <v>195</v>
      </c>
      <c r="B801" s="65"/>
      <c r="C801" s="66"/>
      <c r="D801" s="67" t="s">
        <v>103</v>
      </c>
      <c r="E801" s="1331"/>
      <c r="F801" s="1101"/>
      <c r="G801" s="1209"/>
      <c r="H801" s="1101"/>
      <c r="I801" s="1101"/>
      <c r="J801" s="1209"/>
      <c r="K801" s="1209"/>
      <c r="L801" s="1101"/>
      <c r="M801" s="1101"/>
      <c r="N801" s="1101"/>
      <c r="O801" s="1101"/>
      <c r="P801" s="1101"/>
      <c r="Q801" s="1209"/>
      <c r="R801" s="1209"/>
      <c r="S801" s="1101"/>
      <c r="T801" s="1101"/>
      <c r="U801" s="1101"/>
      <c r="V801" s="1101"/>
      <c r="W801" s="1101"/>
      <c r="X801" s="1209"/>
      <c r="Y801" s="1209"/>
      <c r="Z801" s="1101"/>
      <c r="AA801" s="1101"/>
      <c r="AB801" s="1101"/>
      <c r="AC801" s="1101"/>
      <c r="AD801" s="1101"/>
      <c r="AE801" s="1209"/>
      <c r="AF801" s="1209"/>
      <c r="AG801" s="1101"/>
      <c r="AH801" s="1101"/>
      <c r="AI801" s="1332"/>
      <c r="AJ801" s="68">
        <f>SUM(E801:AI801)</f>
        <v>0</v>
      </c>
      <c r="AK801" s="68"/>
      <c r="AL801" s="69">
        <f>+AJ801*AN796</f>
        <v>0</v>
      </c>
      <c r="AM801" s="1069">
        <f t="shared" si="1447"/>
        <v>0</v>
      </c>
      <c r="AN801" s="31"/>
      <c r="AO801" s="622"/>
      <c r="AP801" s="39" t="s">
        <v>19</v>
      </c>
      <c r="AQ801" s="56">
        <f>AQ800*AN796</f>
        <v>0</v>
      </c>
      <c r="AR801" s="56">
        <f>AR800*AN796</f>
        <v>0</v>
      </c>
      <c r="AS801" s="56">
        <f>AS800*AN796</f>
        <v>0</v>
      </c>
      <c r="AT801" s="56">
        <f>AT800*AN796</f>
        <v>0</v>
      </c>
      <c r="AU801" s="56">
        <f>AU800*AN796</f>
        <v>0</v>
      </c>
      <c r="AV801" s="57">
        <f t="shared" si="1485"/>
        <v>0</v>
      </c>
    </row>
    <row r="802" spans="1:48" ht="25.15" hidden="1" customHeight="1">
      <c r="A802" s="103"/>
      <c r="B802" s="65"/>
      <c r="C802" s="72" t="s">
        <v>104</v>
      </c>
      <c r="D802" s="73" t="s">
        <v>105</v>
      </c>
      <c r="E802" s="1378"/>
      <c r="F802" s="1103"/>
      <c r="G802" s="1210"/>
      <c r="H802" s="1103"/>
      <c r="I802" s="1103"/>
      <c r="J802" s="1210"/>
      <c r="K802" s="1210"/>
      <c r="L802" s="1103"/>
      <c r="M802" s="1103"/>
      <c r="N802" s="1103"/>
      <c r="O802" s="1103"/>
      <c r="P802" s="1103"/>
      <c r="Q802" s="1210"/>
      <c r="R802" s="1210"/>
      <c r="S802" s="1103"/>
      <c r="T802" s="1103"/>
      <c r="U802" s="1103"/>
      <c r="V802" s="1103"/>
      <c r="W802" s="1103"/>
      <c r="X802" s="1210"/>
      <c r="Y802" s="1210"/>
      <c r="Z802" s="1103"/>
      <c r="AA802" s="1103"/>
      <c r="AB802" s="1103"/>
      <c r="AC802" s="1103"/>
      <c r="AD802" s="1103"/>
      <c r="AE802" s="1210"/>
      <c r="AF802" s="1210"/>
      <c r="AG802" s="1103"/>
      <c r="AH802" s="1103"/>
      <c r="AI802" s="1352"/>
      <c r="AJ802" s="74">
        <f>SUM(E802:AI802)</f>
        <v>0</v>
      </c>
      <c r="AK802" s="74"/>
      <c r="AL802" s="75">
        <f>+AJ802*AN796</f>
        <v>0</v>
      </c>
      <c r="AM802" s="1070">
        <f t="shared" si="1447"/>
        <v>0</v>
      </c>
      <c r="AN802" s="76"/>
      <c r="AO802" s="636"/>
      <c r="AP802" s="47" t="s">
        <v>106</v>
      </c>
      <c r="AQ802" s="48">
        <f>AQ798*AN796</f>
        <v>0</v>
      </c>
      <c r="AR802" s="48">
        <f>AR798*AN796</f>
        <v>0</v>
      </c>
      <c r="AS802" s="48">
        <f>AS798*AN796</f>
        <v>0</v>
      </c>
      <c r="AT802" s="48">
        <f>AT798*AN796</f>
        <v>0</v>
      </c>
      <c r="AU802" s="48">
        <f>AU798*AN796</f>
        <v>0</v>
      </c>
      <c r="AV802" s="50">
        <f t="shared" si="1485"/>
        <v>0</v>
      </c>
    </row>
    <row r="803" spans="1:48" ht="25.15" hidden="1" customHeight="1">
      <c r="A803" s="103"/>
      <c r="B803" s="65"/>
      <c r="C803" s="77">
        <v>300000</v>
      </c>
      <c r="D803" s="78" t="s">
        <v>107</v>
      </c>
      <c r="E803" s="1327">
        <v>1</v>
      </c>
      <c r="F803" s="1097">
        <v>1</v>
      </c>
      <c r="G803" s="1205">
        <v>1</v>
      </c>
      <c r="H803" s="1097">
        <v>1</v>
      </c>
      <c r="I803" s="1097">
        <v>1</v>
      </c>
      <c r="J803" s="1205">
        <v>1</v>
      </c>
      <c r="K803" s="1205">
        <v>1</v>
      </c>
      <c r="L803" s="1097">
        <v>1</v>
      </c>
      <c r="M803" s="1097">
        <v>1</v>
      </c>
      <c r="N803" s="1097">
        <v>1</v>
      </c>
      <c r="O803" s="1097">
        <v>1</v>
      </c>
      <c r="P803" s="1097">
        <v>1</v>
      </c>
      <c r="Q803" s="1205">
        <v>1</v>
      </c>
      <c r="R803" s="1205">
        <v>1</v>
      </c>
      <c r="S803" s="1097">
        <v>1</v>
      </c>
      <c r="T803" s="1097">
        <v>1</v>
      </c>
      <c r="U803" s="1097">
        <v>1</v>
      </c>
      <c r="V803" s="1097">
        <v>1</v>
      </c>
      <c r="W803" s="1097">
        <v>1</v>
      </c>
      <c r="X803" s="1205">
        <v>1</v>
      </c>
      <c r="Y803" s="1205">
        <v>1</v>
      </c>
      <c r="Z803" s="1097">
        <v>1</v>
      </c>
      <c r="AA803" s="1097">
        <v>1</v>
      </c>
      <c r="AB803" s="1097">
        <v>1</v>
      </c>
      <c r="AC803" s="1097">
        <v>1</v>
      </c>
      <c r="AD803" s="1097">
        <v>1</v>
      </c>
      <c r="AE803" s="1205">
        <v>1</v>
      </c>
      <c r="AF803" s="1205">
        <v>1</v>
      </c>
      <c r="AG803" s="1097">
        <v>1</v>
      </c>
      <c r="AH803" s="1097">
        <v>1</v>
      </c>
      <c r="AI803" s="1328">
        <v>1</v>
      </c>
      <c r="AJ803" s="79"/>
      <c r="AK803" s="79"/>
      <c r="AL803" s="55"/>
      <c r="AM803" s="1067">
        <f t="shared" si="1447"/>
        <v>0</v>
      </c>
      <c r="AN803" s="31"/>
      <c r="AO803" s="622"/>
      <c r="AP803" s="23"/>
      <c r="AQ803" s="23"/>
      <c r="AR803" s="23"/>
      <c r="AS803" s="23"/>
      <c r="AT803" s="23"/>
      <c r="AU803" s="23"/>
      <c r="AV803" s="23"/>
    </row>
    <row r="804" spans="1:48" ht="25.15" hidden="1" customHeight="1">
      <c r="A804" s="103"/>
      <c r="B804" s="65"/>
      <c r="C804" s="80" t="s">
        <v>108</v>
      </c>
      <c r="D804" s="81" t="s">
        <v>109</v>
      </c>
      <c r="E804" s="1374">
        <f>SUM(E798+E800+E801+E802)/E803</f>
        <v>0</v>
      </c>
      <c r="F804" s="1104">
        <f>SUM(F798+F800+F801+F802)/F803</f>
        <v>0</v>
      </c>
      <c r="G804" s="1211">
        <f>SUM(G798+G800+G801+G802)/G803</f>
        <v>0</v>
      </c>
      <c r="H804" s="1104">
        <f t="shared" ref="H804:AH804" si="1488">SUM(H798+H800+H801+H802)/H803</f>
        <v>0</v>
      </c>
      <c r="I804" s="1104">
        <f t="shared" si="1488"/>
        <v>0</v>
      </c>
      <c r="J804" s="1211">
        <f t="shared" si="1488"/>
        <v>0</v>
      </c>
      <c r="K804" s="1211">
        <f t="shared" si="1488"/>
        <v>0</v>
      </c>
      <c r="L804" s="1104">
        <f t="shared" si="1488"/>
        <v>0</v>
      </c>
      <c r="M804" s="1104">
        <f t="shared" si="1488"/>
        <v>0</v>
      </c>
      <c r="N804" s="1104">
        <f t="shared" si="1488"/>
        <v>0</v>
      </c>
      <c r="O804" s="1104">
        <f t="shared" si="1488"/>
        <v>0</v>
      </c>
      <c r="P804" s="1104">
        <f t="shared" si="1488"/>
        <v>0</v>
      </c>
      <c r="Q804" s="1211">
        <f t="shared" si="1488"/>
        <v>0</v>
      </c>
      <c r="R804" s="1211">
        <f t="shared" si="1488"/>
        <v>0</v>
      </c>
      <c r="S804" s="1104">
        <f t="shared" si="1488"/>
        <v>0</v>
      </c>
      <c r="T804" s="1104">
        <f t="shared" si="1488"/>
        <v>0</v>
      </c>
      <c r="U804" s="1104">
        <f t="shared" si="1488"/>
        <v>0</v>
      </c>
      <c r="V804" s="1104">
        <f t="shared" si="1488"/>
        <v>0</v>
      </c>
      <c r="W804" s="1104">
        <f t="shared" si="1488"/>
        <v>0</v>
      </c>
      <c r="X804" s="1211">
        <f t="shared" si="1488"/>
        <v>0</v>
      </c>
      <c r="Y804" s="1211">
        <f t="shared" si="1488"/>
        <v>0</v>
      </c>
      <c r="Z804" s="1104">
        <f t="shared" si="1488"/>
        <v>0</v>
      </c>
      <c r="AA804" s="1104">
        <f t="shared" si="1488"/>
        <v>0</v>
      </c>
      <c r="AB804" s="1104">
        <f t="shared" si="1488"/>
        <v>0</v>
      </c>
      <c r="AC804" s="1104">
        <f t="shared" si="1488"/>
        <v>0</v>
      </c>
      <c r="AD804" s="1104">
        <f t="shared" si="1488"/>
        <v>0</v>
      </c>
      <c r="AE804" s="1211">
        <f t="shared" si="1488"/>
        <v>0</v>
      </c>
      <c r="AF804" s="1211">
        <f t="shared" si="1488"/>
        <v>0</v>
      </c>
      <c r="AG804" s="1104">
        <f t="shared" si="1488"/>
        <v>0</v>
      </c>
      <c r="AH804" s="1104">
        <f t="shared" si="1488"/>
        <v>0</v>
      </c>
      <c r="AI804" s="1335">
        <f>SUM(AI798+AI800+AI801)/AI803</f>
        <v>0</v>
      </c>
      <c r="AJ804" s="104">
        <f>SUM(E804:AI804)</f>
        <v>0</v>
      </c>
      <c r="AK804" s="104"/>
      <c r="AL804" s="83"/>
      <c r="AM804" s="1068">
        <f t="shared" si="1447"/>
        <v>0</v>
      </c>
      <c r="AN804" s="31"/>
      <c r="AO804" s="622"/>
      <c r="AP804" s="23"/>
      <c r="AQ804" s="23"/>
      <c r="AR804" s="23"/>
      <c r="AS804" s="23"/>
      <c r="AT804" s="23"/>
      <c r="AU804" s="23"/>
      <c r="AV804" s="23"/>
    </row>
    <row r="805" spans="1:48" ht="25.15" hidden="1" customHeight="1">
      <c r="A805" s="103"/>
      <c r="B805" s="59"/>
      <c r="C805" s="84">
        <f>+C803*0.8</f>
        <v>240000</v>
      </c>
      <c r="D805" s="85" t="s">
        <v>110</v>
      </c>
      <c r="E805" s="1105"/>
      <c r="F805" s="1106"/>
      <c r="G805" s="1211"/>
      <c r="H805" s="1104"/>
      <c r="I805" s="1104"/>
      <c r="J805" s="1211"/>
      <c r="K805" s="1211"/>
      <c r="L805" s="1104"/>
      <c r="M805" s="1104"/>
      <c r="N805" s="1104"/>
      <c r="O805" s="1107"/>
      <c r="P805" s="1104"/>
      <c r="Q805" s="1211"/>
      <c r="R805" s="1211"/>
      <c r="S805" s="1104"/>
      <c r="T805" s="1104"/>
      <c r="U805" s="1104"/>
      <c r="V805" s="1104"/>
      <c r="W805" s="1104"/>
      <c r="X805" s="1211"/>
      <c r="Y805" s="1211"/>
      <c r="Z805" s="1104"/>
      <c r="AA805" s="1104"/>
      <c r="AB805" s="1104"/>
      <c r="AC805" s="1104"/>
      <c r="AD805" s="1104"/>
      <c r="AE805" s="1211"/>
      <c r="AF805" s="1211"/>
      <c r="AG805" s="1104"/>
      <c r="AH805" s="1104"/>
      <c r="AI805" s="1353"/>
      <c r="AJ805" s="86"/>
      <c r="AK805" s="86"/>
      <c r="AL805" s="690"/>
      <c r="AM805" s="694">
        <f t="shared" si="1447"/>
        <v>0</v>
      </c>
      <c r="AN805" s="31"/>
      <c r="AO805" s="622"/>
      <c r="AP805" s="23"/>
      <c r="AQ805" s="23"/>
      <c r="AR805" s="23"/>
      <c r="AS805" s="23"/>
      <c r="AT805" s="23"/>
      <c r="AU805" s="23"/>
      <c r="AV805" s="23"/>
    </row>
    <row r="806" spans="1:48" ht="25.15" hidden="1" customHeight="1">
      <c r="A806" s="103"/>
      <c r="B806" s="105"/>
      <c r="C806" s="77"/>
      <c r="D806" s="88" t="s">
        <v>111</v>
      </c>
      <c r="E806" s="1108">
        <f>IF(E805="O/H",E804,0+E804)</f>
        <v>0</v>
      </c>
      <c r="F806" s="1089">
        <f t="shared" ref="F806:AI806" si="1489">IF(F805="O/H",F804,+E806+F804)</f>
        <v>0</v>
      </c>
      <c r="G806" s="44">
        <f t="shared" si="1489"/>
        <v>0</v>
      </c>
      <c r="H806" s="1089">
        <f t="shared" si="1489"/>
        <v>0</v>
      </c>
      <c r="I806" s="1089">
        <f t="shared" si="1489"/>
        <v>0</v>
      </c>
      <c r="J806" s="44">
        <f t="shared" si="1489"/>
        <v>0</v>
      </c>
      <c r="K806" s="44">
        <f t="shared" si="1489"/>
        <v>0</v>
      </c>
      <c r="L806" s="1089">
        <f t="shared" si="1489"/>
        <v>0</v>
      </c>
      <c r="M806" s="1089">
        <f t="shared" si="1489"/>
        <v>0</v>
      </c>
      <c r="N806" s="1089">
        <f t="shared" si="1489"/>
        <v>0</v>
      </c>
      <c r="O806" s="1089">
        <f t="shared" si="1489"/>
        <v>0</v>
      </c>
      <c r="P806" s="1089">
        <f t="shared" si="1489"/>
        <v>0</v>
      </c>
      <c r="Q806" s="44">
        <f t="shared" si="1489"/>
        <v>0</v>
      </c>
      <c r="R806" s="44">
        <f t="shared" si="1489"/>
        <v>0</v>
      </c>
      <c r="S806" s="1089">
        <f t="shared" si="1489"/>
        <v>0</v>
      </c>
      <c r="T806" s="1089">
        <f t="shared" si="1489"/>
        <v>0</v>
      </c>
      <c r="U806" s="1089">
        <f t="shared" si="1489"/>
        <v>0</v>
      </c>
      <c r="V806" s="1089">
        <f t="shared" si="1489"/>
        <v>0</v>
      </c>
      <c r="W806" s="1089">
        <f t="shared" si="1489"/>
        <v>0</v>
      </c>
      <c r="X806" s="44">
        <f t="shared" si="1489"/>
        <v>0</v>
      </c>
      <c r="Y806" s="44">
        <f t="shared" si="1489"/>
        <v>0</v>
      </c>
      <c r="Z806" s="1089">
        <f t="shared" si="1489"/>
        <v>0</v>
      </c>
      <c r="AA806" s="1089">
        <f t="shared" si="1489"/>
        <v>0</v>
      </c>
      <c r="AB806" s="1089">
        <f t="shared" si="1489"/>
        <v>0</v>
      </c>
      <c r="AC806" s="1089">
        <f t="shared" si="1489"/>
        <v>0</v>
      </c>
      <c r="AD806" s="1089">
        <f t="shared" si="1489"/>
        <v>0</v>
      </c>
      <c r="AE806" s="44">
        <f t="shared" si="1489"/>
        <v>0</v>
      </c>
      <c r="AF806" s="44">
        <f t="shared" si="1489"/>
        <v>0</v>
      </c>
      <c r="AG806" s="1089">
        <f t="shared" si="1489"/>
        <v>0</v>
      </c>
      <c r="AH806" s="1089">
        <f t="shared" si="1489"/>
        <v>0</v>
      </c>
      <c r="AI806" s="1326">
        <f t="shared" si="1489"/>
        <v>0</v>
      </c>
      <c r="AJ806" s="79"/>
      <c r="AK806" s="86"/>
      <c r="AL806" s="689"/>
      <c r="AM806" s="694">
        <f t="shared" si="1447"/>
        <v>0</v>
      </c>
      <c r="AN806" s="31"/>
      <c r="AO806" s="622"/>
      <c r="AP806" s="23"/>
      <c r="AQ806" s="23"/>
      <c r="AR806" s="23"/>
      <c r="AS806" s="23"/>
      <c r="AT806" s="23"/>
      <c r="AU806" s="23"/>
      <c r="AV806" s="23"/>
    </row>
    <row r="807" spans="1:48" s="23" customFormat="1" ht="20.65" hidden="1" customHeight="1">
      <c r="A807" s="274"/>
      <c r="B807" s="312"/>
      <c r="C807" s="308"/>
      <c r="D807" s="795" t="s">
        <v>112</v>
      </c>
      <c r="E807" s="1108" t="b">
        <f>IF(AND(ISNUMBER(E798)),122410+E804)</f>
        <v>0</v>
      </c>
      <c r="F807" s="1089" t="str">
        <f>IF(AND(ISNUMBER(F798)),E807+F804,"")</f>
        <v/>
      </c>
      <c r="G807" s="44" t="str">
        <f t="shared" ref="G807" si="1490">IF(AND(ISNUMBER(G798)),F807+G804,"")</f>
        <v/>
      </c>
      <c r="H807" s="1089" t="str">
        <f t="shared" ref="H807" si="1491">IF(AND(ISNUMBER(H798)),G807+H804,"")</f>
        <v/>
      </c>
      <c r="I807" s="1089" t="str">
        <f>IF(AND(ISNUMBER(I798)),H807+I804,"")</f>
        <v/>
      </c>
      <c r="J807" s="44" t="str">
        <f>IF(AND(ISNUMBER(J798)),I807+J804,"")</f>
        <v/>
      </c>
      <c r="K807" s="44" t="str">
        <f>IF(AND(ISNUMBER(K798)),J807+K804,"")</f>
        <v/>
      </c>
      <c r="L807" s="1089" t="str">
        <f t="shared" ref="L807" si="1492">IF(AND(ISNUMBER(L798)),K807+L804,"")</f>
        <v/>
      </c>
      <c r="M807" s="1089" t="str">
        <f t="shared" ref="M807" si="1493">IF(AND(ISNUMBER(M798)),L807+M804,"")</f>
        <v/>
      </c>
      <c r="N807" s="1089" t="str">
        <f t="shared" ref="N807" si="1494">IF(AND(ISNUMBER(N798)),M807+N804,"")</f>
        <v/>
      </c>
      <c r="O807" s="1089" t="str">
        <f t="shared" ref="O807" si="1495">IF(AND(ISNUMBER(O798)),N807+O804,"")</f>
        <v/>
      </c>
      <c r="P807" s="1089" t="str">
        <f t="shared" ref="P807" si="1496">IF(AND(ISNUMBER(P798)),O807+P804,"")</f>
        <v/>
      </c>
      <c r="Q807" s="44" t="str">
        <f t="shared" ref="Q807" si="1497">IF(AND(ISNUMBER(Q798)),P807+Q804,"")</f>
        <v/>
      </c>
      <c r="R807" s="44" t="str">
        <f t="shared" ref="R807" si="1498">IF(AND(ISNUMBER(R798)),Q807+R804,"")</f>
        <v/>
      </c>
      <c r="S807" s="1089" t="str">
        <f t="shared" ref="S807" si="1499">IF(AND(ISNUMBER(S798)),R807+S804,"")</f>
        <v/>
      </c>
      <c r="T807" s="1089" t="str">
        <f t="shared" ref="T807" si="1500">IF(AND(ISNUMBER(T798)),S807+T804,"")</f>
        <v/>
      </c>
      <c r="U807" s="1089" t="str">
        <f t="shared" ref="U807" si="1501">IF(AND(ISNUMBER(U798)),T807+U804,"")</f>
        <v/>
      </c>
      <c r="V807" s="1089" t="str">
        <f t="shared" ref="V807" si="1502">IF(AND(ISNUMBER(V798)),U807+V804,"")</f>
        <v/>
      </c>
      <c r="W807" s="1089" t="str">
        <f t="shared" ref="W807" si="1503">IF(AND(ISNUMBER(W798)),V807+W804,"")</f>
        <v/>
      </c>
      <c r="X807" s="44" t="str">
        <f t="shared" ref="X807" si="1504">IF(AND(ISNUMBER(X798)),W807+X804,"")</f>
        <v/>
      </c>
      <c r="Y807" s="44" t="str">
        <f t="shared" ref="Y807" si="1505">IF(AND(ISNUMBER(Y798)),X807+Y804,"")</f>
        <v/>
      </c>
      <c r="Z807" s="1089" t="str">
        <f t="shared" ref="Z807" si="1506">IF(AND(ISNUMBER(Z798)),Y807+Z804,"")</f>
        <v/>
      </c>
      <c r="AA807" s="1089" t="str">
        <f t="shared" ref="AA807" si="1507">IF(AND(ISNUMBER(AA798)),Z807+AA804,"")</f>
        <v/>
      </c>
      <c r="AB807" s="1089" t="str">
        <f t="shared" ref="AB807" si="1508">IF(AND(ISNUMBER(AB798)),AA807+AB804,"")</f>
        <v/>
      </c>
      <c r="AC807" s="1089" t="str">
        <f t="shared" ref="AC807" si="1509">IF(AND(ISNUMBER(AC798)),AB807+AC804,"")</f>
        <v/>
      </c>
      <c r="AD807" s="1089" t="str">
        <f t="shared" ref="AD807" si="1510">IF(AND(ISNUMBER(AD798)),AC807+AD804,"")</f>
        <v/>
      </c>
      <c r="AE807" s="44" t="str">
        <f t="shared" ref="AE807" si="1511">IF(AND(ISNUMBER(AE798)),AD807+AE804,"")</f>
        <v/>
      </c>
      <c r="AF807" s="44" t="str">
        <f t="shared" ref="AF807" si="1512">IF(AND(ISNUMBER(AF798)),AE807+AF804,"")</f>
        <v/>
      </c>
      <c r="AG807" s="1089" t="str">
        <f t="shared" ref="AG807" si="1513">IF(AND(ISNUMBER(AG798)),AF807+AG804,"")</f>
        <v/>
      </c>
      <c r="AH807" s="1089" t="str">
        <f t="shared" ref="AH807" si="1514">IF(AND(ISNUMBER(AH798)),AG807+AH804,"")</f>
        <v/>
      </c>
      <c r="AI807" s="1089" t="str">
        <f t="shared" ref="AI807" si="1515">IF(AND(ISNUMBER(AI798)),AH807+AI804,"")</f>
        <v/>
      </c>
      <c r="AJ807" s="793"/>
      <c r="AK807" s="793"/>
      <c r="AL807" s="909"/>
      <c r="AM807" s="890">
        <f t="shared" si="1447"/>
        <v>0</v>
      </c>
      <c r="AN807" s="76"/>
      <c r="AO807" s="624"/>
      <c r="AP807" s="285"/>
      <c r="AQ807" s="285"/>
      <c r="AR807" s="285"/>
      <c r="AS807" s="285"/>
      <c r="AT807" s="286"/>
      <c r="AU807" s="285"/>
      <c r="AV807" s="287"/>
    </row>
    <row r="808" spans="1:48" ht="25.15" hidden="1" customHeight="1">
      <c r="A808" s="103"/>
      <c r="B808" s="89"/>
      <c r="C808" s="80"/>
      <c r="D808" s="90" t="s">
        <v>104</v>
      </c>
      <c r="E808" s="1108"/>
      <c r="F808" s="1089"/>
      <c r="G808" s="44"/>
      <c r="H808" s="1089"/>
      <c r="I808" s="1089"/>
      <c r="J808" s="44"/>
      <c r="K808" s="44"/>
      <c r="L808" s="1089"/>
      <c r="M808" s="1089"/>
      <c r="N808" s="1089"/>
      <c r="O808" s="1089"/>
      <c r="P808" s="1089"/>
      <c r="Q808" s="44"/>
      <c r="R808" s="44"/>
      <c r="S808" s="1089"/>
      <c r="T808" s="1089"/>
      <c r="U808" s="1089"/>
      <c r="V808" s="1089"/>
      <c r="W808" s="1089"/>
      <c r="X808" s="44"/>
      <c r="Y808" s="44"/>
      <c r="Z808" s="1089"/>
      <c r="AA808" s="1089"/>
      <c r="AB808" s="1089"/>
      <c r="AC808" s="1089"/>
      <c r="AD808" s="1089"/>
      <c r="AE808" s="44"/>
      <c r="AF808" s="44"/>
      <c r="AG808" s="1089"/>
      <c r="AH808" s="1089"/>
      <c r="AI808" s="1326"/>
      <c r="AJ808" s="79"/>
      <c r="AK808" s="79"/>
      <c r="AL808" s="63"/>
      <c r="AM808" s="1068">
        <f t="shared" si="1447"/>
        <v>0</v>
      </c>
      <c r="AN808" s="64"/>
      <c r="AO808" s="624"/>
      <c r="AP808" s="23"/>
      <c r="AQ808" s="23"/>
      <c r="AR808" s="23"/>
      <c r="AS808" s="23"/>
      <c r="AT808" s="23"/>
      <c r="AU808" s="23"/>
      <c r="AV808" s="23"/>
    </row>
    <row r="809" spans="1:48" ht="25.15" hidden="1" customHeight="1" thickBot="1">
      <c r="A809" s="106"/>
      <c r="B809" s="93"/>
      <c r="C809" s="94"/>
      <c r="D809" s="95" t="s">
        <v>111</v>
      </c>
      <c r="E809" s="1109">
        <f>IF(E808="O/H",E804,0+E804)</f>
        <v>0</v>
      </c>
      <c r="F809" s="1110">
        <f t="shared" ref="F809:AI809" si="1516">IF(F808="O/H",F804,+E809+F804)</f>
        <v>0</v>
      </c>
      <c r="G809" s="1212">
        <f t="shared" si="1516"/>
        <v>0</v>
      </c>
      <c r="H809" s="1110">
        <f t="shared" si="1516"/>
        <v>0</v>
      </c>
      <c r="I809" s="1110">
        <f t="shared" si="1516"/>
        <v>0</v>
      </c>
      <c r="J809" s="1212">
        <f t="shared" si="1516"/>
        <v>0</v>
      </c>
      <c r="K809" s="1212">
        <f t="shared" si="1516"/>
        <v>0</v>
      </c>
      <c r="L809" s="1110">
        <f t="shared" si="1516"/>
        <v>0</v>
      </c>
      <c r="M809" s="1110">
        <f t="shared" si="1516"/>
        <v>0</v>
      </c>
      <c r="N809" s="1110">
        <f t="shared" si="1516"/>
        <v>0</v>
      </c>
      <c r="O809" s="1110">
        <f t="shared" si="1516"/>
        <v>0</v>
      </c>
      <c r="P809" s="1110">
        <f t="shared" si="1516"/>
        <v>0</v>
      </c>
      <c r="Q809" s="1212">
        <f t="shared" si="1516"/>
        <v>0</v>
      </c>
      <c r="R809" s="1212">
        <f t="shared" si="1516"/>
        <v>0</v>
      </c>
      <c r="S809" s="1110">
        <f t="shared" si="1516"/>
        <v>0</v>
      </c>
      <c r="T809" s="1110">
        <f t="shared" si="1516"/>
        <v>0</v>
      </c>
      <c r="U809" s="1110">
        <f t="shared" si="1516"/>
        <v>0</v>
      </c>
      <c r="V809" s="1110">
        <f t="shared" si="1516"/>
        <v>0</v>
      </c>
      <c r="W809" s="1110">
        <f t="shared" si="1516"/>
        <v>0</v>
      </c>
      <c r="X809" s="1212">
        <f t="shared" si="1516"/>
        <v>0</v>
      </c>
      <c r="Y809" s="1212">
        <f t="shared" si="1516"/>
        <v>0</v>
      </c>
      <c r="Z809" s="1110">
        <f t="shared" si="1516"/>
        <v>0</v>
      </c>
      <c r="AA809" s="1110">
        <f t="shared" si="1516"/>
        <v>0</v>
      </c>
      <c r="AB809" s="1110">
        <f t="shared" si="1516"/>
        <v>0</v>
      </c>
      <c r="AC809" s="1110">
        <f t="shared" si="1516"/>
        <v>0</v>
      </c>
      <c r="AD809" s="1110">
        <f t="shared" si="1516"/>
        <v>0</v>
      </c>
      <c r="AE809" s="1212">
        <f t="shared" si="1516"/>
        <v>0</v>
      </c>
      <c r="AF809" s="1212">
        <f t="shared" si="1516"/>
        <v>0</v>
      </c>
      <c r="AG809" s="1110">
        <f t="shared" si="1516"/>
        <v>0</v>
      </c>
      <c r="AH809" s="1110">
        <f t="shared" si="1516"/>
        <v>0</v>
      </c>
      <c r="AI809" s="1340">
        <f t="shared" si="1516"/>
        <v>0</v>
      </c>
      <c r="AJ809" s="96"/>
      <c r="AK809" s="96"/>
      <c r="AL809" s="97"/>
      <c r="AM809" s="1071">
        <f t="shared" si="1447"/>
        <v>0</v>
      </c>
      <c r="AN809" s="98"/>
      <c r="AO809" s="625"/>
      <c r="AP809" s="23"/>
      <c r="AQ809" s="23"/>
      <c r="AR809" s="23"/>
      <c r="AS809" s="23"/>
      <c r="AT809" s="23"/>
      <c r="AU809" s="23"/>
      <c r="AV809" s="23"/>
    </row>
    <row r="810" spans="1:48" ht="25.15" hidden="1" customHeight="1" thickTop="1">
      <c r="A810" s="99"/>
      <c r="B810" s="26" t="s">
        <v>196</v>
      </c>
      <c r="C810" s="27"/>
      <c r="D810" s="28" t="s">
        <v>82</v>
      </c>
      <c r="E810" s="1111"/>
      <c r="F810" s="1111"/>
      <c r="G810" s="1201"/>
      <c r="H810" s="1111"/>
      <c r="I810" s="1111"/>
      <c r="J810" s="1201"/>
      <c r="K810" s="1201"/>
      <c r="L810" s="1111"/>
      <c r="M810" s="1111"/>
      <c r="N810" s="1111"/>
      <c r="O810" s="1111"/>
      <c r="P810" s="1111"/>
      <c r="Q810" s="1201"/>
      <c r="R810" s="1201"/>
      <c r="S810" s="1111"/>
      <c r="T810" s="1111"/>
      <c r="U810" s="1111"/>
      <c r="V810" s="1111"/>
      <c r="W810" s="1111"/>
      <c r="X810" s="1201"/>
      <c r="Y810" s="1201"/>
      <c r="Z810" s="1111"/>
      <c r="AA810" s="1111"/>
      <c r="AB810" s="1111"/>
      <c r="AC810" s="1111"/>
      <c r="AD810" s="1111"/>
      <c r="AE810" s="1201"/>
      <c r="AF810" s="1201"/>
      <c r="AG810" s="1111"/>
      <c r="AH810" s="1111"/>
      <c r="AI810" s="1111"/>
      <c r="AJ810" s="100">
        <f>SUM(Table75[[#This Row],[June''2026]:[Column27]])</f>
        <v>0</v>
      </c>
      <c r="AK810" s="100">
        <f t="shared" si="1477"/>
        <v>0</v>
      </c>
      <c r="AL810" s="101">
        <f>+AJ810*AN810</f>
        <v>0</v>
      </c>
      <c r="AM810" s="1072">
        <f t="shared" si="1447"/>
        <v>0</v>
      </c>
      <c r="AN810" s="102"/>
      <c r="AO810" s="622" t="e">
        <f>Table5[[#This Row],[Total]]*B814/1000</f>
        <v>#VALUE!</v>
      </c>
      <c r="AP810" s="32" t="s">
        <v>193</v>
      </c>
      <c r="AQ810" s="33" t="s">
        <v>84</v>
      </c>
      <c r="AR810" s="33" t="s">
        <v>85</v>
      </c>
      <c r="AS810" s="33" t="s">
        <v>86</v>
      </c>
      <c r="AT810" s="33" t="s">
        <v>87</v>
      </c>
      <c r="AU810" s="33" t="s">
        <v>88</v>
      </c>
      <c r="AV810" s="34" t="s">
        <v>68</v>
      </c>
    </row>
    <row r="811" spans="1:48" ht="25.15" hidden="1" customHeight="1">
      <c r="A811" s="103"/>
      <c r="B811" s="35" t="s">
        <v>197</v>
      </c>
      <c r="C811" s="36"/>
      <c r="D811" s="37" t="s">
        <v>90</v>
      </c>
      <c r="E811" s="1373">
        <f>IF(E810="",0,+ E810/E817)</f>
        <v>0</v>
      </c>
      <c r="F811" s="1096">
        <f t="shared" ref="F811:AI811" si="1517">IF(F810="",0, E811+F810/F817)</f>
        <v>0</v>
      </c>
      <c r="G811" s="1207">
        <f t="shared" si="1517"/>
        <v>0</v>
      </c>
      <c r="H811" s="1096">
        <f t="shared" si="1517"/>
        <v>0</v>
      </c>
      <c r="I811" s="1096">
        <f t="shared" si="1517"/>
        <v>0</v>
      </c>
      <c r="J811" s="1207">
        <f t="shared" si="1517"/>
        <v>0</v>
      </c>
      <c r="K811" s="1207">
        <f t="shared" si="1517"/>
        <v>0</v>
      </c>
      <c r="L811" s="1096">
        <f t="shared" si="1517"/>
        <v>0</v>
      </c>
      <c r="M811" s="1096">
        <f t="shared" si="1517"/>
        <v>0</v>
      </c>
      <c r="N811" s="1096">
        <f t="shared" si="1517"/>
        <v>0</v>
      </c>
      <c r="O811" s="1096">
        <f t="shared" si="1517"/>
        <v>0</v>
      </c>
      <c r="P811" s="1096">
        <f t="shared" si="1517"/>
        <v>0</v>
      </c>
      <c r="Q811" s="1207">
        <f t="shared" si="1517"/>
        <v>0</v>
      </c>
      <c r="R811" s="1207">
        <f t="shared" si="1517"/>
        <v>0</v>
      </c>
      <c r="S811" s="1096">
        <f t="shared" si="1517"/>
        <v>0</v>
      </c>
      <c r="T811" s="1096">
        <f t="shared" si="1517"/>
        <v>0</v>
      </c>
      <c r="U811" s="1096">
        <f t="shared" si="1517"/>
        <v>0</v>
      </c>
      <c r="V811" s="1096">
        <f t="shared" si="1517"/>
        <v>0</v>
      </c>
      <c r="W811" s="1096">
        <f t="shared" si="1517"/>
        <v>0</v>
      </c>
      <c r="X811" s="1207">
        <f t="shared" si="1517"/>
        <v>0</v>
      </c>
      <c r="Y811" s="1207">
        <f t="shared" si="1517"/>
        <v>0</v>
      </c>
      <c r="Z811" s="1096">
        <f t="shared" si="1517"/>
        <v>0</v>
      </c>
      <c r="AA811" s="1096">
        <f t="shared" si="1517"/>
        <v>0</v>
      </c>
      <c r="AB811" s="1096">
        <f t="shared" si="1517"/>
        <v>0</v>
      </c>
      <c r="AC811" s="1096">
        <f t="shared" si="1517"/>
        <v>0</v>
      </c>
      <c r="AD811" s="1096">
        <f t="shared" si="1517"/>
        <v>0</v>
      </c>
      <c r="AE811" s="1207">
        <f t="shared" si="1517"/>
        <v>0</v>
      </c>
      <c r="AF811" s="1207">
        <f t="shared" si="1517"/>
        <v>0</v>
      </c>
      <c r="AG811" s="1096">
        <f t="shared" si="1517"/>
        <v>0</v>
      </c>
      <c r="AH811" s="1096">
        <f t="shared" si="1517"/>
        <v>0</v>
      </c>
      <c r="AI811" s="1324">
        <f t="shared" si="1517"/>
        <v>0</v>
      </c>
      <c r="AJ811" s="38"/>
      <c r="AK811" s="29"/>
      <c r="AL811" s="30"/>
      <c r="AM811" s="694">
        <f t="shared" si="1447"/>
        <v>0</v>
      </c>
      <c r="AN811" s="31"/>
      <c r="AO811" s="630"/>
      <c r="AP811" s="39" t="s">
        <v>91</v>
      </c>
      <c r="AQ811" s="40">
        <f>SUM(E810:I810)</f>
        <v>0</v>
      </c>
      <c r="AR811" s="41">
        <f>SUM(J810:P810)</f>
        <v>0</v>
      </c>
      <c r="AS811" s="41">
        <f>SUM(Q810:W810)</f>
        <v>0</v>
      </c>
      <c r="AT811" s="41">
        <f>SUM(X810:AD810)</f>
        <v>0</v>
      </c>
      <c r="AU811" s="41">
        <f>SUM(AE810:AI810)</f>
        <v>0</v>
      </c>
      <c r="AV811" s="34">
        <f t="shared" ref="AV811:AV816" si="1518">SUM(AQ811:AU811)</f>
        <v>0</v>
      </c>
    </row>
    <row r="812" spans="1:48" ht="25.15" hidden="1" customHeight="1">
      <c r="A812" s="103"/>
      <c r="B812" s="26" t="s">
        <v>92</v>
      </c>
      <c r="C812" s="42"/>
      <c r="D812" s="43" t="s">
        <v>93</v>
      </c>
      <c r="E812" s="1325"/>
      <c r="F812" s="1089"/>
      <c r="G812" s="44"/>
      <c r="H812" s="1089"/>
      <c r="I812" s="1089"/>
      <c r="J812" s="44"/>
      <c r="K812" s="44"/>
      <c r="L812" s="1089"/>
      <c r="M812" s="1089"/>
      <c r="N812" s="1089"/>
      <c r="O812" s="1089"/>
      <c r="P812" s="1089"/>
      <c r="Q812" s="44"/>
      <c r="R812" s="44"/>
      <c r="S812" s="1089"/>
      <c r="T812" s="1089"/>
      <c r="U812" s="1089"/>
      <c r="V812" s="1089"/>
      <c r="W812" s="1089"/>
      <c r="X812" s="44"/>
      <c r="Y812" s="44"/>
      <c r="Z812" s="1089"/>
      <c r="AA812" s="1089"/>
      <c r="AB812" s="1089"/>
      <c r="AC812" s="1089"/>
      <c r="AD812" s="1089"/>
      <c r="AE812" s="44"/>
      <c r="AF812" s="44"/>
      <c r="AG812" s="1089"/>
      <c r="AH812" s="1089"/>
      <c r="AI812" s="1326"/>
      <c r="AJ812" s="45">
        <f>SUM(E812:AI812)</f>
        <v>0</v>
      </c>
      <c r="AK812" s="45"/>
      <c r="AL812" s="46">
        <f>+AJ812*AN810</f>
        <v>0</v>
      </c>
      <c r="AM812" s="1066">
        <f t="shared" si="1447"/>
        <v>0</v>
      </c>
      <c r="AN812" s="31"/>
      <c r="AO812" s="632">
        <f>(AJ812+AJ814+AJ815+AJ816)*B814/1000</f>
        <v>0</v>
      </c>
      <c r="AP812" s="47" t="s">
        <v>94</v>
      </c>
      <c r="AQ812" s="48">
        <f>SUM(E812:I812)</f>
        <v>0</v>
      </c>
      <c r="AR812" s="49">
        <f>SUM(J812:P812)</f>
        <v>0</v>
      </c>
      <c r="AS812" s="49">
        <f>SUM(Q812:W812)</f>
        <v>0</v>
      </c>
      <c r="AT812" s="49">
        <f>SUM(X812:AD812)</f>
        <v>0</v>
      </c>
      <c r="AU812" s="49">
        <f>SUM(AE812:AI812)</f>
        <v>0</v>
      </c>
      <c r="AV812" s="50">
        <f t="shared" si="1518"/>
        <v>0</v>
      </c>
    </row>
    <row r="813" spans="1:48" ht="25.15" hidden="1" customHeight="1">
      <c r="A813" s="103"/>
      <c r="B813" s="51"/>
      <c r="C813" s="52" t="s">
        <v>95</v>
      </c>
      <c r="D813" s="53" t="s">
        <v>96</v>
      </c>
      <c r="E813" s="1327">
        <f t="shared" ref="E813:AJ813" si="1519">+E812-E810</f>
        <v>0</v>
      </c>
      <c r="F813" s="1097">
        <f t="shared" si="1519"/>
        <v>0</v>
      </c>
      <c r="G813" s="1205">
        <f t="shared" si="1519"/>
        <v>0</v>
      </c>
      <c r="H813" s="1097">
        <f t="shared" si="1519"/>
        <v>0</v>
      </c>
      <c r="I813" s="1097">
        <f t="shared" si="1519"/>
        <v>0</v>
      </c>
      <c r="J813" s="1205">
        <f t="shared" si="1519"/>
        <v>0</v>
      </c>
      <c r="K813" s="1205">
        <f t="shared" si="1519"/>
        <v>0</v>
      </c>
      <c r="L813" s="1097">
        <f t="shared" si="1519"/>
        <v>0</v>
      </c>
      <c r="M813" s="1097">
        <f t="shared" si="1519"/>
        <v>0</v>
      </c>
      <c r="N813" s="1097">
        <f t="shared" si="1519"/>
        <v>0</v>
      </c>
      <c r="O813" s="1097">
        <f t="shared" si="1519"/>
        <v>0</v>
      </c>
      <c r="P813" s="1097">
        <f t="shared" si="1519"/>
        <v>0</v>
      </c>
      <c r="Q813" s="1205">
        <f t="shared" si="1519"/>
        <v>0</v>
      </c>
      <c r="R813" s="1205">
        <f t="shared" si="1519"/>
        <v>0</v>
      </c>
      <c r="S813" s="1097">
        <f t="shared" si="1519"/>
        <v>0</v>
      </c>
      <c r="T813" s="1097">
        <f t="shared" si="1519"/>
        <v>0</v>
      </c>
      <c r="U813" s="1097">
        <f t="shared" si="1519"/>
        <v>0</v>
      </c>
      <c r="V813" s="1097">
        <f t="shared" si="1519"/>
        <v>0</v>
      </c>
      <c r="W813" s="1097">
        <f t="shared" si="1519"/>
        <v>0</v>
      </c>
      <c r="X813" s="1205">
        <f t="shared" si="1519"/>
        <v>0</v>
      </c>
      <c r="Y813" s="1205">
        <f t="shared" si="1519"/>
        <v>0</v>
      </c>
      <c r="Z813" s="1097">
        <f t="shared" si="1519"/>
        <v>0</v>
      </c>
      <c r="AA813" s="1097">
        <f t="shared" si="1519"/>
        <v>0</v>
      </c>
      <c r="AB813" s="1097">
        <f t="shared" si="1519"/>
        <v>0</v>
      </c>
      <c r="AC813" s="1097">
        <f t="shared" si="1519"/>
        <v>0</v>
      </c>
      <c r="AD813" s="1097">
        <f t="shared" si="1519"/>
        <v>0</v>
      </c>
      <c r="AE813" s="1205">
        <f t="shared" si="1519"/>
        <v>0</v>
      </c>
      <c r="AF813" s="1205">
        <f t="shared" si="1519"/>
        <v>0</v>
      </c>
      <c r="AG813" s="1097">
        <f t="shared" si="1519"/>
        <v>0</v>
      </c>
      <c r="AH813" s="1097">
        <f t="shared" si="1519"/>
        <v>0</v>
      </c>
      <c r="AI813" s="1328">
        <f t="shared" si="1519"/>
        <v>0</v>
      </c>
      <c r="AJ813" s="54">
        <f t="shared" si="1519"/>
        <v>0</v>
      </c>
      <c r="AK813" s="54"/>
      <c r="AL813" s="55">
        <f>+AJ813*AN810</f>
        <v>0</v>
      </c>
      <c r="AM813" s="1067">
        <f t="shared" si="1447"/>
        <v>0</v>
      </c>
      <c r="AN813" s="31" t="s">
        <v>97</v>
      </c>
      <c r="AO813" s="622"/>
      <c r="AP813" s="39" t="s">
        <v>98</v>
      </c>
      <c r="AQ813" s="56">
        <f>AQ812-AQ811</f>
        <v>0</v>
      </c>
      <c r="AR813" s="70">
        <f>AR812-AR811</f>
        <v>0</v>
      </c>
      <c r="AS813" s="70">
        <f>AS812-AS811</f>
        <v>0</v>
      </c>
      <c r="AT813" s="70">
        <f>AT812-AT811</f>
        <v>0</v>
      </c>
      <c r="AU813" s="70">
        <f>AU812-AU811</f>
        <v>0</v>
      </c>
      <c r="AV813" s="57">
        <f t="shared" si="1518"/>
        <v>0</v>
      </c>
    </row>
    <row r="814" spans="1:48" ht="25.15" hidden="1" customHeight="1">
      <c r="A814" s="58"/>
      <c r="B814" s="59"/>
      <c r="C814" s="60" t="s">
        <v>100</v>
      </c>
      <c r="D814" s="61" t="s">
        <v>101</v>
      </c>
      <c r="E814" s="1329"/>
      <c r="F814" s="1099"/>
      <c r="G814" s="1208"/>
      <c r="H814" s="1099"/>
      <c r="I814" s="1099"/>
      <c r="J814" s="1208"/>
      <c r="K814" s="1208"/>
      <c r="L814" s="1099"/>
      <c r="M814" s="1099"/>
      <c r="N814" s="1099"/>
      <c r="O814" s="1099"/>
      <c r="P814" s="1099"/>
      <c r="Q814" s="1208"/>
      <c r="R814" s="1208"/>
      <c r="S814" s="1099"/>
      <c r="T814" s="1099"/>
      <c r="U814" s="1099"/>
      <c r="V814" s="1099"/>
      <c r="W814" s="1099"/>
      <c r="X814" s="1208"/>
      <c r="Y814" s="1208"/>
      <c r="Z814" s="1099"/>
      <c r="AA814" s="1099"/>
      <c r="AB814" s="1099"/>
      <c r="AC814" s="1099"/>
      <c r="AD814" s="1099"/>
      <c r="AE814" s="1208"/>
      <c r="AF814" s="1208"/>
      <c r="AG814" s="1099"/>
      <c r="AH814" s="1099"/>
      <c r="AI814" s="1330"/>
      <c r="AJ814" s="62">
        <f>SUM(E814:AI814)</f>
        <v>0</v>
      </c>
      <c r="AK814" s="62"/>
      <c r="AL814" s="63">
        <f>+AJ814*AN810</f>
        <v>0</v>
      </c>
      <c r="AM814" s="1068">
        <f t="shared" si="1447"/>
        <v>0</v>
      </c>
      <c r="AN814" s="64" t="e">
        <f>+AJ814/AJ812*100</f>
        <v>#DIV/0!</v>
      </c>
      <c r="AO814" s="635" t="e">
        <f>AO812/AO810</f>
        <v>#VALUE!</v>
      </c>
      <c r="AP814" s="39" t="s">
        <v>102</v>
      </c>
      <c r="AQ814" s="56">
        <f>SUM(E814:I814)</f>
        <v>0</v>
      </c>
      <c r="AR814" s="70">
        <f>SUM(J814:P814)</f>
        <v>0</v>
      </c>
      <c r="AS814" s="70">
        <f>SUM(Q814:W814)</f>
        <v>0</v>
      </c>
      <c r="AT814" s="70">
        <f>SUM(X814:AD814)</f>
        <v>0</v>
      </c>
      <c r="AU814" s="70">
        <f>SUM(AE814:AI814)</f>
        <v>0</v>
      </c>
      <c r="AV814" s="57">
        <f t="shared" si="1518"/>
        <v>0</v>
      </c>
    </row>
    <row r="815" spans="1:48" ht="25.15" hidden="1" customHeight="1">
      <c r="A815" s="58" t="s">
        <v>195</v>
      </c>
      <c r="B815" s="65"/>
      <c r="C815" s="66"/>
      <c r="D815" s="67" t="s">
        <v>103</v>
      </c>
      <c r="E815" s="1331"/>
      <c r="F815" s="1101"/>
      <c r="G815" s="1209"/>
      <c r="H815" s="1101"/>
      <c r="I815" s="1101"/>
      <c r="J815" s="1209"/>
      <c r="K815" s="1209"/>
      <c r="L815" s="1101"/>
      <c r="M815" s="1101"/>
      <c r="N815" s="1101"/>
      <c r="O815" s="1101"/>
      <c r="P815" s="1101"/>
      <c r="Q815" s="1209"/>
      <c r="R815" s="1209"/>
      <c r="S815" s="1101"/>
      <c r="T815" s="1101"/>
      <c r="U815" s="1101"/>
      <c r="V815" s="1101"/>
      <c r="W815" s="1101"/>
      <c r="X815" s="1209"/>
      <c r="Y815" s="1209"/>
      <c r="Z815" s="1101"/>
      <c r="AA815" s="1101"/>
      <c r="AB815" s="1101"/>
      <c r="AC815" s="1101"/>
      <c r="AD815" s="1101"/>
      <c r="AE815" s="1209"/>
      <c r="AF815" s="1209"/>
      <c r="AG815" s="1101"/>
      <c r="AH815" s="1101"/>
      <c r="AI815" s="1332"/>
      <c r="AJ815" s="68">
        <f>SUM(E815:AI815)</f>
        <v>0</v>
      </c>
      <c r="AK815" s="68"/>
      <c r="AL815" s="69">
        <f>+AJ815*AN810</f>
        <v>0</v>
      </c>
      <c r="AM815" s="1069">
        <f t="shared" si="1447"/>
        <v>0</v>
      </c>
      <c r="AN815" s="31"/>
      <c r="AO815" s="622"/>
      <c r="AP815" s="39" t="s">
        <v>19</v>
      </c>
      <c r="AQ815" s="56">
        <f>AQ814*AN810</f>
        <v>0</v>
      </c>
      <c r="AR815" s="56">
        <f>AR814*AN810</f>
        <v>0</v>
      </c>
      <c r="AS815" s="56">
        <f>AS814*AN810</f>
        <v>0</v>
      </c>
      <c r="AT815" s="56">
        <f>AT814*AN810</f>
        <v>0</v>
      </c>
      <c r="AU815" s="56">
        <f>AU814*AN810</f>
        <v>0</v>
      </c>
      <c r="AV815" s="57">
        <f t="shared" si="1518"/>
        <v>0</v>
      </c>
    </row>
    <row r="816" spans="1:48" ht="25.15" hidden="1" customHeight="1">
      <c r="A816" s="103"/>
      <c r="B816" s="65"/>
      <c r="C816" s="72" t="s">
        <v>104</v>
      </c>
      <c r="D816" s="73" t="s">
        <v>105</v>
      </c>
      <c r="E816" s="1378"/>
      <c r="F816" s="1103"/>
      <c r="G816" s="1210"/>
      <c r="H816" s="1103"/>
      <c r="I816" s="1103"/>
      <c r="J816" s="1210"/>
      <c r="K816" s="1210"/>
      <c r="L816" s="1103"/>
      <c r="M816" s="1103"/>
      <c r="N816" s="1103"/>
      <c r="O816" s="1103"/>
      <c r="P816" s="1103"/>
      <c r="Q816" s="1210"/>
      <c r="R816" s="1210"/>
      <c r="S816" s="1103"/>
      <c r="T816" s="1103"/>
      <c r="U816" s="1103"/>
      <c r="V816" s="1103"/>
      <c r="W816" s="1103"/>
      <c r="X816" s="1210"/>
      <c r="Y816" s="1210"/>
      <c r="Z816" s="1103"/>
      <c r="AA816" s="1103"/>
      <c r="AB816" s="1103"/>
      <c r="AC816" s="1103"/>
      <c r="AD816" s="1103"/>
      <c r="AE816" s="1210"/>
      <c r="AF816" s="1210"/>
      <c r="AG816" s="1103"/>
      <c r="AH816" s="1103"/>
      <c r="AI816" s="1352"/>
      <c r="AJ816" s="74">
        <f>SUM(E816:AI816)</f>
        <v>0</v>
      </c>
      <c r="AK816" s="74"/>
      <c r="AL816" s="75">
        <f>+AJ816*AN810</f>
        <v>0</v>
      </c>
      <c r="AM816" s="1070">
        <f t="shared" si="1447"/>
        <v>0</v>
      </c>
      <c r="AN816" s="76"/>
      <c r="AO816" s="636"/>
      <c r="AP816" s="47" t="s">
        <v>106</v>
      </c>
      <c r="AQ816" s="48">
        <f>AQ812*AN810</f>
        <v>0</v>
      </c>
      <c r="AR816" s="48">
        <f>AR812*AN810</f>
        <v>0</v>
      </c>
      <c r="AS816" s="48">
        <f>AS812*AN810</f>
        <v>0</v>
      </c>
      <c r="AT816" s="48">
        <f>AT812*AN810</f>
        <v>0</v>
      </c>
      <c r="AU816" s="48">
        <f>AU812*AN810</f>
        <v>0</v>
      </c>
      <c r="AV816" s="50">
        <f t="shared" si="1518"/>
        <v>0</v>
      </c>
    </row>
    <row r="817" spans="1:48" ht="25.15" hidden="1" customHeight="1">
      <c r="A817" s="103"/>
      <c r="B817" s="65"/>
      <c r="C817" s="77">
        <v>300000</v>
      </c>
      <c r="D817" s="78" t="s">
        <v>107</v>
      </c>
      <c r="E817" s="1327">
        <v>1</v>
      </c>
      <c r="F817" s="1097">
        <v>1</v>
      </c>
      <c r="G817" s="1205">
        <v>1</v>
      </c>
      <c r="H817" s="1097">
        <v>1</v>
      </c>
      <c r="I817" s="1097">
        <v>1</v>
      </c>
      <c r="J817" s="1205">
        <v>1</v>
      </c>
      <c r="K817" s="1205">
        <v>1</v>
      </c>
      <c r="L817" s="1097">
        <v>1</v>
      </c>
      <c r="M817" s="1097">
        <v>1</v>
      </c>
      <c r="N817" s="1097">
        <v>1</v>
      </c>
      <c r="O817" s="1097">
        <v>1</v>
      </c>
      <c r="P817" s="1097">
        <v>1</v>
      </c>
      <c r="Q817" s="1205">
        <v>1</v>
      </c>
      <c r="R817" s="1205">
        <v>1</v>
      </c>
      <c r="S817" s="1097">
        <v>1</v>
      </c>
      <c r="T817" s="1097">
        <v>1</v>
      </c>
      <c r="U817" s="1097">
        <v>1</v>
      </c>
      <c r="V817" s="1097">
        <v>1</v>
      </c>
      <c r="W817" s="1097">
        <v>1</v>
      </c>
      <c r="X817" s="1205">
        <v>1</v>
      </c>
      <c r="Y817" s="1205">
        <v>1</v>
      </c>
      <c r="Z817" s="1097">
        <v>1</v>
      </c>
      <c r="AA817" s="1097">
        <v>1</v>
      </c>
      <c r="AB817" s="1097">
        <v>1</v>
      </c>
      <c r="AC817" s="1097">
        <v>1</v>
      </c>
      <c r="AD817" s="1097">
        <v>1</v>
      </c>
      <c r="AE817" s="1205">
        <v>1</v>
      </c>
      <c r="AF817" s="1205">
        <v>1</v>
      </c>
      <c r="AG817" s="1097">
        <v>1</v>
      </c>
      <c r="AH817" s="1097">
        <v>1</v>
      </c>
      <c r="AI817" s="1328">
        <v>1</v>
      </c>
      <c r="AJ817" s="79"/>
      <c r="AK817" s="79"/>
      <c r="AL817" s="55"/>
      <c r="AM817" s="1067">
        <f t="shared" si="1447"/>
        <v>0</v>
      </c>
      <c r="AN817" s="31"/>
      <c r="AO817" s="622"/>
      <c r="AP817" s="23"/>
      <c r="AQ817" s="23"/>
      <c r="AR817" s="23"/>
      <c r="AS817" s="23"/>
      <c r="AT817" s="23"/>
      <c r="AU817" s="23"/>
      <c r="AV817" s="23"/>
    </row>
    <row r="818" spans="1:48" ht="25.15" hidden="1" customHeight="1">
      <c r="A818" s="103"/>
      <c r="B818" s="65"/>
      <c r="C818" s="80" t="s">
        <v>108</v>
      </c>
      <c r="D818" s="81" t="s">
        <v>109</v>
      </c>
      <c r="E818" s="1374">
        <f>SUM(E812+E814+E815+E816)/E817</f>
        <v>0</v>
      </c>
      <c r="F818" s="1104">
        <f>SUM(F812+F814+F815+F816)/F817</f>
        <v>0</v>
      </c>
      <c r="G818" s="1211">
        <f>SUM(G812+G814+G815+G816)/G817</f>
        <v>0</v>
      </c>
      <c r="H818" s="1104">
        <f t="shared" ref="H818:AH818" si="1520">SUM(H812+H814+H815+H816)/H817</f>
        <v>0</v>
      </c>
      <c r="I818" s="1104">
        <f t="shared" si="1520"/>
        <v>0</v>
      </c>
      <c r="J818" s="1211">
        <f t="shared" si="1520"/>
        <v>0</v>
      </c>
      <c r="K818" s="1211">
        <f t="shared" si="1520"/>
        <v>0</v>
      </c>
      <c r="L818" s="1104">
        <f t="shared" si="1520"/>
        <v>0</v>
      </c>
      <c r="M818" s="1104">
        <f t="shared" si="1520"/>
        <v>0</v>
      </c>
      <c r="N818" s="1104">
        <f t="shared" si="1520"/>
        <v>0</v>
      </c>
      <c r="O818" s="1104">
        <f t="shared" si="1520"/>
        <v>0</v>
      </c>
      <c r="P818" s="1104">
        <f t="shared" si="1520"/>
        <v>0</v>
      </c>
      <c r="Q818" s="1211">
        <f t="shared" si="1520"/>
        <v>0</v>
      </c>
      <c r="R818" s="1211">
        <f t="shared" si="1520"/>
        <v>0</v>
      </c>
      <c r="S818" s="1104">
        <f t="shared" si="1520"/>
        <v>0</v>
      </c>
      <c r="T818" s="1104">
        <f t="shared" si="1520"/>
        <v>0</v>
      </c>
      <c r="U818" s="1104">
        <f t="shared" si="1520"/>
        <v>0</v>
      </c>
      <c r="V818" s="1104">
        <f t="shared" si="1520"/>
        <v>0</v>
      </c>
      <c r="W818" s="1104">
        <f t="shared" si="1520"/>
        <v>0</v>
      </c>
      <c r="X818" s="1211">
        <f t="shared" si="1520"/>
        <v>0</v>
      </c>
      <c r="Y818" s="1211">
        <f t="shared" si="1520"/>
        <v>0</v>
      </c>
      <c r="Z818" s="1104">
        <f t="shared" si="1520"/>
        <v>0</v>
      </c>
      <c r="AA818" s="1104">
        <f t="shared" si="1520"/>
        <v>0</v>
      </c>
      <c r="AB818" s="1104">
        <f t="shared" si="1520"/>
        <v>0</v>
      </c>
      <c r="AC818" s="1104">
        <f t="shared" si="1520"/>
        <v>0</v>
      </c>
      <c r="AD818" s="1104">
        <f t="shared" si="1520"/>
        <v>0</v>
      </c>
      <c r="AE818" s="1211">
        <f t="shared" si="1520"/>
        <v>0</v>
      </c>
      <c r="AF818" s="1211">
        <f t="shared" si="1520"/>
        <v>0</v>
      </c>
      <c r="AG818" s="1104">
        <f t="shared" si="1520"/>
        <v>0</v>
      </c>
      <c r="AH818" s="1104">
        <f t="shared" si="1520"/>
        <v>0</v>
      </c>
      <c r="AI818" s="1335">
        <f>SUM(AI812+AI814+AI815)/AI817</f>
        <v>0</v>
      </c>
      <c r="AJ818" s="104">
        <f>SUM(E818:AI818)</f>
        <v>0</v>
      </c>
      <c r="AK818" s="104"/>
      <c r="AL818" s="83"/>
      <c r="AM818" s="1068">
        <f t="shared" si="1447"/>
        <v>0</v>
      </c>
      <c r="AN818" s="31"/>
      <c r="AO818" s="622"/>
      <c r="AP818" s="23"/>
      <c r="AQ818" s="23"/>
      <c r="AR818" s="23"/>
      <c r="AS818" s="23"/>
      <c r="AT818" s="23"/>
      <c r="AU818" s="23"/>
      <c r="AV818" s="23"/>
    </row>
    <row r="819" spans="1:48" ht="25.15" hidden="1" customHeight="1">
      <c r="A819" s="103"/>
      <c r="B819" s="59"/>
      <c r="C819" s="84">
        <f>+C817*0.8</f>
        <v>240000</v>
      </c>
      <c r="D819" s="85" t="s">
        <v>110</v>
      </c>
      <c r="E819" s="1105"/>
      <c r="F819" s="1106"/>
      <c r="G819" s="1211"/>
      <c r="H819" s="1104"/>
      <c r="I819" s="1104"/>
      <c r="J819" s="1211"/>
      <c r="K819" s="1211"/>
      <c r="L819" s="1104"/>
      <c r="M819" s="1104"/>
      <c r="N819" s="1104"/>
      <c r="O819" s="1107"/>
      <c r="P819" s="1104"/>
      <c r="Q819" s="1211"/>
      <c r="R819" s="1211"/>
      <c r="S819" s="1104"/>
      <c r="T819" s="1104"/>
      <c r="U819" s="1104"/>
      <c r="V819" s="1104"/>
      <c r="W819" s="1104"/>
      <c r="X819" s="1211"/>
      <c r="Y819" s="1211"/>
      <c r="Z819" s="1104"/>
      <c r="AA819" s="1104"/>
      <c r="AB819" s="1104"/>
      <c r="AC819" s="1104"/>
      <c r="AD819" s="1104"/>
      <c r="AE819" s="1211"/>
      <c r="AF819" s="1211"/>
      <c r="AG819" s="1104"/>
      <c r="AH819" s="1104"/>
      <c r="AI819" s="1353"/>
      <c r="AJ819" s="86"/>
      <c r="AK819" s="86"/>
      <c r="AL819" s="690"/>
      <c r="AM819" s="694">
        <f t="shared" si="1447"/>
        <v>0</v>
      </c>
      <c r="AN819" s="31"/>
      <c r="AO819" s="622"/>
      <c r="AP819" s="23"/>
      <c r="AQ819" s="23"/>
      <c r="AR819" s="23"/>
      <c r="AS819" s="23"/>
      <c r="AT819" s="23"/>
      <c r="AU819" s="23"/>
      <c r="AV819" s="23"/>
    </row>
    <row r="820" spans="1:48" ht="25.15" hidden="1" customHeight="1">
      <c r="A820" s="103"/>
      <c r="B820" s="105"/>
      <c r="C820" s="77"/>
      <c r="D820" s="88" t="s">
        <v>111</v>
      </c>
      <c r="E820" s="1108">
        <f>IF(E819="O/H",E818,0+E818)</f>
        <v>0</v>
      </c>
      <c r="F820" s="1089">
        <f t="shared" ref="F820:AI820" si="1521">IF(F819="O/H",F818,+E820+F818)</f>
        <v>0</v>
      </c>
      <c r="G820" s="44">
        <f t="shared" si="1521"/>
        <v>0</v>
      </c>
      <c r="H820" s="1089">
        <f t="shared" si="1521"/>
        <v>0</v>
      </c>
      <c r="I820" s="1089">
        <f t="shared" si="1521"/>
        <v>0</v>
      </c>
      <c r="J820" s="44">
        <f t="shared" si="1521"/>
        <v>0</v>
      </c>
      <c r="K820" s="44">
        <f t="shared" si="1521"/>
        <v>0</v>
      </c>
      <c r="L820" s="1089">
        <f t="shared" si="1521"/>
        <v>0</v>
      </c>
      <c r="M820" s="1089">
        <f t="shared" si="1521"/>
        <v>0</v>
      </c>
      <c r="N820" s="1089">
        <f t="shared" si="1521"/>
        <v>0</v>
      </c>
      <c r="O820" s="1089">
        <f t="shared" si="1521"/>
        <v>0</v>
      </c>
      <c r="P820" s="1089">
        <f t="shared" si="1521"/>
        <v>0</v>
      </c>
      <c r="Q820" s="44">
        <f t="shared" si="1521"/>
        <v>0</v>
      </c>
      <c r="R820" s="44">
        <f t="shared" si="1521"/>
        <v>0</v>
      </c>
      <c r="S820" s="1089">
        <f t="shared" si="1521"/>
        <v>0</v>
      </c>
      <c r="T820" s="1089">
        <f t="shared" si="1521"/>
        <v>0</v>
      </c>
      <c r="U820" s="1089">
        <f t="shared" si="1521"/>
        <v>0</v>
      </c>
      <c r="V820" s="1089">
        <f t="shared" si="1521"/>
        <v>0</v>
      </c>
      <c r="W820" s="1089">
        <f t="shared" si="1521"/>
        <v>0</v>
      </c>
      <c r="X820" s="44">
        <f t="shared" si="1521"/>
        <v>0</v>
      </c>
      <c r="Y820" s="44">
        <f t="shared" si="1521"/>
        <v>0</v>
      </c>
      <c r="Z820" s="1089">
        <f t="shared" si="1521"/>
        <v>0</v>
      </c>
      <c r="AA820" s="1089">
        <f t="shared" si="1521"/>
        <v>0</v>
      </c>
      <c r="AB820" s="1089">
        <f t="shared" si="1521"/>
        <v>0</v>
      </c>
      <c r="AC820" s="1089">
        <f t="shared" si="1521"/>
        <v>0</v>
      </c>
      <c r="AD820" s="1089">
        <f t="shared" si="1521"/>
        <v>0</v>
      </c>
      <c r="AE820" s="44">
        <f t="shared" si="1521"/>
        <v>0</v>
      </c>
      <c r="AF820" s="44">
        <f t="shared" si="1521"/>
        <v>0</v>
      </c>
      <c r="AG820" s="1089">
        <f t="shared" si="1521"/>
        <v>0</v>
      </c>
      <c r="AH820" s="1089">
        <f t="shared" si="1521"/>
        <v>0</v>
      </c>
      <c r="AI820" s="1326">
        <f t="shared" si="1521"/>
        <v>0</v>
      </c>
      <c r="AJ820" s="79"/>
      <c r="AK820" s="86"/>
      <c r="AL820" s="689"/>
      <c r="AM820" s="694">
        <f t="shared" si="1447"/>
        <v>0</v>
      </c>
      <c r="AN820" s="31"/>
      <c r="AO820" s="622"/>
      <c r="AP820" s="23"/>
      <c r="AQ820" s="23"/>
      <c r="AR820" s="23"/>
      <c r="AS820" s="23"/>
      <c r="AT820" s="23"/>
      <c r="AU820" s="23"/>
      <c r="AV820" s="23"/>
    </row>
    <row r="821" spans="1:48" s="23" customFormat="1" ht="20.65" hidden="1" customHeight="1">
      <c r="A821" s="274"/>
      <c r="B821" s="312"/>
      <c r="C821" s="308"/>
      <c r="D821" s="795" t="s">
        <v>112</v>
      </c>
      <c r="E821" s="1108" t="b">
        <f>IF(AND(ISNUMBER(E812)),122410+E818)</f>
        <v>0</v>
      </c>
      <c r="F821" s="1089" t="str">
        <f>IF(AND(ISNUMBER(F812)),E821+F818,"")</f>
        <v/>
      </c>
      <c r="G821" s="44" t="str">
        <f t="shared" ref="G821" si="1522">IF(AND(ISNUMBER(G812)),F821+G818,"")</f>
        <v/>
      </c>
      <c r="H821" s="1089" t="str">
        <f t="shared" ref="H821" si="1523">IF(AND(ISNUMBER(H812)),G821+H818,"")</f>
        <v/>
      </c>
      <c r="I821" s="1089" t="str">
        <f>IF(AND(ISNUMBER(I812)),H821+I818,"")</f>
        <v/>
      </c>
      <c r="J821" s="44" t="str">
        <f>IF(AND(ISNUMBER(J812)),I821+J818,"")</f>
        <v/>
      </c>
      <c r="K821" s="44" t="str">
        <f>IF(AND(ISNUMBER(K812)),J821+K818,"")</f>
        <v/>
      </c>
      <c r="L821" s="1089" t="str">
        <f t="shared" ref="L821" si="1524">IF(AND(ISNUMBER(L812)),K821+L818,"")</f>
        <v/>
      </c>
      <c r="M821" s="1089" t="str">
        <f t="shared" ref="M821" si="1525">IF(AND(ISNUMBER(M812)),L821+M818,"")</f>
        <v/>
      </c>
      <c r="N821" s="1089" t="str">
        <f t="shared" ref="N821" si="1526">IF(AND(ISNUMBER(N812)),M821+N818,"")</f>
        <v/>
      </c>
      <c r="O821" s="1089" t="str">
        <f t="shared" ref="O821" si="1527">IF(AND(ISNUMBER(O812)),N821+O818,"")</f>
        <v/>
      </c>
      <c r="P821" s="1089" t="str">
        <f t="shared" ref="P821" si="1528">IF(AND(ISNUMBER(P812)),O821+P818,"")</f>
        <v/>
      </c>
      <c r="Q821" s="44" t="str">
        <f t="shared" ref="Q821" si="1529">IF(AND(ISNUMBER(Q812)),P821+Q818,"")</f>
        <v/>
      </c>
      <c r="R821" s="44" t="str">
        <f t="shared" ref="R821" si="1530">IF(AND(ISNUMBER(R812)),Q821+R818,"")</f>
        <v/>
      </c>
      <c r="S821" s="1089" t="str">
        <f t="shared" ref="S821" si="1531">IF(AND(ISNUMBER(S812)),R821+S818,"")</f>
        <v/>
      </c>
      <c r="T821" s="1089" t="str">
        <f t="shared" ref="T821" si="1532">IF(AND(ISNUMBER(T812)),S821+T818,"")</f>
        <v/>
      </c>
      <c r="U821" s="1089" t="str">
        <f t="shared" ref="U821" si="1533">IF(AND(ISNUMBER(U812)),T821+U818,"")</f>
        <v/>
      </c>
      <c r="V821" s="1089" t="str">
        <f t="shared" ref="V821" si="1534">IF(AND(ISNUMBER(V812)),U821+V818,"")</f>
        <v/>
      </c>
      <c r="W821" s="1089" t="str">
        <f t="shared" ref="W821" si="1535">IF(AND(ISNUMBER(W812)),V821+W818,"")</f>
        <v/>
      </c>
      <c r="X821" s="44" t="str">
        <f t="shared" ref="X821" si="1536">IF(AND(ISNUMBER(X812)),W821+X818,"")</f>
        <v/>
      </c>
      <c r="Y821" s="44" t="str">
        <f t="shared" ref="Y821" si="1537">IF(AND(ISNUMBER(Y812)),X821+Y818,"")</f>
        <v/>
      </c>
      <c r="Z821" s="1089" t="str">
        <f t="shared" ref="Z821" si="1538">IF(AND(ISNUMBER(Z812)),Y821+Z818,"")</f>
        <v/>
      </c>
      <c r="AA821" s="1089" t="str">
        <f t="shared" ref="AA821" si="1539">IF(AND(ISNUMBER(AA812)),Z821+AA818,"")</f>
        <v/>
      </c>
      <c r="AB821" s="1089" t="str">
        <f t="shared" ref="AB821" si="1540">IF(AND(ISNUMBER(AB812)),AA821+AB818,"")</f>
        <v/>
      </c>
      <c r="AC821" s="1089" t="str">
        <f t="shared" ref="AC821" si="1541">IF(AND(ISNUMBER(AC812)),AB821+AC818,"")</f>
        <v/>
      </c>
      <c r="AD821" s="1089" t="str">
        <f t="shared" ref="AD821" si="1542">IF(AND(ISNUMBER(AD812)),AC821+AD818,"")</f>
        <v/>
      </c>
      <c r="AE821" s="44" t="str">
        <f t="shared" ref="AE821" si="1543">IF(AND(ISNUMBER(AE812)),AD821+AE818,"")</f>
        <v/>
      </c>
      <c r="AF821" s="44" t="str">
        <f t="shared" ref="AF821" si="1544">IF(AND(ISNUMBER(AF812)),AE821+AF818,"")</f>
        <v/>
      </c>
      <c r="AG821" s="1089" t="str">
        <f t="shared" ref="AG821" si="1545">IF(AND(ISNUMBER(AG812)),AF821+AG818,"")</f>
        <v/>
      </c>
      <c r="AH821" s="1089" t="str">
        <f t="shared" ref="AH821" si="1546">IF(AND(ISNUMBER(AH812)),AG821+AH818,"")</f>
        <v/>
      </c>
      <c r="AI821" s="1089" t="str">
        <f t="shared" ref="AI821" si="1547">IF(AND(ISNUMBER(AI812)),AH821+AI818,"")</f>
        <v/>
      </c>
      <c r="AJ821" s="793"/>
      <c r="AK821" s="793"/>
      <c r="AL821" s="909"/>
      <c r="AM821" s="890">
        <f t="shared" si="1447"/>
        <v>0</v>
      </c>
      <c r="AN821" s="76"/>
      <c r="AO821" s="624"/>
      <c r="AP821" s="285"/>
      <c r="AQ821" s="285"/>
      <c r="AR821" s="285"/>
      <c r="AS821" s="285"/>
      <c r="AT821" s="286"/>
      <c r="AU821" s="285"/>
      <c r="AV821" s="287"/>
    </row>
    <row r="822" spans="1:48" ht="25.15" hidden="1" customHeight="1">
      <c r="A822" s="103"/>
      <c r="B822" s="89"/>
      <c r="C822" s="80"/>
      <c r="D822" s="90" t="s">
        <v>104</v>
      </c>
      <c r="E822" s="1108"/>
      <c r="F822" s="1089"/>
      <c r="G822" s="44"/>
      <c r="H822" s="1089"/>
      <c r="I822" s="1089"/>
      <c r="J822" s="44"/>
      <c r="K822" s="44"/>
      <c r="L822" s="1089"/>
      <c r="M822" s="1089"/>
      <c r="N822" s="1089"/>
      <c r="O822" s="1089"/>
      <c r="P822" s="1089"/>
      <c r="Q822" s="44"/>
      <c r="R822" s="44"/>
      <c r="S822" s="1089"/>
      <c r="T822" s="1089"/>
      <c r="U822" s="1089"/>
      <c r="V822" s="1089"/>
      <c r="W822" s="1089"/>
      <c r="X822" s="44"/>
      <c r="Y822" s="44"/>
      <c r="Z822" s="1089"/>
      <c r="AA822" s="1089"/>
      <c r="AB822" s="1089"/>
      <c r="AC822" s="1089"/>
      <c r="AD822" s="1089"/>
      <c r="AE822" s="44"/>
      <c r="AF822" s="44"/>
      <c r="AG822" s="1089"/>
      <c r="AH822" s="1089"/>
      <c r="AI822" s="1326"/>
      <c r="AJ822" s="79"/>
      <c r="AK822" s="79"/>
      <c r="AL822" s="63"/>
      <c r="AM822" s="1068">
        <f t="shared" si="1447"/>
        <v>0</v>
      </c>
      <c r="AN822" s="64"/>
      <c r="AO822" s="624"/>
      <c r="AP822" s="23"/>
      <c r="AQ822" s="23"/>
      <c r="AR822" s="23"/>
      <c r="AS822" s="23"/>
      <c r="AT822" s="23"/>
      <c r="AU822" s="23"/>
      <c r="AV822" s="23"/>
    </row>
    <row r="823" spans="1:48" ht="25.15" hidden="1" customHeight="1" thickBot="1">
      <c r="A823" s="106"/>
      <c r="B823" s="93"/>
      <c r="C823" s="94"/>
      <c r="D823" s="95" t="s">
        <v>111</v>
      </c>
      <c r="E823" s="1109">
        <f>IF(E822="O/H",E818,0+E818)</f>
        <v>0</v>
      </c>
      <c r="F823" s="1110">
        <f t="shared" ref="F823:AI823" si="1548">IF(F822="O/H",F818,+E823+F818)</f>
        <v>0</v>
      </c>
      <c r="G823" s="1212">
        <f t="shared" si="1548"/>
        <v>0</v>
      </c>
      <c r="H823" s="1110">
        <f t="shared" si="1548"/>
        <v>0</v>
      </c>
      <c r="I823" s="1110">
        <f t="shared" si="1548"/>
        <v>0</v>
      </c>
      <c r="J823" s="1212">
        <f t="shared" si="1548"/>
        <v>0</v>
      </c>
      <c r="K823" s="1212">
        <f t="shared" si="1548"/>
        <v>0</v>
      </c>
      <c r="L823" s="1110">
        <f t="shared" si="1548"/>
        <v>0</v>
      </c>
      <c r="M823" s="1110">
        <f t="shared" si="1548"/>
        <v>0</v>
      </c>
      <c r="N823" s="1110">
        <f t="shared" si="1548"/>
        <v>0</v>
      </c>
      <c r="O823" s="1110">
        <f t="shared" si="1548"/>
        <v>0</v>
      </c>
      <c r="P823" s="1110">
        <f t="shared" si="1548"/>
        <v>0</v>
      </c>
      <c r="Q823" s="1212">
        <f t="shared" si="1548"/>
        <v>0</v>
      </c>
      <c r="R823" s="1212">
        <f t="shared" si="1548"/>
        <v>0</v>
      </c>
      <c r="S823" s="1110">
        <f t="shared" si="1548"/>
        <v>0</v>
      </c>
      <c r="T823" s="1110">
        <f t="shared" si="1548"/>
        <v>0</v>
      </c>
      <c r="U823" s="1110">
        <f t="shared" si="1548"/>
        <v>0</v>
      </c>
      <c r="V823" s="1110">
        <f t="shared" si="1548"/>
        <v>0</v>
      </c>
      <c r="W823" s="1110">
        <f t="shared" si="1548"/>
        <v>0</v>
      </c>
      <c r="X823" s="1212">
        <f t="shared" si="1548"/>
        <v>0</v>
      </c>
      <c r="Y823" s="1212">
        <f t="shared" si="1548"/>
        <v>0</v>
      </c>
      <c r="Z823" s="1110">
        <f t="shared" si="1548"/>
        <v>0</v>
      </c>
      <c r="AA823" s="1110">
        <f t="shared" si="1548"/>
        <v>0</v>
      </c>
      <c r="AB823" s="1110">
        <f t="shared" si="1548"/>
        <v>0</v>
      </c>
      <c r="AC823" s="1110">
        <f t="shared" si="1548"/>
        <v>0</v>
      </c>
      <c r="AD823" s="1110">
        <f t="shared" si="1548"/>
        <v>0</v>
      </c>
      <c r="AE823" s="1212">
        <f t="shared" si="1548"/>
        <v>0</v>
      </c>
      <c r="AF823" s="1212">
        <f t="shared" si="1548"/>
        <v>0</v>
      </c>
      <c r="AG823" s="1110">
        <f t="shared" si="1548"/>
        <v>0</v>
      </c>
      <c r="AH823" s="1110">
        <f t="shared" si="1548"/>
        <v>0</v>
      </c>
      <c r="AI823" s="1340">
        <f t="shared" si="1548"/>
        <v>0</v>
      </c>
      <c r="AJ823" s="96"/>
      <c r="AK823" s="96"/>
      <c r="AL823" s="97"/>
      <c r="AM823" s="1071">
        <f t="shared" si="1447"/>
        <v>0</v>
      </c>
      <c r="AN823" s="98"/>
      <c r="AO823" s="625"/>
      <c r="AP823" s="23"/>
      <c r="AQ823" s="23"/>
      <c r="AR823" s="23"/>
      <c r="AS823" s="23"/>
      <c r="AT823" s="23"/>
      <c r="AU823" s="23"/>
      <c r="AV823" s="23"/>
    </row>
    <row r="824" spans="1:48" ht="25.15" hidden="1" customHeight="1" thickTop="1">
      <c r="A824" s="99"/>
      <c r="B824" s="26" t="s">
        <v>198</v>
      </c>
      <c r="C824" s="27"/>
      <c r="D824" s="28" t="s">
        <v>82</v>
      </c>
      <c r="E824" s="1111"/>
      <c r="F824" s="1111"/>
      <c r="G824" s="1201"/>
      <c r="H824" s="1111"/>
      <c r="I824" s="1111"/>
      <c r="J824" s="1201"/>
      <c r="K824" s="1201"/>
      <c r="L824" s="1111"/>
      <c r="M824" s="1111"/>
      <c r="N824" s="1111"/>
      <c r="O824" s="1111"/>
      <c r="P824" s="1111"/>
      <c r="Q824" s="1201"/>
      <c r="R824" s="1201"/>
      <c r="S824" s="1111"/>
      <c r="T824" s="1111"/>
      <c r="U824" s="1111"/>
      <c r="V824" s="1111"/>
      <c r="W824" s="1111"/>
      <c r="X824" s="1201"/>
      <c r="Y824" s="1201"/>
      <c r="Z824" s="1111"/>
      <c r="AA824" s="1111"/>
      <c r="AB824" s="1111"/>
      <c r="AC824" s="1111"/>
      <c r="AD824" s="1111"/>
      <c r="AE824" s="1201"/>
      <c r="AF824" s="1201"/>
      <c r="AG824" s="1111"/>
      <c r="AH824" s="1111"/>
      <c r="AI824" s="1111"/>
      <c r="AJ824" s="100">
        <f>SUM(Table75[[#This Row],[June''2026]:[Column27]])</f>
        <v>0</v>
      </c>
      <c r="AK824" s="100">
        <f t="shared" si="1477"/>
        <v>0</v>
      </c>
      <c r="AL824" s="101">
        <f>+AJ824*AN824</f>
        <v>0</v>
      </c>
      <c r="AM824" s="1072">
        <f t="shared" si="1447"/>
        <v>0</v>
      </c>
      <c r="AN824" s="102"/>
      <c r="AO824" s="622" t="e">
        <f>Table5[[#This Row],[Total]]*B828/1000</f>
        <v>#VALUE!</v>
      </c>
      <c r="AP824" s="32" t="s">
        <v>193</v>
      </c>
      <c r="AQ824" s="33" t="s">
        <v>84</v>
      </c>
      <c r="AR824" s="33" t="s">
        <v>85</v>
      </c>
      <c r="AS824" s="33" t="s">
        <v>86</v>
      </c>
      <c r="AT824" s="33" t="s">
        <v>87</v>
      </c>
      <c r="AU824" s="33" t="s">
        <v>88</v>
      </c>
      <c r="AV824" s="34" t="s">
        <v>68</v>
      </c>
    </row>
    <row r="825" spans="1:48" ht="25.15" hidden="1" customHeight="1">
      <c r="A825" s="103"/>
      <c r="B825" s="35" t="s">
        <v>199</v>
      </c>
      <c r="C825" s="36"/>
      <c r="D825" s="37" t="s">
        <v>90</v>
      </c>
      <c r="E825" s="1373">
        <f>IF(E824="",0,+ E824/E831)</f>
        <v>0</v>
      </c>
      <c r="F825" s="1096">
        <f t="shared" ref="F825:AI825" si="1549">IF(F824="",0, E825+F824/F831)</f>
        <v>0</v>
      </c>
      <c r="G825" s="1207">
        <f t="shared" si="1549"/>
        <v>0</v>
      </c>
      <c r="H825" s="1096">
        <f t="shared" si="1549"/>
        <v>0</v>
      </c>
      <c r="I825" s="1096">
        <f t="shared" si="1549"/>
        <v>0</v>
      </c>
      <c r="J825" s="1207">
        <f t="shared" si="1549"/>
        <v>0</v>
      </c>
      <c r="K825" s="1207">
        <f t="shared" si="1549"/>
        <v>0</v>
      </c>
      <c r="L825" s="1096">
        <f t="shared" si="1549"/>
        <v>0</v>
      </c>
      <c r="M825" s="1096">
        <f t="shared" si="1549"/>
        <v>0</v>
      </c>
      <c r="N825" s="1096">
        <f t="shared" si="1549"/>
        <v>0</v>
      </c>
      <c r="O825" s="1096">
        <f t="shared" si="1549"/>
        <v>0</v>
      </c>
      <c r="P825" s="1096">
        <f t="shared" si="1549"/>
        <v>0</v>
      </c>
      <c r="Q825" s="1207">
        <f t="shared" si="1549"/>
        <v>0</v>
      </c>
      <c r="R825" s="1207">
        <f t="shared" si="1549"/>
        <v>0</v>
      </c>
      <c r="S825" s="1096">
        <f t="shared" si="1549"/>
        <v>0</v>
      </c>
      <c r="T825" s="1096">
        <f t="shared" si="1549"/>
        <v>0</v>
      </c>
      <c r="U825" s="1096">
        <f t="shared" si="1549"/>
        <v>0</v>
      </c>
      <c r="V825" s="1096">
        <f t="shared" si="1549"/>
        <v>0</v>
      </c>
      <c r="W825" s="1096">
        <f t="shared" si="1549"/>
        <v>0</v>
      </c>
      <c r="X825" s="1207">
        <f t="shared" si="1549"/>
        <v>0</v>
      </c>
      <c r="Y825" s="1207">
        <f t="shared" si="1549"/>
        <v>0</v>
      </c>
      <c r="Z825" s="1096">
        <f t="shared" si="1549"/>
        <v>0</v>
      </c>
      <c r="AA825" s="1096">
        <f t="shared" si="1549"/>
        <v>0</v>
      </c>
      <c r="AB825" s="1096">
        <f t="shared" si="1549"/>
        <v>0</v>
      </c>
      <c r="AC825" s="1096">
        <f t="shared" si="1549"/>
        <v>0</v>
      </c>
      <c r="AD825" s="1096">
        <f t="shared" si="1549"/>
        <v>0</v>
      </c>
      <c r="AE825" s="1207">
        <f t="shared" si="1549"/>
        <v>0</v>
      </c>
      <c r="AF825" s="1207">
        <f t="shared" si="1549"/>
        <v>0</v>
      </c>
      <c r="AG825" s="1096">
        <f t="shared" si="1549"/>
        <v>0</v>
      </c>
      <c r="AH825" s="1096">
        <f t="shared" si="1549"/>
        <v>0</v>
      </c>
      <c r="AI825" s="1324">
        <f t="shared" si="1549"/>
        <v>0</v>
      </c>
      <c r="AJ825" s="38"/>
      <c r="AK825" s="29"/>
      <c r="AL825" s="30"/>
      <c r="AM825" s="694">
        <f t="shared" si="1447"/>
        <v>0</v>
      </c>
      <c r="AN825" s="31"/>
      <c r="AO825" s="630"/>
      <c r="AP825" s="39" t="s">
        <v>91</v>
      </c>
      <c r="AQ825" s="40">
        <f>SUM(E824:I824)</f>
        <v>0</v>
      </c>
      <c r="AR825" s="41">
        <f>SUM(J824:P824)</f>
        <v>0</v>
      </c>
      <c r="AS825" s="41">
        <f>SUM(Q824:W824)</f>
        <v>0</v>
      </c>
      <c r="AT825" s="41">
        <f>SUM(X824:AD824)</f>
        <v>0</v>
      </c>
      <c r="AU825" s="41">
        <f>SUM(AE824:AI824)</f>
        <v>0</v>
      </c>
      <c r="AV825" s="34">
        <f t="shared" ref="AV825:AV830" si="1550">SUM(AQ825:AU825)</f>
        <v>0</v>
      </c>
    </row>
    <row r="826" spans="1:48" ht="25.15" hidden="1" customHeight="1">
      <c r="A826" s="103"/>
      <c r="B826" s="26" t="s">
        <v>92</v>
      </c>
      <c r="C826" s="42"/>
      <c r="D826" s="43" t="s">
        <v>93</v>
      </c>
      <c r="E826" s="1325"/>
      <c r="F826" s="1089"/>
      <c r="G826" s="44"/>
      <c r="H826" s="1089"/>
      <c r="I826" s="1089"/>
      <c r="J826" s="44"/>
      <c r="K826" s="44"/>
      <c r="L826" s="1089"/>
      <c r="M826" s="1089"/>
      <c r="N826" s="1089"/>
      <c r="O826" s="1089"/>
      <c r="P826" s="1089"/>
      <c r="Q826" s="44"/>
      <c r="R826" s="44"/>
      <c r="S826" s="1089"/>
      <c r="T826" s="1089"/>
      <c r="U826" s="1089"/>
      <c r="V826" s="1089"/>
      <c r="W826" s="1089"/>
      <c r="X826" s="44"/>
      <c r="Y826" s="44"/>
      <c r="Z826" s="1089"/>
      <c r="AA826" s="1089"/>
      <c r="AB826" s="1089"/>
      <c r="AC826" s="1089"/>
      <c r="AD826" s="1089"/>
      <c r="AE826" s="44"/>
      <c r="AF826" s="44"/>
      <c r="AG826" s="1089"/>
      <c r="AH826" s="1089"/>
      <c r="AI826" s="1326"/>
      <c r="AJ826" s="45">
        <f>SUM(E826:AI826)</f>
        <v>0</v>
      </c>
      <c r="AK826" s="45"/>
      <c r="AL826" s="46">
        <f>+AJ826*AN824</f>
        <v>0</v>
      </c>
      <c r="AM826" s="1066">
        <f t="shared" si="1447"/>
        <v>0</v>
      </c>
      <c r="AN826" s="31"/>
      <c r="AO826" s="632">
        <f>(AJ826+AJ828+AJ829+AJ830)*B828/1000</f>
        <v>0</v>
      </c>
      <c r="AP826" s="47" t="s">
        <v>94</v>
      </c>
      <c r="AQ826" s="48">
        <f>SUM(E826:I826)</f>
        <v>0</v>
      </c>
      <c r="AR826" s="49">
        <f>SUM(J826:P826)</f>
        <v>0</v>
      </c>
      <c r="AS826" s="49">
        <f>SUM(Q826:W826)</f>
        <v>0</v>
      </c>
      <c r="AT826" s="49">
        <f>SUM(X826:AD826)</f>
        <v>0</v>
      </c>
      <c r="AU826" s="49">
        <f>SUM(AE826:AI826)</f>
        <v>0</v>
      </c>
      <c r="AV826" s="50">
        <f t="shared" si="1550"/>
        <v>0</v>
      </c>
    </row>
    <row r="827" spans="1:48" ht="25.15" hidden="1" customHeight="1">
      <c r="A827" s="103"/>
      <c r="B827" s="51"/>
      <c r="C827" s="52" t="s">
        <v>95</v>
      </c>
      <c r="D827" s="53" t="s">
        <v>96</v>
      </c>
      <c r="E827" s="1327">
        <f t="shared" ref="E827:AJ827" si="1551">+E826-E824</f>
        <v>0</v>
      </c>
      <c r="F827" s="1097">
        <f t="shared" si="1551"/>
        <v>0</v>
      </c>
      <c r="G827" s="1205">
        <f t="shared" si="1551"/>
        <v>0</v>
      </c>
      <c r="H827" s="1097">
        <f t="shared" si="1551"/>
        <v>0</v>
      </c>
      <c r="I827" s="1097">
        <f t="shared" si="1551"/>
        <v>0</v>
      </c>
      <c r="J827" s="1205">
        <f t="shared" si="1551"/>
        <v>0</v>
      </c>
      <c r="K827" s="1205">
        <f t="shared" si="1551"/>
        <v>0</v>
      </c>
      <c r="L827" s="1097">
        <f t="shared" si="1551"/>
        <v>0</v>
      </c>
      <c r="M827" s="1097">
        <f t="shared" si="1551"/>
        <v>0</v>
      </c>
      <c r="N827" s="1097">
        <f t="shared" si="1551"/>
        <v>0</v>
      </c>
      <c r="O827" s="1097">
        <f t="shared" si="1551"/>
        <v>0</v>
      </c>
      <c r="P827" s="1097">
        <f t="shared" si="1551"/>
        <v>0</v>
      </c>
      <c r="Q827" s="1205">
        <f t="shared" si="1551"/>
        <v>0</v>
      </c>
      <c r="R827" s="1205">
        <f t="shared" si="1551"/>
        <v>0</v>
      </c>
      <c r="S827" s="1097">
        <f t="shared" si="1551"/>
        <v>0</v>
      </c>
      <c r="T827" s="1097">
        <f t="shared" si="1551"/>
        <v>0</v>
      </c>
      <c r="U827" s="1097">
        <f t="shared" si="1551"/>
        <v>0</v>
      </c>
      <c r="V827" s="1097">
        <f t="shared" si="1551"/>
        <v>0</v>
      </c>
      <c r="W827" s="1097">
        <f t="shared" si="1551"/>
        <v>0</v>
      </c>
      <c r="X827" s="1205">
        <f t="shared" si="1551"/>
        <v>0</v>
      </c>
      <c r="Y827" s="1205">
        <f t="shared" si="1551"/>
        <v>0</v>
      </c>
      <c r="Z827" s="1097">
        <f t="shared" si="1551"/>
        <v>0</v>
      </c>
      <c r="AA827" s="1097">
        <f t="shared" si="1551"/>
        <v>0</v>
      </c>
      <c r="AB827" s="1097">
        <f t="shared" si="1551"/>
        <v>0</v>
      </c>
      <c r="AC827" s="1097">
        <f t="shared" si="1551"/>
        <v>0</v>
      </c>
      <c r="AD827" s="1097">
        <f t="shared" si="1551"/>
        <v>0</v>
      </c>
      <c r="AE827" s="1205">
        <f t="shared" si="1551"/>
        <v>0</v>
      </c>
      <c r="AF827" s="1205">
        <f t="shared" si="1551"/>
        <v>0</v>
      </c>
      <c r="AG827" s="1097">
        <f t="shared" si="1551"/>
        <v>0</v>
      </c>
      <c r="AH827" s="1097">
        <f t="shared" si="1551"/>
        <v>0</v>
      </c>
      <c r="AI827" s="1328">
        <f t="shared" si="1551"/>
        <v>0</v>
      </c>
      <c r="AJ827" s="54">
        <f t="shared" si="1551"/>
        <v>0</v>
      </c>
      <c r="AK827" s="54"/>
      <c r="AL827" s="55">
        <f>+AJ827*AN824</f>
        <v>0</v>
      </c>
      <c r="AM827" s="1067">
        <f t="shared" si="1447"/>
        <v>0</v>
      </c>
      <c r="AN827" s="31" t="s">
        <v>97</v>
      </c>
      <c r="AO827" s="622"/>
      <c r="AP827" s="39" t="s">
        <v>98</v>
      </c>
      <c r="AQ827" s="56">
        <f>AQ826-AQ825</f>
        <v>0</v>
      </c>
      <c r="AR827" s="70">
        <f>AR826-AR825</f>
        <v>0</v>
      </c>
      <c r="AS827" s="70">
        <f>AS826-AS825</f>
        <v>0</v>
      </c>
      <c r="AT827" s="70">
        <f>AT826-AT825</f>
        <v>0</v>
      </c>
      <c r="AU827" s="70">
        <f>AU826-AU825</f>
        <v>0</v>
      </c>
      <c r="AV827" s="57">
        <f t="shared" si="1550"/>
        <v>0</v>
      </c>
    </row>
    <row r="828" spans="1:48" ht="25.15" hidden="1" customHeight="1">
      <c r="A828" s="58"/>
      <c r="B828" s="59"/>
      <c r="C828" s="60" t="s">
        <v>100</v>
      </c>
      <c r="D828" s="61" t="s">
        <v>101</v>
      </c>
      <c r="E828" s="1329"/>
      <c r="F828" s="1099"/>
      <c r="G828" s="1208"/>
      <c r="H828" s="1099"/>
      <c r="I828" s="1099"/>
      <c r="J828" s="1208"/>
      <c r="K828" s="1208"/>
      <c r="L828" s="1099"/>
      <c r="M828" s="1099"/>
      <c r="N828" s="1099"/>
      <c r="O828" s="1099"/>
      <c r="P828" s="1099"/>
      <c r="Q828" s="1208"/>
      <c r="R828" s="1208"/>
      <c r="S828" s="1099"/>
      <c r="T828" s="1099"/>
      <c r="U828" s="1099"/>
      <c r="V828" s="1099"/>
      <c r="W828" s="1099"/>
      <c r="X828" s="1208"/>
      <c r="Y828" s="1208"/>
      <c r="Z828" s="1099"/>
      <c r="AA828" s="1099"/>
      <c r="AB828" s="1099"/>
      <c r="AC828" s="1099"/>
      <c r="AD828" s="1099"/>
      <c r="AE828" s="1208"/>
      <c r="AF828" s="1208"/>
      <c r="AG828" s="1099"/>
      <c r="AH828" s="1099"/>
      <c r="AI828" s="1330"/>
      <c r="AJ828" s="62">
        <f>SUM(E828:AI828)</f>
        <v>0</v>
      </c>
      <c r="AK828" s="62"/>
      <c r="AL828" s="63">
        <f>+AJ828*AN824</f>
        <v>0</v>
      </c>
      <c r="AM828" s="1068">
        <f t="shared" si="1447"/>
        <v>0</v>
      </c>
      <c r="AN828" s="64" t="e">
        <f>+AJ828/AJ826*100</f>
        <v>#DIV/0!</v>
      </c>
      <c r="AO828" s="635" t="e">
        <f>AO826/AO824</f>
        <v>#VALUE!</v>
      </c>
      <c r="AP828" s="39" t="s">
        <v>102</v>
      </c>
      <c r="AQ828" s="56">
        <f>SUM(E828:I828)</f>
        <v>0</v>
      </c>
      <c r="AR828" s="70">
        <f>SUM(J828:P828)</f>
        <v>0</v>
      </c>
      <c r="AS828" s="70">
        <f>SUM(Q828:W828)</f>
        <v>0</v>
      </c>
      <c r="AT828" s="70">
        <f>SUM(X828:AD828)</f>
        <v>0</v>
      </c>
      <c r="AU828" s="70">
        <f>SUM(AE828:AI828)</f>
        <v>0</v>
      </c>
      <c r="AV828" s="57">
        <f t="shared" si="1550"/>
        <v>0</v>
      </c>
    </row>
    <row r="829" spans="1:48" ht="25.15" hidden="1" customHeight="1">
      <c r="A829" s="58" t="s">
        <v>195</v>
      </c>
      <c r="B829" s="65"/>
      <c r="C829" s="66"/>
      <c r="D829" s="67" t="s">
        <v>103</v>
      </c>
      <c r="E829" s="1331"/>
      <c r="F829" s="1101"/>
      <c r="G829" s="1209"/>
      <c r="H829" s="1101"/>
      <c r="I829" s="1101"/>
      <c r="J829" s="1209"/>
      <c r="K829" s="1209"/>
      <c r="L829" s="1101"/>
      <c r="M829" s="1101"/>
      <c r="N829" s="1101"/>
      <c r="O829" s="1101"/>
      <c r="P829" s="1101"/>
      <c r="Q829" s="1209"/>
      <c r="R829" s="1209"/>
      <c r="S829" s="1101"/>
      <c r="T829" s="1101"/>
      <c r="U829" s="1101"/>
      <c r="V829" s="1101"/>
      <c r="W829" s="1101"/>
      <c r="X829" s="1209"/>
      <c r="Y829" s="1209"/>
      <c r="Z829" s="1101"/>
      <c r="AA829" s="1101"/>
      <c r="AB829" s="1101"/>
      <c r="AC829" s="1101"/>
      <c r="AD829" s="1101"/>
      <c r="AE829" s="1209"/>
      <c r="AF829" s="1209"/>
      <c r="AG829" s="1101"/>
      <c r="AH829" s="1101"/>
      <c r="AI829" s="1332"/>
      <c r="AJ829" s="68">
        <f>SUM(E829:AI829)</f>
        <v>0</v>
      </c>
      <c r="AK829" s="68"/>
      <c r="AL829" s="69">
        <f>+AJ829*AN824</f>
        <v>0</v>
      </c>
      <c r="AM829" s="1069">
        <f t="shared" si="1447"/>
        <v>0</v>
      </c>
      <c r="AN829" s="31"/>
      <c r="AO829" s="622"/>
      <c r="AP829" s="39" t="s">
        <v>19</v>
      </c>
      <c r="AQ829" s="56">
        <f>AQ828*AN824</f>
        <v>0</v>
      </c>
      <c r="AR829" s="56">
        <f>AR828*AN824</f>
        <v>0</v>
      </c>
      <c r="AS829" s="56">
        <f>AS828*AN824</f>
        <v>0</v>
      </c>
      <c r="AT829" s="56">
        <f>AT828*AN824</f>
        <v>0</v>
      </c>
      <c r="AU829" s="56">
        <f>AU828*AN824</f>
        <v>0</v>
      </c>
      <c r="AV829" s="57">
        <f t="shared" si="1550"/>
        <v>0</v>
      </c>
    </row>
    <row r="830" spans="1:48" ht="25.15" hidden="1" customHeight="1">
      <c r="A830" s="103"/>
      <c r="B830" s="65"/>
      <c r="C830" s="72" t="s">
        <v>104</v>
      </c>
      <c r="D830" s="73" t="s">
        <v>105</v>
      </c>
      <c r="E830" s="1378"/>
      <c r="F830" s="1103"/>
      <c r="G830" s="1210"/>
      <c r="H830" s="1103"/>
      <c r="I830" s="1103"/>
      <c r="J830" s="1210"/>
      <c r="K830" s="1210"/>
      <c r="L830" s="1103"/>
      <c r="M830" s="1103"/>
      <c r="N830" s="1103"/>
      <c r="O830" s="1103"/>
      <c r="P830" s="1103"/>
      <c r="Q830" s="1210"/>
      <c r="R830" s="1210"/>
      <c r="S830" s="1103"/>
      <c r="T830" s="1103"/>
      <c r="U830" s="1103"/>
      <c r="V830" s="1103"/>
      <c r="W830" s="1103"/>
      <c r="X830" s="1210"/>
      <c r="Y830" s="1210"/>
      <c r="Z830" s="1103"/>
      <c r="AA830" s="1103"/>
      <c r="AB830" s="1103"/>
      <c r="AC830" s="1103"/>
      <c r="AD830" s="1103"/>
      <c r="AE830" s="1210"/>
      <c r="AF830" s="1210"/>
      <c r="AG830" s="1103"/>
      <c r="AH830" s="1103"/>
      <c r="AI830" s="1352"/>
      <c r="AJ830" s="74">
        <f>SUM(E830:AI830)</f>
        <v>0</v>
      </c>
      <c r="AK830" s="74"/>
      <c r="AL830" s="75">
        <f>+AJ830*AN824</f>
        <v>0</v>
      </c>
      <c r="AM830" s="1070">
        <f t="shared" si="1447"/>
        <v>0</v>
      </c>
      <c r="AN830" s="76"/>
      <c r="AO830" s="636"/>
      <c r="AP830" s="47" t="s">
        <v>106</v>
      </c>
      <c r="AQ830" s="48">
        <f>AQ826*AN824</f>
        <v>0</v>
      </c>
      <c r="AR830" s="48">
        <f>AR826*AN824</f>
        <v>0</v>
      </c>
      <c r="AS830" s="48">
        <f>AS826*AN824</f>
        <v>0</v>
      </c>
      <c r="AT830" s="48">
        <f>AT826*AN824</f>
        <v>0</v>
      </c>
      <c r="AU830" s="48">
        <f>AU826*AN824</f>
        <v>0</v>
      </c>
      <c r="AV830" s="50">
        <f t="shared" si="1550"/>
        <v>0</v>
      </c>
    </row>
    <row r="831" spans="1:48" ht="25.15" hidden="1" customHeight="1">
      <c r="A831" s="103"/>
      <c r="B831" s="65"/>
      <c r="C831" s="77">
        <v>300000</v>
      </c>
      <c r="D831" s="78" t="s">
        <v>107</v>
      </c>
      <c r="E831" s="1327">
        <v>1</v>
      </c>
      <c r="F831" s="1097">
        <v>1</v>
      </c>
      <c r="G831" s="1205">
        <v>1</v>
      </c>
      <c r="H831" s="1097">
        <v>1</v>
      </c>
      <c r="I831" s="1097">
        <v>1</v>
      </c>
      <c r="J831" s="1205">
        <v>1</v>
      </c>
      <c r="K831" s="1205">
        <v>1</v>
      </c>
      <c r="L831" s="1097">
        <v>1</v>
      </c>
      <c r="M831" s="1097">
        <v>1</v>
      </c>
      <c r="N831" s="1097">
        <v>1</v>
      </c>
      <c r="O831" s="1097">
        <v>1</v>
      </c>
      <c r="P831" s="1097">
        <v>1</v>
      </c>
      <c r="Q831" s="1205">
        <v>1</v>
      </c>
      <c r="R831" s="1205">
        <v>1</v>
      </c>
      <c r="S831" s="1097">
        <v>1</v>
      </c>
      <c r="T831" s="1097">
        <v>1</v>
      </c>
      <c r="U831" s="1097">
        <v>1</v>
      </c>
      <c r="V831" s="1097">
        <v>1</v>
      </c>
      <c r="W831" s="1097">
        <v>1</v>
      </c>
      <c r="X831" s="1205">
        <v>1</v>
      </c>
      <c r="Y831" s="1205">
        <v>1</v>
      </c>
      <c r="Z831" s="1097">
        <v>1</v>
      </c>
      <c r="AA831" s="1097">
        <v>1</v>
      </c>
      <c r="AB831" s="1097">
        <v>1</v>
      </c>
      <c r="AC831" s="1097">
        <v>1</v>
      </c>
      <c r="AD831" s="1097">
        <v>1</v>
      </c>
      <c r="AE831" s="1205">
        <v>1</v>
      </c>
      <c r="AF831" s="1205">
        <v>1</v>
      </c>
      <c r="AG831" s="1097">
        <v>1</v>
      </c>
      <c r="AH831" s="1097">
        <v>1</v>
      </c>
      <c r="AI831" s="1328">
        <v>1</v>
      </c>
      <c r="AJ831" s="79"/>
      <c r="AK831" s="79"/>
      <c r="AL831" s="55"/>
      <c r="AM831" s="1067">
        <f t="shared" si="1447"/>
        <v>0</v>
      </c>
      <c r="AN831" s="31"/>
      <c r="AO831" s="622"/>
      <c r="AP831" s="23"/>
      <c r="AQ831" s="23"/>
      <c r="AR831" s="23"/>
      <c r="AS831" s="23"/>
      <c r="AT831" s="23"/>
      <c r="AU831" s="23"/>
      <c r="AV831" s="23"/>
    </row>
    <row r="832" spans="1:48" ht="25.15" hidden="1" customHeight="1">
      <c r="A832" s="103"/>
      <c r="B832" s="65"/>
      <c r="C832" s="80" t="s">
        <v>108</v>
      </c>
      <c r="D832" s="81" t="s">
        <v>109</v>
      </c>
      <c r="E832" s="1374">
        <f>SUM(E826+E828+E829+E830)/E831</f>
        <v>0</v>
      </c>
      <c r="F832" s="1104">
        <f>SUM(F826+F828+F829+F830)/F831</f>
        <v>0</v>
      </c>
      <c r="G832" s="1211">
        <f>SUM(G826+G828+G829+G830)/G831</f>
        <v>0</v>
      </c>
      <c r="H832" s="1104">
        <f t="shared" ref="H832:AH832" si="1552">SUM(H826+H828+H829+H830)/H831</f>
        <v>0</v>
      </c>
      <c r="I832" s="1104">
        <f t="shared" si="1552"/>
        <v>0</v>
      </c>
      <c r="J832" s="1211">
        <f t="shared" si="1552"/>
        <v>0</v>
      </c>
      <c r="K832" s="1211">
        <f t="shared" si="1552"/>
        <v>0</v>
      </c>
      <c r="L832" s="1104">
        <f t="shared" si="1552"/>
        <v>0</v>
      </c>
      <c r="M832" s="1104">
        <f t="shared" si="1552"/>
        <v>0</v>
      </c>
      <c r="N832" s="1104">
        <f t="shared" si="1552"/>
        <v>0</v>
      </c>
      <c r="O832" s="1104">
        <f t="shared" si="1552"/>
        <v>0</v>
      </c>
      <c r="P832" s="1104">
        <f t="shared" si="1552"/>
        <v>0</v>
      </c>
      <c r="Q832" s="1211">
        <f t="shared" si="1552"/>
        <v>0</v>
      </c>
      <c r="R832" s="1211">
        <f t="shared" si="1552"/>
        <v>0</v>
      </c>
      <c r="S832" s="1104">
        <f t="shared" si="1552"/>
        <v>0</v>
      </c>
      <c r="T832" s="1104">
        <f t="shared" si="1552"/>
        <v>0</v>
      </c>
      <c r="U832" s="1104">
        <f t="shared" si="1552"/>
        <v>0</v>
      </c>
      <c r="V832" s="1104">
        <f t="shared" si="1552"/>
        <v>0</v>
      </c>
      <c r="W832" s="1104">
        <f t="shared" si="1552"/>
        <v>0</v>
      </c>
      <c r="X832" s="1211">
        <f t="shared" si="1552"/>
        <v>0</v>
      </c>
      <c r="Y832" s="1211">
        <f t="shared" si="1552"/>
        <v>0</v>
      </c>
      <c r="Z832" s="1104">
        <f t="shared" si="1552"/>
        <v>0</v>
      </c>
      <c r="AA832" s="1104">
        <f t="shared" si="1552"/>
        <v>0</v>
      </c>
      <c r="AB832" s="1104">
        <f t="shared" si="1552"/>
        <v>0</v>
      </c>
      <c r="AC832" s="1104">
        <f t="shared" si="1552"/>
        <v>0</v>
      </c>
      <c r="AD832" s="1104">
        <f t="shared" si="1552"/>
        <v>0</v>
      </c>
      <c r="AE832" s="1211">
        <f t="shared" si="1552"/>
        <v>0</v>
      </c>
      <c r="AF832" s="1211">
        <f t="shared" si="1552"/>
        <v>0</v>
      </c>
      <c r="AG832" s="1104">
        <f t="shared" si="1552"/>
        <v>0</v>
      </c>
      <c r="AH832" s="1104">
        <f t="shared" si="1552"/>
        <v>0</v>
      </c>
      <c r="AI832" s="1335">
        <f>SUM(AI826+AI828+AI829)/AI831</f>
        <v>0</v>
      </c>
      <c r="AJ832" s="104">
        <f>SUM(E832:AI832)</f>
        <v>0</v>
      </c>
      <c r="AK832" s="104"/>
      <c r="AL832" s="83"/>
      <c r="AM832" s="1068">
        <f t="shared" si="1447"/>
        <v>0</v>
      </c>
      <c r="AN832" s="31"/>
      <c r="AO832" s="622"/>
      <c r="AP832" s="23"/>
      <c r="AQ832" s="23"/>
      <c r="AR832" s="23"/>
      <c r="AS832" s="23"/>
      <c r="AT832" s="23"/>
      <c r="AU832" s="23"/>
      <c r="AV832" s="23"/>
    </row>
    <row r="833" spans="1:48" ht="25.15" hidden="1" customHeight="1">
      <c r="A833" s="103"/>
      <c r="B833" s="59"/>
      <c r="C833" s="84">
        <f>+C831*0.8</f>
        <v>240000</v>
      </c>
      <c r="D833" s="85" t="s">
        <v>110</v>
      </c>
      <c r="E833" s="1105"/>
      <c r="F833" s="1106"/>
      <c r="G833" s="1211"/>
      <c r="H833" s="1104"/>
      <c r="I833" s="1104"/>
      <c r="J833" s="1211"/>
      <c r="K833" s="1211"/>
      <c r="L833" s="1104"/>
      <c r="M833" s="1104"/>
      <c r="N833" s="1104"/>
      <c r="O833" s="1107"/>
      <c r="P833" s="1104"/>
      <c r="Q833" s="1211"/>
      <c r="R833" s="1211"/>
      <c r="S833" s="1104"/>
      <c r="T833" s="1104"/>
      <c r="U833" s="1104"/>
      <c r="V833" s="1104"/>
      <c r="W833" s="1104"/>
      <c r="X833" s="1211"/>
      <c r="Y833" s="1211"/>
      <c r="Z833" s="1104"/>
      <c r="AA833" s="1104"/>
      <c r="AB833" s="1104"/>
      <c r="AC833" s="1104"/>
      <c r="AD833" s="1104"/>
      <c r="AE833" s="1211"/>
      <c r="AF833" s="1211"/>
      <c r="AG833" s="1104"/>
      <c r="AH833" s="1104"/>
      <c r="AI833" s="1353"/>
      <c r="AJ833" s="86"/>
      <c r="AK833" s="86"/>
      <c r="AL833" s="690"/>
      <c r="AM833" s="694">
        <f t="shared" si="1447"/>
        <v>0</v>
      </c>
      <c r="AN833" s="31"/>
      <c r="AO833" s="622"/>
      <c r="AP833" s="23"/>
      <c r="AQ833" s="23"/>
      <c r="AR833" s="23"/>
      <c r="AS833" s="23"/>
      <c r="AT833" s="23"/>
      <c r="AU833" s="23"/>
      <c r="AV833" s="23"/>
    </row>
    <row r="834" spans="1:48" ht="25.15" hidden="1" customHeight="1">
      <c r="A834" s="103"/>
      <c r="B834" s="105"/>
      <c r="C834" s="77"/>
      <c r="D834" s="88" t="s">
        <v>111</v>
      </c>
      <c r="E834" s="1108">
        <f>IF(E833="O/H",E832,0+E832)</f>
        <v>0</v>
      </c>
      <c r="F834" s="1089">
        <f t="shared" ref="F834:AI834" si="1553">IF(F833="O/H",F832,+E834+F832)</f>
        <v>0</v>
      </c>
      <c r="G834" s="44">
        <f t="shared" si="1553"/>
        <v>0</v>
      </c>
      <c r="H834" s="1089">
        <f t="shared" si="1553"/>
        <v>0</v>
      </c>
      <c r="I834" s="1089">
        <f t="shared" si="1553"/>
        <v>0</v>
      </c>
      <c r="J834" s="44">
        <f t="shared" si="1553"/>
        <v>0</v>
      </c>
      <c r="K834" s="44">
        <f t="shared" si="1553"/>
        <v>0</v>
      </c>
      <c r="L834" s="1089">
        <f t="shared" si="1553"/>
        <v>0</v>
      </c>
      <c r="M834" s="1089">
        <f t="shared" si="1553"/>
        <v>0</v>
      </c>
      <c r="N834" s="1089">
        <f t="shared" si="1553"/>
        <v>0</v>
      </c>
      <c r="O834" s="1089">
        <f t="shared" si="1553"/>
        <v>0</v>
      </c>
      <c r="P834" s="1089">
        <f t="shared" si="1553"/>
        <v>0</v>
      </c>
      <c r="Q834" s="44">
        <f t="shared" si="1553"/>
        <v>0</v>
      </c>
      <c r="R834" s="44">
        <f t="shared" si="1553"/>
        <v>0</v>
      </c>
      <c r="S834" s="1089">
        <f t="shared" si="1553"/>
        <v>0</v>
      </c>
      <c r="T834" s="1089">
        <f t="shared" si="1553"/>
        <v>0</v>
      </c>
      <c r="U834" s="1089">
        <f t="shared" si="1553"/>
        <v>0</v>
      </c>
      <c r="V834" s="1089">
        <f t="shared" si="1553"/>
        <v>0</v>
      </c>
      <c r="W834" s="1089">
        <f t="shared" si="1553"/>
        <v>0</v>
      </c>
      <c r="X834" s="44">
        <f t="shared" si="1553"/>
        <v>0</v>
      </c>
      <c r="Y834" s="44">
        <f t="shared" si="1553"/>
        <v>0</v>
      </c>
      <c r="Z834" s="1089">
        <f t="shared" si="1553"/>
        <v>0</v>
      </c>
      <c r="AA834" s="1089">
        <f t="shared" si="1553"/>
        <v>0</v>
      </c>
      <c r="AB834" s="1089">
        <f t="shared" si="1553"/>
        <v>0</v>
      </c>
      <c r="AC834" s="1089">
        <f t="shared" si="1553"/>
        <v>0</v>
      </c>
      <c r="AD834" s="1089">
        <f t="shared" si="1553"/>
        <v>0</v>
      </c>
      <c r="AE834" s="44">
        <f t="shared" si="1553"/>
        <v>0</v>
      </c>
      <c r="AF834" s="44">
        <f t="shared" si="1553"/>
        <v>0</v>
      </c>
      <c r="AG834" s="1089">
        <f t="shared" si="1553"/>
        <v>0</v>
      </c>
      <c r="AH834" s="1089">
        <f t="shared" si="1553"/>
        <v>0</v>
      </c>
      <c r="AI834" s="1326">
        <f t="shared" si="1553"/>
        <v>0</v>
      </c>
      <c r="AJ834" s="79"/>
      <c r="AK834" s="86"/>
      <c r="AL834" s="689"/>
      <c r="AM834" s="694">
        <f t="shared" si="1447"/>
        <v>0</v>
      </c>
      <c r="AN834" s="31"/>
      <c r="AO834" s="622"/>
      <c r="AP834" s="23"/>
      <c r="AQ834" s="23"/>
      <c r="AR834" s="23"/>
      <c r="AS834" s="23"/>
      <c r="AT834" s="23"/>
      <c r="AU834" s="23"/>
      <c r="AV834" s="23"/>
    </row>
    <row r="835" spans="1:48" ht="25.15" hidden="1" customHeight="1">
      <c r="A835" s="103"/>
      <c r="B835" s="89"/>
      <c r="C835" s="80"/>
      <c r="D835" s="90" t="s">
        <v>104</v>
      </c>
      <c r="E835" s="1108"/>
      <c r="F835" s="1089"/>
      <c r="G835" s="44"/>
      <c r="H835" s="1089"/>
      <c r="I835" s="1089"/>
      <c r="J835" s="44"/>
      <c r="K835" s="44"/>
      <c r="L835" s="1089"/>
      <c r="M835" s="1089"/>
      <c r="N835" s="1089"/>
      <c r="O835" s="1089"/>
      <c r="P835" s="1089"/>
      <c r="Q835" s="44"/>
      <c r="R835" s="44"/>
      <c r="S835" s="1089"/>
      <c r="T835" s="1089"/>
      <c r="U835" s="1089"/>
      <c r="V835" s="1089"/>
      <c r="W835" s="1089"/>
      <c r="X835" s="44"/>
      <c r="Y835" s="44"/>
      <c r="Z835" s="1089"/>
      <c r="AA835" s="1089"/>
      <c r="AB835" s="1089"/>
      <c r="AC835" s="1089"/>
      <c r="AD835" s="1089"/>
      <c r="AE835" s="44"/>
      <c r="AF835" s="44"/>
      <c r="AG835" s="1089"/>
      <c r="AH835" s="1089"/>
      <c r="AI835" s="1326"/>
      <c r="AJ835" s="79"/>
      <c r="AK835" s="79"/>
      <c r="AL835" s="63"/>
      <c r="AM835" s="1068">
        <f t="shared" si="1447"/>
        <v>0</v>
      </c>
      <c r="AN835" s="64"/>
      <c r="AO835" s="624"/>
      <c r="AP835" s="23"/>
      <c r="AQ835" s="23"/>
      <c r="AR835" s="23"/>
      <c r="AS835" s="23"/>
      <c r="AT835" s="23"/>
      <c r="AU835" s="23"/>
      <c r="AV835" s="23"/>
    </row>
    <row r="836" spans="1:48" ht="25.15" hidden="1" customHeight="1" thickBot="1">
      <c r="A836" s="106"/>
      <c r="B836" s="93"/>
      <c r="C836" s="94"/>
      <c r="D836" s="95" t="s">
        <v>111</v>
      </c>
      <c r="E836" s="1109">
        <f>IF(E835="O/H",E832,0+E832)</f>
        <v>0</v>
      </c>
      <c r="F836" s="1110">
        <f t="shared" ref="F836:AI836" si="1554">IF(F835="O/H",F832,+E836+F832)</f>
        <v>0</v>
      </c>
      <c r="G836" s="1212">
        <f t="shared" si="1554"/>
        <v>0</v>
      </c>
      <c r="H836" s="1110">
        <f t="shared" si="1554"/>
        <v>0</v>
      </c>
      <c r="I836" s="1110">
        <f t="shared" si="1554"/>
        <v>0</v>
      </c>
      <c r="J836" s="1212">
        <f t="shared" si="1554"/>
        <v>0</v>
      </c>
      <c r="K836" s="1212">
        <f t="shared" si="1554"/>
        <v>0</v>
      </c>
      <c r="L836" s="1110">
        <f t="shared" si="1554"/>
        <v>0</v>
      </c>
      <c r="M836" s="1110">
        <f t="shared" si="1554"/>
        <v>0</v>
      </c>
      <c r="N836" s="1110">
        <f t="shared" si="1554"/>
        <v>0</v>
      </c>
      <c r="O836" s="1110">
        <f t="shared" si="1554"/>
        <v>0</v>
      </c>
      <c r="P836" s="1110">
        <f t="shared" si="1554"/>
        <v>0</v>
      </c>
      <c r="Q836" s="1212">
        <f t="shared" si="1554"/>
        <v>0</v>
      </c>
      <c r="R836" s="1212">
        <f t="shared" si="1554"/>
        <v>0</v>
      </c>
      <c r="S836" s="1110">
        <f t="shared" si="1554"/>
        <v>0</v>
      </c>
      <c r="T836" s="1110">
        <f t="shared" si="1554"/>
        <v>0</v>
      </c>
      <c r="U836" s="1110">
        <f t="shared" si="1554"/>
        <v>0</v>
      </c>
      <c r="V836" s="1110">
        <f t="shared" si="1554"/>
        <v>0</v>
      </c>
      <c r="W836" s="1110">
        <f t="shared" si="1554"/>
        <v>0</v>
      </c>
      <c r="X836" s="1212">
        <f t="shared" si="1554"/>
        <v>0</v>
      </c>
      <c r="Y836" s="1212">
        <f t="shared" si="1554"/>
        <v>0</v>
      </c>
      <c r="Z836" s="1110">
        <f t="shared" si="1554"/>
        <v>0</v>
      </c>
      <c r="AA836" s="1110">
        <f t="shared" si="1554"/>
        <v>0</v>
      </c>
      <c r="AB836" s="1110">
        <f t="shared" si="1554"/>
        <v>0</v>
      </c>
      <c r="AC836" s="1110">
        <f t="shared" si="1554"/>
        <v>0</v>
      </c>
      <c r="AD836" s="1110">
        <f t="shared" si="1554"/>
        <v>0</v>
      </c>
      <c r="AE836" s="1212">
        <f t="shared" si="1554"/>
        <v>0</v>
      </c>
      <c r="AF836" s="1212">
        <f t="shared" si="1554"/>
        <v>0</v>
      </c>
      <c r="AG836" s="1110">
        <f t="shared" si="1554"/>
        <v>0</v>
      </c>
      <c r="AH836" s="1110">
        <f t="shared" si="1554"/>
        <v>0</v>
      </c>
      <c r="AI836" s="1340">
        <f t="shared" si="1554"/>
        <v>0</v>
      </c>
      <c r="AJ836" s="96"/>
      <c r="AK836" s="96"/>
      <c r="AL836" s="97"/>
      <c r="AM836" s="1071">
        <f t="shared" si="1447"/>
        <v>0</v>
      </c>
      <c r="AN836" s="98"/>
      <c r="AO836" s="625"/>
      <c r="AP836" s="23"/>
      <c r="AQ836" s="23"/>
      <c r="AR836" s="23"/>
      <c r="AS836" s="23"/>
      <c r="AT836" s="23"/>
      <c r="AU836" s="23"/>
      <c r="AV836" s="23"/>
    </row>
    <row r="837" spans="1:48" ht="24.75" customHeight="1" thickTop="1">
      <c r="A837" s="99"/>
      <c r="B837" s="26" t="s">
        <v>200</v>
      </c>
      <c r="C837" s="27"/>
      <c r="D837" s="28" t="s">
        <v>82</v>
      </c>
      <c r="E837" s="1523">
        <v>0</v>
      </c>
      <c r="F837" s="1111">
        <v>0</v>
      </c>
      <c r="G837" s="1201">
        <v>0</v>
      </c>
      <c r="H837" s="1111">
        <v>0</v>
      </c>
      <c r="I837" s="1111">
        <v>0</v>
      </c>
      <c r="J837" s="1201">
        <v>0</v>
      </c>
      <c r="K837" s="1201">
        <v>0</v>
      </c>
      <c r="L837" s="1111">
        <v>0</v>
      </c>
      <c r="M837" s="1111">
        <v>0</v>
      </c>
      <c r="N837" s="1111">
        <v>0</v>
      </c>
      <c r="O837" s="1111">
        <v>0</v>
      </c>
      <c r="P837" s="1111">
        <v>0</v>
      </c>
      <c r="Q837" s="1201">
        <v>0</v>
      </c>
      <c r="R837" s="1201">
        <v>0</v>
      </c>
      <c r="S837" s="1111">
        <v>0</v>
      </c>
      <c r="T837" s="1111">
        <v>0</v>
      </c>
      <c r="U837" s="1111">
        <v>0</v>
      </c>
      <c r="V837" s="1111">
        <v>0</v>
      </c>
      <c r="W837" s="1111">
        <v>0</v>
      </c>
      <c r="X837" s="1201">
        <v>0</v>
      </c>
      <c r="Y837" s="1201">
        <v>0</v>
      </c>
      <c r="Z837" s="1111">
        <v>0</v>
      </c>
      <c r="AA837" s="1111">
        <v>0</v>
      </c>
      <c r="AB837" s="1111">
        <v>0</v>
      </c>
      <c r="AC837" s="1111">
        <v>0</v>
      </c>
      <c r="AD837" s="1111">
        <v>0</v>
      </c>
      <c r="AE837" s="1201">
        <v>0</v>
      </c>
      <c r="AF837" s="1201">
        <v>0</v>
      </c>
      <c r="AG837" s="1111">
        <v>0</v>
      </c>
      <c r="AH837" s="1111">
        <v>0</v>
      </c>
      <c r="AI837" s="1111"/>
      <c r="AJ837" s="100">
        <f>SUM(Table75[[#This Row],[June''2026]:[Column27]])</f>
        <v>0</v>
      </c>
      <c r="AK837" s="1078">
        <f t="shared" si="1477"/>
        <v>0</v>
      </c>
      <c r="AL837" s="101">
        <f>+AJ837*AN837</f>
        <v>0</v>
      </c>
      <c r="AM837" s="1079">
        <f t="shared" si="1447"/>
        <v>0</v>
      </c>
      <c r="AN837" s="102"/>
      <c r="AO837" s="622" t="e">
        <f>Table5[[#This Row],[Total]]*B841/1000</f>
        <v>#VALUE!</v>
      </c>
      <c r="AP837" s="32" t="s">
        <v>193</v>
      </c>
      <c r="AQ837" s="33" t="s">
        <v>84</v>
      </c>
      <c r="AR837" s="33" t="s">
        <v>85</v>
      </c>
      <c r="AS837" s="33" t="s">
        <v>86</v>
      </c>
      <c r="AT837" s="33" t="s">
        <v>87</v>
      </c>
      <c r="AU837" s="33" t="s">
        <v>88</v>
      </c>
      <c r="AV837" s="34" t="s">
        <v>68</v>
      </c>
    </row>
    <row r="838" spans="1:48" ht="25.15" customHeight="1">
      <c r="A838" s="103"/>
      <c r="B838" s="35" t="s">
        <v>201</v>
      </c>
      <c r="C838" s="36"/>
      <c r="D838" s="37" t="s">
        <v>90</v>
      </c>
      <c r="E838" s="1373">
        <f>IF(E837="",0,+ E837/E844)</f>
        <v>0</v>
      </c>
      <c r="F838" s="1096">
        <f t="shared" ref="F838:AI838" si="1555">IF(F837="",0, E838+F837/F844)</f>
        <v>0</v>
      </c>
      <c r="G838" s="1207">
        <f t="shared" si="1555"/>
        <v>0</v>
      </c>
      <c r="H838" s="1096">
        <f t="shared" si="1555"/>
        <v>0</v>
      </c>
      <c r="I838" s="1096">
        <f t="shared" si="1555"/>
        <v>0</v>
      </c>
      <c r="J838" s="1207">
        <f t="shared" si="1555"/>
        <v>0</v>
      </c>
      <c r="K838" s="1207">
        <f t="shared" si="1555"/>
        <v>0</v>
      </c>
      <c r="L838" s="1096">
        <f t="shared" si="1555"/>
        <v>0</v>
      </c>
      <c r="M838" s="1096">
        <f t="shared" si="1555"/>
        <v>0</v>
      </c>
      <c r="N838" s="1096">
        <f t="shared" si="1555"/>
        <v>0</v>
      </c>
      <c r="O838" s="1096">
        <f t="shared" si="1555"/>
        <v>0</v>
      </c>
      <c r="P838" s="1096">
        <f t="shared" si="1555"/>
        <v>0</v>
      </c>
      <c r="Q838" s="1207">
        <f t="shared" si="1555"/>
        <v>0</v>
      </c>
      <c r="R838" s="1207">
        <f t="shared" si="1555"/>
        <v>0</v>
      </c>
      <c r="S838" s="1096">
        <f t="shared" si="1555"/>
        <v>0</v>
      </c>
      <c r="T838" s="1096">
        <f t="shared" si="1555"/>
        <v>0</v>
      </c>
      <c r="U838" s="1096">
        <f t="shared" si="1555"/>
        <v>0</v>
      </c>
      <c r="V838" s="1096">
        <f t="shared" si="1555"/>
        <v>0</v>
      </c>
      <c r="W838" s="1096">
        <f t="shared" si="1555"/>
        <v>0</v>
      </c>
      <c r="X838" s="1207">
        <f t="shared" si="1555"/>
        <v>0</v>
      </c>
      <c r="Y838" s="1207">
        <f t="shared" si="1555"/>
        <v>0</v>
      </c>
      <c r="Z838" s="1096">
        <f t="shared" si="1555"/>
        <v>0</v>
      </c>
      <c r="AA838" s="1096">
        <f t="shared" si="1555"/>
        <v>0</v>
      </c>
      <c r="AB838" s="1096">
        <f t="shared" si="1555"/>
        <v>0</v>
      </c>
      <c r="AC838" s="1096">
        <f t="shared" si="1555"/>
        <v>0</v>
      </c>
      <c r="AD838" s="1096">
        <f t="shared" si="1555"/>
        <v>0</v>
      </c>
      <c r="AE838" s="1207">
        <f t="shared" si="1555"/>
        <v>0</v>
      </c>
      <c r="AF838" s="1207">
        <f t="shared" si="1555"/>
        <v>0</v>
      </c>
      <c r="AG838" s="1096">
        <f t="shared" si="1555"/>
        <v>0</v>
      </c>
      <c r="AH838" s="1096">
        <f t="shared" si="1555"/>
        <v>0</v>
      </c>
      <c r="AI838" s="1324">
        <f t="shared" si="1555"/>
        <v>0</v>
      </c>
      <c r="AJ838" s="38"/>
      <c r="AK838" s="29"/>
      <c r="AL838" s="30"/>
      <c r="AM838" s="694"/>
      <c r="AN838" s="31"/>
      <c r="AO838" s="630"/>
      <c r="AP838" s="39" t="s">
        <v>91</v>
      </c>
      <c r="AQ838" s="40">
        <f>SUM(E837:H837)</f>
        <v>0</v>
      </c>
      <c r="AR838" s="41">
        <f>SUM(I837:O837)</f>
        <v>0</v>
      </c>
      <c r="AS838" s="41">
        <f>SUM(P837:V837)</f>
        <v>0</v>
      </c>
      <c r="AT838" s="41">
        <f>SUM(W837:AC837)</f>
        <v>0</v>
      </c>
      <c r="AU838" s="41">
        <f>SUM(AD837:AI837)</f>
        <v>0</v>
      </c>
      <c r="AV838" s="34">
        <f t="shared" ref="AV838:AV843" si="1556">SUM(AQ838:AU838)</f>
        <v>0</v>
      </c>
    </row>
    <row r="839" spans="1:48" ht="25.15" customHeight="1">
      <c r="A839" s="103"/>
      <c r="B839" s="26" t="s">
        <v>92</v>
      </c>
      <c r="C839" s="42"/>
      <c r="D839" s="43" t="s">
        <v>93</v>
      </c>
      <c r="E839" s="1325">
        <v>0</v>
      </c>
      <c r="F839" s="1089">
        <v>0</v>
      </c>
      <c r="G839" s="44">
        <v>0</v>
      </c>
      <c r="H839" s="1089">
        <v>0</v>
      </c>
      <c r="I839" s="1089">
        <v>0</v>
      </c>
      <c r="J839" s="44">
        <v>0</v>
      </c>
      <c r="K839" s="44">
        <v>0</v>
      </c>
      <c r="L839" s="1089">
        <v>0</v>
      </c>
      <c r="M839" s="1089">
        <v>0</v>
      </c>
      <c r="N839" s="1089">
        <v>0</v>
      </c>
      <c r="O839" s="1089">
        <v>0</v>
      </c>
      <c r="P839" s="1089">
        <v>0</v>
      </c>
      <c r="Q839" s="44">
        <v>0</v>
      </c>
      <c r="R839" s="44">
        <v>0</v>
      </c>
      <c r="S839" s="1089">
        <v>0</v>
      </c>
      <c r="T839" s="1089">
        <v>0</v>
      </c>
      <c r="U839" s="1089">
        <v>0</v>
      </c>
      <c r="V839" s="1089">
        <v>0</v>
      </c>
      <c r="W839" s="1089">
        <v>0</v>
      </c>
      <c r="X839" s="44">
        <v>0</v>
      </c>
      <c r="Y839" s="44">
        <v>0</v>
      </c>
      <c r="Z839" s="1089">
        <v>0</v>
      </c>
      <c r="AA839" s="1089">
        <v>0</v>
      </c>
      <c r="AB839" s="1089"/>
      <c r="AC839" s="1089"/>
      <c r="AD839" s="1089"/>
      <c r="AE839" s="44"/>
      <c r="AF839" s="44"/>
      <c r="AG839" s="1089"/>
      <c r="AH839" s="1089"/>
      <c r="AI839" s="1326"/>
      <c r="AJ839" s="45">
        <f>SUM(E839:AI839)</f>
        <v>0</v>
      </c>
      <c r="AK839" s="45"/>
      <c r="AL839" s="46">
        <f>+AJ839*AN837</f>
        <v>0</v>
      </c>
      <c r="AM839" s="1066"/>
      <c r="AN839" s="31"/>
      <c r="AO839" s="632">
        <f>(AJ839+AJ841+AJ842+AJ843)*B841/1000</f>
        <v>0</v>
      </c>
      <c r="AP839" s="47" t="s">
        <v>94</v>
      </c>
      <c r="AQ839" s="48">
        <f>SUM(E839:H839)</f>
        <v>0</v>
      </c>
      <c r="AR839" s="49">
        <f>SUM(I839:O839)</f>
        <v>0</v>
      </c>
      <c r="AS839" s="49">
        <f>SUM(P839:V839)</f>
        <v>0</v>
      </c>
      <c r="AT839" s="49">
        <f>SUM(W839:AC839)</f>
        <v>0</v>
      </c>
      <c r="AU839" s="49">
        <f>SUM(AD839:AI839)</f>
        <v>0</v>
      </c>
      <c r="AV839" s="50">
        <f t="shared" si="1556"/>
        <v>0</v>
      </c>
    </row>
    <row r="840" spans="1:48" ht="25.15" customHeight="1">
      <c r="A840" s="103"/>
      <c r="B840" s="51"/>
      <c r="C840" s="52" t="s">
        <v>95</v>
      </c>
      <c r="D840" s="53" t="s">
        <v>96</v>
      </c>
      <c r="E840" s="1327">
        <f t="shared" ref="E840" si="1557">+E839-E837</f>
        <v>0</v>
      </c>
      <c r="F840" s="1097">
        <f t="shared" ref="F840:AJ840" si="1558">+F839-F837</f>
        <v>0</v>
      </c>
      <c r="G840" s="1205">
        <f t="shared" si="1558"/>
        <v>0</v>
      </c>
      <c r="H840" s="1097">
        <f t="shared" si="1558"/>
        <v>0</v>
      </c>
      <c r="I840" s="1097">
        <f t="shared" si="1558"/>
        <v>0</v>
      </c>
      <c r="J840" s="1205">
        <f t="shared" si="1558"/>
        <v>0</v>
      </c>
      <c r="K840" s="1205">
        <f t="shared" si="1558"/>
        <v>0</v>
      </c>
      <c r="L840" s="1097">
        <f t="shared" si="1558"/>
        <v>0</v>
      </c>
      <c r="M840" s="1097">
        <f t="shared" si="1558"/>
        <v>0</v>
      </c>
      <c r="N840" s="1097">
        <f t="shared" si="1558"/>
        <v>0</v>
      </c>
      <c r="O840" s="1097">
        <f t="shared" si="1558"/>
        <v>0</v>
      </c>
      <c r="P840" s="1097">
        <f t="shared" si="1558"/>
        <v>0</v>
      </c>
      <c r="Q840" s="1205">
        <f t="shared" si="1558"/>
        <v>0</v>
      </c>
      <c r="R840" s="1205">
        <f t="shared" si="1558"/>
        <v>0</v>
      </c>
      <c r="S840" s="1097">
        <f t="shared" si="1558"/>
        <v>0</v>
      </c>
      <c r="T840" s="1097">
        <f t="shared" si="1558"/>
        <v>0</v>
      </c>
      <c r="U840" s="1097">
        <f>+U839-U837</f>
        <v>0</v>
      </c>
      <c r="V840" s="1097">
        <f t="shared" si="1558"/>
        <v>0</v>
      </c>
      <c r="W840" s="1097">
        <f t="shared" si="1558"/>
        <v>0</v>
      </c>
      <c r="X840" s="1205">
        <f t="shared" si="1558"/>
        <v>0</v>
      </c>
      <c r="Y840" s="1205">
        <f t="shared" si="1558"/>
        <v>0</v>
      </c>
      <c r="Z840" s="1097">
        <f t="shared" si="1558"/>
        <v>0</v>
      </c>
      <c r="AA840" s="1097">
        <f t="shared" si="1558"/>
        <v>0</v>
      </c>
      <c r="AB840" s="1097">
        <f t="shared" si="1558"/>
        <v>0</v>
      </c>
      <c r="AC840" s="1097">
        <f t="shared" si="1558"/>
        <v>0</v>
      </c>
      <c r="AD840" s="1097">
        <f t="shared" si="1558"/>
        <v>0</v>
      </c>
      <c r="AE840" s="1205">
        <f t="shared" si="1558"/>
        <v>0</v>
      </c>
      <c r="AF840" s="1205">
        <f t="shared" si="1558"/>
        <v>0</v>
      </c>
      <c r="AG840" s="1097">
        <f t="shared" si="1558"/>
        <v>0</v>
      </c>
      <c r="AH840" s="1097">
        <f t="shared" si="1558"/>
        <v>0</v>
      </c>
      <c r="AI840" s="1328">
        <f t="shared" si="1558"/>
        <v>0</v>
      </c>
      <c r="AJ840" s="54">
        <f t="shared" si="1558"/>
        <v>0</v>
      </c>
      <c r="AK840" s="54"/>
      <c r="AL840" s="55">
        <f>+AJ840*AN837</f>
        <v>0</v>
      </c>
      <c r="AM840" s="1067"/>
      <c r="AN840" s="31" t="s">
        <v>97</v>
      </c>
      <c r="AO840" s="622"/>
      <c r="AP840" s="39" t="s">
        <v>98</v>
      </c>
      <c r="AQ840" s="56">
        <f>AQ839-AQ838</f>
        <v>0</v>
      </c>
      <c r="AR840" s="70">
        <f>AR839-AR838</f>
        <v>0</v>
      </c>
      <c r="AS840" s="70">
        <f>AS839-AS838</f>
        <v>0</v>
      </c>
      <c r="AT840" s="70">
        <f>AT839-AT838</f>
        <v>0</v>
      </c>
      <c r="AU840" s="70">
        <f>AU839-AU838</f>
        <v>0</v>
      </c>
      <c r="AV840" s="57">
        <f t="shared" si="1556"/>
        <v>0</v>
      </c>
    </row>
    <row r="841" spans="1:48" ht="25.15" customHeight="1">
      <c r="A841" s="58"/>
      <c r="B841" s="59"/>
      <c r="C841" s="60" t="s">
        <v>100</v>
      </c>
      <c r="D841" s="61" t="s">
        <v>101</v>
      </c>
      <c r="E841" s="1367">
        <v>0</v>
      </c>
      <c r="F841" s="1099">
        <v>0</v>
      </c>
      <c r="G841" s="1208">
        <v>0</v>
      </c>
      <c r="H841" s="1099">
        <v>0</v>
      </c>
      <c r="I841" s="1099">
        <v>0</v>
      </c>
      <c r="J841" s="1208">
        <v>0</v>
      </c>
      <c r="K841" s="1208">
        <v>0</v>
      </c>
      <c r="L841" s="1099">
        <v>0</v>
      </c>
      <c r="M841" s="1099">
        <v>0</v>
      </c>
      <c r="N841" s="1099">
        <v>0</v>
      </c>
      <c r="O841" s="1099">
        <v>0</v>
      </c>
      <c r="P841" s="1099">
        <v>0</v>
      </c>
      <c r="Q841" s="1208">
        <v>0</v>
      </c>
      <c r="R841" s="1208">
        <v>0</v>
      </c>
      <c r="S841" s="1112">
        <v>0</v>
      </c>
      <c r="T841" s="1099">
        <v>0</v>
      </c>
      <c r="U841" s="1099">
        <v>0</v>
      </c>
      <c r="V841" s="1099">
        <v>0</v>
      </c>
      <c r="W841" s="1099">
        <v>0</v>
      </c>
      <c r="X841" s="1208">
        <v>0</v>
      </c>
      <c r="Y841" s="1208">
        <v>0</v>
      </c>
      <c r="Z841" s="1099">
        <v>0</v>
      </c>
      <c r="AA841" s="1099">
        <v>0</v>
      </c>
      <c r="AB841" s="1099"/>
      <c r="AC841" s="1099"/>
      <c r="AD841" s="1099"/>
      <c r="AE841" s="1208"/>
      <c r="AF841" s="1208"/>
      <c r="AG841" s="1099"/>
      <c r="AH841" s="1099"/>
      <c r="AI841" s="1330"/>
      <c r="AJ841" s="62">
        <f>SUM(E841:AI841)</f>
        <v>0</v>
      </c>
      <c r="AK841" s="62"/>
      <c r="AL841" s="63">
        <f>+AJ841*AN837</f>
        <v>0</v>
      </c>
      <c r="AM841" s="1068"/>
      <c r="AN841" s="64" t="e">
        <f>+AJ841/AJ839*100</f>
        <v>#DIV/0!</v>
      </c>
      <c r="AO841" s="635" t="e">
        <f>AO839/AO837</f>
        <v>#VALUE!</v>
      </c>
      <c r="AP841" s="39" t="s">
        <v>102</v>
      </c>
      <c r="AQ841" s="56">
        <f>SUM(E841:H841)</f>
        <v>0</v>
      </c>
      <c r="AR841" s="70">
        <f>SUM(I841:O841)</f>
        <v>0</v>
      </c>
      <c r="AS841" s="70">
        <f>SUM(P841:V841)</f>
        <v>0</v>
      </c>
      <c r="AT841" s="70">
        <f>SUM(W841:AC841)</f>
        <v>0</v>
      </c>
      <c r="AU841" s="70">
        <f>SUM(AD841:AI841)</f>
        <v>0</v>
      </c>
      <c r="AV841" s="57">
        <f t="shared" si="1556"/>
        <v>0</v>
      </c>
    </row>
    <row r="842" spans="1:48" ht="25.15" customHeight="1">
      <c r="A842" s="58" t="s">
        <v>202</v>
      </c>
      <c r="B842" s="65"/>
      <c r="C842" s="66"/>
      <c r="D842" s="67" t="s">
        <v>103</v>
      </c>
      <c r="E842" s="1113">
        <v>0</v>
      </c>
      <c r="F842" s="1101">
        <v>0</v>
      </c>
      <c r="G842" s="1209">
        <v>0</v>
      </c>
      <c r="H842" s="1101">
        <v>0</v>
      </c>
      <c r="I842" s="1101">
        <v>0</v>
      </c>
      <c r="J842" s="1209">
        <v>0</v>
      </c>
      <c r="K842" s="1209">
        <v>0</v>
      </c>
      <c r="L842" s="1101">
        <v>0</v>
      </c>
      <c r="M842" s="1101">
        <v>0</v>
      </c>
      <c r="N842" s="1101">
        <v>0</v>
      </c>
      <c r="O842" s="1101">
        <v>0</v>
      </c>
      <c r="P842" s="1101">
        <v>0</v>
      </c>
      <c r="Q842" s="1209">
        <v>0</v>
      </c>
      <c r="R842" s="1209">
        <v>0</v>
      </c>
      <c r="S842" s="1114">
        <v>0</v>
      </c>
      <c r="T842" s="1101">
        <v>0</v>
      </c>
      <c r="U842" s="1101">
        <v>0</v>
      </c>
      <c r="V842" s="1101">
        <v>0</v>
      </c>
      <c r="W842" s="1101">
        <v>0</v>
      </c>
      <c r="X842" s="1209">
        <v>0</v>
      </c>
      <c r="Y842" s="1209">
        <v>0</v>
      </c>
      <c r="Z842" s="1101">
        <v>0</v>
      </c>
      <c r="AA842" s="1101">
        <v>0</v>
      </c>
      <c r="AB842" s="1101"/>
      <c r="AC842" s="1101"/>
      <c r="AD842" s="1101"/>
      <c r="AE842" s="1209"/>
      <c r="AF842" s="1209"/>
      <c r="AG842" s="1101"/>
      <c r="AH842" s="1101"/>
      <c r="AI842" s="1332"/>
      <c r="AJ842" s="68">
        <f>SUM(E842:AI842)</f>
        <v>0</v>
      </c>
      <c r="AK842" s="68"/>
      <c r="AL842" s="69">
        <f>+AJ842*AN837</f>
        <v>0</v>
      </c>
      <c r="AM842" s="1069"/>
      <c r="AN842" s="31"/>
      <c r="AO842" s="622"/>
      <c r="AP842" s="39" t="s">
        <v>19</v>
      </c>
      <c r="AQ842" s="56">
        <f>AQ841*AN837</f>
        <v>0</v>
      </c>
      <c r="AR842" s="56">
        <f>AR841*AN837</f>
        <v>0</v>
      </c>
      <c r="AS842" s="56">
        <f>AS841*AN837</f>
        <v>0</v>
      </c>
      <c r="AT842" s="56">
        <f>AT841*AN837</f>
        <v>0</v>
      </c>
      <c r="AU842" s="56">
        <f>AU841*AN837</f>
        <v>0</v>
      </c>
      <c r="AV842" s="57">
        <f t="shared" si="1556"/>
        <v>0</v>
      </c>
    </row>
    <row r="843" spans="1:48" ht="25.15" customHeight="1">
      <c r="A843" s="103"/>
      <c r="B843" s="65"/>
      <c r="C843" s="72" t="s">
        <v>104</v>
      </c>
      <c r="D843" s="73" t="s">
        <v>105</v>
      </c>
      <c r="E843" s="1115">
        <v>0</v>
      </c>
      <c r="F843" s="1103">
        <v>0</v>
      </c>
      <c r="G843" s="1210">
        <v>0</v>
      </c>
      <c r="H843" s="1103">
        <v>0</v>
      </c>
      <c r="I843" s="1103">
        <v>0</v>
      </c>
      <c r="J843" s="1210">
        <v>0</v>
      </c>
      <c r="K843" s="1210">
        <v>0</v>
      </c>
      <c r="L843" s="1103">
        <v>0</v>
      </c>
      <c r="M843" s="1103">
        <v>0</v>
      </c>
      <c r="N843" s="1103">
        <v>0</v>
      </c>
      <c r="O843" s="1103">
        <v>0</v>
      </c>
      <c r="P843" s="1103">
        <v>0</v>
      </c>
      <c r="Q843" s="1210">
        <v>0</v>
      </c>
      <c r="R843" s="1210">
        <v>0</v>
      </c>
      <c r="S843" s="1116">
        <v>0</v>
      </c>
      <c r="T843" s="1103">
        <v>0</v>
      </c>
      <c r="U843" s="1103">
        <v>0</v>
      </c>
      <c r="V843" s="1103">
        <v>0</v>
      </c>
      <c r="W843" s="1103">
        <v>0</v>
      </c>
      <c r="X843" s="1210">
        <v>0</v>
      </c>
      <c r="Y843" s="1210">
        <v>0</v>
      </c>
      <c r="Z843" s="1103">
        <v>0</v>
      </c>
      <c r="AA843" s="1103">
        <v>0</v>
      </c>
      <c r="AB843" s="1103"/>
      <c r="AC843" s="1103"/>
      <c r="AD843" s="1103"/>
      <c r="AE843" s="1210"/>
      <c r="AF843" s="1210"/>
      <c r="AG843" s="1103"/>
      <c r="AH843" s="1103"/>
      <c r="AI843" s="1352"/>
      <c r="AJ843" s="74">
        <f>SUM(E843:AI843)</f>
        <v>0</v>
      </c>
      <c r="AK843" s="74"/>
      <c r="AL843" s="75">
        <f>+AJ843*AN837</f>
        <v>0</v>
      </c>
      <c r="AM843" s="1070"/>
      <c r="AN843" s="76"/>
      <c r="AO843" s="636"/>
      <c r="AP843" s="47" t="s">
        <v>106</v>
      </c>
      <c r="AQ843" s="48">
        <f>AQ839*AN837</f>
        <v>0</v>
      </c>
      <c r="AR843" s="48">
        <f>AR839*AN837</f>
        <v>0</v>
      </c>
      <c r="AS843" s="48">
        <f>AS839*AN837</f>
        <v>0</v>
      </c>
      <c r="AT843" s="48">
        <f>AT839*AN837</f>
        <v>0</v>
      </c>
      <c r="AU843" s="48">
        <f>AU839*AN837</f>
        <v>0</v>
      </c>
      <c r="AV843" s="50">
        <f t="shared" si="1556"/>
        <v>0</v>
      </c>
    </row>
    <row r="844" spans="1:48" ht="25.15" customHeight="1">
      <c r="A844" s="103"/>
      <c r="B844" s="65"/>
      <c r="C844" s="77">
        <v>300000</v>
      </c>
      <c r="D844" s="78" t="s">
        <v>107</v>
      </c>
      <c r="E844" s="1327">
        <v>1</v>
      </c>
      <c r="F844" s="1097">
        <v>1</v>
      </c>
      <c r="G844" s="1205">
        <v>1</v>
      </c>
      <c r="H844" s="1097">
        <v>1</v>
      </c>
      <c r="I844" s="1097">
        <v>1</v>
      </c>
      <c r="J844" s="1205">
        <v>1</v>
      </c>
      <c r="K844" s="1205">
        <v>1</v>
      </c>
      <c r="L844" s="1097">
        <v>1</v>
      </c>
      <c r="M844" s="1097">
        <v>1</v>
      </c>
      <c r="N844" s="1097">
        <v>1</v>
      </c>
      <c r="O844" s="1097">
        <v>1</v>
      </c>
      <c r="P844" s="1097">
        <v>1</v>
      </c>
      <c r="Q844" s="1205">
        <v>1</v>
      </c>
      <c r="R844" s="1205">
        <v>1</v>
      </c>
      <c r="S844" s="1097">
        <v>1</v>
      </c>
      <c r="T844" s="1097">
        <v>1</v>
      </c>
      <c r="U844" s="1097">
        <v>1</v>
      </c>
      <c r="V844" s="1097">
        <v>1</v>
      </c>
      <c r="W844" s="1097">
        <v>1</v>
      </c>
      <c r="X844" s="1205">
        <v>1</v>
      </c>
      <c r="Y844" s="1205">
        <v>1</v>
      </c>
      <c r="Z844" s="1097">
        <v>1</v>
      </c>
      <c r="AA844" s="1097">
        <v>1</v>
      </c>
      <c r="AB844" s="1097">
        <v>1</v>
      </c>
      <c r="AC844" s="1097">
        <v>1</v>
      </c>
      <c r="AD844" s="1097">
        <v>1</v>
      </c>
      <c r="AE844" s="1205">
        <v>1</v>
      </c>
      <c r="AF844" s="1205">
        <v>1</v>
      </c>
      <c r="AG844" s="1097">
        <v>1</v>
      </c>
      <c r="AH844" s="1097">
        <v>1</v>
      </c>
      <c r="AI844" s="1328">
        <v>1</v>
      </c>
      <c r="AJ844" s="79"/>
      <c r="AK844" s="79"/>
      <c r="AL844" s="55"/>
      <c r="AM844" s="1067"/>
      <c r="AN844" s="31"/>
      <c r="AO844" s="622"/>
      <c r="AP844" s="23"/>
      <c r="AQ844" s="23"/>
      <c r="AR844" s="23"/>
      <c r="AS844" s="23"/>
      <c r="AT844" s="23"/>
      <c r="AU844" s="23"/>
      <c r="AV844" s="23"/>
    </row>
    <row r="845" spans="1:48" ht="25.15" customHeight="1">
      <c r="A845" s="103"/>
      <c r="B845" s="65"/>
      <c r="C845" s="80" t="s">
        <v>108</v>
      </c>
      <c r="D845" s="81" t="s">
        <v>109</v>
      </c>
      <c r="E845" s="1374">
        <f>SUM(E839+E841+E842+E843)/E844</f>
        <v>0</v>
      </c>
      <c r="F845" s="1104">
        <f>SUM(F839+F841+F842+F843)/F844</f>
        <v>0</v>
      </c>
      <c r="G845" s="1211">
        <f>SUM(G839+G841+G842+G843)/G844</f>
        <v>0</v>
      </c>
      <c r="H845" s="1104">
        <f t="shared" ref="H845:AH845" si="1559">SUM(H839+H841+H842+H843)/H844</f>
        <v>0</v>
      </c>
      <c r="I845" s="1104">
        <f t="shared" si="1559"/>
        <v>0</v>
      </c>
      <c r="J845" s="1211">
        <f t="shared" si="1559"/>
        <v>0</v>
      </c>
      <c r="K845" s="1211">
        <f t="shared" si="1559"/>
        <v>0</v>
      </c>
      <c r="L845" s="1104">
        <f t="shared" si="1559"/>
        <v>0</v>
      </c>
      <c r="M845" s="1104">
        <f t="shared" si="1559"/>
        <v>0</v>
      </c>
      <c r="N845" s="1104">
        <f t="shared" si="1559"/>
        <v>0</v>
      </c>
      <c r="O845" s="1104">
        <f t="shared" si="1559"/>
        <v>0</v>
      </c>
      <c r="P845" s="1104">
        <f t="shared" si="1559"/>
        <v>0</v>
      </c>
      <c r="Q845" s="1211">
        <f t="shared" si="1559"/>
        <v>0</v>
      </c>
      <c r="R845" s="1211">
        <f t="shared" si="1559"/>
        <v>0</v>
      </c>
      <c r="S845" s="1104">
        <f t="shared" si="1559"/>
        <v>0</v>
      </c>
      <c r="T845" s="1104">
        <f t="shared" si="1559"/>
        <v>0</v>
      </c>
      <c r="U845" s="1104">
        <f t="shared" si="1559"/>
        <v>0</v>
      </c>
      <c r="V845" s="1104">
        <f t="shared" si="1559"/>
        <v>0</v>
      </c>
      <c r="W845" s="1104">
        <f t="shared" si="1559"/>
        <v>0</v>
      </c>
      <c r="X845" s="1211">
        <f t="shared" si="1559"/>
        <v>0</v>
      </c>
      <c r="Y845" s="1211">
        <f t="shared" si="1559"/>
        <v>0</v>
      </c>
      <c r="Z845" s="1104">
        <f t="shared" si="1559"/>
        <v>0</v>
      </c>
      <c r="AA845" s="1104">
        <f t="shared" si="1559"/>
        <v>0</v>
      </c>
      <c r="AB845" s="1104">
        <f t="shared" si="1559"/>
        <v>0</v>
      </c>
      <c r="AC845" s="1104">
        <f t="shared" si="1559"/>
        <v>0</v>
      </c>
      <c r="AD845" s="1104">
        <f t="shared" si="1559"/>
        <v>0</v>
      </c>
      <c r="AE845" s="1211">
        <f t="shared" si="1559"/>
        <v>0</v>
      </c>
      <c r="AF845" s="1211">
        <f t="shared" si="1559"/>
        <v>0</v>
      </c>
      <c r="AG845" s="1104">
        <f t="shared" si="1559"/>
        <v>0</v>
      </c>
      <c r="AH845" s="1104">
        <f t="shared" si="1559"/>
        <v>0</v>
      </c>
      <c r="AI845" s="1335">
        <f>SUM(AI839+AI841+AI842)/AI844</f>
        <v>0</v>
      </c>
      <c r="AJ845" s="104">
        <f>SUM(E845:AI845)</f>
        <v>0</v>
      </c>
      <c r="AK845" s="104"/>
      <c r="AL845" s="83"/>
      <c r="AM845" s="1068"/>
      <c r="AN845" s="31"/>
      <c r="AO845" s="622"/>
      <c r="AP845" s="23"/>
      <c r="AQ845" s="23"/>
      <c r="AR845" s="23"/>
      <c r="AS845" s="23"/>
      <c r="AT845" s="23"/>
      <c r="AU845" s="23"/>
      <c r="AV845" s="23"/>
    </row>
    <row r="846" spans="1:48" ht="25.15" customHeight="1">
      <c r="A846" s="103"/>
      <c r="B846" s="59"/>
      <c r="C846" s="84">
        <f>+C844*0.8</f>
        <v>240000</v>
      </c>
      <c r="D846" s="85" t="s">
        <v>110</v>
      </c>
      <c r="E846" s="1105"/>
      <c r="F846" s="1106"/>
      <c r="G846" s="1211"/>
      <c r="H846" s="1104"/>
      <c r="I846" s="1104"/>
      <c r="J846" s="1211"/>
      <c r="K846" s="1211"/>
      <c r="L846" s="1104"/>
      <c r="M846" s="1104"/>
      <c r="N846" s="1104"/>
      <c r="O846" s="1107"/>
      <c r="P846" s="1104"/>
      <c r="Q846" s="1211"/>
      <c r="R846" s="1211"/>
      <c r="S846" s="1104"/>
      <c r="T846" s="1104"/>
      <c r="U846" s="1104"/>
      <c r="V846" s="1104"/>
      <c r="W846" s="1104"/>
      <c r="X846" s="1211"/>
      <c r="Y846" s="1211"/>
      <c r="Z846" s="1104"/>
      <c r="AA846" s="1104"/>
      <c r="AB846" s="1104"/>
      <c r="AC846" s="1104"/>
      <c r="AD846" s="1104"/>
      <c r="AE846" s="1211"/>
      <c r="AF846" s="1211"/>
      <c r="AG846" s="1104"/>
      <c r="AH846" s="1104"/>
      <c r="AI846" s="1353"/>
      <c r="AJ846" s="86"/>
      <c r="AK846" s="86"/>
      <c r="AL846" s="690"/>
      <c r="AM846" s="694"/>
      <c r="AN846" s="31"/>
      <c r="AO846" s="622"/>
      <c r="AP846" s="23"/>
      <c r="AQ846" s="23"/>
      <c r="AR846" s="23"/>
      <c r="AS846" s="23"/>
      <c r="AT846" s="23"/>
      <c r="AU846" s="23"/>
      <c r="AV846" s="23"/>
    </row>
    <row r="847" spans="1:48" ht="25.15" customHeight="1">
      <c r="A847" s="103"/>
      <c r="B847" s="105"/>
      <c r="C847" s="77"/>
      <c r="D847" s="88" t="s">
        <v>111</v>
      </c>
      <c r="E847" s="1108">
        <f>IF(E846="O/H",E845,9364+E845)</f>
        <v>9364</v>
      </c>
      <c r="F847" s="1089">
        <f t="shared" ref="F847:AI847" si="1560">IF(F846="O/H",F845,+E847+F845)</f>
        <v>9364</v>
      </c>
      <c r="G847" s="44">
        <f t="shared" si="1560"/>
        <v>9364</v>
      </c>
      <c r="H847" s="1089">
        <f t="shared" si="1560"/>
        <v>9364</v>
      </c>
      <c r="I847" s="1089">
        <f t="shared" si="1560"/>
        <v>9364</v>
      </c>
      <c r="J847" s="44">
        <f t="shared" si="1560"/>
        <v>9364</v>
      </c>
      <c r="K847" s="44">
        <f t="shared" si="1560"/>
        <v>9364</v>
      </c>
      <c r="L847" s="1089">
        <f t="shared" si="1560"/>
        <v>9364</v>
      </c>
      <c r="M847" s="1089">
        <f t="shared" si="1560"/>
        <v>9364</v>
      </c>
      <c r="N847" s="1089">
        <f t="shared" si="1560"/>
        <v>9364</v>
      </c>
      <c r="O847" s="1089">
        <f t="shared" si="1560"/>
        <v>9364</v>
      </c>
      <c r="P847" s="1089">
        <f t="shared" si="1560"/>
        <v>9364</v>
      </c>
      <c r="Q847" s="44">
        <f t="shared" si="1560"/>
        <v>9364</v>
      </c>
      <c r="R847" s="44">
        <f t="shared" si="1560"/>
        <v>9364</v>
      </c>
      <c r="S847" s="1089">
        <f t="shared" si="1560"/>
        <v>9364</v>
      </c>
      <c r="T847" s="1089">
        <f t="shared" si="1560"/>
        <v>9364</v>
      </c>
      <c r="U847" s="1089">
        <f t="shared" si="1560"/>
        <v>9364</v>
      </c>
      <c r="V847" s="1089">
        <f t="shared" si="1560"/>
        <v>9364</v>
      </c>
      <c r="W847" s="1089">
        <f t="shared" si="1560"/>
        <v>9364</v>
      </c>
      <c r="X847" s="44">
        <f t="shared" si="1560"/>
        <v>9364</v>
      </c>
      <c r="Y847" s="44">
        <f t="shared" si="1560"/>
        <v>9364</v>
      </c>
      <c r="Z847" s="1089">
        <f t="shared" si="1560"/>
        <v>9364</v>
      </c>
      <c r="AA847" s="1089">
        <f t="shared" si="1560"/>
        <v>9364</v>
      </c>
      <c r="AB847" s="1089">
        <f t="shared" si="1560"/>
        <v>9364</v>
      </c>
      <c r="AC847" s="1089">
        <f t="shared" si="1560"/>
        <v>9364</v>
      </c>
      <c r="AD847" s="1089">
        <f t="shared" si="1560"/>
        <v>9364</v>
      </c>
      <c r="AE847" s="44">
        <f t="shared" si="1560"/>
        <v>9364</v>
      </c>
      <c r="AF847" s="44">
        <f t="shared" si="1560"/>
        <v>9364</v>
      </c>
      <c r="AG847" s="1089">
        <f t="shared" si="1560"/>
        <v>9364</v>
      </c>
      <c r="AH847" s="1089">
        <f t="shared" si="1560"/>
        <v>9364</v>
      </c>
      <c r="AI847" s="1326">
        <f t="shared" si="1560"/>
        <v>9364</v>
      </c>
      <c r="AJ847" s="79"/>
      <c r="AK847" s="86"/>
      <c r="AL847" s="689"/>
      <c r="AM847" s="694"/>
      <c r="AN847" s="31"/>
      <c r="AO847" s="622"/>
      <c r="AP847" s="23"/>
      <c r="AQ847" s="23"/>
      <c r="AR847" s="23"/>
      <c r="AS847" s="23"/>
      <c r="AT847" s="23"/>
      <c r="AU847" s="23"/>
      <c r="AV847" s="23"/>
    </row>
    <row r="848" spans="1:48" s="23" customFormat="1" ht="20.65" customHeight="1">
      <c r="A848" s="274"/>
      <c r="B848" s="312"/>
      <c r="C848" s="308"/>
      <c r="D848" s="795" t="s">
        <v>112</v>
      </c>
      <c r="E848" s="1108">
        <f>IF(AND(ISNUMBER(E839)),22873+E845)</f>
        <v>22873</v>
      </c>
      <c r="F848" s="1089">
        <f>IF(AND(ISNUMBER(F839)),E848+F845,"")</f>
        <v>22873</v>
      </c>
      <c r="G848" s="44">
        <f t="shared" ref="G848" si="1561">IF(AND(ISNUMBER(G839)),F848+G845,"")</f>
        <v>22873</v>
      </c>
      <c r="H848" s="1089">
        <f t="shared" ref="H848" si="1562">IF(AND(ISNUMBER(H839)),G848+H845,"")</f>
        <v>22873</v>
      </c>
      <c r="I848" s="1089">
        <f>IF(AND(ISNUMBER(I839)),H848+I845,"")</f>
        <v>22873</v>
      </c>
      <c r="J848" s="44">
        <f>IF(AND(ISNUMBER(J839)),I848+J845,"")</f>
        <v>22873</v>
      </c>
      <c r="K848" s="44">
        <f>IF(AND(ISNUMBER(K839)),J848+K845,"")</f>
        <v>22873</v>
      </c>
      <c r="L848" s="1089">
        <f t="shared" ref="L848" si="1563">IF(AND(ISNUMBER(L839)),K848+L845,"")</f>
        <v>22873</v>
      </c>
      <c r="M848" s="1089">
        <f t="shared" ref="M848" si="1564">IF(AND(ISNUMBER(M839)),L848+M845,"")</f>
        <v>22873</v>
      </c>
      <c r="N848" s="1089">
        <f t="shared" ref="N848" si="1565">IF(AND(ISNUMBER(N839)),M848+N845,"")</f>
        <v>22873</v>
      </c>
      <c r="O848" s="1089">
        <f t="shared" ref="O848" si="1566">IF(AND(ISNUMBER(O839)),N848+O845,"")</f>
        <v>22873</v>
      </c>
      <c r="P848" s="1089">
        <f t="shared" ref="P848" si="1567">IF(AND(ISNUMBER(P839)),O848+P845,"")</f>
        <v>22873</v>
      </c>
      <c r="Q848" s="44">
        <f t="shared" ref="Q848" si="1568">IF(AND(ISNUMBER(Q839)),P848+Q845,"")</f>
        <v>22873</v>
      </c>
      <c r="R848" s="44">
        <f t="shared" ref="R848" si="1569">IF(AND(ISNUMBER(R839)),Q848+R845,"")</f>
        <v>22873</v>
      </c>
      <c r="S848" s="1089">
        <f t="shared" ref="S848" si="1570">IF(AND(ISNUMBER(S839)),R848+S845,"")</f>
        <v>22873</v>
      </c>
      <c r="T848" s="1089">
        <f t="shared" ref="T848" si="1571">IF(AND(ISNUMBER(T839)),S848+T845,"")</f>
        <v>22873</v>
      </c>
      <c r="U848" s="1089">
        <f t="shared" ref="U848" si="1572">IF(AND(ISNUMBER(U839)),T848+U845,"")</f>
        <v>22873</v>
      </c>
      <c r="V848" s="1089">
        <f t="shared" ref="V848" si="1573">IF(AND(ISNUMBER(V839)),U848+V845,"")</f>
        <v>22873</v>
      </c>
      <c r="W848" s="1089">
        <f t="shared" ref="W848" si="1574">IF(AND(ISNUMBER(W839)),V848+W845,"")</f>
        <v>22873</v>
      </c>
      <c r="X848" s="44">
        <f t="shared" ref="X848" si="1575">IF(AND(ISNUMBER(X839)),W848+X845,"")</f>
        <v>22873</v>
      </c>
      <c r="Y848" s="44">
        <f t="shared" ref="Y848" si="1576">IF(AND(ISNUMBER(Y839)),X848+Y845,"")</f>
        <v>22873</v>
      </c>
      <c r="Z848" s="1089">
        <f t="shared" ref="Z848" si="1577">IF(AND(ISNUMBER(Z839)),Y848+Z845,"")</f>
        <v>22873</v>
      </c>
      <c r="AA848" s="1089">
        <f t="shared" ref="AA848" si="1578">IF(AND(ISNUMBER(AA839)),Z848+AA845,"")</f>
        <v>22873</v>
      </c>
      <c r="AB848" s="1089" t="str">
        <f t="shared" ref="AB848" si="1579">IF(AND(ISNUMBER(AB839)),AA848+AB845,"")</f>
        <v/>
      </c>
      <c r="AC848" s="1089" t="str">
        <f t="shared" ref="AC848" si="1580">IF(AND(ISNUMBER(AC839)),AB848+AC845,"")</f>
        <v/>
      </c>
      <c r="AD848" s="1089" t="str">
        <f t="shared" ref="AD848" si="1581">IF(AND(ISNUMBER(AD839)),AC848+AD845,"")</f>
        <v/>
      </c>
      <c r="AE848" s="44" t="str">
        <f t="shared" ref="AE848" si="1582">IF(AND(ISNUMBER(AE839)),AD848+AE845,"")</f>
        <v/>
      </c>
      <c r="AF848" s="44" t="str">
        <f t="shared" ref="AF848" si="1583">IF(AND(ISNUMBER(AF839)),AE848+AF845,"")</f>
        <v/>
      </c>
      <c r="AG848" s="1089" t="str">
        <f t="shared" ref="AG848" si="1584">IF(AND(ISNUMBER(AG839)),AF848+AG845,"")</f>
        <v/>
      </c>
      <c r="AH848" s="1089" t="str">
        <f t="shared" ref="AH848" si="1585">IF(AND(ISNUMBER(AH839)),AG848+AH845,"")</f>
        <v/>
      </c>
      <c r="AI848" s="1089" t="str">
        <f t="shared" ref="AI848" si="1586">IF(AND(ISNUMBER(AI839)),AH848+AI845,"")</f>
        <v/>
      </c>
      <c r="AJ848" s="793"/>
      <c r="AK848" s="793"/>
      <c r="AL848" s="909"/>
      <c r="AM848" s="890"/>
      <c r="AN848" s="76"/>
      <c r="AO848" s="624"/>
      <c r="AP848" s="285"/>
      <c r="AQ848" s="285"/>
      <c r="AR848" s="285"/>
      <c r="AS848" s="285"/>
      <c r="AT848" s="286"/>
      <c r="AU848" s="285"/>
      <c r="AV848" s="287"/>
    </row>
    <row r="849" spans="1:48" ht="25.15" customHeight="1">
      <c r="A849" s="103"/>
      <c r="B849" s="89"/>
      <c r="C849" s="80"/>
      <c r="D849" s="90" t="s">
        <v>104</v>
      </c>
      <c r="E849" s="1108"/>
      <c r="F849" s="1089"/>
      <c r="G849" s="44"/>
      <c r="H849" s="1089"/>
      <c r="I849" s="1089"/>
      <c r="J849" s="44"/>
      <c r="K849" s="44"/>
      <c r="L849" s="1089"/>
      <c r="M849" s="1089"/>
      <c r="N849" s="1089"/>
      <c r="O849" s="1089"/>
      <c r="P849" s="1089"/>
      <c r="Q849" s="44"/>
      <c r="R849" s="44"/>
      <c r="S849" s="1089"/>
      <c r="T849" s="1089"/>
      <c r="U849" s="1089"/>
      <c r="V849" s="1089"/>
      <c r="W849" s="1089"/>
      <c r="X849" s="44"/>
      <c r="Y849" s="44"/>
      <c r="Z849" s="1089"/>
      <c r="AA849" s="1089"/>
      <c r="AB849" s="1089"/>
      <c r="AC849" s="1089"/>
      <c r="AD849" s="1089"/>
      <c r="AE849" s="44"/>
      <c r="AF849" s="44"/>
      <c r="AG849" s="1089"/>
      <c r="AH849" s="1089"/>
      <c r="AI849" s="1326"/>
      <c r="AJ849" s="79"/>
      <c r="AK849" s="79"/>
      <c r="AL849" s="63"/>
      <c r="AM849" s="1068"/>
      <c r="AN849" s="64"/>
      <c r="AO849" s="624"/>
      <c r="AP849" s="23"/>
      <c r="AQ849" s="23"/>
      <c r="AR849" s="23"/>
      <c r="AS849" s="23"/>
      <c r="AT849" s="23"/>
      <c r="AU849" s="23"/>
      <c r="AV849" s="23"/>
    </row>
    <row r="850" spans="1:48" ht="25.15" customHeight="1" thickBot="1">
      <c r="A850" s="106"/>
      <c r="B850" s="93"/>
      <c r="C850" s="94"/>
      <c r="D850" s="95" t="s">
        <v>111</v>
      </c>
      <c r="E850" s="1109">
        <f>IF(E849="O/H",E845,6195+E845)</f>
        <v>6195</v>
      </c>
      <c r="F850" s="1110">
        <f t="shared" ref="F850:AI850" si="1587">IF(F849="O/H",F845,+E850+F845)</f>
        <v>6195</v>
      </c>
      <c r="G850" s="1212">
        <f t="shared" si="1587"/>
        <v>6195</v>
      </c>
      <c r="H850" s="1110">
        <f t="shared" si="1587"/>
        <v>6195</v>
      </c>
      <c r="I850" s="1110">
        <f t="shared" si="1587"/>
        <v>6195</v>
      </c>
      <c r="J850" s="1212">
        <f t="shared" si="1587"/>
        <v>6195</v>
      </c>
      <c r="K850" s="1212">
        <f t="shared" si="1587"/>
        <v>6195</v>
      </c>
      <c r="L850" s="1110">
        <f t="shared" si="1587"/>
        <v>6195</v>
      </c>
      <c r="M850" s="1110">
        <f t="shared" si="1587"/>
        <v>6195</v>
      </c>
      <c r="N850" s="1110">
        <f t="shared" si="1587"/>
        <v>6195</v>
      </c>
      <c r="O850" s="1110">
        <f t="shared" si="1587"/>
        <v>6195</v>
      </c>
      <c r="P850" s="1110">
        <f t="shared" si="1587"/>
        <v>6195</v>
      </c>
      <c r="Q850" s="1212">
        <f t="shared" si="1587"/>
        <v>6195</v>
      </c>
      <c r="R850" s="1212">
        <f t="shared" si="1587"/>
        <v>6195</v>
      </c>
      <c r="S850" s="1110">
        <f t="shared" si="1587"/>
        <v>6195</v>
      </c>
      <c r="T850" s="1110">
        <f t="shared" si="1587"/>
        <v>6195</v>
      </c>
      <c r="U850" s="1110">
        <f t="shared" si="1587"/>
        <v>6195</v>
      </c>
      <c r="V850" s="1110">
        <f t="shared" si="1587"/>
        <v>6195</v>
      </c>
      <c r="W850" s="1110">
        <f t="shared" si="1587"/>
        <v>6195</v>
      </c>
      <c r="X850" s="1212">
        <f t="shared" si="1587"/>
        <v>6195</v>
      </c>
      <c r="Y850" s="1212">
        <f t="shared" si="1587"/>
        <v>6195</v>
      </c>
      <c r="Z850" s="1110">
        <f t="shared" si="1587"/>
        <v>6195</v>
      </c>
      <c r="AA850" s="1110">
        <f t="shared" si="1587"/>
        <v>6195</v>
      </c>
      <c r="AB850" s="1110">
        <f t="shared" si="1587"/>
        <v>6195</v>
      </c>
      <c r="AC850" s="1110">
        <f t="shared" si="1587"/>
        <v>6195</v>
      </c>
      <c r="AD850" s="1110">
        <f t="shared" si="1587"/>
        <v>6195</v>
      </c>
      <c r="AE850" s="1212">
        <f t="shared" si="1587"/>
        <v>6195</v>
      </c>
      <c r="AF850" s="1212">
        <f t="shared" si="1587"/>
        <v>6195</v>
      </c>
      <c r="AG850" s="1110">
        <f t="shared" si="1587"/>
        <v>6195</v>
      </c>
      <c r="AH850" s="1110">
        <f t="shared" si="1587"/>
        <v>6195</v>
      </c>
      <c r="AI850" s="1340">
        <f t="shared" si="1587"/>
        <v>6195</v>
      </c>
      <c r="AJ850" s="96"/>
      <c r="AK850" s="96"/>
      <c r="AL850" s="97"/>
      <c r="AM850" s="1071"/>
      <c r="AN850" s="98"/>
      <c r="AO850" s="625"/>
      <c r="AP850" s="23"/>
      <c r="AQ850" s="23"/>
      <c r="AR850" s="23"/>
      <c r="AS850" s="23"/>
      <c r="AT850" s="23"/>
      <c r="AU850" s="23"/>
      <c r="AV850" s="23"/>
    </row>
    <row r="851" spans="1:48" ht="25.15" customHeight="1" thickTop="1">
      <c r="A851" s="99"/>
      <c r="B851" s="26" t="s">
        <v>203</v>
      </c>
      <c r="C851" s="27"/>
      <c r="D851" s="28" t="s">
        <v>82</v>
      </c>
      <c r="E851" s="1523"/>
      <c r="F851" s="1111"/>
      <c r="G851" s="1201"/>
      <c r="H851" s="1111"/>
      <c r="I851" s="1111"/>
      <c r="J851" s="1201"/>
      <c r="K851" s="1201"/>
      <c r="L851" s="1111"/>
      <c r="M851" s="1111"/>
      <c r="N851" s="1111"/>
      <c r="O851" s="1111"/>
      <c r="P851" s="1111"/>
      <c r="Q851" s="1201"/>
      <c r="R851" s="1201"/>
      <c r="S851" s="1111"/>
      <c r="T851" s="1111"/>
      <c r="U851" s="1111"/>
      <c r="V851" s="1111"/>
      <c r="W851" s="1111"/>
      <c r="X851" s="1201"/>
      <c r="Y851" s="1201"/>
      <c r="Z851" s="1111"/>
      <c r="AA851" s="1111"/>
      <c r="AB851" s="1111"/>
      <c r="AC851" s="1111"/>
      <c r="AD851" s="1111"/>
      <c r="AE851" s="1201"/>
      <c r="AF851" s="1201"/>
      <c r="AG851" s="1111"/>
      <c r="AH851" s="1111"/>
      <c r="AI851" s="1111"/>
      <c r="AJ851" s="100">
        <f>SUM(Table75[[#This Row],[June''2026]:[Column27]])</f>
        <v>0</v>
      </c>
      <c r="AK851" s="1078">
        <f t="shared" ref="AK851:AK891" si="1588">AJ853</f>
        <v>0</v>
      </c>
      <c r="AL851" s="101">
        <f>+AJ851*AN851</f>
        <v>0</v>
      </c>
      <c r="AM851" s="1079">
        <f t="shared" ref="AM851:AM902" si="1589">AL853</f>
        <v>0</v>
      </c>
      <c r="AN851" s="102"/>
      <c r="AO851" s="622" t="e">
        <f>Table5[[#This Row],[Total]]*B855/1000</f>
        <v>#VALUE!</v>
      </c>
      <c r="AP851" s="32" t="s">
        <v>193</v>
      </c>
      <c r="AQ851" s="33" t="s">
        <v>84</v>
      </c>
      <c r="AR851" s="33" t="s">
        <v>85</v>
      </c>
      <c r="AS851" s="33" t="s">
        <v>86</v>
      </c>
      <c r="AT851" s="33" t="s">
        <v>87</v>
      </c>
      <c r="AU851" s="33" t="s">
        <v>88</v>
      </c>
      <c r="AV851" s="34" t="s">
        <v>68</v>
      </c>
    </row>
    <row r="852" spans="1:48" ht="25.15" customHeight="1">
      <c r="A852" s="103"/>
      <c r="B852" s="35"/>
      <c r="C852" s="36"/>
      <c r="D852" s="37" t="s">
        <v>90</v>
      </c>
      <c r="E852" s="1373">
        <f>IF(E851="",0,+ E851/E858)</f>
        <v>0</v>
      </c>
      <c r="F852" s="1096">
        <f t="shared" ref="F852:AI852" si="1590">IF(F851="",0, E852+F851/F858)</f>
        <v>0</v>
      </c>
      <c r="G852" s="1207">
        <f t="shared" si="1590"/>
        <v>0</v>
      </c>
      <c r="H852" s="1096">
        <f t="shared" si="1590"/>
        <v>0</v>
      </c>
      <c r="I852" s="1096">
        <f t="shared" si="1590"/>
        <v>0</v>
      </c>
      <c r="J852" s="1207">
        <f t="shared" si="1590"/>
        <v>0</v>
      </c>
      <c r="K852" s="1207">
        <f t="shared" si="1590"/>
        <v>0</v>
      </c>
      <c r="L852" s="1096">
        <f t="shared" si="1590"/>
        <v>0</v>
      </c>
      <c r="M852" s="1096">
        <f t="shared" si="1590"/>
        <v>0</v>
      </c>
      <c r="N852" s="1096">
        <f t="shared" si="1590"/>
        <v>0</v>
      </c>
      <c r="O852" s="1096">
        <f t="shared" si="1590"/>
        <v>0</v>
      </c>
      <c r="P852" s="1096">
        <f t="shared" si="1590"/>
        <v>0</v>
      </c>
      <c r="Q852" s="1207">
        <f t="shared" si="1590"/>
        <v>0</v>
      </c>
      <c r="R852" s="1207">
        <f t="shared" si="1590"/>
        <v>0</v>
      </c>
      <c r="S852" s="1096">
        <f t="shared" si="1590"/>
        <v>0</v>
      </c>
      <c r="T852" s="1096">
        <f t="shared" si="1590"/>
        <v>0</v>
      </c>
      <c r="U852" s="1096">
        <f t="shared" si="1590"/>
        <v>0</v>
      </c>
      <c r="V852" s="1096">
        <f t="shared" si="1590"/>
        <v>0</v>
      </c>
      <c r="W852" s="1096">
        <f t="shared" si="1590"/>
        <v>0</v>
      </c>
      <c r="X852" s="1207">
        <f t="shared" si="1590"/>
        <v>0</v>
      </c>
      <c r="Y852" s="1207">
        <f t="shared" si="1590"/>
        <v>0</v>
      </c>
      <c r="Z852" s="1096">
        <f t="shared" si="1590"/>
        <v>0</v>
      </c>
      <c r="AA852" s="1096">
        <f t="shared" si="1590"/>
        <v>0</v>
      </c>
      <c r="AB852" s="1096">
        <f t="shared" si="1590"/>
        <v>0</v>
      </c>
      <c r="AC852" s="1096">
        <f t="shared" si="1590"/>
        <v>0</v>
      </c>
      <c r="AD852" s="1096">
        <f t="shared" si="1590"/>
        <v>0</v>
      </c>
      <c r="AE852" s="1207">
        <f t="shared" si="1590"/>
        <v>0</v>
      </c>
      <c r="AF852" s="1207">
        <f t="shared" si="1590"/>
        <v>0</v>
      </c>
      <c r="AG852" s="1096">
        <f t="shared" si="1590"/>
        <v>0</v>
      </c>
      <c r="AH852" s="1096">
        <f t="shared" si="1590"/>
        <v>0</v>
      </c>
      <c r="AI852" s="1324">
        <f t="shared" si="1590"/>
        <v>0</v>
      </c>
      <c r="AJ852" s="38"/>
      <c r="AK852" s="29"/>
      <c r="AL852" s="30"/>
      <c r="AM852" s="694"/>
      <c r="AN852" s="31"/>
      <c r="AO852" s="630"/>
      <c r="AP852" s="39" t="s">
        <v>91</v>
      </c>
      <c r="AQ852" s="40">
        <f>SUM(E851:H851)</f>
        <v>0</v>
      </c>
      <c r="AR852" s="41">
        <f>SUM(I851:O851)</f>
        <v>0</v>
      </c>
      <c r="AS852" s="41">
        <f>SUM(P851:V851)</f>
        <v>0</v>
      </c>
      <c r="AT852" s="41">
        <f>SUM(W851:AC851)</f>
        <v>0</v>
      </c>
      <c r="AU852" s="41">
        <f>SUM(AD851:AI851)</f>
        <v>0</v>
      </c>
      <c r="AV852" s="34">
        <f t="shared" ref="AV852:AV857" si="1591">SUM(AQ852:AU852)</f>
        <v>0</v>
      </c>
    </row>
    <row r="853" spans="1:48" ht="25.15" customHeight="1">
      <c r="A853" s="103"/>
      <c r="B853" s="26" t="s">
        <v>92</v>
      </c>
      <c r="C853" s="42"/>
      <c r="D853" s="43" t="s">
        <v>93</v>
      </c>
      <c r="E853" s="1325">
        <v>0</v>
      </c>
      <c r="F853" s="1089">
        <v>0</v>
      </c>
      <c r="G853" s="44">
        <v>0</v>
      </c>
      <c r="H853" s="1089">
        <v>0</v>
      </c>
      <c r="I853" s="1089">
        <v>0</v>
      </c>
      <c r="J853" s="44">
        <v>0</v>
      </c>
      <c r="K853" s="44">
        <v>0</v>
      </c>
      <c r="L853" s="1089">
        <v>0</v>
      </c>
      <c r="M853" s="1089">
        <v>0</v>
      </c>
      <c r="N853" s="1089">
        <v>0</v>
      </c>
      <c r="O853" s="1089">
        <v>0</v>
      </c>
      <c r="P853" s="1089">
        <v>0</v>
      </c>
      <c r="Q853" s="44">
        <v>0</v>
      </c>
      <c r="R853" s="44">
        <v>0</v>
      </c>
      <c r="S853" s="1089">
        <v>0</v>
      </c>
      <c r="T853" s="1089">
        <v>0</v>
      </c>
      <c r="U853" s="1089">
        <v>0</v>
      </c>
      <c r="V853" s="1089">
        <v>0</v>
      </c>
      <c r="W853" s="1089">
        <v>0</v>
      </c>
      <c r="X853" s="44">
        <v>0</v>
      </c>
      <c r="Y853" s="44">
        <v>0</v>
      </c>
      <c r="Z853" s="1089">
        <v>0</v>
      </c>
      <c r="AA853" s="1089">
        <v>0</v>
      </c>
      <c r="AB853" s="1089"/>
      <c r="AC853" s="1089"/>
      <c r="AD853" s="1089"/>
      <c r="AE853" s="44"/>
      <c r="AF853" s="44"/>
      <c r="AG853" s="1089"/>
      <c r="AH853" s="1089"/>
      <c r="AI853" s="1326"/>
      <c r="AJ853" s="45">
        <f>SUM(E853:AI853)</f>
        <v>0</v>
      </c>
      <c r="AK853" s="45"/>
      <c r="AL853" s="46">
        <f>+AJ853*AN851</f>
        <v>0</v>
      </c>
      <c r="AM853" s="1066"/>
      <c r="AN853" s="31"/>
      <c r="AO853" s="632">
        <f>(AJ853+AJ855+AJ856+AJ857)*B855/1000</f>
        <v>0</v>
      </c>
      <c r="AP853" s="47" t="s">
        <v>94</v>
      </c>
      <c r="AQ853" s="48">
        <f>SUM(E853:H853)</f>
        <v>0</v>
      </c>
      <c r="AR853" s="49">
        <f>SUM(I853:O853)</f>
        <v>0</v>
      </c>
      <c r="AS853" s="49">
        <f>SUM(P853:V853)</f>
        <v>0</v>
      </c>
      <c r="AT853" s="49">
        <f>SUM(W853:AC853)</f>
        <v>0</v>
      </c>
      <c r="AU853" s="49">
        <f>SUM(AD853:AI853)</f>
        <v>0</v>
      </c>
      <c r="AV853" s="50">
        <f t="shared" si="1591"/>
        <v>0</v>
      </c>
    </row>
    <row r="854" spans="1:48" ht="25.15" customHeight="1">
      <c r="A854" s="103"/>
      <c r="B854" s="51"/>
      <c r="C854" s="52" t="s">
        <v>95</v>
      </c>
      <c r="D854" s="53" t="s">
        <v>96</v>
      </c>
      <c r="E854" s="1327">
        <f t="shared" ref="E854" si="1592">+E853-E851</f>
        <v>0</v>
      </c>
      <c r="F854" s="1097">
        <f t="shared" ref="F854:AJ854" si="1593">+F853-F851</f>
        <v>0</v>
      </c>
      <c r="G854" s="1205">
        <f t="shared" si="1593"/>
        <v>0</v>
      </c>
      <c r="H854" s="1097">
        <f t="shared" si="1593"/>
        <v>0</v>
      </c>
      <c r="I854" s="1097">
        <f t="shared" si="1593"/>
        <v>0</v>
      </c>
      <c r="J854" s="1205">
        <f t="shared" si="1593"/>
        <v>0</v>
      </c>
      <c r="K854" s="1205">
        <f t="shared" si="1593"/>
        <v>0</v>
      </c>
      <c r="L854" s="1097">
        <f t="shared" si="1593"/>
        <v>0</v>
      </c>
      <c r="M854" s="1097">
        <f t="shared" si="1593"/>
        <v>0</v>
      </c>
      <c r="N854" s="1097">
        <f t="shared" si="1593"/>
        <v>0</v>
      </c>
      <c r="O854" s="1097">
        <f t="shared" si="1593"/>
        <v>0</v>
      </c>
      <c r="P854" s="1097">
        <f t="shared" si="1593"/>
        <v>0</v>
      </c>
      <c r="Q854" s="1205">
        <f t="shared" si="1593"/>
        <v>0</v>
      </c>
      <c r="R854" s="1205">
        <f t="shared" si="1593"/>
        <v>0</v>
      </c>
      <c r="S854" s="1097">
        <f t="shared" si="1593"/>
        <v>0</v>
      </c>
      <c r="T854" s="1097">
        <f t="shared" si="1593"/>
        <v>0</v>
      </c>
      <c r="U854" s="1097">
        <f>+U853-U851</f>
        <v>0</v>
      </c>
      <c r="V854" s="1097">
        <f t="shared" si="1593"/>
        <v>0</v>
      </c>
      <c r="W854" s="1097">
        <f t="shared" si="1593"/>
        <v>0</v>
      </c>
      <c r="X854" s="1205">
        <f t="shared" si="1593"/>
        <v>0</v>
      </c>
      <c r="Y854" s="1205">
        <f t="shared" si="1593"/>
        <v>0</v>
      </c>
      <c r="Z854" s="1097">
        <f t="shared" si="1593"/>
        <v>0</v>
      </c>
      <c r="AA854" s="1097">
        <f t="shared" si="1593"/>
        <v>0</v>
      </c>
      <c r="AB854" s="1097">
        <f t="shared" si="1593"/>
        <v>0</v>
      </c>
      <c r="AC854" s="1097">
        <f t="shared" si="1593"/>
        <v>0</v>
      </c>
      <c r="AD854" s="1097">
        <f t="shared" si="1593"/>
        <v>0</v>
      </c>
      <c r="AE854" s="1205">
        <f t="shared" si="1593"/>
        <v>0</v>
      </c>
      <c r="AF854" s="1205">
        <f t="shared" si="1593"/>
        <v>0</v>
      </c>
      <c r="AG854" s="1097">
        <f t="shared" si="1593"/>
        <v>0</v>
      </c>
      <c r="AH854" s="1097">
        <f t="shared" si="1593"/>
        <v>0</v>
      </c>
      <c r="AI854" s="1328">
        <f t="shared" si="1593"/>
        <v>0</v>
      </c>
      <c r="AJ854" s="54">
        <f t="shared" si="1593"/>
        <v>0</v>
      </c>
      <c r="AK854" s="54"/>
      <c r="AL854" s="55">
        <f>+AJ854*AN851</f>
        <v>0</v>
      </c>
      <c r="AM854" s="1067"/>
      <c r="AN854" s="31" t="s">
        <v>97</v>
      </c>
      <c r="AO854" s="622"/>
      <c r="AP854" s="39" t="s">
        <v>98</v>
      </c>
      <c r="AQ854" s="56">
        <f>AQ853-AQ852</f>
        <v>0</v>
      </c>
      <c r="AR854" s="70">
        <f>AR853-AR852</f>
        <v>0</v>
      </c>
      <c r="AS854" s="70">
        <f>AS853-AS852</f>
        <v>0</v>
      </c>
      <c r="AT854" s="70">
        <f>AT853-AT852</f>
        <v>0</v>
      </c>
      <c r="AU854" s="70">
        <f>AU853-AU852</f>
        <v>0</v>
      </c>
      <c r="AV854" s="57">
        <f t="shared" si="1591"/>
        <v>0</v>
      </c>
    </row>
    <row r="855" spans="1:48" ht="25.15" customHeight="1">
      <c r="A855" s="58"/>
      <c r="B855" s="59"/>
      <c r="C855" s="60" t="s">
        <v>100</v>
      </c>
      <c r="D855" s="61" t="s">
        <v>101</v>
      </c>
      <c r="E855" s="1367">
        <v>0</v>
      </c>
      <c r="F855" s="1099">
        <v>0</v>
      </c>
      <c r="G855" s="1208">
        <v>0</v>
      </c>
      <c r="H855" s="1099">
        <v>0</v>
      </c>
      <c r="I855" s="1099">
        <v>0</v>
      </c>
      <c r="J855" s="1208">
        <v>0</v>
      </c>
      <c r="K855" s="1208">
        <v>0</v>
      </c>
      <c r="L855" s="1099">
        <v>0</v>
      </c>
      <c r="M855" s="1099">
        <v>0</v>
      </c>
      <c r="N855" s="1099">
        <v>0</v>
      </c>
      <c r="O855" s="1099">
        <v>0</v>
      </c>
      <c r="P855" s="1099">
        <v>0</v>
      </c>
      <c r="Q855" s="1208">
        <v>0</v>
      </c>
      <c r="R855" s="1208">
        <v>0</v>
      </c>
      <c r="S855" s="1112">
        <v>0</v>
      </c>
      <c r="T855" s="1099">
        <v>0</v>
      </c>
      <c r="U855" s="1099">
        <v>0</v>
      </c>
      <c r="V855" s="1099">
        <v>0</v>
      </c>
      <c r="W855" s="1099">
        <v>0</v>
      </c>
      <c r="X855" s="1208">
        <v>0</v>
      </c>
      <c r="Y855" s="1208">
        <v>0</v>
      </c>
      <c r="Z855" s="1099">
        <v>0</v>
      </c>
      <c r="AA855" s="1099">
        <v>0</v>
      </c>
      <c r="AB855" s="1099"/>
      <c r="AC855" s="1099"/>
      <c r="AD855" s="1099"/>
      <c r="AE855" s="1208"/>
      <c r="AF855" s="1208"/>
      <c r="AG855" s="1099"/>
      <c r="AH855" s="1099"/>
      <c r="AI855" s="1330"/>
      <c r="AJ855" s="62">
        <f>SUM(E855:AI855)</f>
        <v>0</v>
      </c>
      <c r="AK855" s="62"/>
      <c r="AL855" s="63">
        <f>+AJ855*AN851</f>
        <v>0</v>
      </c>
      <c r="AM855" s="1068"/>
      <c r="AN855" s="64" t="e">
        <f>+AJ855/AJ853*100</f>
        <v>#DIV/0!</v>
      </c>
      <c r="AO855" s="635" t="e">
        <f>AO853/AO851</f>
        <v>#VALUE!</v>
      </c>
      <c r="AP855" s="39" t="s">
        <v>102</v>
      </c>
      <c r="AQ855" s="56">
        <f>SUM(E855:H855)</f>
        <v>0</v>
      </c>
      <c r="AR855" s="70">
        <f>SUM(I855:O855)</f>
        <v>0</v>
      </c>
      <c r="AS855" s="70">
        <f>SUM(P855:V855)</f>
        <v>0</v>
      </c>
      <c r="AT855" s="70">
        <f>SUM(W855:AC855)</f>
        <v>0</v>
      </c>
      <c r="AU855" s="70">
        <f>SUM(AD855:AI855)</f>
        <v>0</v>
      </c>
      <c r="AV855" s="57">
        <f t="shared" si="1591"/>
        <v>0</v>
      </c>
    </row>
    <row r="856" spans="1:48" ht="25.15" customHeight="1">
      <c r="A856" s="58" t="s">
        <v>202</v>
      </c>
      <c r="B856" s="65"/>
      <c r="C856" s="66"/>
      <c r="D856" s="67" t="s">
        <v>103</v>
      </c>
      <c r="E856" s="1113">
        <v>0</v>
      </c>
      <c r="F856" s="1101">
        <v>0</v>
      </c>
      <c r="G856" s="1209">
        <v>0</v>
      </c>
      <c r="H856" s="1101">
        <v>0</v>
      </c>
      <c r="I856" s="1101">
        <v>0</v>
      </c>
      <c r="J856" s="1209">
        <v>0</v>
      </c>
      <c r="K856" s="1209">
        <v>0</v>
      </c>
      <c r="L856" s="1101">
        <v>0</v>
      </c>
      <c r="M856" s="1101">
        <v>0</v>
      </c>
      <c r="N856" s="1101">
        <v>0</v>
      </c>
      <c r="O856" s="1101">
        <v>0</v>
      </c>
      <c r="P856" s="1101">
        <v>0</v>
      </c>
      <c r="Q856" s="1209">
        <v>0</v>
      </c>
      <c r="R856" s="1209">
        <v>0</v>
      </c>
      <c r="S856" s="1114">
        <v>0</v>
      </c>
      <c r="T856" s="1101">
        <v>0</v>
      </c>
      <c r="U856" s="1101">
        <v>0</v>
      </c>
      <c r="V856" s="1101">
        <v>0</v>
      </c>
      <c r="W856" s="1101">
        <v>0</v>
      </c>
      <c r="X856" s="1209">
        <v>0</v>
      </c>
      <c r="Y856" s="1209">
        <v>0</v>
      </c>
      <c r="Z856" s="1101">
        <v>0</v>
      </c>
      <c r="AA856" s="1101">
        <v>0</v>
      </c>
      <c r="AB856" s="1101"/>
      <c r="AC856" s="1101"/>
      <c r="AD856" s="1101"/>
      <c r="AE856" s="1209"/>
      <c r="AF856" s="1209"/>
      <c r="AG856" s="1101"/>
      <c r="AH856" s="1101"/>
      <c r="AI856" s="1332"/>
      <c r="AJ856" s="68">
        <f>SUM(E856:AI856)</f>
        <v>0</v>
      </c>
      <c r="AK856" s="68"/>
      <c r="AL856" s="69">
        <f>+AJ856*AN851</f>
        <v>0</v>
      </c>
      <c r="AM856" s="1069"/>
      <c r="AN856" s="31"/>
      <c r="AO856" s="622"/>
      <c r="AP856" s="39" t="s">
        <v>19</v>
      </c>
      <c r="AQ856" s="56">
        <f>AQ855*AN851</f>
        <v>0</v>
      </c>
      <c r="AR856" s="56">
        <f>AR855*AN851</f>
        <v>0</v>
      </c>
      <c r="AS856" s="56">
        <f>AS855*AN851</f>
        <v>0</v>
      </c>
      <c r="AT856" s="56">
        <f>AT855*AN851</f>
        <v>0</v>
      </c>
      <c r="AU856" s="56">
        <f>AU855*AN851</f>
        <v>0</v>
      </c>
      <c r="AV856" s="57">
        <f t="shared" si="1591"/>
        <v>0</v>
      </c>
    </row>
    <row r="857" spans="1:48" ht="25.15" customHeight="1">
      <c r="A857" s="103"/>
      <c r="B857" s="65"/>
      <c r="C857" s="72" t="s">
        <v>104</v>
      </c>
      <c r="D857" s="73" t="s">
        <v>105</v>
      </c>
      <c r="E857" s="1115">
        <v>0</v>
      </c>
      <c r="F857" s="1103">
        <v>0</v>
      </c>
      <c r="G857" s="1210">
        <v>0</v>
      </c>
      <c r="H857" s="1103">
        <v>0</v>
      </c>
      <c r="I857" s="1103">
        <v>0</v>
      </c>
      <c r="J857" s="1210">
        <v>0</v>
      </c>
      <c r="K857" s="1210">
        <v>0</v>
      </c>
      <c r="L857" s="1103">
        <v>0</v>
      </c>
      <c r="M857" s="1103">
        <v>0</v>
      </c>
      <c r="N857" s="1103">
        <v>0</v>
      </c>
      <c r="O857" s="1103">
        <v>0</v>
      </c>
      <c r="P857" s="1103">
        <v>0</v>
      </c>
      <c r="Q857" s="1210">
        <v>0</v>
      </c>
      <c r="R857" s="1210">
        <v>0</v>
      </c>
      <c r="S857" s="1116">
        <v>0</v>
      </c>
      <c r="T857" s="1103">
        <v>0</v>
      </c>
      <c r="U857" s="1103">
        <v>0</v>
      </c>
      <c r="V857" s="1103">
        <v>0</v>
      </c>
      <c r="W857" s="1103">
        <v>0</v>
      </c>
      <c r="X857" s="1210">
        <v>0</v>
      </c>
      <c r="Y857" s="1210">
        <v>0</v>
      </c>
      <c r="Z857" s="1103">
        <v>0</v>
      </c>
      <c r="AA857" s="1103">
        <v>0</v>
      </c>
      <c r="AB857" s="1103"/>
      <c r="AC857" s="1103"/>
      <c r="AD857" s="1103"/>
      <c r="AE857" s="1210"/>
      <c r="AF857" s="1210"/>
      <c r="AG857" s="1103"/>
      <c r="AH857" s="1103"/>
      <c r="AI857" s="1352"/>
      <c r="AJ857" s="74">
        <f>SUM(E857:AI857)</f>
        <v>0</v>
      </c>
      <c r="AK857" s="74"/>
      <c r="AL857" s="75">
        <f>+AJ857*AN851</f>
        <v>0</v>
      </c>
      <c r="AM857" s="1070"/>
      <c r="AN857" s="76"/>
      <c r="AO857" s="636"/>
      <c r="AP857" s="47" t="s">
        <v>106</v>
      </c>
      <c r="AQ857" s="48">
        <f>AQ853*AN851</f>
        <v>0</v>
      </c>
      <c r="AR857" s="48">
        <f>AR853*AN851</f>
        <v>0</v>
      </c>
      <c r="AS857" s="48">
        <f>AS853*AN851</f>
        <v>0</v>
      </c>
      <c r="AT857" s="48">
        <f>AT853*AN851</f>
        <v>0</v>
      </c>
      <c r="AU857" s="48">
        <f>AU853*AN851</f>
        <v>0</v>
      </c>
      <c r="AV857" s="50">
        <f t="shared" si="1591"/>
        <v>0</v>
      </c>
    </row>
    <row r="858" spans="1:48" ht="25.15" customHeight="1">
      <c r="A858" s="103"/>
      <c r="B858" s="65"/>
      <c r="C858" s="77">
        <v>300000</v>
      </c>
      <c r="D858" s="78" t="s">
        <v>107</v>
      </c>
      <c r="E858" s="1327">
        <v>1</v>
      </c>
      <c r="F858" s="1097">
        <v>1</v>
      </c>
      <c r="G858" s="1205">
        <v>1</v>
      </c>
      <c r="H858" s="1097">
        <v>1</v>
      </c>
      <c r="I858" s="1097">
        <v>1</v>
      </c>
      <c r="J858" s="1205">
        <v>1</v>
      </c>
      <c r="K858" s="1205">
        <v>1</v>
      </c>
      <c r="L858" s="1097">
        <v>1</v>
      </c>
      <c r="M858" s="1097">
        <v>1</v>
      </c>
      <c r="N858" s="1097">
        <v>1</v>
      </c>
      <c r="O858" s="1097">
        <v>1</v>
      </c>
      <c r="P858" s="1097">
        <v>1</v>
      </c>
      <c r="Q858" s="1205">
        <v>1</v>
      </c>
      <c r="R858" s="1205">
        <v>1</v>
      </c>
      <c r="S858" s="1097">
        <v>1</v>
      </c>
      <c r="T858" s="1097">
        <v>1</v>
      </c>
      <c r="U858" s="1097">
        <v>1</v>
      </c>
      <c r="V858" s="1097">
        <v>1</v>
      </c>
      <c r="W858" s="1097">
        <v>1</v>
      </c>
      <c r="X858" s="1205">
        <v>1</v>
      </c>
      <c r="Y858" s="1205">
        <v>1</v>
      </c>
      <c r="Z858" s="1097">
        <v>1</v>
      </c>
      <c r="AA858" s="1097">
        <v>1</v>
      </c>
      <c r="AB858" s="1097">
        <v>1</v>
      </c>
      <c r="AC858" s="1097">
        <v>1</v>
      </c>
      <c r="AD858" s="1097">
        <v>1</v>
      </c>
      <c r="AE858" s="1205">
        <v>1</v>
      </c>
      <c r="AF858" s="1205">
        <v>1</v>
      </c>
      <c r="AG858" s="1097">
        <v>1</v>
      </c>
      <c r="AH858" s="1097">
        <v>1</v>
      </c>
      <c r="AI858" s="1328">
        <v>1</v>
      </c>
      <c r="AJ858" s="79"/>
      <c r="AK858" s="79"/>
      <c r="AL858" s="55"/>
      <c r="AM858" s="1067"/>
      <c r="AN858" s="31"/>
      <c r="AO858" s="622"/>
      <c r="AP858" s="23"/>
      <c r="AQ858" s="23"/>
      <c r="AR858" s="23"/>
      <c r="AS858" s="23"/>
      <c r="AT858" s="23"/>
      <c r="AU858" s="23"/>
      <c r="AV858" s="23"/>
    </row>
    <row r="859" spans="1:48" ht="25.15" customHeight="1">
      <c r="A859" s="103"/>
      <c r="B859" s="65"/>
      <c r="C859" s="80" t="s">
        <v>108</v>
      </c>
      <c r="D859" s="81" t="s">
        <v>109</v>
      </c>
      <c r="E859" s="1374">
        <f>SUM(E853+E855+E856+E857)/E858</f>
        <v>0</v>
      </c>
      <c r="F859" s="1104">
        <f>SUM(F853+F855+F856+F857)/F858</f>
        <v>0</v>
      </c>
      <c r="G859" s="1211">
        <f>SUM(G853+G855+G856+G857)/G858</f>
        <v>0</v>
      </c>
      <c r="H859" s="1104">
        <f t="shared" ref="H859:AH859" si="1594">SUM(H853+H855+H856+H857)/H858</f>
        <v>0</v>
      </c>
      <c r="I859" s="1104">
        <f t="shared" si="1594"/>
        <v>0</v>
      </c>
      <c r="J859" s="1211">
        <f t="shared" si="1594"/>
        <v>0</v>
      </c>
      <c r="K859" s="1211">
        <f t="shared" si="1594"/>
        <v>0</v>
      </c>
      <c r="L859" s="1104">
        <f t="shared" si="1594"/>
        <v>0</v>
      </c>
      <c r="M859" s="1104">
        <f t="shared" si="1594"/>
        <v>0</v>
      </c>
      <c r="N859" s="1104">
        <f t="shared" si="1594"/>
        <v>0</v>
      </c>
      <c r="O859" s="1104">
        <f t="shared" si="1594"/>
        <v>0</v>
      </c>
      <c r="P859" s="1104">
        <f t="shared" si="1594"/>
        <v>0</v>
      </c>
      <c r="Q859" s="1211">
        <f t="shared" si="1594"/>
        <v>0</v>
      </c>
      <c r="R859" s="1211">
        <f t="shared" si="1594"/>
        <v>0</v>
      </c>
      <c r="S859" s="1104">
        <f t="shared" si="1594"/>
        <v>0</v>
      </c>
      <c r="T859" s="1104">
        <f t="shared" si="1594"/>
        <v>0</v>
      </c>
      <c r="U859" s="1104">
        <f t="shared" si="1594"/>
        <v>0</v>
      </c>
      <c r="V859" s="1104">
        <f t="shared" si="1594"/>
        <v>0</v>
      </c>
      <c r="W859" s="1104">
        <f t="shared" si="1594"/>
        <v>0</v>
      </c>
      <c r="X859" s="1211">
        <f t="shared" si="1594"/>
        <v>0</v>
      </c>
      <c r="Y859" s="1211">
        <f t="shared" si="1594"/>
        <v>0</v>
      </c>
      <c r="Z859" s="1104">
        <f t="shared" si="1594"/>
        <v>0</v>
      </c>
      <c r="AA859" s="1104">
        <f t="shared" si="1594"/>
        <v>0</v>
      </c>
      <c r="AB859" s="1104">
        <f t="shared" si="1594"/>
        <v>0</v>
      </c>
      <c r="AC859" s="1104">
        <f t="shared" si="1594"/>
        <v>0</v>
      </c>
      <c r="AD859" s="1104">
        <f t="shared" si="1594"/>
        <v>0</v>
      </c>
      <c r="AE859" s="1211">
        <f t="shared" si="1594"/>
        <v>0</v>
      </c>
      <c r="AF859" s="1211">
        <f t="shared" si="1594"/>
        <v>0</v>
      </c>
      <c r="AG859" s="1104">
        <f t="shared" si="1594"/>
        <v>0</v>
      </c>
      <c r="AH859" s="1104">
        <f t="shared" si="1594"/>
        <v>0</v>
      </c>
      <c r="AI859" s="1335">
        <f>SUM(AI853+AI855+AI856)/AI858</f>
        <v>0</v>
      </c>
      <c r="AJ859" s="104">
        <f>SUM(E859:AI859)</f>
        <v>0</v>
      </c>
      <c r="AK859" s="104"/>
      <c r="AL859" s="83"/>
      <c r="AM859" s="1068"/>
      <c r="AN859" s="31"/>
      <c r="AO859" s="622"/>
      <c r="AP859" s="23"/>
      <c r="AQ859" s="23"/>
      <c r="AR859" s="23"/>
      <c r="AS859" s="23"/>
      <c r="AT859" s="23"/>
      <c r="AU859" s="23"/>
      <c r="AV859" s="23"/>
    </row>
    <row r="860" spans="1:48" ht="25.15" customHeight="1">
      <c r="A860" s="103"/>
      <c r="B860" s="59"/>
      <c r="C860" s="84">
        <f>+C858*0.8</f>
        <v>240000</v>
      </c>
      <c r="D860" s="85" t="s">
        <v>110</v>
      </c>
      <c r="E860" s="1105"/>
      <c r="F860" s="1106"/>
      <c r="G860" s="1211"/>
      <c r="H860" s="1104"/>
      <c r="I860" s="1104"/>
      <c r="J860" s="1211"/>
      <c r="K860" s="1211"/>
      <c r="L860" s="1104"/>
      <c r="M860" s="1104"/>
      <c r="N860" s="1104"/>
      <c r="O860" s="1107"/>
      <c r="P860" s="1104"/>
      <c r="Q860" s="1211"/>
      <c r="R860" s="1211"/>
      <c r="S860" s="1104"/>
      <c r="T860" s="1104"/>
      <c r="U860" s="1104"/>
      <c r="V860" s="1104"/>
      <c r="W860" s="1104"/>
      <c r="X860" s="1211"/>
      <c r="Y860" s="1211"/>
      <c r="Z860" s="1104"/>
      <c r="AA860" s="1104"/>
      <c r="AB860" s="1104"/>
      <c r="AC860" s="1104"/>
      <c r="AD860" s="1104"/>
      <c r="AE860" s="1211"/>
      <c r="AF860" s="1211"/>
      <c r="AG860" s="1104"/>
      <c r="AH860" s="1104"/>
      <c r="AI860" s="1353"/>
      <c r="AJ860" s="86"/>
      <c r="AK860" s="86"/>
      <c r="AL860" s="690"/>
      <c r="AM860" s="694"/>
      <c r="AN860" s="31"/>
      <c r="AO860" s="622"/>
      <c r="AP860" s="23"/>
      <c r="AQ860" s="23"/>
      <c r="AR860" s="23"/>
      <c r="AS860" s="23"/>
      <c r="AT860" s="23"/>
      <c r="AU860" s="23"/>
      <c r="AV860" s="23"/>
    </row>
    <row r="861" spans="1:48" ht="25.15" customHeight="1">
      <c r="A861" s="103"/>
      <c r="B861" s="105"/>
      <c r="C861" s="77"/>
      <c r="D861" s="88" t="s">
        <v>111</v>
      </c>
      <c r="E861" s="1108">
        <f>IF(E860="O/H",E859,4000+E859)</f>
        <v>4000</v>
      </c>
      <c r="F861" s="1089">
        <f t="shared" ref="F861:AI861" si="1595">IF(F860="O/H",F859,+E861+F859)</f>
        <v>4000</v>
      </c>
      <c r="G861" s="44">
        <f t="shared" si="1595"/>
        <v>4000</v>
      </c>
      <c r="H861" s="1089">
        <f t="shared" si="1595"/>
        <v>4000</v>
      </c>
      <c r="I861" s="1089">
        <f t="shared" si="1595"/>
        <v>4000</v>
      </c>
      <c r="J861" s="44">
        <f t="shared" si="1595"/>
        <v>4000</v>
      </c>
      <c r="K861" s="44">
        <f t="shared" si="1595"/>
        <v>4000</v>
      </c>
      <c r="L861" s="1089">
        <f t="shared" si="1595"/>
        <v>4000</v>
      </c>
      <c r="M861" s="1089">
        <f t="shared" si="1595"/>
        <v>4000</v>
      </c>
      <c r="N861" s="1089">
        <f t="shared" si="1595"/>
        <v>4000</v>
      </c>
      <c r="O861" s="1089">
        <f t="shared" si="1595"/>
        <v>4000</v>
      </c>
      <c r="P861" s="1089">
        <f t="shared" si="1595"/>
        <v>4000</v>
      </c>
      <c r="Q861" s="44">
        <f t="shared" si="1595"/>
        <v>4000</v>
      </c>
      <c r="R861" s="44">
        <f t="shared" si="1595"/>
        <v>4000</v>
      </c>
      <c r="S861" s="1089">
        <f t="shared" si="1595"/>
        <v>4000</v>
      </c>
      <c r="T861" s="1089">
        <f t="shared" si="1595"/>
        <v>4000</v>
      </c>
      <c r="U861" s="1089">
        <f t="shared" si="1595"/>
        <v>4000</v>
      </c>
      <c r="V861" s="1089">
        <f t="shared" si="1595"/>
        <v>4000</v>
      </c>
      <c r="W861" s="1089">
        <f t="shared" si="1595"/>
        <v>4000</v>
      </c>
      <c r="X861" s="44">
        <f t="shared" si="1595"/>
        <v>4000</v>
      </c>
      <c r="Y861" s="44">
        <f t="shared" si="1595"/>
        <v>4000</v>
      </c>
      <c r="Z861" s="1089">
        <f t="shared" si="1595"/>
        <v>4000</v>
      </c>
      <c r="AA861" s="1089">
        <f t="shared" si="1595"/>
        <v>4000</v>
      </c>
      <c r="AB861" s="1089">
        <f t="shared" si="1595"/>
        <v>4000</v>
      </c>
      <c r="AC861" s="1089">
        <f t="shared" si="1595"/>
        <v>4000</v>
      </c>
      <c r="AD861" s="1089">
        <f t="shared" si="1595"/>
        <v>4000</v>
      </c>
      <c r="AE861" s="44">
        <f t="shared" si="1595"/>
        <v>4000</v>
      </c>
      <c r="AF861" s="44">
        <f t="shared" si="1595"/>
        <v>4000</v>
      </c>
      <c r="AG861" s="1089">
        <f t="shared" si="1595"/>
        <v>4000</v>
      </c>
      <c r="AH861" s="1089">
        <f t="shared" si="1595"/>
        <v>4000</v>
      </c>
      <c r="AI861" s="1326">
        <f t="shared" si="1595"/>
        <v>4000</v>
      </c>
      <c r="AJ861" s="79"/>
      <c r="AK861" s="86"/>
      <c r="AL861" s="689"/>
      <c r="AM861" s="694"/>
      <c r="AN861" s="31"/>
      <c r="AO861" s="622"/>
      <c r="AP861" s="23"/>
      <c r="AQ861" s="23"/>
      <c r="AR861" s="23"/>
      <c r="AS861" s="23"/>
      <c r="AT861" s="23"/>
      <c r="AU861" s="23"/>
      <c r="AV861" s="23"/>
    </row>
    <row r="862" spans="1:48" ht="25.15" customHeight="1">
      <c r="A862" s="103"/>
      <c r="B862" s="89"/>
      <c r="C862" s="80"/>
      <c r="D862" s="90" t="s">
        <v>104</v>
      </c>
      <c r="E862" s="1108"/>
      <c r="F862" s="1089"/>
      <c r="G862" s="44"/>
      <c r="H862" s="1089"/>
      <c r="I862" s="1089"/>
      <c r="J862" s="44"/>
      <c r="K862" s="44"/>
      <c r="L862" s="1089"/>
      <c r="M862" s="1089"/>
      <c r="N862" s="1089"/>
      <c r="O862" s="1089"/>
      <c r="P862" s="1089"/>
      <c r="Q862" s="44"/>
      <c r="R862" s="44"/>
      <c r="S862" s="1089"/>
      <c r="T862" s="1089"/>
      <c r="U862" s="1089"/>
      <c r="V862" s="1089"/>
      <c r="W862" s="1089"/>
      <c r="X862" s="44"/>
      <c r="Y862" s="44"/>
      <c r="Z862" s="1089"/>
      <c r="AA862" s="1089"/>
      <c r="AB862" s="1089"/>
      <c r="AC862" s="1089"/>
      <c r="AD862" s="1089"/>
      <c r="AE862" s="44"/>
      <c r="AF862" s="44"/>
      <c r="AG862" s="1089"/>
      <c r="AH862" s="1089"/>
      <c r="AI862" s="1326"/>
      <c r="AJ862" s="79"/>
      <c r="AK862" s="79"/>
      <c r="AL862" s="63"/>
      <c r="AM862" s="1068"/>
      <c r="AN862" s="64"/>
      <c r="AO862" s="624"/>
      <c r="AP862" s="23"/>
      <c r="AQ862" s="23"/>
      <c r="AR862" s="23"/>
      <c r="AS862" s="23"/>
      <c r="AT862" s="23"/>
      <c r="AU862" s="23"/>
      <c r="AV862" s="23"/>
    </row>
    <row r="863" spans="1:48" ht="25.15" customHeight="1" thickBot="1">
      <c r="A863" s="106"/>
      <c r="B863" s="93"/>
      <c r="C863" s="94"/>
      <c r="D863" s="95" t="s">
        <v>111</v>
      </c>
      <c r="E863" s="1109">
        <f>IF(E862="O/H",E859,4000+E859)</f>
        <v>4000</v>
      </c>
      <c r="F863" s="1110">
        <f t="shared" ref="F863:AI863" si="1596">IF(F862="O/H",F859,+E863+F859)</f>
        <v>4000</v>
      </c>
      <c r="G863" s="1212">
        <f t="shared" si="1596"/>
        <v>4000</v>
      </c>
      <c r="H863" s="1110">
        <f t="shared" si="1596"/>
        <v>4000</v>
      </c>
      <c r="I863" s="1110">
        <f t="shared" si="1596"/>
        <v>4000</v>
      </c>
      <c r="J863" s="1212">
        <f t="shared" si="1596"/>
        <v>4000</v>
      </c>
      <c r="K863" s="1212">
        <f t="shared" si="1596"/>
        <v>4000</v>
      </c>
      <c r="L863" s="1110">
        <f t="shared" si="1596"/>
        <v>4000</v>
      </c>
      <c r="M863" s="1110">
        <f t="shared" si="1596"/>
        <v>4000</v>
      </c>
      <c r="N863" s="1110">
        <f t="shared" si="1596"/>
        <v>4000</v>
      </c>
      <c r="O863" s="1110">
        <f t="shared" si="1596"/>
        <v>4000</v>
      </c>
      <c r="P863" s="1110">
        <f t="shared" si="1596"/>
        <v>4000</v>
      </c>
      <c r="Q863" s="1212">
        <f t="shared" si="1596"/>
        <v>4000</v>
      </c>
      <c r="R863" s="1212">
        <f t="shared" si="1596"/>
        <v>4000</v>
      </c>
      <c r="S863" s="1110">
        <f t="shared" si="1596"/>
        <v>4000</v>
      </c>
      <c r="T863" s="1110">
        <f t="shared" si="1596"/>
        <v>4000</v>
      </c>
      <c r="U863" s="1110">
        <f t="shared" si="1596"/>
        <v>4000</v>
      </c>
      <c r="V863" s="1110">
        <f t="shared" si="1596"/>
        <v>4000</v>
      </c>
      <c r="W863" s="1110">
        <f t="shared" si="1596"/>
        <v>4000</v>
      </c>
      <c r="X863" s="1212">
        <f t="shared" si="1596"/>
        <v>4000</v>
      </c>
      <c r="Y863" s="1212">
        <f t="shared" si="1596"/>
        <v>4000</v>
      </c>
      <c r="Z863" s="1110">
        <f t="shared" si="1596"/>
        <v>4000</v>
      </c>
      <c r="AA863" s="1110">
        <f t="shared" si="1596"/>
        <v>4000</v>
      </c>
      <c r="AB863" s="1110">
        <f t="shared" si="1596"/>
        <v>4000</v>
      </c>
      <c r="AC863" s="1110">
        <f t="shared" si="1596"/>
        <v>4000</v>
      </c>
      <c r="AD863" s="1110">
        <f t="shared" si="1596"/>
        <v>4000</v>
      </c>
      <c r="AE863" s="1212">
        <f t="shared" si="1596"/>
        <v>4000</v>
      </c>
      <c r="AF863" s="1212">
        <f t="shared" si="1596"/>
        <v>4000</v>
      </c>
      <c r="AG863" s="1110">
        <f t="shared" si="1596"/>
        <v>4000</v>
      </c>
      <c r="AH863" s="1110">
        <f t="shared" si="1596"/>
        <v>4000</v>
      </c>
      <c r="AI863" s="1340">
        <f t="shared" si="1596"/>
        <v>4000</v>
      </c>
      <c r="AJ863" s="96"/>
      <c r="AK863" s="96"/>
      <c r="AL863" s="97"/>
      <c r="AM863" s="1071"/>
      <c r="AN863" s="98"/>
      <c r="AO863" s="625"/>
      <c r="AP863" s="23"/>
      <c r="AQ863" s="23"/>
      <c r="AR863" s="23"/>
      <c r="AS863" s="23"/>
      <c r="AT863" s="23"/>
      <c r="AU863" s="23"/>
      <c r="AV863" s="23"/>
    </row>
    <row r="864" spans="1:48" ht="25.15" customHeight="1" thickTop="1">
      <c r="A864" s="99"/>
      <c r="B864" s="26" t="s">
        <v>204</v>
      </c>
      <c r="C864" s="27"/>
      <c r="D864" s="28" t="s">
        <v>82</v>
      </c>
      <c r="E864" s="1523"/>
      <c r="F864" s="1111"/>
      <c r="G864" s="1201"/>
      <c r="H864" s="1111"/>
      <c r="I864" s="1111"/>
      <c r="J864" s="1201"/>
      <c r="K864" s="1201"/>
      <c r="L864" s="1111"/>
      <c r="M864" s="1111"/>
      <c r="N864" s="1111"/>
      <c r="O864" s="1111"/>
      <c r="P864" s="1111"/>
      <c r="Q864" s="1201"/>
      <c r="R864" s="1201"/>
      <c r="S864" s="1111"/>
      <c r="T864" s="1111"/>
      <c r="U864" s="1111"/>
      <c r="V864" s="1111"/>
      <c r="W864" s="1111"/>
      <c r="X864" s="1201"/>
      <c r="Y864" s="1201"/>
      <c r="Z864" s="1111"/>
      <c r="AA864" s="1111"/>
      <c r="AB864" s="1111"/>
      <c r="AC864" s="1111"/>
      <c r="AD864" s="1111"/>
      <c r="AE864" s="1201"/>
      <c r="AF864" s="1201"/>
      <c r="AG864" s="1111"/>
      <c r="AH864" s="1111"/>
      <c r="AI864" s="1111"/>
      <c r="AJ864" s="100">
        <f>SUM(Table75[[#This Row],[June''2026]:[Column27]])</f>
        <v>0</v>
      </c>
      <c r="AK864" s="100">
        <f t="shared" si="1588"/>
        <v>480</v>
      </c>
      <c r="AL864" s="101">
        <f>+AJ864*AN864</f>
        <v>0</v>
      </c>
      <c r="AM864" s="1072">
        <f t="shared" si="1589"/>
        <v>25204.6512</v>
      </c>
      <c r="AN864" s="102">
        <v>52.509689999999999</v>
      </c>
      <c r="AO864" s="622" t="e">
        <f>Table5[[#This Row],[Total]]*B868/1000</f>
        <v>#VALUE!</v>
      </c>
      <c r="AP864" s="32" t="s">
        <v>193</v>
      </c>
      <c r="AQ864" s="33" t="s">
        <v>84</v>
      </c>
      <c r="AR864" s="33" t="s">
        <v>85</v>
      </c>
      <c r="AS864" s="33" t="s">
        <v>86</v>
      </c>
      <c r="AT864" s="33" t="s">
        <v>87</v>
      </c>
      <c r="AU864" s="33" t="s">
        <v>88</v>
      </c>
      <c r="AV864" s="34" t="s">
        <v>68</v>
      </c>
    </row>
    <row r="865" spans="1:48" ht="25.15" customHeight="1">
      <c r="A865" s="103"/>
      <c r="B865" s="35" t="s">
        <v>205</v>
      </c>
      <c r="C865" s="36"/>
      <c r="D865" s="37" t="s">
        <v>90</v>
      </c>
      <c r="E865" s="1373">
        <f>IF(E864="",0,+ E864/E871)</f>
        <v>0</v>
      </c>
      <c r="F865" s="1096">
        <f t="shared" ref="F865:AI865" si="1597">IF(F864="",0, E865+F864/F871)</f>
        <v>0</v>
      </c>
      <c r="G865" s="1207">
        <f t="shared" si="1597"/>
        <v>0</v>
      </c>
      <c r="H865" s="1096">
        <f t="shared" si="1597"/>
        <v>0</v>
      </c>
      <c r="I865" s="1096">
        <f t="shared" si="1597"/>
        <v>0</v>
      </c>
      <c r="J865" s="1207">
        <f t="shared" si="1597"/>
        <v>0</v>
      </c>
      <c r="K865" s="1207">
        <f t="shared" si="1597"/>
        <v>0</v>
      </c>
      <c r="L865" s="1096">
        <f t="shared" si="1597"/>
        <v>0</v>
      </c>
      <c r="M865" s="1096">
        <f t="shared" si="1597"/>
        <v>0</v>
      </c>
      <c r="N865" s="1096">
        <f t="shared" si="1597"/>
        <v>0</v>
      </c>
      <c r="O865" s="1096">
        <f t="shared" si="1597"/>
        <v>0</v>
      </c>
      <c r="P865" s="1096">
        <f t="shared" si="1597"/>
        <v>0</v>
      </c>
      <c r="Q865" s="1207">
        <f t="shared" si="1597"/>
        <v>0</v>
      </c>
      <c r="R865" s="1207">
        <f t="shared" si="1597"/>
        <v>0</v>
      </c>
      <c r="S865" s="1096">
        <f t="shared" si="1597"/>
        <v>0</v>
      </c>
      <c r="T865" s="1096">
        <f t="shared" si="1597"/>
        <v>0</v>
      </c>
      <c r="U865" s="1096">
        <f t="shared" si="1597"/>
        <v>0</v>
      </c>
      <c r="V865" s="1096">
        <f t="shared" si="1597"/>
        <v>0</v>
      </c>
      <c r="W865" s="1096">
        <f t="shared" si="1597"/>
        <v>0</v>
      </c>
      <c r="X865" s="1207">
        <f t="shared" si="1597"/>
        <v>0</v>
      </c>
      <c r="Y865" s="1207">
        <f t="shared" si="1597"/>
        <v>0</v>
      </c>
      <c r="Z865" s="1096">
        <f t="shared" si="1597"/>
        <v>0</v>
      </c>
      <c r="AA865" s="1096">
        <f t="shared" si="1597"/>
        <v>0</v>
      </c>
      <c r="AB865" s="1096">
        <f t="shared" si="1597"/>
        <v>0</v>
      </c>
      <c r="AC865" s="1096">
        <f t="shared" si="1597"/>
        <v>0</v>
      </c>
      <c r="AD865" s="1096">
        <f t="shared" si="1597"/>
        <v>0</v>
      </c>
      <c r="AE865" s="1207">
        <f t="shared" si="1597"/>
        <v>0</v>
      </c>
      <c r="AF865" s="1207">
        <f t="shared" si="1597"/>
        <v>0</v>
      </c>
      <c r="AG865" s="1096">
        <f t="shared" si="1597"/>
        <v>0</v>
      </c>
      <c r="AH865" s="1096">
        <f t="shared" si="1597"/>
        <v>0</v>
      </c>
      <c r="AI865" s="1324">
        <f t="shared" si="1597"/>
        <v>0</v>
      </c>
      <c r="AJ865" s="38"/>
      <c r="AK865" s="29"/>
      <c r="AL865" s="30"/>
      <c r="AM865" s="694">
        <f t="shared" si="1589"/>
        <v>25204.6512</v>
      </c>
      <c r="AN865" s="31"/>
      <c r="AO865" s="630"/>
      <c r="AP865" s="39" t="s">
        <v>91</v>
      </c>
      <c r="AQ865" s="40">
        <f>SUM(E864:H864)</f>
        <v>0</v>
      </c>
      <c r="AR865" s="41">
        <f>SUM(I864:O864)</f>
        <v>0</v>
      </c>
      <c r="AS865" s="41">
        <f>SUM(P864:V864)</f>
        <v>0</v>
      </c>
      <c r="AT865" s="41">
        <f>SUM(W864:AC864)</f>
        <v>0</v>
      </c>
      <c r="AU865" s="41">
        <f>SUM(AD864:AI864)</f>
        <v>0</v>
      </c>
      <c r="AV865" s="34">
        <f t="shared" ref="AV865:AV870" si="1598">SUM(AQ865:AU865)</f>
        <v>0</v>
      </c>
    </row>
    <row r="866" spans="1:48" ht="25.15" customHeight="1">
      <c r="A866" s="103"/>
      <c r="B866" s="26" t="s">
        <v>92</v>
      </c>
      <c r="C866" s="42"/>
      <c r="D866" s="43" t="s">
        <v>93</v>
      </c>
      <c r="E866" s="1325">
        <v>480</v>
      </c>
      <c r="F866" s="1089">
        <v>0</v>
      </c>
      <c r="G866" s="44">
        <v>0</v>
      </c>
      <c r="H866" s="1089">
        <v>0</v>
      </c>
      <c r="I866" s="1089">
        <v>0</v>
      </c>
      <c r="J866" s="44">
        <v>0</v>
      </c>
      <c r="K866" s="44">
        <v>0</v>
      </c>
      <c r="L866" s="1089">
        <v>0</v>
      </c>
      <c r="M866" s="1089">
        <v>0</v>
      </c>
      <c r="N866" s="1089">
        <v>0</v>
      </c>
      <c r="O866" s="1089">
        <v>0</v>
      </c>
      <c r="P866" s="1089">
        <v>0</v>
      </c>
      <c r="Q866" s="44">
        <v>0</v>
      </c>
      <c r="R866" s="44">
        <v>0</v>
      </c>
      <c r="S866" s="1089">
        <v>0</v>
      </c>
      <c r="T866" s="1089">
        <v>0</v>
      </c>
      <c r="U866" s="1089">
        <v>0</v>
      </c>
      <c r="V866" s="1089">
        <v>0</v>
      </c>
      <c r="W866" s="1089">
        <v>0</v>
      </c>
      <c r="X866" s="44">
        <v>0</v>
      </c>
      <c r="Y866" s="44">
        <v>0</v>
      </c>
      <c r="Z866" s="1089">
        <v>0</v>
      </c>
      <c r="AA866" s="1089">
        <v>0</v>
      </c>
      <c r="AB866" s="1089"/>
      <c r="AC866" s="1089"/>
      <c r="AD866" s="1089"/>
      <c r="AE866" s="44"/>
      <c r="AF866" s="44"/>
      <c r="AG866" s="1089"/>
      <c r="AH866" s="1089"/>
      <c r="AI866" s="1326"/>
      <c r="AJ866" s="45">
        <f>SUM(E866:AI866)</f>
        <v>480</v>
      </c>
      <c r="AK866" s="45"/>
      <c r="AL866" s="46">
        <f>+AJ866*AN864</f>
        <v>25204.6512</v>
      </c>
      <c r="AM866" s="1066">
        <f t="shared" si="1589"/>
        <v>0</v>
      </c>
      <c r="AN866" s="31"/>
      <c r="AO866" s="632">
        <f>(AJ866+AJ868+AJ869+AJ870)*B868/1000</f>
        <v>0</v>
      </c>
      <c r="AP866" s="47" t="s">
        <v>94</v>
      </c>
      <c r="AQ866" s="48">
        <f>SUM(E866:H866)</f>
        <v>480</v>
      </c>
      <c r="AR866" s="49">
        <f>SUM(I866:O866)</f>
        <v>0</v>
      </c>
      <c r="AS866" s="49">
        <f>SUM(P866:V866)</f>
        <v>0</v>
      </c>
      <c r="AT866" s="49">
        <f>SUM(W866:AC866)</f>
        <v>0</v>
      </c>
      <c r="AU866" s="49">
        <f>SUM(AD866:AI866)</f>
        <v>0</v>
      </c>
      <c r="AV866" s="50">
        <f t="shared" si="1598"/>
        <v>480</v>
      </c>
    </row>
    <row r="867" spans="1:48" ht="25.15" customHeight="1">
      <c r="A867" s="103"/>
      <c r="B867" s="51"/>
      <c r="C867" s="52" t="s">
        <v>95</v>
      </c>
      <c r="D867" s="53" t="s">
        <v>96</v>
      </c>
      <c r="E867" s="1327">
        <f t="shared" ref="E867:AJ867" si="1599">+E866-E864</f>
        <v>480</v>
      </c>
      <c r="F867" s="1097">
        <f t="shared" si="1599"/>
        <v>0</v>
      </c>
      <c r="G867" s="1205">
        <f t="shared" si="1599"/>
        <v>0</v>
      </c>
      <c r="H867" s="1097">
        <f t="shared" ref="H867" si="1600">+H866-H864</f>
        <v>0</v>
      </c>
      <c r="I867" s="1097">
        <f t="shared" ref="I867:L867" si="1601">+I866-I864</f>
        <v>0</v>
      </c>
      <c r="J867" s="1205">
        <f t="shared" si="1601"/>
        <v>0</v>
      </c>
      <c r="K867" s="1205">
        <f t="shared" si="1601"/>
        <v>0</v>
      </c>
      <c r="L867" s="1097">
        <f t="shared" si="1601"/>
        <v>0</v>
      </c>
      <c r="M867" s="1097">
        <f t="shared" si="1599"/>
        <v>0</v>
      </c>
      <c r="N867" s="1097">
        <f t="shared" ref="N867" si="1602">+N866-N864</f>
        <v>0</v>
      </c>
      <c r="O867" s="1097">
        <f t="shared" si="1599"/>
        <v>0</v>
      </c>
      <c r="P867" s="1097">
        <f t="shared" ref="P867:S867" si="1603">+P866-P864</f>
        <v>0</v>
      </c>
      <c r="Q867" s="1205">
        <f t="shared" si="1603"/>
        <v>0</v>
      </c>
      <c r="R867" s="1205">
        <f t="shared" si="1603"/>
        <v>0</v>
      </c>
      <c r="S867" s="1097">
        <f t="shared" si="1603"/>
        <v>0</v>
      </c>
      <c r="T867" s="1097">
        <f t="shared" ref="T867" si="1604">+T866-T864</f>
        <v>0</v>
      </c>
      <c r="U867" s="1097">
        <f t="shared" ref="U867" si="1605">+U866-U864</f>
        <v>0</v>
      </c>
      <c r="V867" s="1097">
        <f t="shared" si="1599"/>
        <v>0</v>
      </c>
      <c r="W867" s="1097">
        <f t="shared" ref="W867" si="1606">+W866-W864</f>
        <v>0</v>
      </c>
      <c r="X867" s="1205">
        <f t="shared" ref="X867" si="1607">+X866-X864</f>
        <v>0</v>
      </c>
      <c r="Y867" s="1205">
        <f t="shared" si="1599"/>
        <v>0</v>
      </c>
      <c r="Z867" s="1097">
        <f t="shared" si="1599"/>
        <v>0</v>
      </c>
      <c r="AA867" s="1097">
        <f t="shared" si="1599"/>
        <v>0</v>
      </c>
      <c r="AB867" s="1097">
        <f t="shared" si="1599"/>
        <v>0</v>
      </c>
      <c r="AC867" s="1097">
        <f t="shared" si="1599"/>
        <v>0</v>
      </c>
      <c r="AD867" s="1097">
        <f t="shared" si="1599"/>
        <v>0</v>
      </c>
      <c r="AE867" s="1205">
        <f t="shared" si="1599"/>
        <v>0</v>
      </c>
      <c r="AF867" s="1205">
        <f t="shared" si="1599"/>
        <v>0</v>
      </c>
      <c r="AG867" s="1097">
        <f t="shared" si="1599"/>
        <v>0</v>
      </c>
      <c r="AH867" s="1097">
        <f t="shared" si="1599"/>
        <v>0</v>
      </c>
      <c r="AI867" s="1328">
        <f t="shared" si="1599"/>
        <v>0</v>
      </c>
      <c r="AJ867" s="54">
        <f t="shared" si="1599"/>
        <v>480</v>
      </c>
      <c r="AK867" s="54"/>
      <c r="AL867" s="55">
        <f>+AJ867*AN864</f>
        <v>25204.6512</v>
      </c>
      <c r="AM867" s="1067">
        <f t="shared" si="1589"/>
        <v>0</v>
      </c>
      <c r="AN867" s="31" t="s">
        <v>97</v>
      </c>
      <c r="AO867" s="622"/>
      <c r="AP867" s="39" t="s">
        <v>98</v>
      </c>
      <c r="AQ867" s="56">
        <f>AQ866-AQ865</f>
        <v>480</v>
      </c>
      <c r="AR867" s="70">
        <f>AR866-AR865</f>
        <v>0</v>
      </c>
      <c r="AS867" s="70">
        <f>AS866-AS865</f>
        <v>0</v>
      </c>
      <c r="AT867" s="70">
        <f>AT866-AT865</f>
        <v>0</v>
      </c>
      <c r="AU867" s="70">
        <f>AU866-AU865</f>
        <v>0</v>
      </c>
      <c r="AV867" s="57">
        <f t="shared" si="1598"/>
        <v>480</v>
      </c>
    </row>
    <row r="868" spans="1:48" ht="25.15" customHeight="1">
      <c r="A868" s="58"/>
      <c r="B868" s="59"/>
      <c r="C868" s="60" t="s">
        <v>100</v>
      </c>
      <c r="D868" s="61" t="s">
        <v>101</v>
      </c>
      <c r="E868" s="1329">
        <v>0</v>
      </c>
      <c r="F868" s="1099">
        <v>0</v>
      </c>
      <c r="G868" s="1208">
        <v>0</v>
      </c>
      <c r="H868" s="1099">
        <v>0</v>
      </c>
      <c r="I868" s="1099">
        <v>0</v>
      </c>
      <c r="J868" s="1208">
        <v>0</v>
      </c>
      <c r="K868" s="1208">
        <v>0</v>
      </c>
      <c r="L868" s="1099">
        <v>0</v>
      </c>
      <c r="M868" s="1099">
        <v>0</v>
      </c>
      <c r="N868" s="1099">
        <v>0</v>
      </c>
      <c r="O868" s="1099">
        <v>0</v>
      </c>
      <c r="P868" s="1099">
        <v>0</v>
      </c>
      <c r="Q868" s="1208">
        <v>0</v>
      </c>
      <c r="R868" s="1208">
        <v>0</v>
      </c>
      <c r="S868" s="1099">
        <v>0</v>
      </c>
      <c r="T868" s="1099">
        <v>0</v>
      </c>
      <c r="U868" s="1099">
        <v>0</v>
      </c>
      <c r="V868" s="1099">
        <v>0</v>
      </c>
      <c r="W868" s="1099">
        <v>0</v>
      </c>
      <c r="X868" s="1208">
        <v>0</v>
      </c>
      <c r="Y868" s="1208">
        <v>0</v>
      </c>
      <c r="Z868" s="1099">
        <v>0</v>
      </c>
      <c r="AA868" s="1099">
        <v>0</v>
      </c>
      <c r="AB868" s="1099"/>
      <c r="AC868" s="1099"/>
      <c r="AD868" s="1099"/>
      <c r="AE868" s="1208"/>
      <c r="AF868" s="1208"/>
      <c r="AG868" s="1099"/>
      <c r="AH868" s="1099"/>
      <c r="AI868" s="1330"/>
      <c r="AJ868" s="62">
        <f>SUM(E868:AI868)</f>
        <v>0</v>
      </c>
      <c r="AK868" s="62"/>
      <c r="AL868" s="63">
        <f>+AJ868*AN864</f>
        <v>0</v>
      </c>
      <c r="AM868" s="1068">
        <f t="shared" si="1589"/>
        <v>0</v>
      </c>
      <c r="AN868" s="64">
        <f>+AJ868/AJ866*100</f>
        <v>0</v>
      </c>
      <c r="AO868" s="635" t="e">
        <f>AO866/AO864</f>
        <v>#VALUE!</v>
      </c>
      <c r="AP868" s="39" t="s">
        <v>102</v>
      </c>
      <c r="AQ868" s="56">
        <f>SUM(E868:H868)</f>
        <v>0</v>
      </c>
      <c r="AR868" s="70">
        <f>SUM(I868:O868)</f>
        <v>0</v>
      </c>
      <c r="AS868" s="70">
        <f>SUM(P868:V868)</f>
        <v>0</v>
      </c>
      <c r="AT868" s="70">
        <f>SUM(W868:AC868)</f>
        <v>0</v>
      </c>
      <c r="AU868" s="70">
        <f>SUM(AD868:AI868)</f>
        <v>0</v>
      </c>
      <c r="AV868" s="57">
        <f t="shared" si="1598"/>
        <v>0</v>
      </c>
    </row>
    <row r="869" spans="1:48" ht="25.15" customHeight="1">
      <c r="A869" s="58" t="s">
        <v>202</v>
      </c>
      <c r="B869" s="65"/>
      <c r="C869" s="66"/>
      <c r="D869" s="67" t="s">
        <v>103</v>
      </c>
      <c r="E869" s="1331">
        <v>0</v>
      </c>
      <c r="F869" s="1101">
        <v>0</v>
      </c>
      <c r="G869" s="1209">
        <v>0</v>
      </c>
      <c r="H869" s="1101">
        <v>0</v>
      </c>
      <c r="I869" s="1101">
        <v>0</v>
      </c>
      <c r="J869" s="1209">
        <v>0</v>
      </c>
      <c r="K869" s="1209">
        <v>0</v>
      </c>
      <c r="L869" s="1101">
        <v>0</v>
      </c>
      <c r="M869" s="1101">
        <v>0</v>
      </c>
      <c r="N869" s="1101">
        <v>0</v>
      </c>
      <c r="O869" s="1101">
        <v>0</v>
      </c>
      <c r="P869" s="1101">
        <v>0</v>
      </c>
      <c r="Q869" s="1209">
        <v>0</v>
      </c>
      <c r="R869" s="1209">
        <v>0</v>
      </c>
      <c r="S869" s="1101">
        <v>0</v>
      </c>
      <c r="T869" s="1101">
        <v>0</v>
      </c>
      <c r="U869" s="1101">
        <v>0</v>
      </c>
      <c r="V869" s="1101">
        <v>0</v>
      </c>
      <c r="W869" s="1101">
        <v>0</v>
      </c>
      <c r="X869" s="1209">
        <v>0</v>
      </c>
      <c r="Y869" s="1209">
        <v>0</v>
      </c>
      <c r="Z869" s="1101">
        <v>0</v>
      </c>
      <c r="AA869" s="1101">
        <v>0</v>
      </c>
      <c r="AB869" s="1101"/>
      <c r="AC869" s="1101"/>
      <c r="AD869" s="1101"/>
      <c r="AE869" s="1209"/>
      <c r="AF869" s="1209"/>
      <c r="AG869" s="1101"/>
      <c r="AH869" s="1101"/>
      <c r="AI869" s="1332"/>
      <c r="AJ869" s="68">
        <f>SUM(E869:AI869)</f>
        <v>0</v>
      </c>
      <c r="AK869" s="68"/>
      <c r="AL869" s="69">
        <f>+AJ869*AN864</f>
        <v>0</v>
      </c>
      <c r="AM869" s="1069">
        <f t="shared" si="1589"/>
        <v>0</v>
      </c>
      <c r="AN869" s="31"/>
      <c r="AO869" s="622"/>
      <c r="AP869" s="39" t="s">
        <v>19</v>
      </c>
      <c r="AQ869" s="56">
        <f>AQ868*AN864</f>
        <v>0</v>
      </c>
      <c r="AR869" s="56">
        <f>AR868*AN864</f>
        <v>0</v>
      </c>
      <c r="AS869" s="56">
        <f>AS868*AN864</f>
        <v>0</v>
      </c>
      <c r="AT869" s="56">
        <f>AT868*AN864</f>
        <v>0</v>
      </c>
      <c r="AU869" s="56">
        <f>AU868*AN864</f>
        <v>0</v>
      </c>
      <c r="AV869" s="57">
        <f t="shared" si="1598"/>
        <v>0</v>
      </c>
    </row>
    <row r="870" spans="1:48" ht="25.15" customHeight="1">
      <c r="A870" s="103"/>
      <c r="B870" s="65"/>
      <c r="C870" s="72" t="s">
        <v>104</v>
      </c>
      <c r="D870" s="73" t="s">
        <v>105</v>
      </c>
      <c r="E870" s="1378">
        <v>0</v>
      </c>
      <c r="F870" s="1103">
        <v>0</v>
      </c>
      <c r="G870" s="1210">
        <v>0</v>
      </c>
      <c r="H870" s="1103">
        <v>0</v>
      </c>
      <c r="I870" s="1103">
        <v>0</v>
      </c>
      <c r="J870" s="1210">
        <v>0</v>
      </c>
      <c r="K870" s="1210">
        <v>0</v>
      </c>
      <c r="L870" s="1103">
        <v>0</v>
      </c>
      <c r="M870" s="1103">
        <v>0</v>
      </c>
      <c r="N870" s="1103">
        <v>0</v>
      </c>
      <c r="O870" s="1103">
        <v>0</v>
      </c>
      <c r="P870" s="1103">
        <v>0</v>
      </c>
      <c r="Q870" s="1210">
        <v>0</v>
      </c>
      <c r="R870" s="1210">
        <v>0</v>
      </c>
      <c r="S870" s="1103">
        <v>0</v>
      </c>
      <c r="T870" s="1103">
        <v>0</v>
      </c>
      <c r="U870" s="1103">
        <v>0</v>
      </c>
      <c r="V870" s="1103">
        <v>0</v>
      </c>
      <c r="W870" s="1103">
        <v>0</v>
      </c>
      <c r="X870" s="1210">
        <v>0</v>
      </c>
      <c r="Y870" s="1210">
        <v>0</v>
      </c>
      <c r="Z870" s="1103">
        <v>0</v>
      </c>
      <c r="AA870" s="1103">
        <v>0</v>
      </c>
      <c r="AB870" s="1103"/>
      <c r="AC870" s="1103"/>
      <c r="AD870" s="1103"/>
      <c r="AE870" s="1210"/>
      <c r="AF870" s="1210"/>
      <c r="AG870" s="1103"/>
      <c r="AH870" s="1103"/>
      <c r="AI870" s="1352"/>
      <c r="AJ870" s="74">
        <f>SUM(E870:AI870)</f>
        <v>0</v>
      </c>
      <c r="AK870" s="74"/>
      <c r="AL870" s="75">
        <f>+AJ870*AN864</f>
        <v>0</v>
      </c>
      <c r="AM870" s="1070">
        <f t="shared" si="1589"/>
        <v>0</v>
      </c>
      <c r="AN870" s="76"/>
      <c r="AO870" s="636"/>
      <c r="AP870" s="47" t="s">
        <v>106</v>
      </c>
      <c r="AQ870" s="48">
        <f>AQ866*AN864</f>
        <v>25204.6512</v>
      </c>
      <c r="AR870" s="48">
        <f>AR866*AN864</f>
        <v>0</v>
      </c>
      <c r="AS870" s="48">
        <f>AS866*AN864</f>
        <v>0</v>
      </c>
      <c r="AT870" s="48">
        <f>AT866*AN864</f>
        <v>0</v>
      </c>
      <c r="AU870" s="48">
        <f>AU866*AN864</f>
        <v>0</v>
      </c>
      <c r="AV870" s="50">
        <f t="shared" si="1598"/>
        <v>25204.6512</v>
      </c>
    </row>
    <row r="871" spans="1:48" ht="25.15" customHeight="1">
      <c r="A871" s="103"/>
      <c r="B871" s="65"/>
      <c r="C871" s="77">
        <v>300000</v>
      </c>
      <c r="D871" s="78" t="s">
        <v>107</v>
      </c>
      <c r="E871" s="1327">
        <v>1</v>
      </c>
      <c r="F871" s="1097">
        <v>1</v>
      </c>
      <c r="G871" s="1205">
        <v>1</v>
      </c>
      <c r="H871" s="1097">
        <v>1</v>
      </c>
      <c r="I871" s="1097">
        <v>1</v>
      </c>
      <c r="J871" s="1205">
        <v>1</v>
      </c>
      <c r="K871" s="1205">
        <v>1</v>
      </c>
      <c r="L871" s="1097">
        <v>1</v>
      </c>
      <c r="M871" s="1097">
        <v>1</v>
      </c>
      <c r="N871" s="1097">
        <v>1</v>
      </c>
      <c r="O871" s="1097">
        <v>1</v>
      </c>
      <c r="P871" s="1097">
        <v>1</v>
      </c>
      <c r="Q871" s="1205">
        <v>1</v>
      </c>
      <c r="R871" s="1205">
        <v>1</v>
      </c>
      <c r="S871" s="1097">
        <v>1</v>
      </c>
      <c r="T871" s="1097">
        <v>1</v>
      </c>
      <c r="U871" s="1097">
        <v>1</v>
      </c>
      <c r="V871" s="1097">
        <v>1</v>
      </c>
      <c r="W871" s="1097">
        <v>1</v>
      </c>
      <c r="X871" s="1205">
        <v>1</v>
      </c>
      <c r="Y871" s="1205">
        <v>1</v>
      </c>
      <c r="Z871" s="1097">
        <v>1</v>
      </c>
      <c r="AA871" s="1097">
        <v>1</v>
      </c>
      <c r="AB871" s="1097">
        <v>1</v>
      </c>
      <c r="AC871" s="1097">
        <v>1</v>
      </c>
      <c r="AD871" s="1097">
        <v>1</v>
      </c>
      <c r="AE871" s="1205">
        <v>1</v>
      </c>
      <c r="AF871" s="1205">
        <v>1</v>
      </c>
      <c r="AG871" s="1097">
        <v>1</v>
      </c>
      <c r="AH871" s="1097">
        <v>1</v>
      </c>
      <c r="AI871" s="1328">
        <v>1</v>
      </c>
      <c r="AJ871" s="79"/>
      <c r="AK871" s="79"/>
      <c r="AL871" s="55"/>
      <c r="AM871" s="1067">
        <f t="shared" si="1589"/>
        <v>0</v>
      </c>
      <c r="AN871" s="31"/>
      <c r="AO871" s="622"/>
      <c r="AP871" s="23"/>
      <c r="AQ871" s="23"/>
      <c r="AR871" s="23"/>
      <c r="AS871" s="23"/>
      <c r="AT871" s="23"/>
      <c r="AU871" s="23"/>
      <c r="AV871" s="23"/>
    </row>
    <row r="872" spans="1:48" ht="25.15" customHeight="1">
      <c r="A872" s="103"/>
      <c r="B872" s="65"/>
      <c r="C872" s="80" t="s">
        <v>108</v>
      </c>
      <c r="D872" s="81" t="s">
        <v>109</v>
      </c>
      <c r="E872" s="1374">
        <f>SUM(E866+E868+E869+E870)/E871</f>
        <v>480</v>
      </c>
      <c r="F872" s="1104">
        <f>SUM(F866+F868+F869+F870)/F871</f>
        <v>0</v>
      </c>
      <c r="G872" s="1211">
        <f>SUM(G866+G868+G869+G870)/G871</f>
        <v>0</v>
      </c>
      <c r="H872" s="1104">
        <f t="shared" ref="H872:AH872" si="1608">SUM(H866+H868+H869+H870)/H871</f>
        <v>0</v>
      </c>
      <c r="I872" s="1104">
        <f t="shared" si="1608"/>
        <v>0</v>
      </c>
      <c r="J872" s="1211">
        <f t="shared" si="1608"/>
        <v>0</v>
      </c>
      <c r="K872" s="1211">
        <f t="shared" si="1608"/>
        <v>0</v>
      </c>
      <c r="L872" s="1104">
        <f t="shared" si="1608"/>
        <v>0</v>
      </c>
      <c r="M872" s="1104">
        <f t="shared" si="1608"/>
        <v>0</v>
      </c>
      <c r="N872" s="1104">
        <f t="shared" si="1608"/>
        <v>0</v>
      </c>
      <c r="O872" s="1104">
        <f t="shared" si="1608"/>
        <v>0</v>
      </c>
      <c r="P872" s="1104">
        <f t="shared" si="1608"/>
        <v>0</v>
      </c>
      <c r="Q872" s="1211">
        <f t="shared" si="1608"/>
        <v>0</v>
      </c>
      <c r="R872" s="1211">
        <f t="shared" si="1608"/>
        <v>0</v>
      </c>
      <c r="S872" s="1104">
        <f t="shared" si="1608"/>
        <v>0</v>
      </c>
      <c r="T872" s="1104">
        <f t="shared" si="1608"/>
        <v>0</v>
      </c>
      <c r="U872" s="1104">
        <f t="shared" si="1608"/>
        <v>0</v>
      </c>
      <c r="V872" s="1104">
        <f t="shared" si="1608"/>
        <v>0</v>
      </c>
      <c r="W872" s="1104">
        <f t="shared" si="1608"/>
        <v>0</v>
      </c>
      <c r="X872" s="1211">
        <f t="shared" si="1608"/>
        <v>0</v>
      </c>
      <c r="Y872" s="1211">
        <f t="shared" si="1608"/>
        <v>0</v>
      </c>
      <c r="Z872" s="1104">
        <f t="shared" si="1608"/>
        <v>0</v>
      </c>
      <c r="AA872" s="1104">
        <f t="shared" si="1608"/>
        <v>0</v>
      </c>
      <c r="AB872" s="1104">
        <f t="shared" si="1608"/>
        <v>0</v>
      </c>
      <c r="AC872" s="1104">
        <f t="shared" si="1608"/>
        <v>0</v>
      </c>
      <c r="AD872" s="1104">
        <f t="shared" si="1608"/>
        <v>0</v>
      </c>
      <c r="AE872" s="1211">
        <f t="shared" si="1608"/>
        <v>0</v>
      </c>
      <c r="AF872" s="1211">
        <f t="shared" si="1608"/>
        <v>0</v>
      </c>
      <c r="AG872" s="1104">
        <f t="shared" si="1608"/>
        <v>0</v>
      </c>
      <c r="AH872" s="1104">
        <f t="shared" si="1608"/>
        <v>0</v>
      </c>
      <c r="AI872" s="1335">
        <f>SUM(AI866+AI868+AI869)/AI871</f>
        <v>0</v>
      </c>
      <c r="AJ872" s="104">
        <f>SUM(E872:AI872)</f>
        <v>480</v>
      </c>
      <c r="AK872" s="104"/>
      <c r="AL872" s="83"/>
      <c r="AM872" s="1068">
        <f t="shared" si="1589"/>
        <v>0</v>
      </c>
      <c r="AN872" s="31"/>
      <c r="AO872" s="622"/>
      <c r="AP872" s="23"/>
      <c r="AQ872" s="23"/>
      <c r="AR872" s="23"/>
      <c r="AS872" s="23"/>
      <c r="AT872" s="23"/>
      <c r="AU872" s="23"/>
      <c r="AV872" s="23"/>
    </row>
    <row r="873" spans="1:48" ht="25.15" customHeight="1">
      <c r="A873" s="103"/>
      <c r="B873" s="59"/>
      <c r="C873" s="84">
        <f>+C871*0.8</f>
        <v>240000</v>
      </c>
      <c r="D873" s="85" t="s">
        <v>110</v>
      </c>
      <c r="E873" s="1105"/>
      <c r="F873" s="1106"/>
      <c r="G873" s="1211"/>
      <c r="H873" s="1104"/>
      <c r="I873" s="1104"/>
      <c r="J873" s="1211"/>
      <c r="K873" s="1211"/>
      <c r="L873" s="1104"/>
      <c r="M873" s="1104"/>
      <c r="N873" s="1104"/>
      <c r="O873" s="1107"/>
      <c r="P873" s="1104"/>
      <c r="Q873" s="1211"/>
      <c r="R873" s="1211"/>
      <c r="S873" s="1104"/>
      <c r="T873" s="1104"/>
      <c r="U873" s="1104"/>
      <c r="V873" s="1104"/>
      <c r="W873" s="1104"/>
      <c r="X873" s="1211"/>
      <c r="Y873" s="1211"/>
      <c r="Z873" s="1104"/>
      <c r="AA873" s="1104"/>
      <c r="AB873" s="1104"/>
      <c r="AC873" s="1104"/>
      <c r="AD873" s="1104"/>
      <c r="AE873" s="1211"/>
      <c r="AF873" s="1211"/>
      <c r="AG873" s="1104"/>
      <c r="AH873" s="1104"/>
      <c r="AI873" s="1353"/>
      <c r="AJ873" s="86"/>
      <c r="AK873" s="86"/>
      <c r="AL873" s="690"/>
      <c r="AM873" s="694">
        <f t="shared" si="1589"/>
        <v>0</v>
      </c>
      <c r="AN873" s="31"/>
      <c r="AO873" s="622"/>
      <c r="AP873" s="23"/>
      <c r="AQ873" s="23"/>
      <c r="AR873" s="23"/>
      <c r="AS873" s="23"/>
      <c r="AT873" s="23"/>
      <c r="AU873" s="23"/>
      <c r="AV873" s="23"/>
    </row>
    <row r="874" spans="1:48" ht="25.15" customHeight="1">
      <c r="A874" s="103"/>
      <c r="B874" s="105"/>
      <c r="C874" s="77"/>
      <c r="D874" s="88" t="s">
        <v>111</v>
      </c>
      <c r="E874" s="1108">
        <f>IF(E873="O/H",E872,0+E872)</f>
        <v>480</v>
      </c>
      <c r="F874" s="1089">
        <f t="shared" ref="F874:AI874" si="1609">IF(F873="O/H",F872,+E874+F872)</f>
        <v>480</v>
      </c>
      <c r="G874" s="44">
        <f t="shared" si="1609"/>
        <v>480</v>
      </c>
      <c r="H874" s="1089">
        <f t="shared" si="1609"/>
        <v>480</v>
      </c>
      <c r="I874" s="1089">
        <f t="shared" si="1609"/>
        <v>480</v>
      </c>
      <c r="J874" s="44">
        <f t="shared" si="1609"/>
        <v>480</v>
      </c>
      <c r="K874" s="44">
        <f t="shared" si="1609"/>
        <v>480</v>
      </c>
      <c r="L874" s="1089">
        <f t="shared" si="1609"/>
        <v>480</v>
      </c>
      <c r="M874" s="1089">
        <f t="shared" si="1609"/>
        <v>480</v>
      </c>
      <c r="N874" s="1089">
        <f t="shared" si="1609"/>
        <v>480</v>
      </c>
      <c r="O874" s="1089">
        <f t="shared" si="1609"/>
        <v>480</v>
      </c>
      <c r="P874" s="1089">
        <f t="shared" si="1609"/>
        <v>480</v>
      </c>
      <c r="Q874" s="44">
        <f t="shared" si="1609"/>
        <v>480</v>
      </c>
      <c r="R874" s="44">
        <f t="shared" si="1609"/>
        <v>480</v>
      </c>
      <c r="S874" s="1089">
        <f t="shared" si="1609"/>
        <v>480</v>
      </c>
      <c r="T874" s="1089">
        <f t="shared" si="1609"/>
        <v>480</v>
      </c>
      <c r="U874" s="1089">
        <f t="shared" si="1609"/>
        <v>480</v>
      </c>
      <c r="V874" s="1089">
        <f t="shared" si="1609"/>
        <v>480</v>
      </c>
      <c r="W874" s="1089">
        <f t="shared" si="1609"/>
        <v>480</v>
      </c>
      <c r="X874" s="44">
        <f t="shared" si="1609"/>
        <v>480</v>
      </c>
      <c r="Y874" s="44">
        <f t="shared" si="1609"/>
        <v>480</v>
      </c>
      <c r="Z874" s="1089">
        <f t="shared" si="1609"/>
        <v>480</v>
      </c>
      <c r="AA874" s="1089">
        <f t="shared" si="1609"/>
        <v>480</v>
      </c>
      <c r="AB874" s="1089">
        <f t="shared" si="1609"/>
        <v>480</v>
      </c>
      <c r="AC874" s="1089">
        <f t="shared" si="1609"/>
        <v>480</v>
      </c>
      <c r="AD874" s="1089">
        <f t="shared" si="1609"/>
        <v>480</v>
      </c>
      <c r="AE874" s="44">
        <f t="shared" si="1609"/>
        <v>480</v>
      </c>
      <c r="AF874" s="44">
        <f t="shared" si="1609"/>
        <v>480</v>
      </c>
      <c r="AG874" s="1089">
        <f t="shared" si="1609"/>
        <v>480</v>
      </c>
      <c r="AH874" s="1089">
        <f t="shared" si="1609"/>
        <v>480</v>
      </c>
      <c r="AI874" s="1326">
        <f t="shared" si="1609"/>
        <v>480</v>
      </c>
      <c r="AJ874" s="79"/>
      <c r="AK874" s="86"/>
      <c r="AL874" s="689"/>
      <c r="AM874" s="694">
        <f t="shared" si="1589"/>
        <v>0</v>
      </c>
      <c r="AN874" s="31"/>
      <c r="AO874" s="622"/>
      <c r="AP874" s="23"/>
      <c r="AQ874" s="23"/>
      <c r="AR874" s="23"/>
      <c r="AS874" s="23"/>
      <c r="AT874" s="23"/>
      <c r="AU874" s="23"/>
      <c r="AV874" s="23"/>
    </row>
    <row r="875" spans="1:48" s="23" customFormat="1" ht="20.65" customHeight="1">
      <c r="A875" s="274"/>
      <c r="B875" s="312"/>
      <c r="C875" s="308"/>
      <c r="D875" s="795" t="s">
        <v>112</v>
      </c>
      <c r="E875" s="1108">
        <f>IF(AND(ISNUMBER(E866)),0+E872)</f>
        <v>480</v>
      </c>
      <c r="F875" s="1089">
        <f>IF(AND(ISNUMBER(F866)),E875+F872,"")</f>
        <v>480</v>
      </c>
      <c r="G875" s="44">
        <f t="shared" ref="G875" si="1610">IF(AND(ISNUMBER(G866)),F875+G872,"")</f>
        <v>480</v>
      </c>
      <c r="H875" s="1089">
        <f t="shared" ref="H875" si="1611">IF(AND(ISNUMBER(H866)),G875+H872,"")</f>
        <v>480</v>
      </c>
      <c r="I875" s="1089">
        <f>IF(AND(ISNUMBER(I866)),H875+I872,"")</f>
        <v>480</v>
      </c>
      <c r="J875" s="44">
        <f>IF(AND(ISNUMBER(J866)),I875+J872,"")</f>
        <v>480</v>
      </c>
      <c r="K875" s="44">
        <f>IF(AND(ISNUMBER(K866)),J875+K872,"")</f>
        <v>480</v>
      </c>
      <c r="L875" s="1089">
        <f t="shared" ref="L875" si="1612">IF(AND(ISNUMBER(L866)),K875+L872,"")</f>
        <v>480</v>
      </c>
      <c r="M875" s="1089">
        <f t="shared" ref="M875" si="1613">IF(AND(ISNUMBER(M866)),L875+M872,"")</f>
        <v>480</v>
      </c>
      <c r="N875" s="1089">
        <f t="shared" ref="N875" si="1614">IF(AND(ISNUMBER(N866)),M875+N872,"")</f>
        <v>480</v>
      </c>
      <c r="O875" s="1089">
        <f t="shared" ref="O875" si="1615">IF(AND(ISNUMBER(O866)),N875+O872,"")</f>
        <v>480</v>
      </c>
      <c r="P875" s="1089">
        <f t="shared" ref="P875" si="1616">IF(AND(ISNUMBER(P866)),O875+P872,"")</f>
        <v>480</v>
      </c>
      <c r="Q875" s="44">
        <f t="shared" ref="Q875" si="1617">IF(AND(ISNUMBER(Q866)),P875+Q872,"")</f>
        <v>480</v>
      </c>
      <c r="R875" s="44">
        <f t="shared" ref="R875" si="1618">IF(AND(ISNUMBER(R866)),Q875+R872,"")</f>
        <v>480</v>
      </c>
      <c r="S875" s="1089">
        <f t="shared" ref="S875" si="1619">IF(AND(ISNUMBER(S866)),R875+S872,"")</f>
        <v>480</v>
      </c>
      <c r="T875" s="1089">
        <f t="shared" ref="T875" si="1620">IF(AND(ISNUMBER(T866)),S875+T872,"")</f>
        <v>480</v>
      </c>
      <c r="U875" s="1089">
        <f t="shared" ref="U875" si="1621">IF(AND(ISNUMBER(U866)),T875+U872,"")</f>
        <v>480</v>
      </c>
      <c r="V875" s="1089">
        <f t="shared" ref="V875" si="1622">IF(AND(ISNUMBER(V866)),U875+V872,"")</f>
        <v>480</v>
      </c>
      <c r="W875" s="1089">
        <f t="shared" ref="W875" si="1623">IF(AND(ISNUMBER(W866)),V875+W872,"")</f>
        <v>480</v>
      </c>
      <c r="X875" s="44">
        <f t="shared" ref="X875" si="1624">IF(AND(ISNUMBER(X866)),W875+X872,"")</f>
        <v>480</v>
      </c>
      <c r="Y875" s="44">
        <f t="shared" ref="Y875" si="1625">IF(AND(ISNUMBER(Y866)),X875+Y872,"")</f>
        <v>480</v>
      </c>
      <c r="Z875" s="1089">
        <f t="shared" ref="Z875" si="1626">IF(AND(ISNUMBER(Z866)),Y875+Z872,"")</f>
        <v>480</v>
      </c>
      <c r="AA875" s="1089">
        <f t="shared" ref="AA875" si="1627">IF(AND(ISNUMBER(AA866)),Z875+AA872,"")</f>
        <v>480</v>
      </c>
      <c r="AB875" s="1089" t="str">
        <f t="shared" ref="AB875" si="1628">IF(AND(ISNUMBER(AB866)),AA875+AB872,"")</f>
        <v/>
      </c>
      <c r="AC875" s="1089" t="str">
        <f t="shared" ref="AC875" si="1629">IF(AND(ISNUMBER(AC866)),AB875+AC872,"")</f>
        <v/>
      </c>
      <c r="AD875" s="1089" t="str">
        <f t="shared" ref="AD875" si="1630">IF(AND(ISNUMBER(AD866)),AC875+AD872,"")</f>
        <v/>
      </c>
      <c r="AE875" s="44" t="str">
        <f t="shared" ref="AE875" si="1631">IF(AND(ISNUMBER(AE866)),AD875+AE872,"")</f>
        <v/>
      </c>
      <c r="AF875" s="44" t="str">
        <f t="shared" ref="AF875" si="1632">IF(AND(ISNUMBER(AF866)),AE875+AF872,"")</f>
        <v/>
      </c>
      <c r="AG875" s="1089" t="str">
        <f t="shared" ref="AG875" si="1633">IF(AND(ISNUMBER(AG866)),AF875+AG872,"")</f>
        <v/>
      </c>
      <c r="AH875" s="1089" t="str">
        <f t="shared" ref="AH875" si="1634">IF(AND(ISNUMBER(AH866)),AG875+AH872,"")</f>
        <v/>
      </c>
      <c r="AI875" s="1089" t="str">
        <f t="shared" ref="AI875" si="1635">IF(AND(ISNUMBER(AI866)),AH875+AI872,"")</f>
        <v/>
      </c>
      <c r="AJ875" s="793"/>
      <c r="AK875" s="793"/>
      <c r="AL875" s="909"/>
      <c r="AM875" s="890">
        <f t="shared" si="1589"/>
        <v>0</v>
      </c>
      <c r="AN875" s="76"/>
      <c r="AO875" s="624"/>
      <c r="AP875" s="285"/>
      <c r="AQ875" s="285"/>
      <c r="AR875" s="285"/>
      <c r="AS875" s="285"/>
      <c r="AT875" s="286"/>
      <c r="AU875" s="285"/>
      <c r="AV875" s="287"/>
    </row>
    <row r="876" spans="1:48" ht="25.15" customHeight="1">
      <c r="A876" s="103"/>
      <c r="B876" s="89"/>
      <c r="C876" s="80"/>
      <c r="D876" s="90" t="s">
        <v>104</v>
      </c>
      <c r="E876" s="1108"/>
      <c r="F876" s="1089"/>
      <c r="G876" s="44"/>
      <c r="H876" s="1089"/>
      <c r="I876" s="1089"/>
      <c r="J876" s="44"/>
      <c r="K876" s="44"/>
      <c r="L876" s="1089"/>
      <c r="M876" s="1089"/>
      <c r="N876" s="1089"/>
      <c r="O876" s="1089"/>
      <c r="P876" s="1089"/>
      <c r="Q876" s="44"/>
      <c r="R876" s="44"/>
      <c r="S876" s="1089"/>
      <c r="T876" s="1089"/>
      <c r="U876" s="1089"/>
      <c r="V876" s="1089"/>
      <c r="W876" s="1089"/>
      <c r="X876" s="44"/>
      <c r="Y876" s="44"/>
      <c r="Z876" s="1089"/>
      <c r="AA876" s="1089"/>
      <c r="AB876" s="1089"/>
      <c r="AC876" s="1089"/>
      <c r="AD876" s="1089"/>
      <c r="AE876" s="44"/>
      <c r="AF876" s="44"/>
      <c r="AG876" s="1089"/>
      <c r="AH876" s="1089"/>
      <c r="AI876" s="1326"/>
      <c r="AJ876" s="79"/>
      <c r="AK876" s="79"/>
      <c r="AL876" s="63"/>
      <c r="AM876" s="1068">
        <f t="shared" si="1589"/>
        <v>0</v>
      </c>
      <c r="AN876" s="64"/>
      <c r="AO876" s="624"/>
      <c r="AP876" s="23"/>
      <c r="AQ876" s="23"/>
      <c r="AR876" s="23"/>
      <c r="AS876" s="23"/>
      <c r="AT876" s="23"/>
      <c r="AU876" s="23"/>
      <c r="AV876" s="23"/>
    </row>
    <row r="877" spans="1:48" ht="25.15" customHeight="1" thickBot="1">
      <c r="A877" s="106"/>
      <c r="B877" s="93"/>
      <c r="C877" s="94"/>
      <c r="D877" s="95" t="s">
        <v>111</v>
      </c>
      <c r="E877" s="1109">
        <f>IF(E876="O/H",E872,0+E872)</f>
        <v>480</v>
      </c>
      <c r="F877" s="1110">
        <f t="shared" ref="F877:AI877" si="1636">IF(F876="O/H",F872,+E877+F872)</f>
        <v>480</v>
      </c>
      <c r="G877" s="1212">
        <f t="shared" si="1636"/>
        <v>480</v>
      </c>
      <c r="H877" s="1110">
        <f t="shared" si="1636"/>
        <v>480</v>
      </c>
      <c r="I877" s="1110">
        <f t="shared" si="1636"/>
        <v>480</v>
      </c>
      <c r="J877" s="1212">
        <f t="shared" si="1636"/>
        <v>480</v>
      </c>
      <c r="K877" s="1212">
        <f t="shared" si="1636"/>
        <v>480</v>
      </c>
      <c r="L877" s="1110">
        <f t="shared" si="1636"/>
        <v>480</v>
      </c>
      <c r="M877" s="1110">
        <f t="shared" si="1636"/>
        <v>480</v>
      </c>
      <c r="N877" s="1110">
        <f t="shared" si="1636"/>
        <v>480</v>
      </c>
      <c r="O877" s="1110">
        <f t="shared" si="1636"/>
        <v>480</v>
      </c>
      <c r="P877" s="1110">
        <f t="shared" si="1636"/>
        <v>480</v>
      </c>
      <c r="Q877" s="1212">
        <f t="shared" si="1636"/>
        <v>480</v>
      </c>
      <c r="R877" s="1212">
        <f t="shared" si="1636"/>
        <v>480</v>
      </c>
      <c r="S877" s="1110">
        <f t="shared" si="1636"/>
        <v>480</v>
      </c>
      <c r="T877" s="1110">
        <f t="shared" si="1636"/>
        <v>480</v>
      </c>
      <c r="U877" s="1110">
        <f t="shared" si="1636"/>
        <v>480</v>
      </c>
      <c r="V877" s="1110">
        <f t="shared" si="1636"/>
        <v>480</v>
      </c>
      <c r="W877" s="1110">
        <f t="shared" si="1636"/>
        <v>480</v>
      </c>
      <c r="X877" s="1212">
        <f t="shared" si="1636"/>
        <v>480</v>
      </c>
      <c r="Y877" s="1212">
        <f t="shared" si="1636"/>
        <v>480</v>
      </c>
      <c r="Z877" s="1110">
        <f t="shared" si="1636"/>
        <v>480</v>
      </c>
      <c r="AA877" s="1110">
        <f t="shared" si="1636"/>
        <v>480</v>
      </c>
      <c r="AB877" s="1110">
        <f t="shared" si="1636"/>
        <v>480</v>
      </c>
      <c r="AC877" s="1110">
        <f t="shared" si="1636"/>
        <v>480</v>
      </c>
      <c r="AD877" s="1110">
        <f t="shared" si="1636"/>
        <v>480</v>
      </c>
      <c r="AE877" s="1212">
        <f t="shared" si="1636"/>
        <v>480</v>
      </c>
      <c r="AF877" s="1212">
        <f t="shared" si="1636"/>
        <v>480</v>
      </c>
      <c r="AG877" s="1110">
        <f t="shared" si="1636"/>
        <v>480</v>
      </c>
      <c r="AH877" s="1110">
        <f t="shared" si="1636"/>
        <v>480</v>
      </c>
      <c r="AI877" s="1340">
        <f t="shared" si="1636"/>
        <v>480</v>
      </c>
      <c r="AJ877" s="96"/>
      <c r="AK877" s="96"/>
      <c r="AL877" s="97"/>
      <c r="AM877" s="1071">
        <f t="shared" si="1589"/>
        <v>0</v>
      </c>
      <c r="AN877" s="98"/>
      <c r="AO877" s="625"/>
      <c r="AP877" s="23"/>
      <c r="AQ877" s="23"/>
      <c r="AR877" s="23"/>
      <c r="AS877" s="23"/>
      <c r="AT877" s="23"/>
      <c r="AU877" s="23"/>
      <c r="AV877" s="23"/>
    </row>
    <row r="878" spans="1:48" ht="25.15" customHeight="1" thickTop="1">
      <c r="A878" s="99"/>
      <c r="B878" s="26" t="s">
        <v>206</v>
      </c>
      <c r="C878" s="27"/>
      <c r="D878" s="28" t="s">
        <v>82</v>
      </c>
      <c r="E878" s="1523"/>
      <c r="F878" s="1111"/>
      <c r="G878" s="1201"/>
      <c r="H878" s="1111"/>
      <c r="I878" s="1111"/>
      <c r="J878" s="1201"/>
      <c r="K878" s="1201"/>
      <c r="L878" s="1111"/>
      <c r="M878" s="1111"/>
      <c r="N878" s="1111"/>
      <c r="O878" s="1111"/>
      <c r="P878" s="1111"/>
      <c r="Q878" s="1201"/>
      <c r="R878" s="1201"/>
      <c r="S878" s="1111"/>
      <c r="T878" s="1111"/>
      <c r="U878" s="1111"/>
      <c r="V878" s="1111"/>
      <c r="W878" s="1111"/>
      <c r="X878" s="1201"/>
      <c r="Y878" s="1201"/>
      <c r="Z878" s="1111"/>
      <c r="AA878" s="1111"/>
      <c r="AB878" s="1111"/>
      <c r="AC878" s="1111"/>
      <c r="AD878" s="1111"/>
      <c r="AE878" s="1201"/>
      <c r="AF878" s="1201"/>
      <c r="AG878" s="1111"/>
      <c r="AH878" s="1111"/>
      <c r="AI878" s="1111"/>
      <c r="AJ878" s="100">
        <f>SUM(Table75[[#This Row],[June''2026]:[Column27]])</f>
        <v>0</v>
      </c>
      <c r="AK878" s="100">
        <f t="shared" si="1588"/>
        <v>0</v>
      </c>
      <c r="AL878" s="101">
        <f>+AJ878*AN878</f>
        <v>0</v>
      </c>
      <c r="AM878" s="1072">
        <f t="shared" si="1589"/>
        <v>0</v>
      </c>
      <c r="AN878" s="102"/>
      <c r="AO878" s="622" t="e">
        <f>Table5[[#This Row],[Total]]*B882/1000</f>
        <v>#VALUE!</v>
      </c>
      <c r="AP878" s="32" t="s">
        <v>193</v>
      </c>
      <c r="AQ878" s="33" t="s">
        <v>84</v>
      </c>
      <c r="AR878" s="33" t="s">
        <v>85</v>
      </c>
      <c r="AS878" s="33" t="s">
        <v>86</v>
      </c>
      <c r="AT878" s="33" t="s">
        <v>87</v>
      </c>
      <c r="AU878" s="33" t="s">
        <v>88</v>
      </c>
      <c r="AV878" s="34" t="s">
        <v>68</v>
      </c>
    </row>
    <row r="879" spans="1:48" ht="25.15" customHeight="1">
      <c r="A879" s="103"/>
      <c r="B879" s="35" t="s">
        <v>207</v>
      </c>
      <c r="C879" s="36"/>
      <c r="D879" s="37" t="s">
        <v>90</v>
      </c>
      <c r="E879" s="1373">
        <f>IF(E878="",0,+ E878/E885)</f>
        <v>0</v>
      </c>
      <c r="F879" s="1096">
        <f t="shared" ref="F879:AI879" si="1637">IF(F878="",0, E879+F878/F885)</f>
        <v>0</v>
      </c>
      <c r="G879" s="1207">
        <f t="shared" si="1637"/>
        <v>0</v>
      </c>
      <c r="H879" s="1096">
        <f t="shared" si="1637"/>
        <v>0</v>
      </c>
      <c r="I879" s="1096">
        <f t="shared" si="1637"/>
        <v>0</v>
      </c>
      <c r="J879" s="1207">
        <f t="shared" si="1637"/>
        <v>0</v>
      </c>
      <c r="K879" s="1207">
        <f t="shared" si="1637"/>
        <v>0</v>
      </c>
      <c r="L879" s="1096">
        <f t="shared" si="1637"/>
        <v>0</v>
      </c>
      <c r="M879" s="1096">
        <f t="shared" si="1637"/>
        <v>0</v>
      </c>
      <c r="N879" s="1096">
        <f t="shared" si="1637"/>
        <v>0</v>
      </c>
      <c r="O879" s="1096">
        <f t="shared" si="1637"/>
        <v>0</v>
      </c>
      <c r="P879" s="1096">
        <f t="shared" si="1637"/>
        <v>0</v>
      </c>
      <c r="Q879" s="1207">
        <f t="shared" si="1637"/>
        <v>0</v>
      </c>
      <c r="R879" s="1207">
        <f t="shared" si="1637"/>
        <v>0</v>
      </c>
      <c r="S879" s="1096">
        <f t="shared" si="1637"/>
        <v>0</v>
      </c>
      <c r="T879" s="1096">
        <f t="shared" si="1637"/>
        <v>0</v>
      </c>
      <c r="U879" s="1096">
        <f t="shared" si="1637"/>
        <v>0</v>
      </c>
      <c r="V879" s="1096">
        <f t="shared" si="1637"/>
        <v>0</v>
      </c>
      <c r="W879" s="1096">
        <f t="shared" si="1637"/>
        <v>0</v>
      </c>
      <c r="X879" s="1207">
        <f t="shared" si="1637"/>
        <v>0</v>
      </c>
      <c r="Y879" s="1207">
        <f t="shared" si="1637"/>
        <v>0</v>
      </c>
      <c r="Z879" s="1096">
        <f t="shared" si="1637"/>
        <v>0</v>
      </c>
      <c r="AA879" s="1096">
        <f t="shared" si="1637"/>
        <v>0</v>
      </c>
      <c r="AB879" s="1096">
        <f t="shared" si="1637"/>
        <v>0</v>
      </c>
      <c r="AC879" s="1096">
        <f t="shared" si="1637"/>
        <v>0</v>
      </c>
      <c r="AD879" s="1096">
        <f t="shared" si="1637"/>
        <v>0</v>
      </c>
      <c r="AE879" s="1207">
        <f t="shared" si="1637"/>
        <v>0</v>
      </c>
      <c r="AF879" s="1207">
        <f t="shared" si="1637"/>
        <v>0</v>
      </c>
      <c r="AG879" s="1096">
        <f t="shared" si="1637"/>
        <v>0</v>
      </c>
      <c r="AH879" s="1096">
        <f t="shared" si="1637"/>
        <v>0</v>
      </c>
      <c r="AI879" s="1324">
        <f t="shared" si="1637"/>
        <v>0</v>
      </c>
      <c r="AJ879" s="38"/>
      <c r="AK879" s="29"/>
      <c r="AL879" s="30"/>
      <c r="AM879" s="694">
        <f t="shared" si="1589"/>
        <v>0</v>
      </c>
      <c r="AN879" s="31"/>
      <c r="AO879" s="630"/>
      <c r="AP879" s="39" t="s">
        <v>91</v>
      </c>
      <c r="AQ879" s="40">
        <f>SUM(E878:H878)</f>
        <v>0</v>
      </c>
      <c r="AR879" s="41">
        <f>SUM(I878:O878)</f>
        <v>0</v>
      </c>
      <c r="AS879" s="41">
        <f>SUM(P878:V878)</f>
        <v>0</v>
      </c>
      <c r="AT879" s="41">
        <f>SUM(W878:AC878)</f>
        <v>0</v>
      </c>
      <c r="AU879" s="41">
        <f>SUM(AD878:AI878)</f>
        <v>0</v>
      </c>
      <c r="AV879" s="34">
        <f t="shared" ref="AV879:AV884" si="1638">SUM(AQ879:AU879)</f>
        <v>0</v>
      </c>
    </row>
    <row r="880" spans="1:48" ht="25.15" customHeight="1">
      <c r="A880" s="103"/>
      <c r="B880" s="26" t="s">
        <v>92</v>
      </c>
      <c r="C880" s="42"/>
      <c r="D880" s="43" t="s">
        <v>93</v>
      </c>
      <c r="E880" s="1325">
        <v>0</v>
      </c>
      <c r="F880" s="1089">
        <v>0</v>
      </c>
      <c r="G880" s="44">
        <v>0</v>
      </c>
      <c r="H880" s="1089">
        <v>0</v>
      </c>
      <c r="I880" s="1089">
        <v>0</v>
      </c>
      <c r="J880" s="44">
        <v>0</v>
      </c>
      <c r="K880" s="44">
        <v>0</v>
      </c>
      <c r="L880" s="1089">
        <v>0</v>
      </c>
      <c r="M880" s="1089">
        <v>0</v>
      </c>
      <c r="N880" s="1089">
        <v>0</v>
      </c>
      <c r="O880" s="1089">
        <v>0</v>
      </c>
      <c r="P880" s="1089">
        <v>0</v>
      </c>
      <c r="Q880" s="44">
        <v>0</v>
      </c>
      <c r="R880" s="44">
        <v>0</v>
      </c>
      <c r="S880" s="1089">
        <v>0</v>
      </c>
      <c r="T880" s="1089">
        <v>0</v>
      </c>
      <c r="U880" s="1089">
        <v>0</v>
      </c>
      <c r="V880" s="1089">
        <v>0</v>
      </c>
      <c r="W880" s="1089">
        <v>0</v>
      </c>
      <c r="X880" s="44">
        <v>0</v>
      </c>
      <c r="Y880" s="44">
        <v>0</v>
      </c>
      <c r="Z880" s="1089">
        <v>0</v>
      </c>
      <c r="AA880" s="1089">
        <v>0</v>
      </c>
      <c r="AB880" s="1089"/>
      <c r="AC880" s="1089"/>
      <c r="AD880" s="1089"/>
      <c r="AE880" s="44"/>
      <c r="AF880" s="44"/>
      <c r="AG880" s="1089"/>
      <c r="AH880" s="1089"/>
      <c r="AI880" s="1326"/>
      <c r="AJ880" s="45">
        <f>SUM(E880:AI880)</f>
        <v>0</v>
      </c>
      <c r="AK880" s="45"/>
      <c r="AL880" s="46">
        <f>+AJ880*AN878</f>
        <v>0</v>
      </c>
      <c r="AM880" s="1066">
        <f t="shared" si="1589"/>
        <v>0</v>
      </c>
      <c r="AN880" s="31"/>
      <c r="AO880" s="632">
        <f>(AJ880+AJ882+AJ883+AJ884)*B882/1000</f>
        <v>0</v>
      </c>
      <c r="AP880" s="47" t="s">
        <v>94</v>
      </c>
      <c r="AQ880" s="48">
        <f>SUM(E880:H880)</f>
        <v>0</v>
      </c>
      <c r="AR880" s="49">
        <f>SUM(I880:O880)</f>
        <v>0</v>
      </c>
      <c r="AS880" s="49">
        <f>SUM(P880:V880)</f>
        <v>0</v>
      </c>
      <c r="AT880" s="49">
        <f>SUM(W880:AC880)</f>
        <v>0</v>
      </c>
      <c r="AU880" s="49">
        <f>SUM(AD880:AI880)</f>
        <v>0</v>
      </c>
      <c r="AV880" s="50">
        <f t="shared" si="1638"/>
        <v>0</v>
      </c>
    </row>
    <row r="881" spans="1:48" ht="25.15" customHeight="1">
      <c r="A881" s="103"/>
      <c r="B881" s="51"/>
      <c r="C881" s="52" t="s">
        <v>95</v>
      </c>
      <c r="D881" s="53" t="s">
        <v>96</v>
      </c>
      <c r="E881" s="1327">
        <f>+E880-E878</f>
        <v>0</v>
      </c>
      <c r="F881" s="1097">
        <f t="shared" ref="F881:H881" si="1639">+F880-F878</f>
        <v>0</v>
      </c>
      <c r="G881" s="1205">
        <f t="shared" si="1639"/>
        <v>0</v>
      </c>
      <c r="H881" s="1097">
        <f t="shared" si="1639"/>
        <v>0</v>
      </c>
      <c r="I881" s="1097">
        <f t="shared" ref="I881:L881" si="1640">+I880-I878</f>
        <v>0</v>
      </c>
      <c r="J881" s="1205">
        <f t="shared" si="1640"/>
        <v>0</v>
      </c>
      <c r="K881" s="1205">
        <f t="shared" si="1640"/>
        <v>0</v>
      </c>
      <c r="L881" s="1097">
        <f t="shared" si="1640"/>
        <v>0</v>
      </c>
      <c r="M881" s="1097">
        <f t="shared" ref="M881:AJ881" si="1641">+M880-M878</f>
        <v>0</v>
      </c>
      <c r="N881" s="1097">
        <f t="shared" si="1641"/>
        <v>0</v>
      </c>
      <c r="O881" s="1097">
        <f t="shared" si="1641"/>
        <v>0</v>
      </c>
      <c r="P881" s="1097">
        <f t="shared" ref="P881:S881" si="1642">+P880-P878</f>
        <v>0</v>
      </c>
      <c r="Q881" s="1205">
        <f t="shared" si="1642"/>
        <v>0</v>
      </c>
      <c r="R881" s="1205">
        <f t="shared" si="1642"/>
        <v>0</v>
      </c>
      <c r="S881" s="1097">
        <f t="shared" si="1642"/>
        <v>0</v>
      </c>
      <c r="T881" s="1097">
        <f t="shared" ref="T881" si="1643">+T880-T878</f>
        <v>0</v>
      </c>
      <c r="U881" s="1097">
        <f t="shared" ref="U881" si="1644">+U880-U878</f>
        <v>0</v>
      </c>
      <c r="V881" s="1097">
        <f t="shared" si="1641"/>
        <v>0</v>
      </c>
      <c r="W881" s="1097">
        <f t="shared" ref="W881" si="1645">+W880-W878</f>
        <v>0</v>
      </c>
      <c r="X881" s="1205">
        <f t="shared" ref="X881:Z881" si="1646">+X880-X878</f>
        <v>0</v>
      </c>
      <c r="Y881" s="1205">
        <f t="shared" si="1646"/>
        <v>0</v>
      </c>
      <c r="Z881" s="1097">
        <f t="shared" si="1646"/>
        <v>0</v>
      </c>
      <c r="AA881" s="1097">
        <f t="shared" si="1641"/>
        <v>0</v>
      </c>
      <c r="AB881" s="1097">
        <f t="shared" si="1641"/>
        <v>0</v>
      </c>
      <c r="AC881" s="1097">
        <f t="shared" si="1641"/>
        <v>0</v>
      </c>
      <c r="AD881" s="1097">
        <f t="shared" si="1641"/>
        <v>0</v>
      </c>
      <c r="AE881" s="1205">
        <f t="shared" si="1641"/>
        <v>0</v>
      </c>
      <c r="AF881" s="1205">
        <f t="shared" si="1641"/>
        <v>0</v>
      </c>
      <c r="AG881" s="1097">
        <f t="shared" si="1641"/>
        <v>0</v>
      </c>
      <c r="AH881" s="1097">
        <f t="shared" si="1641"/>
        <v>0</v>
      </c>
      <c r="AI881" s="1328">
        <f t="shared" si="1641"/>
        <v>0</v>
      </c>
      <c r="AJ881" s="54">
        <f t="shared" si="1641"/>
        <v>0</v>
      </c>
      <c r="AK881" s="54"/>
      <c r="AL881" s="55">
        <f>+AJ881*AN878</f>
        <v>0</v>
      </c>
      <c r="AM881" s="1067">
        <f t="shared" si="1589"/>
        <v>0</v>
      </c>
      <c r="AN881" s="31" t="s">
        <v>97</v>
      </c>
      <c r="AO881" s="622"/>
      <c r="AP881" s="39" t="s">
        <v>98</v>
      </c>
      <c r="AQ881" s="56">
        <f>AQ880-AQ879</f>
        <v>0</v>
      </c>
      <c r="AR881" s="70">
        <f>AR880-AR879</f>
        <v>0</v>
      </c>
      <c r="AS881" s="70">
        <f>AS880-AS879</f>
        <v>0</v>
      </c>
      <c r="AT881" s="70">
        <f>AT880-AT879</f>
        <v>0</v>
      </c>
      <c r="AU881" s="70">
        <f>AU880-AU879</f>
        <v>0</v>
      </c>
      <c r="AV881" s="57">
        <f t="shared" si="1638"/>
        <v>0</v>
      </c>
    </row>
    <row r="882" spans="1:48" ht="25.15" customHeight="1">
      <c r="A882" s="58"/>
      <c r="B882" s="59"/>
      <c r="C882" s="60" t="s">
        <v>100</v>
      </c>
      <c r="D882" s="61" t="s">
        <v>101</v>
      </c>
      <c r="E882" s="1329">
        <v>0</v>
      </c>
      <c r="F882" s="1099">
        <v>0</v>
      </c>
      <c r="G882" s="1208">
        <v>0</v>
      </c>
      <c r="H882" s="1099">
        <v>0</v>
      </c>
      <c r="I882" s="1099">
        <v>0</v>
      </c>
      <c r="J882" s="1208">
        <v>0</v>
      </c>
      <c r="K882" s="1208">
        <v>0</v>
      </c>
      <c r="L882" s="1099">
        <v>0</v>
      </c>
      <c r="M882" s="1099">
        <v>0</v>
      </c>
      <c r="N882" s="1099">
        <v>0</v>
      </c>
      <c r="O882" s="1099">
        <v>0</v>
      </c>
      <c r="P882" s="1099">
        <v>0</v>
      </c>
      <c r="Q882" s="1208">
        <v>0</v>
      </c>
      <c r="R882" s="1208">
        <v>0</v>
      </c>
      <c r="S882" s="1099">
        <v>0</v>
      </c>
      <c r="T882" s="1099">
        <v>0</v>
      </c>
      <c r="U882" s="1099">
        <v>0</v>
      </c>
      <c r="V882" s="1099">
        <v>0</v>
      </c>
      <c r="W882" s="1099">
        <v>0</v>
      </c>
      <c r="X882" s="1208">
        <v>0</v>
      </c>
      <c r="Y882" s="1208">
        <v>0</v>
      </c>
      <c r="Z882" s="1099">
        <v>0</v>
      </c>
      <c r="AA882" s="1099">
        <v>0</v>
      </c>
      <c r="AB882" s="1099"/>
      <c r="AC882" s="1099"/>
      <c r="AD882" s="1099"/>
      <c r="AE882" s="1208"/>
      <c r="AF882" s="1208"/>
      <c r="AG882" s="1099"/>
      <c r="AH882" s="1099"/>
      <c r="AI882" s="1330"/>
      <c r="AJ882" s="62">
        <f>SUM(E882:AI882)</f>
        <v>0</v>
      </c>
      <c r="AK882" s="62"/>
      <c r="AL882" s="63">
        <f>+AJ882*AN878</f>
        <v>0</v>
      </c>
      <c r="AM882" s="1068">
        <f t="shared" si="1589"/>
        <v>0</v>
      </c>
      <c r="AN882" s="64" t="e">
        <f>+AJ882/AJ880*100</f>
        <v>#DIV/0!</v>
      </c>
      <c r="AO882" s="635" t="e">
        <f>AO880/AO878</f>
        <v>#VALUE!</v>
      </c>
      <c r="AP882" s="39" t="s">
        <v>102</v>
      </c>
      <c r="AQ882" s="56">
        <f>SUM(E882:H882)</f>
        <v>0</v>
      </c>
      <c r="AR882" s="70">
        <f>SUM(I882:O882)</f>
        <v>0</v>
      </c>
      <c r="AS882" s="70">
        <f>SUM(P882:V882)</f>
        <v>0</v>
      </c>
      <c r="AT882" s="70">
        <f>SUM(W882:AC882)</f>
        <v>0</v>
      </c>
      <c r="AU882" s="70">
        <f>SUM(AD882:AI882)</f>
        <v>0</v>
      </c>
      <c r="AV882" s="57">
        <f t="shared" si="1638"/>
        <v>0</v>
      </c>
    </row>
    <row r="883" spans="1:48" ht="25.15" customHeight="1">
      <c r="A883" s="58" t="s">
        <v>202</v>
      </c>
      <c r="B883" s="65"/>
      <c r="C883" s="66"/>
      <c r="D883" s="67" t="s">
        <v>103</v>
      </c>
      <c r="E883" s="1331">
        <v>0</v>
      </c>
      <c r="F883" s="1101">
        <v>0</v>
      </c>
      <c r="G883" s="1209">
        <v>0</v>
      </c>
      <c r="H883" s="1101">
        <v>0</v>
      </c>
      <c r="I883" s="1101">
        <v>0</v>
      </c>
      <c r="J883" s="1209">
        <v>0</v>
      </c>
      <c r="K883" s="1209">
        <v>0</v>
      </c>
      <c r="L883" s="1101">
        <v>0</v>
      </c>
      <c r="M883" s="1101">
        <v>0</v>
      </c>
      <c r="N883" s="1101">
        <v>0</v>
      </c>
      <c r="O883" s="1101">
        <v>0</v>
      </c>
      <c r="P883" s="1101">
        <v>0</v>
      </c>
      <c r="Q883" s="1209">
        <v>0</v>
      </c>
      <c r="R883" s="1209">
        <v>0</v>
      </c>
      <c r="S883" s="1101">
        <v>0</v>
      </c>
      <c r="T883" s="1101">
        <v>0</v>
      </c>
      <c r="U883" s="1101">
        <v>0</v>
      </c>
      <c r="V883" s="1101">
        <v>0</v>
      </c>
      <c r="W883" s="1101">
        <v>0</v>
      </c>
      <c r="X883" s="1209">
        <v>0</v>
      </c>
      <c r="Y883" s="1209">
        <v>0</v>
      </c>
      <c r="Z883" s="1101">
        <v>0</v>
      </c>
      <c r="AA883" s="1101">
        <v>0</v>
      </c>
      <c r="AB883" s="1101"/>
      <c r="AC883" s="1101"/>
      <c r="AD883" s="1101"/>
      <c r="AE883" s="1209"/>
      <c r="AF883" s="1209"/>
      <c r="AG883" s="1101"/>
      <c r="AH883" s="1101"/>
      <c r="AI883" s="1332"/>
      <c r="AJ883" s="68">
        <f>SUM(E883:AI883)</f>
        <v>0</v>
      </c>
      <c r="AK883" s="68"/>
      <c r="AL883" s="69">
        <f>+AJ883*AN878</f>
        <v>0</v>
      </c>
      <c r="AM883" s="1069">
        <f t="shared" si="1589"/>
        <v>0</v>
      </c>
      <c r="AN883" s="31"/>
      <c r="AO883" s="622"/>
      <c r="AP883" s="39" t="s">
        <v>19</v>
      </c>
      <c r="AQ883" s="56">
        <f>AQ882*AN878</f>
        <v>0</v>
      </c>
      <c r="AR883" s="56">
        <f>AR882*AN878</f>
        <v>0</v>
      </c>
      <c r="AS883" s="56">
        <f>AS882*AN878</f>
        <v>0</v>
      </c>
      <c r="AT883" s="56">
        <f>AT882*AN878</f>
        <v>0</v>
      </c>
      <c r="AU883" s="56">
        <f>AU882*AN878</f>
        <v>0</v>
      </c>
      <c r="AV883" s="57">
        <f t="shared" si="1638"/>
        <v>0</v>
      </c>
    </row>
    <row r="884" spans="1:48" ht="25.15" customHeight="1">
      <c r="A884" s="103"/>
      <c r="B884" s="65"/>
      <c r="C884" s="72" t="s">
        <v>104</v>
      </c>
      <c r="D884" s="73" t="s">
        <v>105</v>
      </c>
      <c r="E884" s="1378">
        <v>0</v>
      </c>
      <c r="F884" s="1103">
        <v>0</v>
      </c>
      <c r="G884" s="1210">
        <v>0</v>
      </c>
      <c r="H884" s="1103">
        <v>0</v>
      </c>
      <c r="I884" s="1103">
        <v>0</v>
      </c>
      <c r="J884" s="1210">
        <v>0</v>
      </c>
      <c r="K884" s="1210">
        <v>0</v>
      </c>
      <c r="L884" s="1103">
        <v>0</v>
      </c>
      <c r="M884" s="1103">
        <v>0</v>
      </c>
      <c r="N884" s="1103">
        <v>0</v>
      </c>
      <c r="O884" s="1103">
        <v>0</v>
      </c>
      <c r="P884" s="1103">
        <v>0</v>
      </c>
      <c r="Q884" s="1210">
        <v>0</v>
      </c>
      <c r="R884" s="1210">
        <v>0</v>
      </c>
      <c r="S884" s="1103">
        <v>0</v>
      </c>
      <c r="T884" s="1103">
        <v>0</v>
      </c>
      <c r="U884" s="1103">
        <v>0</v>
      </c>
      <c r="V884" s="1103">
        <v>0</v>
      </c>
      <c r="W884" s="1103">
        <v>0</v>
      </c>
      <c r="X884" s="1210">
        <v>0</v>
      </c>
      <c r="Y884" s="1210">
        <v>0</v>
      </c>
      <c r="Z884" s="1103">
        <v>0</v>
      </c>
      <c r="AA884" s="1103">
        <v>0</v>
      </c>
      <c r="AB884" s="1103"/>
      <c r="AC884" s="1103"/>
      <c r="AD884" s="1103"/>
      <c r="AE884" s="1210"/>
      <c r="AF884" s="1210"/>
      <c r="AG884" s="1103"/>
      <c r="AH884" s="1103"/>
      <c r="AI884" s="1352"/>
      <c r="AJ884" s="74">
        <f>SUM(E884:AI884)</f>
        <v>0</v>
      </c>
      <c r="AK884" s="74"/>
      <c r="AL884" s="75">
        <f>+AJ884*AN878</f>
        <v>0</v>
      </c>
      <c r="AM884" s="1070">
        <f t="shared" si="1589"/>
        <v>0</v>
      </c>
      <c r="AN884" s="76"/>
      <c r="AO884" s="636"/>
      <c r="AP884" s="47" t="s">
        <v>106</v>
      </c>
      <c r="AQ884" s="48">
        <f>AQ880*AN878</f>
        <v>0</v>
      </c>
      <c r="AR884" s="48">
        <f>AR880*AN878</f>
        <v>0</v>
      </c>
      <c r="AS884" s="48">
        <f>AS880*AN878</f>
        <v>0</v>
      </c>
      <c r="AT884" s="48">
        <f>AT880*AN878</f>
        <v>0</v>
      </c>
      <c r="AU884" s="48">
        <f>AU880*AN878</f>
        <v>0</v>
      </c>
      <c r="AV884" s="50">
        <f t="shared" si="1638"/>
        <v>0</v>
      </c>
    </row>
    <row r="885" spans="1:48" ht="25.15" customHeight="1">
      <c r="A885" s="103"/>
      <c r="B885" s="65"/>
      <c r="C885" s="77">
        <v>300000</v>
      </c>
      <c r="D885" s="78" t="s">
        <v>107</v>
      </c>
      <c r="E885" s="1327">
        <v>1</v>
      </c>
      <c r="F885" s="1097">
        <v>1</v>
      </c>
      <c r="G885" s="1205">
        <v>1</v>
      </c>
      <c r="H885" s="1097">
        <v>1</v>
      </c>
      <c r="I885" s="1097">
        <v>1</v>
      </c>
      <c r="J885" s="1205">
        <v>1</v>
      </c>
      <c r="K885" s="1205">
        <v>1</v>
      </c>
      <c r="L885" s="1097">
        <v>1</v>
      </c>
      <c r="M885" s="1097">
        <v>1</v>
      </c>
      <c r="N885" s="1097">
        <v>1</v>
      </c>
      <c r="O885" s="1097">
        <v>1</v>
      </c>
      <c r="P885" s="1097">
        <v>1</v>
      </c>
      <c r="Q885" s="1205">
        <v>1</v>
      </c>
      <c r="R885" s="1205">
        <v>1</v>
      </c>
      <c r="S885" s="1097">
        <v>1</v>
      </c>
      <c r="T885" s="1097">
        <v>1</v>
      </c>
      <c r="U885" s="1097">
        <v>1</v>
      </c>
      <c r="V885" s="1097">
        <v>1</v>
      </c>
      <c r="W885" s="1097">
        <v>1</v>
      </c>
      <c r="X885" s="1205">
        <v>1</v>
      </c>
      <c r="Y885" s="1205">
        <v>1</v>
      </c>
      <c r="Z885" s="1097">
        <v>1</v>
      </c>
      <c r="AA885" s="1097">
        <v>1</v>
      </c>
      <c r="AB885" s="1097">
        <v>1</v>
      </c>
      <c r="AC885" s="1097">
        <v>1</v>
      </c>
      <c r="AD885" s="1097">
        <v>1</v>
      </c>
      <c r="AE885" s="1205">
        <v>1</v>
      </c>
      <c r="AF885" s="1205">
        <v>1</v>
      </c>
      <c r="AG885" s="1097">
        <v>1</v>
      </c>
      <c r="AH885" s="1097">
        <v>1</v>
      </c>
      <c r="AI885" s="1328">
        <v>1</v>
      </c>
      <c r="AJ885" s="79"/>
      <c r="AK885" s="79"/>
      <c r="AL885" s="55"/>
      <c r="AM885" s="1067">
        <f t="shared" si="1589"/>
        <v>0</v>
      </c>
      <c r="AN885" s="31"/>
      <c r="AO885" s="622"/>
      <c r="AP885" s="23"/>
      <c r="AQ885" s="23"/>
      <c r="AR885" s="23"/>
      <c r="AS885" s="23"/>
      <c r="AT885" s="23"/>
      <c r="AU885" s="23"/>
      <c r="AV885" s="23"/>
    </row>
    <row r="886" spans="1:48" ht="25.15" customHeight="1">
      <c r="A886" s="103"/>
      <c r="B886" s="65"/>
      <c r="C886" s="80" t="s">
        <v>108</v>
      </c>
      <c r="D886" s="81" t="s">
        <v>109</v>
      </c>
      <c r="E886" s="1374">
        <f>SUM(E880+E882+E883+E884)/E885</f>
        <v>0</v>
      </c>
      <c r="F886" s="1104">
        <f>SUM(F880+F882+F883+F884)/F885</f>
        <v>0</v>
      </c>
      <c r="G886" s="1211">
        <f>SUM(G880+G882+G883+G884)/G885</f>
        <v>0</v>
      </c>
      <c r="H886" s="1104">
        <f t="shared" ref="H886:AH886" si="1647">SUM(H880+H882+H883+H884)/H885</f>
        <v>0</v>
      </c>
      <c r="I886" s="1104">
        <f t="shared" si="1647"/>
        <v>0</v>
      </c>
      <c r="J886" s="1211">
        <f t="shared" si="1647"/>
        <v>0</v>
      </c>
      <c r="K886" s="1211">
        <f t="shared" si="1647"/>
        <v>0</v>
      </c>
      <c r="L886" s="1104">
        <f t="shared" si="1647"/>
        <v>0</v>
      </c>
      <c r="M886" s="1104">
        <f t="shared" si="1647"/>
        <v>0</v>
      </c>
      <c r="N886" s="1104">
        <f t="shared" si="1647"/>
        <v>0</v>
      </c>
      <c r="O886" s="1104">
        <f t="shared" si="1647"/>
        <v>0</v>
      </c>
      <c r="P886" s="1104">
        <f t="shared" si="1647"/>
        <v>0</v>
      </c>
      <c r="Q886" s="1211">
        <f t="shared" si="1647"/>
        <v>0</v>
      </c>
      <c r="R886" s="1211">
        <f t="shared" si="1647"/>
        <v>0</v>
      </c>
      <c r="S886" s="1104">
        <f t="shared" si="1647"/>
        <v>0</v>
      </c>
      <c r="T886" s="1104">
        <f t="shared" si="1647"/>
        <v>0</v>
      </c>
      <c r="U886" s="1104">
        <f t="shared" si="1647"/>
        <v>0</v>
      </c>
      <c r="V886" s="1104">
        <f t="shared" si="1647"/>
        <v>0</v>
      </c>
      <c r="W886" s="1104">
        <f t="shared" si="1647"/>
        <v>0</v>
      </c>
      <c r="X886" s="1211">
        <f t="shared" si="1647"/>
        <v>0</v>
      </c>
      <c r="Y886" s="1211">
        <f t="shared" si="1647"/>
        <v>0</v>
      </c>
      <c r="Z886" s="1104">
        <f t="shared" si="1647"/>
        <v>0</v>
      </c>
      <c r="AA886" s="1104">
        <f t="shared" si="1647"/>
        <v>0</v>
      </c>
      <c r="AB886" s="1104">
        <f t="shared" si="1647"/>
        <v>0</v>
      </c>
      <c r="AC886" s="1104">
        <f t="shared" si="1647"/>
        <v>0</v>
      </c>
      <c r="AD886" s="1104">
        <f t="shared" si="1647"/>
        <v>0</v>
      </c>
      <c r="AE886" s="1211">
        <f t="shared" si="1647"/>
        <v>0</v>
      </c>
      <c r="AF886" s="1211">
        <f t="shared" si="1647"/>
        <v>0</v>
      </c>
      <c r="AG886" s="1104">
        <f t="shared" si="1647"/>
        <v>0</v>
      </c>
      <c r="AH886" s="1104">
        <f t="shared" si="1647"/>
        <v>0</v>
      </c>
      <c r="AI886" s="1335">
        <f>SUM(AI880+AI882+AI883)/AI885</f>
        <v>0</v>
      </c>
      <c r="AJ886" s="104">
        <f>SUM(E886:AI886)</f>
        <v>0</v>
      </c>
      <c r="AK886" s="104"/>
      <c r="AL886" s="83"/>
      <c r="AM886" s="1068">
        <f t="shared" si="1589"/>
        <v>0</v>
      </c>
      <c r="AN886" s="31"/>
      <c r="AO886" s="622"/>
      <c r="AP886" s="23"/>
      <c r="AQ886" s="23"/>
      <c r="AR886" s="23"/>
      <c r="AS886" s="23"/>
      <c r="AT886" s="23"/>
      <c r="AU886" s="23"/>
      <c r="AV886" s="23"/>
    </row>
    <row r="887" spans="1:48" ht="25.15" customHeight="1">
      <c r="A887" s="103"/>
      <c r="B887" s="59"/>
      <c r="C887" s="84">
        <f>+C885*0.8</f>
        <v>240000</v>
      </c>
      <c r="D887" s="85" t="s">
        <v>110</v>
      </c>
      <c r="E887" s="1105"/>
      <c r="F887" s="1106"/>
      <c r="G887" s="1211"/>
      <c r="H887" s="1104"/>
      <c r="I887" s="1104"/>
      <c r="J887" s="1211"/>
      <c r="K887" s="1211"/>
      <c r="L887" s="1104"/>
      <c r="M887" s="1104"/>
      <c r="N887" s="1104"/>
      <c r="O887" s="1107"/>
      <c r="P887" s="1104"/>
      <c r="Q887" s="1211"/>
      <c r="R887" s="1211"/>
      <c r="S887" s="1104"/>
      <c r="T887" s="1104"/>
      <c r="U887" s="1104"/>
      <c r="V887" s="1104"/>
      <c r="W887" s="1104"/>
      <c r="X887" s="1211"/>
      <c r="Y887" s="1211"/>
      <c r="Z887" s="1104"/>
      <c r="AA887" s="1104"/>
      <c r="AB887" s="1104"/>
      <c r="AC887" s="1104"/>
      <c r="AD887" s="1104"/>
      <c r="AE887" s="1211"/>
      <c r="AF887" s="1211"/>
      <c r="AG887" s="1104"/>
      <c r="AH887" s="1104"/>
      <c r="AI887" s="1353"/>
      <c r="AJ887" s="86"/>
      <c r="AK887" s="86"/>
      <c r="AL887" s="690"/>
      <c r="AM887" s="694">
        <f t="shared" si="1589"/>
        <v>0</v>
      </c>
      <c r="AN887" s="31"/>
      <c r="AO887" s="622"/>
      <c r="AP887" s="23"/>
      <c r="AQ887" s="23"/>
      <c r="AR887" s="23"/>
      <c r="AS887" s="23"/>
      <c r="AT887" s="23"/>
      <c r="AU887" s="23"/>
      <c r="AV887" s="23"/>
    </row>
    <row r="888" spans="1:48" ht="25.15" customHeight="1">
      <c r="A888" s="103"/>
      <c r="B888" s="105"/>
      <c r="C888" s="77"/>
      <c r="D888" s="88" t="s">
        <v>111</v>
      </c>
      <c r="E888" s="1108">
        <f>IF(E887="O/H",E886,0+E886)</f>
        <v>0</v>
      </c>
      <c r="F888" s="1089">
        <f t="shared" ref="F888:AI888" si="1648">IF(F887="O/H",F886,+E888+F886)</f>
        <v>0</v>
      </c>
      <c r="G888" s="44">
        <f t="shared" si="1648"/>
        <v>0</v>
      </c>
      <c r="H888" s="1089">
        <f t="shared" si="1648"/>
        <v>0</v>
      </c>
      <c r="I888" s="1089">
        <f t="shared" si="1648"/>
        <v>0</v>
      </c>
      <c r="J888" s="44">
        <f t="shared" si="1648"/>
        <v>0</v>
      </c>
      <c r="K888" s="44">
        <f t="shared" si="1648"/>
        <v>0</v>
      </c>
      <c r="L888" s="1089">
        <f t="shared" si="1648"/>
        <v>0</v>
      </c>
      <c r="M888" s="1089">
        <f t="shared" si="1648"/>
        <v>0</v>
      </c>
      <c r="N888" s="1089">
        <f t="shared" si="1648"/>
        <v>0</v>
      </c>
      <c r="O888" s="1089">
        <f t="shared" si="1648"/>
        <v>0</v>
      </c>
      <c r="P888" s="1089">
        <f t="shared" si="1648"/>
        <v>0</v>
      </c>
      <c r="Q888" s="44">
        <f t="shared" si="1648"/>
        <v>0</v>
      </c>
      <c r="R888" s="44">
        <f t="shared" si="1648"/>
        <v>0</v>
      </c>
      <c r="S888" s="1089">
        <f t="shared" si="1648"/>
        <v>0</v>
      </c>
      <c r="T888" s="1089">
        <f t="shared" si="1648"/>
        <v>0</v>
      </c>
      <c r="U888" s="1089">
        <f t="shared" si="1648"/>
        <v>0</v>
      </c>
      <c r="V888" s="1089">
        <f t="shared" si="1648"/>
        <v>0</v>
      </c>
      <c r="W888" s="1089">
        <f t="shared" si="1648"/>
        <v>0</v>
      </c>
      <c r="X888" s="44">
        <f t="shared" si="1648"/>
        <v>0</v>
      </c>
      <c r="Y888" s="44">
        <f t="shared" si="1648"/>
        <v>0</v>
      </c>
      <c r="Z888" s="1089">
        <f t="shared" si="1648"/>
        <v>0</v>
      </c>
      <c r="AA888" s="1089">
        <f t="shared" si="1648"/>
        <v>0</v>
      </c>
      <c r="AB888" s="1089">
        <f t="shared" si="1648"/>
        <v>0</v>
      </c>
      <c r="AC888" s="1089">
        <f t="shared" si="1648"/>
        <v>0</v>
      </c>
      <c r="AD888" s="1089">
        <f t="shared" si="1648"/>
        <v>0</v>
      </c>
      <c r="AE888" s="44">
        <f t="shared" si="1648"/>
        <v>0</v>
      </c>
      <c r="AF888" s="44">
        <f t="shared" si="1648"/>
        <v>0</v>
      </c>
      <c r="AG888" s="1089">
        <f t="shared" si="1648"/>
        <v>0</v>
      </c>
      <c r="AH888" s="1089">
        <f t="shared" si="1648"/>
        <v>0</v>
      </c>
      <c r="AI888" s="1326">
        <f t="shared" si="1648"/>
        <v>0</v>
      </c>
      <c r="AJ888" s="79"/>
      <c r="AK888" s="86"/>
      <c r="AL888" s="689"/>
      <c r="AM888" s="694">
        <f t="shared" si="1589"/>
        <v>0</v>
      </c>
      <c r="AN888" s="31"/>
      <c r="AO888" s="622"/>
      <c r="AP888" s="23"/>
      <c r="AQ888" s="23"/>
      <c r="AR888" s="23"/>
      <c r="AS888" s="23"/>
      <c r="AT888" s="23"/>
      <c r="AU888" s="23"/>
      <c r="AV888" s="23"/>
    </row>
    <row r="889" spans="1:48" ht="25.15" customHeight="1">
      <c r="A889" s="103"/>
      <c r="B889" s="89"/>
      <c r="C889" s="80"/>
      <c r="D889" s="90" t="s">
        <v>104</v>
      </c>
      <c r="E889" s="1108"/>
      <c r="F889" s="1089"/>
      <c r="G889" s="44"/>
      <c r="H889" s="1089"/>
      <c r="I889" s="1089"/>
      <c r="J889" s="44"/>
      <c r="K889" s="44"/>
      <c r="L889" s="1089"/>
      <c r="M889" s="1089"/>
      <c r="N889" s="1089"/>
      <c r="O889" s="1089"/>
      <c r="P889" s="1089"/>
      <c r="Q889" s="44"/>
      <c r="R889" s="44"/>
      <c r="S889" s="1089"/>
      <c r="T889" s="1089"/>
      <c r="U889" s="1089"/>
      <c r="V889" s="1089"/>
      <c r="W889" s="1089"/>
      <c r="X889" s="44"/>
      <c r="Y889" s="44"/>
      <c r="Z889" s="1089"/>
      <c r="AA889" s="1089"/>
      <c r="AB889" s="1089"/>
      <c r="AC889" s="1089"/>
      <c r="AD889" s="1089"/>
      <c r="AE889" s="44"/>
      <c r="AF889" s="44"/>
      <c r="AG889" s="1089"/>
      <c r="AH889" s="1089"/>
      <c r="AI889" s="1326"/>
      <c r="AJ889" s="79"/>
      <c r="AK889" s="79"/>
      <c r="AL889" s="63"/>
      <c r="AM889" s="1068">
        <f t="shared" si="1589"/>
        <v>0</v>
      </c>
      <c r="AN889" s="64"/>
      <c r="AO889" s="624"/>
      <c r="AP889" s="23"/>
      <c r="AQ889" s="23"/>
      <c r="AR889" s="23"/>
      <c r="AS889" s="23"/>
      <c r="AT889" s="23"/>
      <c r="AU889" s="23"/>
      <c r="AV889" s="23"/>
    </row>
    <row r="890" spans="1:48" ht="25.15" customHeight="1" thickBot="1">
      <c r="A890" s="106"/>
      <c r="B890" s="93"/>
      <c r="C890" s="94"/>
      <c r="D890" s="95" t="s">
        <v>111</v>
      </c>
      <c r="E890" s="1109">
        <f>IF(E889="O/H",E886,0+E886)</f>
        <v>0</v>
      </c>
      <c r="F890" s="1109">
        <f t="shared" ref="F890:G890" si="1649">IF(F889="O/H",F886,0+F886)</f>
        <v>0</v>
      </c>
      <c r="G890" s="1200">
        <f t="shared" si="1649"/>
        <v>0</v>
      </c>
      <c r="H890" s="1110">
        <f t="shared" ref="H890:AI890" si="1650">IF(H889="O/H",H886,+G890+H886)</f>
        <v>0</v>
      </c>
      <c r="I890" s="1110">
        <f t="shared" si="1650"/>
        <v>0</v>
      </c>
      <c r="J890" s="1212">
        <f t="shared" si="1650"/>
        <v>0</v>
      </c>
      <c r="K890" s="1212">
        <f t="shared" si="1650"/>
        <v>0</v>
      </c>
      <c r="L890" s="1110">
        <f t="shared" si="1650"/>
        <v>0</v>
      </c>
      <c r="M890" s="1110">
        <f t="shared" si="1650"/>
        <v>0</v>
      </c>
      <c r="N890" s="1110">
        <f t="shared" si="1650"/>
        <v>0</v>
      </c>
      <c r="O890" s="1110">
        <f t="shared" si="1650"/>
        <v>0</v>
      </c>
      <c r="P890" s="1110">
        <f t="shared" si="1650"/>
        <v>0</v>
      </c>
      <c r="Q890" s="1212">
        <f t="shared" si="1650"/>
        <v>0</v>
      </c>
      <c r="R890" s="1212">
        <f t="shared" si="1650"/>
        <v>0</v>
      </c>
      <c r="S890" s="1110">
        <f t="shared" si="1650"/>
        <v>0</v>
      </c>
      <c r="T890" s="1110">
        <f t="shared" si="1650"/>
        <v>0</v>
      </c>
      <c r="U890" s="1110">
        <f t="shared" si="1650"/>
        <v>0</v>
      </c>
      <c r="V890" s="1110">
        <f t="shared" si="1650"/>
        <v>0</v>
      </c>
      <c r="W890" s="1110">
        <f t="shared" si="1650"/>
        <v>0</v>
      </c>
      <c r="X890" s="1212">
        <f t="shared" si="1650"/>
        <v>0</v>
      </c>
      <c r="Y890" s="1212">
        <f t="shared" si="1650"/>
        <v>0</v>
      </c>
      <c r="Z890" s="1110">
        <f t="shared" si="1650"/>
        <v>0</v>
      </c>
      <c r="AA890" s="1110">
        <f t="shared" si="1650"/>
        <v>0</v>
      </c>
      <c r="AB890" s="1110">
        <f t="shared" si="1650"/>
        <v>0</v>
      </c>
      <c r="AC890" s="1110">
        <f t="shared" si="1650"/>
        <v>0</v>
      </c>
      <c r="AD890" s="1110">
        <f t="shared" si="1650"/>
        <v>0</v>
      </c>
      <c r="AE890" s="1212">
        <f t="shared" si="1650"/>
        <v>0</v>
      </c>
      <c r="AF890" s="1212">
        <f t="shared" si="1650"/>
        <v>0</v>
      </c>
      <c r="AG890" s="1110">
        <f t="shared" si="1650"/>
        <v>0</v>
      </c>
      <c r="AH890" s="1110">
        <f t="shared" si="1650"/>
        <v>0</v>
      </c>
      <c r="AI890" s="1340">
        <f t="shared" si="1650"/>
        <v>0</v>
      </c>
      <c r="AJ890" s="96"/>
      <c r="AK890" s="96"/>
      <c r="AL890" s="97"/>
      <c r="AM890" s="1071">
        <f t="shared" si="1589"/>
        <v>0</v>
      </c>
      <c r="AN890" s="98"/>
      <c r="AO890" s="625"/>
      <c r="AP890" s="23"/>
      <c r="AQ890" s="23"/>
      <c r="AR890" s="23"/>
      <c r="AS890" s="23"/>
      <c r="AT890" s="23"/>
      <c r="AU890" s="23"/>
      <c r="AV890" s="23"/>
    </row>
    <row r="891" spans="1:48" ht="25.15" hidden="1" customHeight="1" thickTop="1">
      <c r="A891" s="99"/>
      <c r="B891" s="26" t="s">
        <v>208</v>
      </c>
      <c r="C891" s="27"/>
      <c r="D891" s="28" t="s">
        <v>82</v>
      </c>
      <c r="E891" s="1111"/>
      <c r="F891" s="1111"/>
      <c r="G891" s="1201"/>
      <c r="H891" s="1111"/>
      <c r="I891" s="1111"/>
      <c r="J891" s="1201"/>
      <c r="K891" s="1201"/>
      <c r="L891" s="1111"/>
      <c r="M891" s="1111"/>
      <c r="N891" s="1111"/>
      <c r="O891" s="1111"/>
      <c r="P891" s="1111"/>
      <c r="Q891" s="1201"/>
      <c r="R891" s="1201"/>
      <c r="S891" s="1111"/>
      <c r="T891" s="1111"/>
      <c r="U891" s="1111"/>
      <c r="V891" s="1111"/>
      <c r="W891" s="1111"/>
      <c r="X891" s="1201"/>
      <c r="Y891" s="1201"/>
      <c r="Z891" s="1111"/>
      <c r="AA891" s="1111"/>
      <c r="AB891" s="1111"/>
      <c r="AC891" s="1111"/>
      <c r="AD891" s="1111"/>
      <c r="AE891" s="1201"/>
      <c r="AF891" s="1201"/>
      <c r="AG891" s="1111"/>
      <c r="AH891" s="1111"/>
      <c r="AI891" s="1111"/>
      <c r="AJ891" s="570">
        <f>SUM(Table75[[#This Row],[June''2026]:[Column27]])</f>
        <v>0</v>
      </c>
      <c r="AK891" s="570">
        <f t="shared" si="1588"/>
        <v>0</v>
      </c>
      <c r="AL891" s="571">
        <f>+AJ891*AN891</f>
        <v>0</v>
      </c>
      <c r="AM891" s="655">
        <f t="shared" si="1589"/>
        <v>0</v>
      </c>
      <c r="AN891" s="102">
        <v>63.727269999999997</v>
      </c>
      <c r="AO891" s="622" t="e">
        <f>Table5[[#This Row],[Total]]*B895/1000</f>
        <v>#VALUE!</v>
      </c>
      <c r="AP891" s="32" t="s">
        <v>193</v>
      </c>
      <c r="AQ891" s="33" t="s">
        <v>84</v>
      </c>
      <c r="AR891" s="33" t="s">
        <v>85</v>
      </c>
      <c r="AS891" s="33" t="s">
        <v>86</v>
      </c>
      <c r="AT891" s="33" t="s">
        <v>87</v>
      </c>
      <c r="AU891" s="33" t="s">
        <v>88</v>
      </c>
      <c r="AV891" s="34" t="s">
        <v>68</v>
      </c>
    </row>
    <row r="892" spans="1:48" ht="25.15" hidden="1" customHeight="1">
      <c r="A892" s="103"/>
      <c r="B892" s="35" t="s">
        <v>209</v>
      </c>
      <c r="C892" s="36"/>
      <c r="D892" s="37" t="s">
        <v>90</v>
      </c>
      <c r="E892" s="1373">
        <f>IF(E891="",0,+ E891/E898)</f>
        <v>0</v>
      </c>
      <c r="F892" s="1096">
        <f t="shared" ref="F892:AI892" si="1651">IF(F891="",0, E892+F891/F898)</f>
        <v>0</v>
      </c>
      <c r="G892" s="1207">
        <f t="shared" si="1651"/>
        <v>0</v>
      </c>
      <c r="H892" s="1096">
        <f t="shared" si="1651"/>
        <v>0</v>
      </c>
      <c r="I892" s="1096">
        <f t="shared" si="1651"/>
        <v>0</v>
      </c>
      <c r="J892" s="1207">
        <f t="shared" si="1651"/>
        <v>0</v>
      </c>
      <c r="K892" s="1207">
        <f t="shared" si="1651"/>
        <v>0</v>
      </c>
      <c r="L892" s="1096">
        <f t="shared" si="1651"/>
        <v>0</v>
      </c>
      <c r="M892" s="1096">
        <f t="shared" si="1651"/>
        <v>0</v>
      </c>
      <c r="N892" s="1096">
        <f t="shared" si="1651"/>
        <v>0</v>
      </c>
      <c r="O892" s="1096">
        <f t="shared" si="1651"/>
        <v>0</v>
      </c>
      <c r="P892" s="1096">
        <f t="shared" si="1651"/>
        <v>0</v>
      </c>
      <c r="Q892" s="1207">
        <f t="shared" si="1651"/>
        <v>0</v>
      </c>
      <c r="R892" s="1207">
        <f t="shared" si="1651"/>
        <v>0</v>
      </c>
      <c r="S892" s="1096">
        <f t="shared" si="1651"/>
        <v>0</v>
      </c>
      <c r="T892" s="1096">
        <f t="shared" si="1651"/>
        <v>0</v>
      </c>
      <c r="U892" s="1096">
        <f t="shared" si="1651"/>
        <v>0</v>
      </c>
      <c r="V892" s="1096">
        <f t="shared" si="1651"/>
        <v>0</v>
      </c>
      <c r="W892" s="1096">
        <f t="shared" si="1651"/>
        <v>0</v>
      </c>
      <c r="X892" s="1207">
        <f t="shared" si="1651"/>
        <v>0</v>
      </c>
      <c r="Y892" s="1207">
        <f t="shared" si="1651"/>
        <v>0</v>
      </c>
      <c r="Z892" s="1096">
        <f t="shared" si="1651"/>
        <v>0</v>
      </c>
      <c r="AA892" s="1096">
        <f t="shared" si="1651"/>
        <v>0</v>
      </c>
      <c r="AB892" s="1096">
        <f t="shared" si="1651"/>
        <v>0</v>
      </c>
      <c r="AC892" s="1096">
        <f t="shared" si="1651"/>
        <v>0</v>
      </c>
      <c r="AD892" s="1096">
        <f t="shared" si="1651"/>
        <v>0</v>
      </c>
      <c r="AE892" s="1207">
        <f t="shared" si="1651"/>
        <v>0</v>
      </c>
      <c r="AF892" s="1207">
        <f t="shared" si="1651"/>
        <v>0</v>
      </c>
      <c r="AG892" s="1096">
        <f t="shared" si="1651"/>
        <v>0</v>
      </c>
      <c r="AH892" s="1096">
        <f t="shared" si="1651"/>
        <v>0</v>
      </c>
      <c r="AI892" s="1324">
        <f t="shared" si="1651"/>
        <v>0</v>
      </c>
      <c r="AJ892" s="38"/>
      <c r="AK892" s="29"/>
      <c r="AL892" s="30"/>
      <c r="AM892" s="694">
        <f t="shared" si="1589"/>
        <v>0</v>
      </c>
      <c r="AN892" s="31"/>
      <c r="AO892" s="630"/>
      <c r="AP892" s="39" t="s">
        <v>91</v>
      </c>
      <c r="AQ892" s="40">
        <f>SUM(E891:I891)</f>
        <v>0</v>
      </c>
      <c r="AR892" s="41">
        <f>SUM(J891:P891)</f>
        <v>0</v>
      </c>
      <c r="AS892" s="41">
        <f>SUM(Q891:W891)</f>
        <v>0</v>
      </c>
      <c r="AT892" s="41">
        <f>SUM(X891:AD891)</f>
        <v>0</v>
      </c>
      <c r="AU892" s="41">
        <f>SUM(AE891:AI891)</f>
        <v>0</v>
      </c>
      <c r="AV892" s="34">
        <f t="shared" ref="AV892:AV897" si="1652">SUM(AQ892:AU892)</f>
        <v>0</v>
      </c>
    </row>
    <row r="893" spans="1:48" ht="25.15" hidden="1" customHeight="1">
      <c r="A893" s="103"/>
      <c r="B893" s="26" t="s">
        <v>92</v>
      </c>
      <c r="C893" s="42"/>
      <c r="D893" s="43" t="s">
        <v>93</v>
      </c>
      <c r="E893" s="1325"/>
      <c r="F893" s="1089"/>
      <c r="G893" s="44"/>
      <c r="H893" s="1089"/>
      <c r="I893" s="1089"/>
      <c r="J893" s="44"/>
      <c r="K893" s="44"/>
      <c r="L893" s="1089"/>
      <c r="M893" s="1089"/>
      <c r="N893" s="1089"/>
      <c r="O893" s="1089"/>
      <c r="P893" s="1089"/>
      <c r="Q893" s="44"/>
      <c r="R893" s="44"/>
      <c r="S893" s="1089"/>
      <c r="T893" s="1089"/>
      <c r="U893" s="1089"/>
      <c r="V893" s="1089"/>
      <c r="W893" s="1089"/>
      <c r="X893" s="44"/>
      <c r="Y893" s="44"/>
      <c r="Z893" s="1089"/>
      <c r="AA893" s="1089"/>
      <c r="AB893" s="1089"/>
      <c r="AC893" s="1089"/>
      <c r="AD893" s="1089"/>
      <c r="AE893" s="44"/>
      <c r="AF893" s="44"/>
      <c r="AG893" s="1089"/>
      <c r="AH893" s="1089"/>
      <c r="AI893" s="1326"/>
      <c r="AJ893" s="45">
        <f>SUM(E893:AI893)</f>
        <v>0</v>
      </c>
      <c r="AK893" s="45"/>
      <c r="AL893" s="46">
        <f>+AJ893*AN891</f>
        <v>0</v>
      </c>
      <c r="AM893" s="1066">
        <f t="shared" si="1589"/>
        <v>0</v>
      </c>
      <c r="AN893" s="31"/>
      <c r="AO893" s="632">
        <f>(AJ893+AJ895+AJ896+AJ897)*B895/1000</f>
        <v>0</v>
      </c>
      <c r="AP893" s="47" t="s">
        <v>94</v>
      </c>
      <c r="AQ893" s="48">
        <f>SUM(E893:I893)</f>
        <v>0</v>
      </c>
      <c r="AR893" s="49">
        <f>SUM(J893:P893)</f>
        <v>0</v>
      </c>
      <c r="AS893" s="49">
        <f>SUM(Q893:W893)</f>
        <v>0</v>
      </c>
      <c r="AT893" s="49">
        <f>SUM(X893:AD893)</f>
        <v>0</v>
      </c>
      <c r="AU893" s="49">
        <f>SUM(AE893:AI893)</f>
        <v>0</v>
      </c>
      <c r="AV893" s="50">
        <f t="shared" si="1652"/>
        <v>0</v>
      </c>
    </row>
    <row r="894" spans="1:48" ht="25.15" hidden="1" customHeight="1">
      <c r="A894" s="103"/>
      <c r="B894" s="51"/>
      <c r="C894" s="52" t="s">
        <v>95</v>
      </c>
      <c r="D894" s="53" t="s">
        <v>96</v>
      </c>
      <c r="E894" s="1327">
        <f t="shared" ref="E894:AJ894" si="1653">+E893-E891</f>
        <v>0</v>
      </c>
      <c r="F894" s="1097">
        <f t="shared" si="1653"/>
        <v>0</v>
      </c>
      <c r="G894" s="1205">
        <f t="shared" si="1653"/>
        <v>0</v>
      </c>
      <c r="H894" s="1097">
        <f t="shared" si="1653"/>
        <v>0</v>
      </c>
      <c r="I894" s="1097">
        <f t="shared" si="1653"/>
        <v>0</v>
      </c>
      <c r="J894" s="1205">
        <f t="shared" si="1653"/>
        <v>0</v>
      </c>
      <c r="K894" s="1205">
        <f t="shared" si="1653"/>
        <v>0</v>
      </c>
      <c r="L894" s="1097">
        <f t="shared" si="1653"/>
        <v>0</v>
      </c>
      <c r="M894" s="1097">
        <f t="shared" si="1653"/>
        <v>0</v>
      </c>
      <c r="N894" s="1097">
        <f t="shared" si="1653"/>
        <v>0</v>
      </c>
      <c r="O894" s="1097">
        <f t="shared" si="1653"/>
        <v>0</v>
      </c>
      <c r="P894" s="1097">
        <f t="shared" si="1653"/>
        <v>0</v>
      </c>
      <c r="Q894" s="1205">
        <f t="shared" si="1653"/>
        <v>0</v>
      </c>
      <c r="R894" s="1205">
        <f t="shared" si="1653"/>
        <v>0</v>
      </c>
      <c r="S894" s="1097">
        <f t="shared" si="1653"/>
        <v>0</v>
      </c>
      <c r="T894" s="1097">
        <f t="shared" si="1653"/>
        <v>0</v>
      </c>
      <c r="U894" s="1097">
        <f t="shared" si="1653"/>
        <v>0</v>
      </c>
      <c r="V894" s="1097">
        <f t="shared" si="1653"/>
        <v>0</v>
      </c>
      <c r="W894" s="1097">
        <f t="shared" si="1653"/>
        <v>0</v>
      </c>
      <c r="X894" s="1205">
        <f t="shared" si="1653"/>
        <v>0</v>
      </c>
      <c r="Y894" s="1205">
        <f t="shared" si="1653"/>
        <v>0</v>
      </c>
      <c r="Z894" s="1097">
        <f t="shared" si="1653"/>
        <v>0</v>
      </c>
      <c r="AA894" s="1097">
        <f t="shared" si="1653"/>
        <v>0</v>
      </c>
      <c r="AB894" s="1097">
        <f t="shared" si="1653"/>
        <v>0</v>
      </c>
      <c r="AC894" s="1097">
        <f t="shared" si="1653"/>
        <v>0</v>
      </c>
      <c r="AD894" s="1097">
        <f t="shared" si="1653"/>
        <v>0</v>
      </c>
      <c r="AE894" s="1205">
        <f t="shared" si="1653"/>
        <v>0</v>
      </c>
      <c r="AF894" s="1205">
        <f t="shared" si="1653"/>
        <v>0</v>
      </c>
      <c r="AG894" s="1097">
        <f t="shared" si="1653"/>
        <v>0</v>
      </c>
      <c r="AH894" s="1097">
        <f t="shared" si="1653"/>
        <v>0</v>
      </c>
      <c r="AI894" s="1328">
        <f t="shared" si="1653"/>
        <v>0</v>
      </c>
      <c r="AJ894" s="54">
        <f t="shared" si="1653"/>
        <v>0</v>
      </c>
      <c r="AK894" s="54"/>
      <c r="AL894" s="55">
        <f>+AJ894*AN891</f>
        <v>0</v>
      </c>
      <c r="AM894" s="1067">
        <f t="shared" si="1589"/>
        <v>0</v>
      </c>
      <c r="AN894" s="31" t="s">
        <v>97</v>
      </c>
      <c r="AO894" s="622"/>
      <c r="AP894" s="39" t="s">
        <v>98</v>
      </c>
      <c r="AQ894" s="56">
        <f>AQ893-AQ892</f>
        <v>0</v>
      </c>
      <c r="AR894" s="70">
        <f>AR893-AR892</f>
        <v>0</v>
      </c>
      <c r="AS894" s="70">
        <f>AS893-AS892</f>
        <v>0</v>
      </c>
      <c r="AT894" s="70">
        <f>AT893-AT892</f>
        <v>0</v>
      </c>
      <c r="AU894" s="70">
        <f>AU893-AU892</f>
        <v>0</v>
      </c>
      <c r="AV894" s="57">
        <f t="shared" si="1652"/>
        <v>0</v>
      </c>
    </row>
    <row r="895" spans="1:48" ht="25.15" hidden="1" customHeight="1">
      <c r="A895" s="58"/>
      <c r="B895" s="59"/>
      <c r="C895" s="60" t="s">
        <v>100</v>
      </c>
      <c r="D895" s="61" t="s">
        <v>101</v>
      </c>
      <c r="E895" s="1329"/>
      <c r="F895" s="1099"/>
      <c r="G895" s="1208"/>
      <c r="H895" s="1099"/>
      <c r="I895" s="1099"/>
      <c r="J895" s="1208"/>
      <c r="K895" s="1208"/>
      <c r="L895" s="1099"/>
      <c r="M895" s="1099"/>
      <c r="N895" s="1099"/>
      <c r="O895" s="1099"/>
      <c r="P895" s="1099"/>
      <c r="Q895" s="1208"/>
      <c r="R895" s="1208"/>
      <c r="S895" s="1099"/>
      <c r="T895" s="1099"/>
      <c r="U895" s="1099"/>
      <c r="V895" s="1099"/>
      <c r="W895" s="1099"/>
      <c r="X895" s="1208"/>
      <c r="Y895" s="1208"/>
      <c r="Z895" s="1099"/>
      <c r="AA895" s="1099"/>
      <c r="AB895" s="1099"/>
      <c r="AC895" s="1099"/>
      <c r="AD895" s="1099"/>
      <c r="AE895" s="1208"/>
      <c r="AF895" s="1208"/>
      <c r="AG895" s="1099"/>
      <c r="AH895" s="1099"/>
      <c r="AI895" s="1330"/>
      <c r="AJ895" s="62">
        <f>SUM(E895:AI895)</f>
        <v>0</v>
      </c>
      <c r="AK895" s="62"/>
      <c r="AL895" s="63">
        <f>+AJ895*AN891</f>
        <v>0</v>
      </c>
      <c r="AM895" s="1068">
        <f t="shared" si="1589"/>
        <v>0</v>
      </c>
      <c r="AN895" s="64" t="e">
        <f>+AJ895/AJ893*100</f>
        <v>#DIV/0!</v>
      </c>
      <c r="AO895" s="635" t="e">
        <f>AO893/AO891</f>
        <v>#VALUE!</v>
      </c>
      <c r="AP895" s="39" t="s">
        <v>102</v>
      </c>
      <c r="AQ895" s="56">
        <f>SUM(E895:I895)</f>
        <v>0</v>
      </c>
      <c r="AR895" s="70">
        <f>SUM(J895:P895)</f>
        <v>0</v>
      </c>
      <c r="AS895" s="70">
        <f>SUM(Q895:W895)</f>
        <v>0</v>
      </c>
      <c r="AT895" s="70">
        <f>SUM(X895:AD895)</f>
        <v>0</v>
      </c>
      <c r="AU895" s="70">
        <f>SUM(AE895:AI895)</f>
        <v>0</v>
      </c>
      <c r="AV895" s="57">
        <f t="shared" si="1652"/>
        <v>0</v>
      </c>
    </row>
    <row r="896" spans="1:48" ht="25.15" hidden="1" customHeight="1">
      <c r="A896" s="58" t="s">
        <v>202</v>
      </c>
      <c r="B896" s="65"/>
      <c r="C896" s="66"/>
      <c r="D896" s="67" t="s">
        <v>103</v>
      </c>
      <c r="E896" s="1331"/>
      <c r="F896" s="1101"/>
      <c r="G896" s="1209"/>
      <c r="H896" s="1101"/>
      <c r="I896" s="1101"/>
      <c r="J896" s="1209"/>
      <c r="K896" s="1209"/>
      <c r="L896" s="1101"/>
      <c r="M896" s="1101"/>
      <c r="N896" s="1101"/>
      <c r="O896" s="1101"/>
      <c r="P896" s="1101"/>
      <c r="Q896" s="1209"/>
      <c r="R896" s="1209"/>
      <c r="S896" s="1101"/>
      <c r="T896" s="1101"/>
      <c r="U896" s="1101"/>
      <c r="V896" s="1101"/>
      <c r="W896" s="1101"/>
      <c r="X896" s="1209"/>
      <c r="Y896" s="1209"/>
      <c r="Z896" s="1101"/>
      <c r="AA896" s="1101"/>
      <c r="AB896" s="1101"/>
      <c r="AC896" s="1101"/>
      <c r="AD896" s="1101"/>
      <c r="AE896" s="1209"/>
      <c r="AF896" s="1209"/>
      <c r="AG896" s="1101"/>
      <c r="AH896" s="1101"/>
      <c r="AI896" s="1332"/>
      <c r="AJ896" s="68">
        <f>SUM(E896:AI896)</f>
        <v>0</v>
      </c>
      <c r="AK896" s="68"/>
      <c r="AL896" s="69">
        <f>+AJ896*AN891</f>
        <v>0</v>
      </c>
      <c r="AM896" s="1069">
        <f t="shared" si="1589"/>
        <v>0</v>
      </c>
      <c r="AN896" s="31"/>
      <c r="AO896" s="622"/>
      <c r="AP896" s="39" t="s">
        <v>19</v>
      </c>
      <c r="AQ896" s="56">
        <f>AQ895*AN891</f>
        <v>0</v>
      </c>
      <c r="AR896" s="56">
        <f>AR895*AN891</f>
        <v>0</v>
      </c>
      <c r="AS896" s="56">
        <f>AS895*AN891</f>
        <v>0</v>
      </c>
      <c r="AT896" s="56">
        <f>AT895*AN891</f>
        <v>0</v>
      </c>
      <c r="AU896" s="56">
        <f>AU895*AN891</f>
        <v>0</v>
      </c>
      <c r="AV896" s="57">
        <f t="shared" si="1652"/>
        <v>0</v>
      </c>
    </row>
    <row r="897" spans="1:48" ht="25.15" hidden="1" customHeight="1">
      <c r="A897" s="103"/>
      <c r="B897" s="65"/>
      <c r="C897" s="72" t="s">
        <v>104</v>
      </c>
      <c r="D897" s="73" t="s">
        <v>105</v>
      </c>
      <c r="E897" s="1378"/>
      <c r="F897" s="1103"/>
      <c r="G897" s="1210"/>
      <c r="H897" s="1103"/>
      <c r="I897" s="1103"/>
      <c r="J897" s="1210"/>
      <c r="K897" s="1210"/>
      <c r="L897" s="1103"/>
      <c r="M897" s="1103"/>
      <c r="N897" s="1103"/>
      <c r="O897" s="1103"/>
      <c r="P897" s="1103"/>
      <c r="Q897" s="1210"/>
      <c r="R897" s="1210"/>
      <c r="S897" s="1103"/>
      <c r="T897" s="1103"/>
      <c r="U897" s="1103"/>
      <c r="V897" s="1103"/>
      <c r="W897" s="1103"/>
      <c r="X897" s="1210"/>
      <c r="Y897" s="1210"/>
      <c r="Z897" s="1103"/>
      <c r="AA897" s="1103"/>
      <c r="AB897" s="1103"/>
      <c r="AC897" s="1103"/>
      <c r="AD897" s="1103"/>
      <c r="AE897" s="1210"/>
      <c r="AF897" s="1210"/>
      <c r="AG897" s="1103"/>
      <c r="AH897" s="1103"/>
      <c r="AI897" s="1352"/>
      <c r="AJ897" s="74">
        <f>SUM(E897:AI897)</f>
        <v>0</v>
      </c>
      <c r="AK897" s="74"/>
      <c r="AL897" s="75">
        <f>+AJ897*AN891</f>
        <v>0</v>
      </c>
      <c r="AM897" s="1070">
        <f t="shared" si="1589"/>
        <v>0</v>
      </c>
      <c r="AN897" s="76"/>
      <c r="AO897" s="636"/>
      <c r="AP897" s="47" t="s">
        <v>106</v>
      </c>
      <c r="AQ897" s="48">
        <f>AQ893*AN891</f>
        <v>0</v>
      </c>
      <c r="AR897" s="48">
        <f>AR893*AN891</f>
        <v>0</v>
      </c>
      <c r="AS897" s="48">
        <f>AS893*AN891</f>
        <v>0</v>
      </c>
      <c r="AT897" s="48">
        <f>AT893*AN891</f>
        <v>0</v>
      </c>
      <c r="AU897" s="48">
        <f>AU893*AN891</f>
        <v>0</v>
      </c>
      <c r="AV897" s="50">
        <f t="shared" si="1652"/>
        <v>0</v>
      </c>
    </row>
    <row r="898" spans="1:48" ht="25.15" hidden="1" customHeight="1">
      <c r="A898" s="103"/>
      <c r="B898" s="65"/>
      <c r="C898" s="77">
        <v>300000</v>
      </c>
      <c r="D898" s="78" t="s">
        <v>107</v>
      </c>
      <c r="E898" s="1327">
        <v>1</v>
      </c>
      <c r="F898" s="1097">
        <v>1</v>
      </c>
      <c r="G898" s="1205">
        <v>1</v>
      </c>
      <c r="H898" s="1097">
        <v>1</v>
      </c>
      <c r="I898" s="1097">
        <v>1</v>
      </c>
      <c r="J898" s="1205">
        <v>1</v>
      </c>
      <c r="K898" s="1205">
        <v>1</v>
      </c>
      <c r="L898" s="1097">
        <v>1</v>
      </c>
      <c r="M898" s="1097">
        <v>1</v>
      </c>
      <c r="N898" s="1097">
        <v>1</v>
      </c>
      <c r="O898" s="1097">
        <v>1</v>
      </c>
      <c r="P898" s="1097">
        <v>1</v>
      </c>
      <c r="Q898" s="1205">
        <v>1</v>
      </c>
      <c r="R898" s="1205">
        <v>1</v>
      </c>
      <c r="S898" s="1097">
        <v>1</v>
      </c>
      <c r="T898" s="1097">
        <v>1</v>
      </c>
      <c r="U898" s="1097">
        <v>1</v>
      </c>
      <c r="V898" s="1097">
        <v>1</v>
      </c>
      <c r="W898" s="1097">
        <v>1</v>
      </c>
      <c r="X898" s="1205">
        <v>1</v>
      </c>
      <c r="Y898" s="1205">
        <v>1</v>
      </c>
      <c r="Z898" s="1097">
        <v>1</v>
      </c>
      <c r="AA898" s="1097">
        <v>1</v>
      </c>
      <c r="AB898" s="1097">
        <v>1</v>
      </c>
      <c r="AC898" s="1097">
        <v>1</v>
      </c>
      <c r="AD898" s="1097">
        <v>1</v>
      </c>
      <c r="AE898" s="1205">
        <v>1</v>
      </c>
      <c r="AF898" s="1205">
        <v>1</v>
      </c>
      <c r="AG898" s="1097">
        <v>1</v>
      </c>
      <c r="AH898" s="1097">
        <v>1</v>
      </c>
      <c r="AI898" s="1328">
        <v>1</v>
      </c>
      <c r="AJ898" s="79"/>
      <c r="AK898" s="79"/>
      <c r="AL898" s="55"/>
      <c r="AM898" s="1067">
        <f t="shared" si="1589"/>
        <v>0</v>
      </c>
      <c r="AN898" s="31"/>
      <c r="AO898" s="622"/>
      <c r="AP898" s="23"/>
      <c r="AQ898" s="23"/>
      <c r="AR898" s="23"/>
      <c r="AS898" s="23"/>
      <c r="AT898" s="23"/>
      <c r="AU898" s="23"/>
      <c r="AV898" s="23"/>
    </row>
    <row r="899" spans="1:48" ht="25.15" hidden="1" customHeight="1">
      <c r="A899" s="103"/>
      <c r="B899" s="65"/>
      <c r="C899" s="80" t="s">
        <v>108</v>
      </c>
      <c r="D899" s="81" t="s">
        <v>109</v>
      </c>
      <c r="E899" s="1374">
        <f>SUM(E893+E895+E896+E897)/E898</f>
        <v>0</v>
      </c>
      <c r="F899" s="1104">
        <f>SUM(F893+F895+F896+F897)/F898</f>
        <v>0</v>
      </c>
      <c r="G899" s="1211">
        <f>SUM(G893+G895+G896+G897)/G898</f>
        <v>0</v>
      </c>
      <c r="H899" s="1104">
        <f t="shared" ref="H899:AH899" si="1654">SUM(H893+H895+H896+H897)/H898</f>
        <v>0</v>
      </c>
      <c r="I899" s="1104">
        <f t="shared" si="1654"/>
        <v>0</v>
      </c>
      <c r="J899" s="1211">
        <f t="shared" si="1654"/>
        <v>0</v>
      </c>
      <c r="K899" s="1211">
        <f t="shared" si="1654"/>
        <v>0</v>
      </c>
      <c r="L899" s="1104">
        <f t="shared" si="1654"/>
        <v>0</v>
      </c>
      <c r="M899" s="1104">
        <f t="shared" si="1654"/>
        <v>0</v>
      </c>
      <c r="N899" s="1104">
        <f t="shared" si="1654"/>
        <v>0</v>
      </c>
      <c r="O899" s="1104">
        <f t="shared" si="1654"/>
        <v>0</v>
      </c>
      <c r="P899" s="1104">
        <f t="shared" si="1654"/>
        <v>0</v>
      </c>
      <c r="Q899" s="1211">
        <f t="shared" si="1654"/>
        <v>0</v>
      </c>
      <c r="R899" s="1211">
        <f t="shared" si="1654"/>
        <v>0</v>
      </c>
      <c r="S899" s="1104">
        <f t="shared" si="1654"/>
        <v>0</v>
      </c>
      <c r="T899" s="1104">
        <f t="shared" si="1654"/>
        <v>0</v>
      </c>
      <c r="U899" s="1104">
        <f t="shared" si="1654"/>
        <v>0</v>
      </c>
      <c r="V899" s="1104">
        <f t="shared" si="1654"/>
        <v>0</v>
      </c>
      <c r="W899" s="1104">
        <f t="shared" si="1654"/>
        <v>0</v>
      </c>
      <c r="X899" s="1211">
        <f t="shared" si="1654"/>
        <v>0</v>
      </c>
      <c r="Y899" s="1211">
        <f t="shared" si="1654"/>
        <v>0</v>
      </c>
      <c r="Z899" s="1104">
        <f t="shared" si="1654"/>
        <v>0</v>
      </c>
      <c r="AA899" s="1104">
        <f t="shared" si="1654"/>
        <v>0</v>
      </c>
      <c r="AB899" s="1104">
        <f t="shared" si="1654"/>
        <v>0</v>
      </c>
      <c r="AC899" s="1104">
        <f t="shared" si="1654"/>
        <v>0</v>
      </c>
      <c r="AD899" s="1104">
        <f t="shared" si="1654"/>
        <v>0</v>
      </c>
      <c r="AE899" s="1211">
        <f t="shared" si="1654"/>
        <v>0</v>
      </c>
      <c r="AF899" s="1211">
        <f t="shared" si="1654"/>
        <v>0</v>
      </c>
      <c r="AG899" s="1104">
        <f t="shared" si="1654"/>
        <v>0</v>
      </c>
      <c r="AH899" s="1104">
        <f t="shared" si="1654"/>
        <v>0</v>
      </c>
      <c r="AI899" s="1335">
        <f>SUM(AI893+AI895+AI896)/AI898</f>
        <v>0</v>
      </c>
      <c r="AJ899" s="104">
        <f>SUM(E899:AI899)</f>
        <v>0</v>
      </c>
      <c r="AK899" s="104"/>
      <c r="AL899" s="83"/>
      <c r="AM899" s="1068">
        <f t="shared" si="1589"/>
        <v>0</v>
      </c>
      <c r="AN899" s="31"/>
      <c r="AO899" s="622"/>
      <c r="AP899" s="23"/>
      <c r="AQ899" s="23"/>
      <c r="AR899" s="23"/>
      <c r="AS899" s="23"/>
      <c r="AT899" s="23"/>
      <c r="AU899" s="23"/>
      <c r="AV899" s="23"/>
    </row>
    <row r="900" spans="1:48" ht="25.15" hidden="1" customHeight="1">
      <c r="A900" s="103"/>
      <c r="B900" s="59"/>
      <c r="C900" s="84">
        <f>+C898*0.8</f>
        <v>240000</v>
      </c>
      <c r="D900" s="85" t="s">
        <v>110</v>
      </c>
      <c r="E900" s="1105"/>
      <c r="F900" s="1106"/>
      <c r="G900" s="1211"/>
      <c r="H900" s="1104"/>
      <c r="I900" s="1104"/>
      <c r="J900" s="1211"/>
      <c r="K900" s="1211"/>
      <c r="L900" s="1104"/>
      <c r="M900" s="1104"/>
      <c r="N900" s="1104"/>
      <c r="O900" s="1107"/>
      <c r="P900" s="1104"/>
      <c r="Q900" s="1211"/>
      <c r="R900" s="1211"/>
      <c r="S900" s="1104"/>
      <c r="T900" s="1104"/>
      <c r="U900" s="1104"/>
      <c r="V900" s="1104"/>
      <c r="W900" s="1104"/>
      <c r="X900" s="1211"/>
      <c r="Y900" s="1211"/>
      <c r="Z900" s="1104"/>
      <c r="AA900" s="1104"/>
      <c r="AB900" s="1104"/>
      <c r="AC900" s="1104"/>
      <c r="AD900" s="1104"/>
      <c r="AE900" s="1211"/>
      <c r="AF900" s="1211"/>
      <c r="AG900" s="1104"/>
      <c r="AH900" s="1104"/>
      <c r="AI900" s="1353"/>
      <c r="AJ900" s="86"/>
      <c r="AK900" s="86"/>
      <c r="AL900" s="690"/>
      <c r="AM900" s="694">
        <f t="shared" si="1589"/>
        <v>0</v>
      </c>
      <c r="AN900" s="31"/>
      <c r="AO900" s="622"/>
      <c r="AP900" s="23"/>
      <c r="AQ900" s="23"/>
      <c r="AR900" s="23"/>
      <c r="AS900" s="23"/>
      <c r="AT900" s="23"/>
      <c r="AU900" s="23"/>
      <c r="AV900" s="23"/>
    </row>
    <row r="901" spans="1:48" ht="25.15" hidden="1" customHeight="1">
      <c r="A901" s="103"/>
      <c r="B901" s="105"/>
      <c r="C901" s="77"/>
      <c r="D901" s="88" t="s">
        <v>111</v>
      </c>
      <c r="E901" s="1108">
        <f>IF(E900="O/H",E899,0+E899)</f>
        <v>0</v>
      </c>
      <c r="F901" s="1089">
        <f t="shared" ref="F901:AI901" si="1655">IF(F900="O/H",F899,+E901+F899)</f>
        <v>0</v>
      </c>
      <c r="G901" s="44">
        <f t="shared" si="1655"/>
        <v>0</v>
      </c>
      <c r="H901" s="1089">
        <f t="shared" si="1655"/>
        <v>0</v>
      </c>
      <c r="I901" s="1089">
        <f t="shared" si="1655"/>
        <v>0</v>
      </c>
      <c r="J901" s="44">
        <f t="shared" si="1655"/>
        <v>0</v>
      </c>
      <c r="K901" s="44">
        <f t="shared" si="1655"/>
        <v>0</v>
      </c>
      <c r="L901" s="1089">
        <f t="shared" si="1655"/>
        <v>0</v>
      </c>
      <c r="M901" s="1089">
        <f t="shared" si="1655"/>
        <v>0</v>
      </c>
      <c r="N901" s="1089">
        <f t="shared" si="1655"/>
        <v>0</v>
      </c>
      <c r="O901" s="1089">
        <f t="shared" si="1655"/>
        <v>0</v>
      </c>
      <c r="P901" s="1089">
        <f t="shared" si="1655"/>
        <v>0</v>
      </c>
      <c r="Q901" s="44">
        <f t="shared" si="1655"/>
        <v>0</v>
      </c>
      <c r="R901" s="44">
        <f t="shared" si="1655"/>
        <v>0</v>
      </c>
      <c r="S901" s="1089">
        <f t="shared" si="1655"/>
        <v>0</v>
      </c>
      <c r="T901" s="1089">
        <f t="shared" si="1655"/>
        <v>0</v>
      </c>
      <c r="U901" s="1089">
        <f t="shared" si="1655"/>
        <v>0</v>
      </c>
      <c r="V901" s="1089">
        <f t="shared" si="1655"/>
        <v>0</v>
      </c>
      <c r="W901" s="1089">
        <f t="shared" si="1655"/>
        <v>0</v>
      </c>
      <c r="X901" s="44">
        <f t="shared" si="1655"/>
        <v>0</v>
      </c>
      <c r="Y901" s="44">
        <f t="shared" si="1655"/>
        <v>0</v>
      </c>
      <c r="Z901" s="1089">
        <f t="shared" si="1655"/>
        <v>0</v>
      </c>
      <c r="AA901" s="1089">
        <f t="shared" si="1655"/>
        <v>0</v>
      </c>
      <c r="AB901" s="1089">
        <f t="shared" si="1655"/>
        <v>0</v>
      </c>
      <c r="AC901" s="1089">
        <f t="shared" si="1655"/>
        <v>0</v>
      </c>
      <c r="AD901" s="1089">
        <f t="shared" si="1655"/>
        <v>0</v>
      </c>
      <c r="AE901" s="44">
        <f t="shared" si="1655"/>
        <v>0</v>
      </c>
      <c r="AF901" s="44">
        <f t="shared" si="1655"/>
        <v>0</v>
      </c>
      <c r="AG901" s="1089">
        <f t="shared" si="1655"/>
        <v>0</v>
      </c>
      <c r="AH901" s="1089">
        <f t="shared" si="1655"/>
        <v>0</v>
      </c>
      <c r="AI901" s="1326">
        <f t="shared" si="1655"/>
        <v>0</v>
      </c>
      <c r="AJ901" s="79"/>
      <c r="AK901" s="86"/>
      <c r="AL901" s="689"/>
      <c r="AM901" s="694">
        <f t="shared" si="1589"/>
        <v>0</v>
      </c>
      <c r="AN901" s="31"/>
      <c r="AO901" s="622"/>
      <c r="AP901" s="23"/>
      <c r="AQ901" s="23"/>
      <c r="AR901" s="23"/>
      <c r="AS901" s="23"/>
      <c r="AT901" s="23"/>
      <c r="AU901" s="23"/>
      <c r="AV901" s="23"/>
    </row>
    <row r="902" spans="1:48" s="23" customFormat="1" ht="20.65" hidden="1" customHeight="1">
      <c r="A902" s="274"/>
      <c r="B902" s="312"/>
      <c r="C902" s="308"/>
      <c r="D902" s="795" t="s">
        <v>112</v>
      </c>
      <c r="E902" s="1108" t="b">
        <f>IF(AND(ISNUMBER(E893)),193662+E899)</f>
        <v>0</v>
      </c>
      <c r="F902" s="1089" t="str">
        <f>IF(AND(ISNUMBER(F893)),E902+F899,"")</f>
        <v/>
      </c>
      <c r="G902" s="44" t="str">
        <f t="shared" ref="G902" si="1656">IF(AND(ISNUMBER(G893)),F902+G899,"")</f>
        <v/>
      </c>
      <c r="H902" s="1089" t="str">
        <f t="shared" ref="H902" si="1657">IF(AND(ISNUMBER(H893)),G902+H899,"")</f>
        <v/>
      </c>
      <c r="I902" s="1089" t="str">
        <f>IF(AND(ISNUMBER(I893)),H902+I899,"")</f>
        <v/>
      </c>
      <c r="J902" s="44" t="str">
        <f>IF(AND(ISNUMBER(J893)),I902+J899,"")</f>
        <v/>
      </c>
      <c r="K902" s="44" t="str">
        <f>IF(AND(ISNUMBER(K893)),J902+K899,"")</f>
        <v/>
      </c>
      <c r="L902" s="1089" t="str">
        <f t="shared" ref="L902" si="1658">IF(AND(ISNUMBER(L893)),K902+L899,"")</f>
        <v/>
      </c>
      <c r="M902" s="1089" t="str">
        <f t="shared" ref="M902" si="1659">IF(AND(ISNUMBER(M893)),L902+M899,"")</f>
        <v/>
      </c>
      <c r="N902" s="1089" t="str">
        <f t="shared" ref="N902" si="1660">IF(AND(ISNUMBER(N893)),M902+N899,"")</f>
        <v/>
      </c>
      <c r="O902" s="1089" t="str">
        <f t="shared" ref="O902" si="1661">IF(AND(ISNUMBER(O893)),N902+O899,"")</f>
        <v/>
      </c>
      <c r="P902" s="1089" t="str">
        <f t="shared" ref="P902" si="1662">IF(AND(ISNUMBER(P893)),O902+P899,"")</f>
        <v/>
      </c>
      <c r="Q902" s="44" t="str">
        <f t="shared" ref="Q902" si="1663">IF(AND(ISNUMBER(Q893)),P902+Q899,"")</f>
        <v/>
      </c>
      <c r="R902" s="44" t="str">
        <f t="shared" ref="R902" si="1664">IF(AND(ISNUMBER(R893)),Q902+R899,"")</f>
        <v/>
      </c>
      <c r="S902" s="1089" t="str">
        <f t="shared" ref="S902" si="1665">IF(AND(ISNUMBER(S893)),R902+S899,"")</f>
        <v/>
      </c>
      <c r="T902" s="1089" t="str">
        <f t="shared" ref="T902" si="1666">IF(AND(ISNUMBER(T893)),S902+T899,"")</f>
        <v/>
      </c>
      <c r="U902" s="1089" t="str">
        <f t="shared" ref="U902" si="1667">IF(AND(ISNUMBER(U893)),T902+U899,"")</f>
        <v/>
      </c>
      <c r="V902" s="1089" t="str">
        <f t="shared" ref="V902" si="1668">IF(AND(ISNUMBER(V893)),U902+V899,"")</f>
        <v/>
      </c>
      <c r="W902" s="1089" t="str">
        <f t="shared" ref="W902" si="1669">IF(AND(ISNUMBER(W893)),V902+W899,"")</f>
        <v/>
      </c>
      <c r="X902" s="44" t="str">
        <f t="shared" ref="X902" si="1670">IF(AND(ISNUMBER(X893)),W902+X899,"")</f>
        <v/>
      </c>
      <c r="Y902" s="44" t="str">
        <f t="shared" ref="Y902" si="1671">IF(AND(ISNUMBER(Y893)),X902+Y899,"")</f>
        <v/>
      </c>
      <c r="Z902" s="1089" t="str">
        <f t="shared" ref="Z902" si="1672">IF(AND(ISNUMBER(Z893)),Y902+Z899,"")</f>
        <v/>
      </c>
      <c r="AA902" s="1089" t="str">
        <f t="shared" ref="AA902" si="1673">IF(AND(ISNUMBER(AA893)),Z902+AA899,"")</f>
        <v/>
      </c>
      <c r="AB902" s="1089" t="str">
        <f t="shared" ref="AB902" si="1674">IF(AND(ISNUMBER(AB893)),AA902+AB899,"")</f>
        <v/>
      </c>
      <c r="AC902" s="1089" t="str">
        <f t="shared" ref="AC902" si="1675">IF(AND(ISNUMBER(AC893)),AB902+AC899,"")</f>
        <v/>
      </c>
      <c r="AD902" s="1089" t="str">
        <f t="shared" ref="AD902" si="1676">IF(AND(ISNUMBER(AD893)),AC902+AD899,"")</f>
        <v/>
      </c>
      <c r="AE902" s="44" t="str">
        <f t="shared" ref="AE902" si="1677">IF(AND(ISNUMBER(AE893)),AD902+AE899,"")</f>
        <v/>
      </c>
      <c r="AF902" s="44" t="str">
        <f t="shared" ref="AF902" si="1678">IF(AND(ISNUMBER(AF893)),AE902+AF899,"")</f>
        <v/>
      </c>
      <c r="AG902" s="1089" t="str">
        <f t="shared" ref="AG902" si="1679">IF(AND(ISNUMBER(AG893)),AF902+AG899,"")</f>
        <v/>
      </c>
      <c r="AH902" s="1089" t="str">
        <f t="shared" ref="AH902" si="1680">IF(AND(ISNUMBER(AH893)),AG902+AH899,"")</f>
        <v/>
      </c>
      <c r="AI902" s="1089" t="str">
        <f t="shared" ref="AI902" si="1681">IF(AND(ISNUMBER(AI893)),AH902+AI899,"")</f>
        <v/>
      </c>
      <c r="AJ902" s="793"/>
      <c r="AK902" s="793"/>
      <c r="AL902" s="909"/>
      <c r="AM902" s="890">
        <f t="shared" si="1589"/>
        <v>0</v>
      </c>
      <c r="AN902" s="76"/>
      <c r="AO902" s="624"/>
      <c r="AP902" s="285"/>
      <c r="AQ902" s="285"/>
      <c r="AR902" s="285"/>
      <c r="AS902" s="285"/>
      <c r="AT902" s="286"/>
      <c r="AU902" s="285"/>
      <c r="AV902" s="287"/>
    </row>
    <row r="903" spans="1:48" ht="25.15" hidden="1" customHeight="1">
      <c r="A903" s="103"/>
      <c r="B903" s="89"/>
      <c r="C903" s="80"/>
      <c r="D903" s="90" t="s">
        <v>104</v>
      </c>
      <c r="E903" s="1108"/>
      <c r="F903" s="1089"/>
      <c r="G903" s="44"/>
      <c r="H903" s="1089"/>
      <c r="I903" s="1089"/>
      <c r="J903" s="44"/>
      <c r="K903" s="44"/>
      <c r="L903" s="1089"/>
      <c r="M903" s="1089"/>
      <c r="N903" s="1089"/>
      <c r="O903" s="1089"/>
      <c r="P903" s="1089"/>
      <c r="Q903" s="44"/>
      <c r="R903" s="44"/>
      <c r="S903" s="1089"/>
      <c r="T903" s="1089"/>
      <c r="U903" s="1089"/>
      <c r="V903" s="1089"/>
      <c r="W903" s="1089"/>
      <c r="X903" s="44"/>
      <c r="Y903" s="44"/>
      <c r="Z903" s="1089"/>
      <c r="AA903" s="1089"/>
      <c r="AB903" s="1089"/>
      <c r="AC903" s="1089"/>
      <c r="AD903" s="1089"/>
      <c r="AE903" s="44"/>
      <c r="AF903" s="44"/>
      <c r="AG903" s="1089"/>
      <c r="AH903" s="1089"/>
      <c r="AI903" s="1326"/>
      <c r="AJ903" s="79"/>
      <c r="AK903" s="79"/>
      <c r="AL903" s="63"/>
      <c r="AM903" s="1068">
        <f t="shared" ref="AM903:AM966" si="1682">AL905</f>
        <v>0</v>
      </c>
      <c r="AN903" s="64"/>
      <c r="AO903" s="624"/>
      <c r="AP903" s="23"/>
      <c r="AQ903" s="23"/>
      <c r="AR903" s="23"/>
      <c r="AS903" s="23"/>
      <c r="AT903" s="23"/>
      <c r="AU903" s="23"/>
      <c r="AV903" s="23"/>
    </row>
    <row r="904" spans="1:48" ht="25.15" hidden="1" customHeight="1" thickBot="1">
      <c r="A904" s="106"/>
      <c r="B904" s="93"/>
      <c r="C904" s="94"/>
      <c r="D904" s="95" t="s">
        <v>111</v>
      </c>
      <c r="E904" s="1109">
        <f>IF(E903="O/H",E899,0+E899)</f>
        <v>0</v>
      </c>
      <c r="F904" s="1110">
        <f t="shared" ref="F904:AI904" si="1683">IF(F903="O/H",F899,+E904+F899)</f>
        <v>0</v>
      </c>
      <c r="G904" s="1212">
        <f t="shared" si="1683"/>
        <v>0</v>
      </c>
      <c r="H904" s="1110">
        <f t="shared" si="1683"/>
        <v>0</v>
      </c>
      <c r="I904" s="1110">
        <f t="shared" si="1683"/>
        <v>0</v>
      </c>
      <c r="J904" s="1212">
        <f t="shared" si="1683"/>
        <v>0</v>
      </c>
      <c r="K904" s="1212">
        <f t="shared" si="1683"/>
        <v>0</v>
      </c>
      <c r="L904" s="1110">
        <f t="shared" si="1683"/>
        <v>0</v>
      </c>
      <c r="M904" s="1110">
        <f t="shared" si="1683"/>
        <v>0</v>
      </c>
      <c r="N904" s="1110">
        <f t="shared" si="1683"/>
        <v>0</v>
      </c>
      <c r="O904" s="1110">
        <f t="shared" si="1683"/>
        <v>0</v>
      </c>
      <c r="P904" s="1110">
        <f t="shared" si="1683"/>
        <v>0</v>
      </c>
      <c r="Q904" s="1212">
        <f t="shared" si="1683"/>
        <v>0</v>
      </c>
      <c r="R904" s="1212">
        <f t="shared" si="1683"/>
        <v>0</v>
      </c>
      <c r="S904" s="1110">
        <f t="shared" si="1683"/>
        <v>0</v>
      </c>
      <c r="T904" s="1110">
        <f t="shared" si="1683"/>
        <v>0</v>
      </c>
      <c r="U904" s="1110">
        <f t="shared" si="1683"/>
        <v>0</v>
      </c>
      <c r="V904" s="1110">
        <f t="shared" si="1683"/>
        <v>0</v>
      </c>
      <c r="W904" s="1110">
        <f t="shared" si="1683"/>
        <v>0</v>
      </c>
      <c r="X904" s="1212">
        <f t="shared" si="1683"/>
        <v>0</v>
      </c>
      <c r="Y904" s="1212">
        <f t="shared" si="1683"/>
        <v>0</v>
      </c>
      <c r="Z904" s="1110">
        <f t="shared" si="1683"/>
        <v>0</v>
      </c>
      <c r="AA904" s="1110">
        <f t="shared" si="1683"/>
        <v>0</v>
      </c>
      <c r="AB904" s="1110">
        <f t="shared" si="1683"/>
        <v>0</v>
      </c>
      <c r="AC904" s="1110">
        <f t="shared" si="1683"/>
        <v>0</v>
      </c>
      <c r="AD904" s="1110">
        <f t="shared" si="1683"/>
        <v>0</v>
      </c>
      <c r="AE904" s="1212">
        <f t="shared" si="1683"/>
        <v>0</v>
      </c>
      <c r="AF904" s="1212">
        <f t="shared" si="1683"/>
        <v>0</v>
      </c>
      <c r="AG904" s="1110">
        <f t="shared" si="1683"/>
        <v>0</v>
      </c>
      <c r="AH904" s="1110">
        <f t="shared" si="1683"/>
        <v>0</v>
      </c>
      <c r="AI904" s="1340">
        <f t="shared" si="1683"/>
        <v>0</v>
      </c>
      <c r="AJ904" s="96"/>
      <c r="AK904" s="96"/>
      <c r="AL904" s="97"/>
      <c r="AM904" s="1071">
        <f t="shared" si="1682"/>
        <v>0</v>
      </c>
      <c r="AN904" s="98"/>
      <c r="AO904" s="625"/>
      <c r="AP904" s="23"/>
      <c r="AQ904" s="23"/>
      <c r="AR904" s="23"/>
      <c r="AS904" s="23"/>
      <c r="AT904" s="23"/>
      <c r="AU904" s="23"/>
      <c r="AV904" s="23"/>
    </row>
    <row r="905" spans="1:48" ht="25.15" hidden="1" customHeight="1" thickTop="1">
      <c r="A905" s="99"/>
      <c r="B905" s="26" t="s">
        <v>210</v>
      </c>
      <c r="C905" s="27"/>
      <c r="D905" s="28" t="s">
        <v>82</v>
      </c>
      <c r="E905" s="1111"/>
      <c r="F905" s="1111"/>
      <c r="G905" s="1201"/>
      <c r="H905" s="1111"/>
      <c r="I905" s="1111"/>
      <c r="J905" s="1201"/>
      <c r="K905" s="1201"/>
      <c r="L905" s="1111"/>
      <c r="M905" s="1111"/>
      <c r="N905" s="1111"/>
      <c r="O905" s="1111"/>
      <c r="P905" s="1111"/>
      <c r="Q905" s="1201"/>
      <c r="R905" s="1201"/>
      <c r="S905" s="1111"/>
      <c r="T905" s="1111"/>
      <c r="U905" s="1111"/>
      <c r="V905" s="1111"/>
      <c r="W905" s="1111"/>
      <c r="X905" s="1201"/>
      <c r="Y905" s="1201"/>
      <c r="Z905" s="1111"/>
      <c r="AA905" s="1111"/>
      <c r="AB905" s="1111"/>
      <c r="AC905" s="1111"/>
      <c r="AD905" s="1111"/>
      <c r="AE905" s="1201"/>
      <c r="AF905" s="1201"/>
      <c r="AG905" s="1111"/>
      <c r="AH905" s="1111"/>
      <c r="AI905" s="1111"/>
      <c r="AJ905" s="100">
        <f>SUM(Table75[[#This Row],[June''2026]:[Column27]])</f>
        <v>0</v>
      </c>
      <c r="AK905" s="100">
        <f t="shared" ref="AK905:AK959" si="1684">AJ907</f>
        <v>0</v>
      </c>
      <c r="AL905" s="101">
        <f>+AJ905*AN905</f>
        <v>0</v>
      </c>
      <c r="AM905" s="1072">
        <f t="shared" si="1682"/>
        <v>0</v>
      </c>
      <c r="AN905" s="102"/>
      <c r="AO905" s="622" t="e">
        <f>Table5[[#This Row],[Total]]*B909/1000</f>
        <v>#VALUE!</v>
      </c>
      <c r="AP905" s="32" t="s">
        <v>193</v>
      </c>
      <c r="AQ905" s="33" t="s">
        <v>84</v>
      </c>
      <c r="AR905" s="33" t="s">
        <v>85</v>
      </c>
      <c r="AS905" s="33" t="s">
        <v>86</v>
      </c>
      <c r="AT905" s="33" t="s">
        <v>87</v>
      </c>
      <c r="AU905" s="33" t="s">
        <v>88</v>
      </c>
      <c r="AV905" s="34" t="s">
        <v>68</v>
      </c>
    </row>
    <row r="906" spans="1:48" ht="25.15" hidden="1" customHeight="1">
      <c r="A906" s="103"/>
      <c r="B906" s="35" t="s">
        <v>207</v>
      </c>
      <c r="C906" s="36"/>
      <c r="D906" s="37" t="s">
        <v>90</v>
      </c>
      <c r="E906" s="1373">
        <f>IF(E905="",0,+ E905/E912)</f>
        <v>0</v>
      </c>
      <c r="F906" s="1096">
        <f t="shared" ref="F906:AI906" si="1685">IF(F905="",0, E906+F905/F912)</f>
        <v>0</v>
      </c>
      <c r="G906" s="1207">
        <f t="shared" si="1685"/>
        <v>0</v>
      </c>
      <c r="H906" s="1096">
        <f t="shared" si="1685"/>
        <v>0</v>
      </c>
      <c r="I906" s="1096">
        <f t="shared" si="1685"/>
        <v>0</v>
      </c>
      <c r="J906" s="1207">
        <f t="shared" si="1685"/>
        <v>0</v>
      </c>
      <c r="K906" s="1207">
        <f t="shared" si="1685"/>
        <v>0</v>
      </c>
      <c r="L906" s="1096">
        <f t="shared" si="1685"/>
        <v>0</v>
      </c>
      <c r="M906" s="1096">
        <f t="shared" si="1685"/>
        <v>0</v>
      </c>
      <c r="N906" s="1096">
        <f t="shared" si="1685"/>
        <v>0</v>
      </c>
      <c r="O906" s="1096">
        <f t="shared" si="1685"/>
        <v>0</v>
      </c>
      <c r="P906" s="1096">
        <f t="shared" si="1685"/>
        <v>0</v>
      </c>
      <c r="Q906" s="1207">
        <f t="shared" si="1685"/>
        <v>0</v>
      </c>
      <c r="R906" s="1207">
        <f t="shared" si="1685"/>
        <v>0</v>
      </c>
      <c r="S906" s="1096">
        <f t="shared" si="1685"/>
        <v>0</v>
      </c>
      <c r="T906" s="1096">
        <f t="shared" si="1685"/>
        <v>0</v>
      </c>
      <c r="U906" s="1096">
        <f t="shared" si="1685"/>
        <v>0</v>
      </c>
      <c r="V906" s="1096">
        <f t="shared" si="1685"/>
        <v>0</v>
      </c>
      <c r="W906" s="1096">
        <f t="shared" si="1685"/>
        <v>0</v>
      </c>
      <c r="X906" s="1207">
        <f t="shared" si="1685"/>
        <v>0</v>
      </c>
      <c r="Y906" s="1207">
        <f t="shared" si="1685"/>
        <v>0</v>
      </c>
      <c r="Z906" s="1096">
        <f t="shared" si="1685"/>
        <v>0</v>
      </c>
      <c r="AA906" s="1096">
        <f t="shared" si="1685"/>
        <v>0</v>
      </c>
      <c r="AB906" s="1096">
        <f t="shared" si="1685"/>
        <v>0</v>
      </c>
      <c r="AC906" s="1096">
        <f t="shared" si="1685"/>
        <v>0</v>
      </c>
      <c r="AD906" s="1096">
        <f t="shared" si="1685"/>
        <v>0</v>
      </c>
      <c r="AE906" s="1207">
        <f t="shared" si="1685"/>
        <v>0</v>
      </c>
      <c r="AF906" s="1207">
        <f t="shared" si="1685"/>
        <v>0</v>
      </c>
      <c r="AG906" s="1096">
        <f t="shared" si="1685"/>
        <v>0</v>
      </c>
      <c r="AH906" s="1096">
        <f t="shared" si="1685"/>
        <v>0</v>
      </c>
      <c r="AI906" s="1324">
        <f t="shared" si="1685"/>
        <v>0</v>
      </c>
      <c r="AJ906" s="38"/>
      <c r="AK906" s="29"/>
      <c r="AL906" s="30"/>
      <c r="AM906" s="694">
        <f t="shared" si="1682"/>
        <v>0</v>
      </c>
      <c r="AN906" s="31"/>
      <c r="AO906" s="630"/>
      <c r="AP906" s="39" t="s">
        <v>91</v>
      </c>
      <c r="AQ906" s="40">
        <f>SUM(E905:I905)</f>
        <v>0</v>
      </c>
      <c r="AR906" s="41">
        <f>SUM(J905:P905)</f>
        <v>0</v>
      </c>
      <c r="AS906" s="41">
        <f>SUM(Q905:W905)</f>
        <v>0</v>
      </c>
      <c r="AT906" s="41">
        <f>SUM(X905:AD905)</f>
        <v>0</v>
      </c>
      <c r="AU906" s="41">
        <f>SUM(AE905:AI905)</f>
        <v>0</v>
      </c>
      <c r="AV906" s="34">
        <f t="shared" ref="AV906:AV911" si="1686">SUM(AQ906:AU906)</f>
        <v>0</v>
      </c>
    </row>
    <row r="907" spans="1:48" ht="25.15" hidden="1" customHeight="1">
      <c r="A907" s="103"/>
      <c r="B907" s="26" t="s">
        <v>92</v>
      </c>
      <c r="C907" s="42"/>
      <c r="D907" s="43" t="s">
        <v>93</v>
      </c>
      <c r="E907" s="1325"/>
      <c r="F907" s="1089"/>
      <c r="G907" s="44"/>
      <c r="H907" s="1089"/>
      <c r="I907" s="1089"/>
      <c r="J907" s="44"/>
      <c r="K907" s="44"/>
      <c r="L907" s="1089"/>
      <c r="M907" s="1089"/>
      <c r="N907" s="1089"/>
      <c r="O907" s="1089"/>
      <c r="P907" s="1089"/>
      <c r="Q907" s="44"/>
      <c r="R907" s="44"/>
      <c r="S907" s="1089"/>
      <c r="T907" s="1089"/>
      <c r="U907" s="1089"/>
      <c r="V907" s="1089"/>
      <c r="W907" s="1089"/>
      <c r="X907" s="44"/>
      <c r="Y907" s="44"/>
      <c r="Z907" s="1089"/>
      <c r="AA907" s="1089"/>
      <c r="AB907" s="1089"/>
      <c r="AC907" s="1089"/>
      <c r="AD907" s="1089"/>
      <c r="AE907" s="44"/>
      <c r="AF907" s="44"/>
      <c r="AG907" s="1089"/>
      <c r="AH907" s="1089"/>
      <c r="AI907" s="1326"/>
      <c r="AJ907" s="45">
        <f>SUM(E907:AI907)</f>
        <v>0</v>
      </c>
      <c r="AK907" s="45"/>
      <c r="AL907" s="46">
        <f>+AJ907*AN905</f>
        <v>0</v>
      </c>
      <c r="AM907" s="1066">
        <f t="shared" si="1682"/>
        <v>0</v>
      </c>
      <c r="AN907" s="31"/>
      <c r="AO907" s="632">
        <f>(AJ907+AJ909+AJ910+AJ911)*B909/1000</f>
        <v>0</v>
      </c>
      <c r="AP907" s="47" t="s">
        <v>94</v>
      </c>
      <c r="AQ907" s="48">
        <f>SUM(E907:I907)</f>
        <v>0</v>
      </c>
      <c r="AR907" s="49">
        <f>SUM(J907:P907)</f>
        <v>0</v>
      </c>
      <c r="AS907" s="49">
        <f>SUM(Q907:W907)</f>
        <v>0</v>
      </c>
      <c r="AT907" s="49">
        <f>SUM(X907:AD907)</f>
        <v>0</v>
      </c>
      <c r="AU907" s="49">
        <f>SUM(AE907:AI907)</f>
        <v>0</v>
      </c>
      <c r="AV907" s="50">
        <f t="shared" si="1686"/>
        <v>0</v>
      </c>
    </row>
    <row r="908" spans="1:48" ht="25.15" hidden="1" customHeight="1">
      <c r="A908" s="103"/>
      <c r="B908" s="51"/>
      <c r="C908" s="52" t="s">
        <v>95</v>
      </c>
      <c r="D908" s="53" t="s">
        <v>96</v>
      </c>
      <c r="E908" s="1327">
        <f t="shared" ref="E908:AJ908" si="1687">+E907-E905</f>
        <v>0</v>
      </c>
      <c r="F908" s="1097">
        <f t="shared" si="1687"/>
        <v>0</v>
      </c>
      <c r="G908" s="1205">
        <f t="shared" si="1687"/>
        <v>0</v>
      </c>
      <c r="H908" s="1097">
        <f t="shared" si="1687"/>
        <v>0</v>
      </c>
      <c r="I908" s="1097">
        <f t="shared" si="1687"/>
        <v>0</v>
      </c>
      <c r="J908" s="1205">
        <f t="shared" si="1687"/>
        <v>0</v>
      </c>
      <c r="K908" s="1205">
        <f t="shared" si="1687"/>
        <v>0</v>
      </c>
      <c r="L908" s="1097">
        <f t="shared" si="1687"/>
        <v>0</v>
      </c>
      <c r="M908" s="1097">
        <f t="shared" si="1687"/>
        <v>0</v>
      </c>
      <c r="N908" s="1097">
        <f t="shared" si="1687"/>
        <v>0</v>
      </c>
      <c r="O908" s="1097">
        <f t="shared" si="1687"/>
        <v>0</v>
      </c>
      <c r="P908" s="1097">
        <f t="shared" si="1687"/>
        <v>0</v>
      </c>
      <c r="Q908" s="1205">
        <f t="shared" si="1687"/>
        <v>0</v>
      </c>
      <c r="R908" s="1205">
        <f t="shared" si="1687"/>
        <v>0</v>
      </c>
      <c r="S908" s="1097">
        <f t="shared" si="1687"/>
        <v>0</v>
      </c>
      <c r="T908" s="1097">
        <f t="shared" si="1687"/>
        <v>0</v>
      </c>
      <c r="U908" s="1097">
        <f t="shared" si="1687"/>
        <v>0</v>
      </c>
      <c r="V908" s="1097">
        <f t="shared" si="1687"/>
        <v>0</v>
      </c>
      <c r="W908" s="1097">
        <f t="shared" si="1687"/>
        <v>0</v>
      </c>
      <c r="X908" s="1205">
        <f t="shared" si="1687"/>
        <v>0</v>
      </c>
      <c r="Y908" s="1205">
        <f t="shared" si="1687"/>
        <v>0</v>
      </c>
      <c r="Z908" s="1097">
        <f t="shared" si="1687"/>
        <v>0</v>
      </c>
      <c r="AA908" s="1097">
        <f t="shared" si="1687"/>
        <v>0</v>
      </c>
      <c r="AB908" s="1097">
        <f t="shared" si="1687"/>
        <v>0</v>
      </c>
      <c r="AC908" s="1097">
        <f t="shared" si="1687"/>
        <v>0</v>
      </c>
      <c r="AD908" s="1097">
        <f t="shared" si="1687"/>
        <v>0</v>
      </c>
      <c r="AE908" s="1205">
        <f t="shared" si="1687"/>
        <v>0</v>
      </c>
      <c r="AF908" s="1205">
        <f t="shared" si="1687"/>
        <v>0</v>
      </c>
      <c r="AG908" s="1097">
        <f t="shared" si="1687"/>
        <v>0</v>
      </c>
      <c r="AH908" s="1097">
        <f t="shared" si="1687"/>
        <v>0</v>
      </c>
      <c r="AI908" s="1328">
        <f t="shared" si="1687"/>
        <v>0</v>
      </c>
      <c r="AJ908" s="54">
        <f t="shared" si="1687"/>
        <v>0</v>
      </c>
      <c r="AK908" s="54"/>
      <c r="AL908" s="55">
        <f>+AJ908*AN905</f>
        <v>0</v>
      </c>
      <c r="AM908" s="1067">
        <f t="shared" si="1682"/>
        <v>0</v>
      </c>
      <c r="AN908" s="31" t="s">
        <v>97</v>
      </c>
      <c r="AO908" s="622"/>
      <c r="AP908" s="39" t="s">
        <v>98</v>
      </c>
      <c r="AQ908" s="56">
        <f>AQ907-AQ906</f>
        <v>0</v>
      </c>
      <c r="AR908" s="70">
        <f>AR907-AR906</f>
        <v>0</v>
      </c>
      <c r="AS908" s="70">
        <f>AS907-AS906</f>
        <v>0</v>
      </c>
      <c r="AT908" s="70">
        <f>AT907-AT906</f>
        <v>0</v>
      </c>
      <c r="AU908" s="70">
        <f>AU907-AU906</f>
        <v>0</v>
      </c>
      <c r="AV908" s="57">
        <f t="shared" si="1686"/>
        <v>0</v>
      </c>
    </row>
    <row r="909" spans="1:48" ht="25.15" hidden="1" customHeight="1">
      <c r="A909" s="58"/>
      <c r="B909" s="59"/>
      <c r="C909" s="60" t="s">
        <v>100</v>
      </c>
      <c r="D909" s="61" t="s">
        <v>101</v>
      </c>
      <c r="E909" s="1329"/>
      <c r="F909" s="1099"/>
      <c r="G909" s="1208"/>
      <c r="H909" s="1099"/>
      <c r="I909" s="1099"/>
      <c r="J909" s="1208"/>
      <c r="K909" s="1208"/>
      <c r="L909" s="1099"/>
      <c r="M909" s="1099"/>
      <c r="N909" s="1099"/>
      <c r="O909" s="1099"/>
      <c r="P909" s="1099"/>
      <c r="Q909" s="1208"/>
      <c r="R909" s="1208"/>
      <c r="S909" s="1099"/>
      <c r="T909" s="1099"/>
      <c r="U909" s="1099"/>
      <c r="V909" s="1099"/>
      <c r="W909" s="1099"/>
      <c r="X909" s="1208"/>
      <c r="Y909" s="1208"/>
      <c r="Z909" s="1099"/>
      <c r="AA909" s="1099"/>
      <c r="AB909" s="1099"/>
      <c r="AC909" s="1099"/>
      <c r="AD909" s="1099"/>
      <c r="AE909" s="1208"/>
      <c r="AF909" s="1208"/>
      <c r="AG909" s="1099"/>
      <c r="AH909" s="1099"/>
      <c r="AI909" s="1330"/>
      <c r="AJ909" s="62">
        <f>SUM(E909:AI909)</f>
        <v>0</v>
      </c>
      <c r="AK909" s="62"/>
      <c r="AL909" s="63">
        <f>+AJ909*AN905</f>
        <v>0</v>
      </c>
      <c r="AM909" s="1068">
        <f t="shared" si="1682"/>
        <v>0</v>
      </c>
      <c r="AN909" s="64" t="e">
        <f>+AJ909/AJ907*100</f>
        <v>#DIV/0!</v>
      </c>
      <c r="AO909" s="635" t="e">
        <f>AO907/AO905</f>
        <v>#VALUE!</v>
      </c>
      <c r="AP909" s="39" t="s">
        <v>102</v>
      </c>
      <c r="AQ909" s="56">
        <f>SUM(E909:I909)</f>
        <v>0</v>
      </c>
      <c r="AR909" s="70">
        <f>SUM(J909:P909)</f>
        <v>0</v>
      </c>
      <c r="AS909" s="70">
        <f>SUM(Q909:W909)</f>
        <v>0</v>
      </c>
      <c r="AT909" s="70">
        <f>SUM(X909:AD909)</f>
        <v>0</v>
      </c>
      <c r="AU909" s="70">
        <f>SUM(AE909:AI909)</f>
        <v>0</v>
      </c>
      <c r="AV909" s="57">
        <f t="shared" si="1686"/>
        <v>0</v>
      </c>
    </row>
    <row r="910" spans="1:48" ht="25.15" hidden="1" customHeight="1">
      <c r="A910" s="58" t="s">
        <v>202</v>
      </c>
      <c r="B910" s="65"/>
      <c r="C910" s="66"/>
      <c r="D910" s="67" t="s">
        <v>103</v>
      </c>
      <c r="E910" s="1331"/>
      <c r="F910" s="1101"/>
      <c r="G910" s="1209"/>
      <c r="H910" s="1101"/>
      <c r="I910" s="1101"/>
      <c r="J910" s="1209"/>
      <c r="K910" s="1209"/>
      <c r="L910" s="1101"/>
      <c r="M910" s="1101"/>
      <c r="N910" s="1101"/>
      <c r="O910" s="1101"/>
      <c r="P910" s="1101"/>
      <c r="Q910" s="1209"/>
      <c r="R910" s="1209"/>
      <c r="S910" s="1101"/>
      <c r="T910" s="1101"/>
      <c r="U910" s="1101"/>
      <c r="V910" s="1101"/>
      <c r="W910" s="1101"/>
      <c r="X910" s="1209"/>
      <c r="Y910" s="1209"/>
      <c r="Z910" s="1101"/>
      <c r="AA910" s="1101"/>
      <c r="AB910" s="1101"/>
      <c r="AC910" s="1101"/>
      <c r="AD910" s="1101"/>
      <c r="AE910" s="1209"/>
      <c r="AF910" s="1209"/>
      <c r="AG910" s="1101"/>
      <c r="AH910" s="1101"/>
      <c r="AI910" s="1332"/>
      <c r="AJ910" s="68">
        <f>SUM(E910:AI910)</f>
        <v>0</v>
      </c>
      <c r="AK910" s="68"/>
      <c r="AL910" s="69">
        <f>+AJ910*AN905</f>
        <v>0</v>
      </c>
      <c r="AM910" s="1069">
        <f t="shared" si="1682"/>
        <v>0</v>
      </c>
      <c r="AN910" s="31"/>
      <c r="AO910" s="622"/>
      <c r="AP910" s="39" t="s">
        <v>19</v>
      </c>
      <c r="AQ910" s="56">
        <f>AQ909*AN905</f>
        <v>0</v>
      </c>
      <c r="AR910" s="56">
        <f>AR909*AN905</f>
        <v>0</v>
      </c>
      <c r="AS910" s="56">
        <f>AS909*AN905</f>
        <v>0</v>
      </c>
      <c r="AT910" s="56">
        <f>AT909*AN905</f>
        <v>0</v>
      </c>
      <c r="AU910" s="56">
        <f>AU909*AN905</f>
        <v>0</v>
      </c>
      <c r="AV910" s="57">
        <f t="shared" si="1686"/>
        <v>0</v>
      </c>
    </row>
    <row r="911" spans="1:48" ht="25.15" hidden="1" customHeight="1">
      <c r="A911" s="103"/>
      <c r="B911" s="65"/>
      <c r="C911" s="72" t="s">
        <v>104</v>
      </c>
      <c r="D911" s="73" t="s">
        <v>105</v>
      </c>
      <c r="E911" s="1378"/>
      <c r="F911" s="1103"/>
      <c r="G911" s="1210"/>
      <c r="H911" s="1103"/>
      <c r="I911" s="1103"/>
      <c r="J911" s="1210"/>
      <c r="K911" s="1210"/>
      <c r="L911" s="1103"/>
      <c r="M911" s="1103"/>
      <c r="N911" s="1103"/>
      <c r="O911" s="1103"/>
      <c r="P911" s="1103"/>
      <c r="Q911" s="1210"/>
      <c r="R911" s="1210"/>
      <c r="S911" s="1103"/>
      <c r="T911" s="1103"/>
      <c r="U911" s="1103"/>
      <c r="V911" s="1103"/>
      <c r="W911" s="1103"/>
      <c r="X911" s="1210"/>
      <c r="Y911" s="1210"/>
      <c r="Z911" s="1103"/>
      <c r="AA911" s="1103"/>
      <c r="AB911" s="1103"/>
      <c r="AC911" s="1103"/>
      <c r="AD911" s="1103"/>
      <c r="AE911" s="1210"/>
      <c r="AF911" s="1210"/>
      <c r="AG911" s="1103"/>
      <c r="AH911" s="1103"/>
      <c r="AI911" s="1352"/>
      <c r="AJ911" s="74">
        <f>SUM(E911:AI911)</f>
        <v>0</v>
      </c>
      <c r="AK911" s="74"/>
      <c r="AL911" s="75">
        <f>+AJ911*AN905</f>
        <v>0</v>
      </c>
      <c r="AM911" s="1070">
        <f t="shared" si="1682"/>
        <v>0</v>
      </c>
      <c r="AN911" s="76"/>
      <c r="AO911" s="636"/>
      <c r="AP911" s="47" t="s">
        <v>106</v>
      </c>
      <c r="AQ911" s="48">
        <f>AQ907*AN905</f>
        <v>0</v>
      </c>
      <c r="AR911" s="48">
        <f>AR907*AN905</f>
        <v>0</v>
      </c>
      <c r="AS911" s="48">
        <f>AS907*AN905</f>
        <v>0</v>
      </c>
      <c r="AT911" s="48">
        <f>AT907*AN905</f>
        <v>0</v>
      </c>
      <c r="AU911" s="48">
        <f>AU907*AN905</f>
        <v>0</v>
      </c>
      <c r="AV911" s="50">
        <f t="shared" si="1686"/>
        <v>0</v>
      </c>
    </row>
    <row r="912" spans="1:48" ht="25.15" hidden="1" customHeight="1">
      <c r="A912" s="103"/>
      <c r="B912" s="65"/>
      <c r="C912" s="77">
        <v>300000</v>
      </c>
      <c r="D912" s="78" t="s">
        <v>107</v>
      </c>
      <c r="E912" s="1327">
        <v>1</v>
      </c>
      <c r="F912" s="1097">
        <v>1</v>
      </c>
      <c r="G912" s="1205">
        <v>1</v>
      </c>
      <c r="H912" s="1097">
        <v>1</v>
      </c>
      <c r="I912" s="1097">
        <v>1</v>
      </c>
      <c r="J912" s="1205">
        <v>1</v>
      </c>
      <c r="K912" s="1205">
        <v>1</v>
      </c>
      <c r="L912" s="1097">
        <v>1</v>
      </c>
      <c r="M912" s="1097">
        <v>1</v>
      </c>
      <c r="N912" s="1097">
        <v>1</v>
      </c>
      <c r="O912" s="1097">
        <v>1</v>
      </c>
      <c r="P912" s="1097">
        <v>1</v>
      </c>
      <c r="Q912" s="1205">
        <v>1</v>
      </c>
      <c r="R912" s="1205">
        <v>1</v>
      </c>
      <c r="S912" s="1097">
        <v>1</v>
      </c>
      <c r="T912" s="1097">
        <v>1</v>
      </c>
      <c r="U912" s="1097">
        <v>1</v>
      </c>
      <c r="V912" s="1097">
        <v>1</v>
      </c>
      <c r="W912" s="1097">
        <v>1</v>
      </c>
      <c r="X912" s="1205">
        <v>1</v>
      </c>
      <c r="Y912" s="1205">
        <v>1</v>
      </c>
      <c r="Z912" s="1097">
        <v>1</v>
      </c>
      <c r="AA912" s="1097">
        <v>1</v>
      </c>
      <c r="AB912" s="1097">
        <v>1</v>
      </c>
      <c r="AC912" s="1097">
        <v>1</v>
      </c>
      <c r="AD912" s="1097">
        <v>1</v>
      </c>
      <c r="AE912" s="1205">
        <v>1</v>
      </c>
      <c r="AF912" s="1205">
        <v>1</v>
      </c>
      <c r="AG912" s="1097">
        <v>1</v>
      </c>
      <c r="AH912" s="1097">
        <v>1</v>
      </c>
      <c r="AI912" s="1328">
        <v>1</v>
      </c>
      <c r="AJ912" s="79"/>
      <c r="AK912" s="79"/>
      <c r="AL912" s="55"/>
      <c r="AM912" s="1067">
        <f t="shared" si="1682"/>
        <v>0</v>
      </c>
      <c r="AN912" s="31"/>
      <c r="AO912" s="622"/>
      <c r="AP912" s="23"/>
      <c r="AQ912" s="23"/>
      <c r="AR912" s="23"/>
      <c r="AS912" s="23"/>
      <c r="AT912" s="23"/>
      <c r="AU912" s="23"/>
      <c r="AV912" s="23"/>
    </row>
    <row r="913" spans="1:48" ht="25.15" hidden="1" customHeight="1">
      <c r="A913" s="103"/>
      <c r="B913" s="65"/>
      <c r="C913" s="80" t="s">
        <v>108</v>
      </c>
      <c r="D913" s="81" t="s">
        <v>109</v>
      </c>
      <c r="E913" s="1374">
        <f>SUM(E907+E909+E910+E911)/E912</f>
        <v>0</v>
      </c>
      <c r="F913" s="1104">
        <f>SUM(F907+F909+F910+F911)/F912</f>
        <v>0</v>
      </c>
      <c r="G913" s="1211">
        <f>SUM(G907+G909+G910+G911)/G912</f>
        <v>0</v>
      </c>
      <c r="H913" s="1104">
        <f t="shared" ref="H913:AH913" si="1688">SUM(H907+H909+H910+H911)/H912</f>
        <v>0</v>
      </c>
      <c r="I913" s="1104">
        <f t="shared" si="1688"/>
        <v>0</v>
      </c>
      <c r="J913" s="1211">
        <f t="shared" si="1688"/>
        <v>0</v>
      </c>
      <c r="K913" s="1211">
        <f t="shared" si="1688"/>
        <v>0</v>
      </c>
      <c r="L913" s="1104">
        <f t="shared" si="1688"/>
        <v>0</v>
      </c>
      <c r="M913" s="1104">
        <f t="shared" si="1688"/>
        <v>0</v>
      </c>
      <c r="N913" s="1104">
        <f t="shared" si="1688"/>
        <v>0</v>
      </c>
      <c r="O913" s="1104">
        <f t="shared" si="1688"/>
        <v>0</v>
      </c>
      <c r="P913" s="1104">
        <f t="shared" si="1688"/>
        <v>0</v>
      </c>
      <c r="Q913" s="1211">
        <f t="shared" si="1688"/>
        <v>0</v>
      </c>
      <c r="R913" s="1211">
        <f t="shared" si="1688"/>
        <v>0</v>
      </c>
      <c r="S913" s="1104">
        <f t="shared" si="1688"/>
        <v>0</v>
      </c>
      <c r="T913" s="1104">
        <f t="shared" si="1688"/>
        <v>0</v>
      </c>
      <c r="U913" s="1104">
        <f t="shared" si="1688"/>
        <v>0</v>
      </c>
      <c r="V913" s="1104">
        <f t="shared" si="1688"/>
        <v>0</v>
      </c>
      <c r="W913" s="1104">
        <f t="shared" si="1688"/>
        <v>0</v>
      </c>
      <c r="X913" s="1211">
        <f t="shared" si="1688"/>
        <v>0</v>
      </c>
      <c r="Y913" s="1211">
        <f t="shared" si="1688"/>
        <v>0</v>
      </c>
      <c r="Z913" s="1104">
        <f t="shared" si="1688"/>
        <v>0</v>
      </c>
      <c r="AA913" s="1104">
        <f t="shared" si="1688"/>
        <v>0</v>
      </c>
      <c r="AB913" s="1104">
        <f t="shared" si="1688"/>
        <v>0</v>
      </c>
      <c r="AC913" s="1104">
        <f t="shared" si="1688"/>
        <v>0</v>
      </c>
      <c r="AD913" s="1104">
        <f t="shared" si="1688"/>
        <v>0</v>
      </c>
      <c r="AE913" s="1211">
        <f t="shared" si="1688"/>
        <v>0</v>
      </c>
      <c r="AF913" s="1211">
        <f t="shared" si="1688"/>
        <v>0</v>
      </c>
      <c r="AG913" s="1104">
        <f t="shared" si="1688"/>
        <v>0</v>
      </c>
      <c r="AH913" s="1104">
        <f t="shared" si="1688"/>
        <v>0</v>
      </c>
      <c r="AI913" s="1335">
        <f>SUM(AI907+AI909+AI910)/AI912</f>
        <v>0</v>
      </c>
      <c r="AJ913" s="104">
        <f>SUM(E913:AI913)</f>
        <v>0</v>
      </c>
      <c r="AK913" s="104"/>
      <c r="AL913" s="83"/>
      <c r="AM913" s="1068">
        <f t="shared" si="1682"/>
        <v>0</v>
      </c>
      <c r="AN913" s="31"/>
      <c r="AO913" s="622"/>
      <c r="AP913" s="23"/>
      <c r="AQ913" s="23"/>
      <c r="AR913" s="23"/>
      <c r="AS913" s="23"/>
      <c r="AT913" s="23"/>
      <c r="AU913" s="23"/>
      <c r="AV913" s="23"/>
    </row>
    <row r="914" spans="1:48" ht="25.15" hidden="1" customHeight="1">
      <c r="A914" s="103"/>
      <c r="B914" s="59"/>
      <c r="C914" s="84">
        <f>+C912*0.8</f>
        <v>240000</v>
      </c>
      <c r="D914" s="85" t="s">
        <v>110</v>
      </c>
      <c r="E914" s="1105"/>
      <c r="F914" s="1106"/>
      <c r="G914" s="1211"/>
      <c r="H914" s="1104"/>
      <c r="I914" s="1104"/>
      <c r="J914" s="1211"/>
      <c r="K914" s="1211"/>
      <c r="L914" s="1104"/>
      <c r="M914" s="1104"/>
      <c r="N914" s="1104"/>
      <c r="O914" s="1107"/>
      <c r="P914" s="1104"/>
      <c r="Q914" s="1211"/>
      <c r="R914" s="1211"/>
      <c r="S914" s="1104"/>
      <c r="T914" s="1104"/>
      <c r="U914" s="1104"/>
      <c r="V914" s="1104"/>
      <c r="W914" s="1104"/>
      <c r="X914" s="1211"/>
      <c r="Y914" s="1211"/>
      <c r="Z914" s="1104"/>
      <c r="AA914" s="1104"/>
      <c r="AB914" s="1104"/>
      <c r="AC914" s="1104"/>
      <c r="AD914" s="1104"/>
      <c r="AE914" s="1211"/>
      <c r="AF914" s="1211"/>
      <c r="AG914" s="1104"/>
      <c r="AH914" s="1104"/>
      <c r="AI914" s="1353"/>
      <c r="AJ914" s="86"/>
      <c r="AK914" s="86"/>
      <c r="AL914" s="690"/>
      <c r="AM914" s="694">
        <f t="shared" si="1682"/>
        <v>0</v>
      </c>
      <c r="AN914" s="31"/>
      <c r="AO914" s="622"/>
      <c r="AP914" s="23"/>
      <c r="AQ914" s="23"/>
      <c r="AR914" s="23"/>
      <c r="AS914" s="23"/>
      <c r="AT914" s="23"/>
      <c r="AU914" s="23"/>
      <c r="AV914" s="23"/>
    </row>
    <row r="915" spans="1:48" ht="25.15" hidden="1" customHeight="1">
      <c r="A915" s="103"/>
      <c r="B915" s="105"/>
      <c r="C915" s="77"/>
      <c r="D915" s="88" t="s">
        <v>111</v>
      </c>
      <c r="E915" s="1108">
        <f>IF(E914="O/H",E913,0+E913)</f>
        <v>0</v>
      </c>
      <c r="F915" s="1089">
        <f t="shared" ref="F915:AI915" si="1689">IF(F914="O/H",F913,+E915+F913)</f>
        <v>0</v>
      </c>
      <c r="G915" s="44">
        <f t="shared" si="1689"/>
        <v>0</v>
      </c>
      <c r="H915" s="1089">
        <f t="shared" si="1689"/>
        <v>0</v>
      </c>
      <c r="I915" s="1089">
        <f t="shared" si="1689"/>
        <v>0</v>
      </c>
      <c r="J915" s="44">
        <f t="shared" si="1689"/>
        <v>0</v>
      </c>
      <c r="K915" s="44">
        <f t="shared" si="1689"/>
        <v>0</v>
      </c>
      <c r="L915" s="1089">
        <f t="shared" si="1689"/>
        <v>0</v>
      </c>
      <c r="M915" s="1089">
        <f t="shared" si="1689"/>
        <v>0</v>
      </c>
      <c r="N915" s="1089">
        <f t="shared" si="1689"/>
        <v>0</v>
      </c>
      <c r="O915" s="1089">
        <f t="shared" si="1689"/>
        <v>0</v>
      </c>
      <c r="P915" s="1089">
        <f t="shared" si="1689"/>
        <v>0</v>
      </c>
      <c r="Q915" s="44">
        <f t="shared" si="1689"/>
        <v>0</v>
      </c>
      <c r="R915" s="44">
        <f t="shared" si="1689"/>
        <v>0</v>
      </c>
      <c r="S915" s="1089">
        <f t="shared" si="1689"/>
        <v>0</v>
      </c>
      <c r="T915" s="1089">
        <f t="shared" si="1689"/>
        <v>0</v>
      </c>
      <c r="U915" s="1089">
        <f t="shared" si="1689"/>
        <v>0</v>
      </c>
      <c r="V915" s="1089">
        <f t="shared" si="1689"/>
        <v>0</v>
      </c>
      <c r="W915" s="1089">
        <f t="shared" si="1689"/>
        <v>0</v>
      </c>
      <c r="X915" s="44">
        <f t="shared" si="1689"/>
        <v>0</v>
      </c>
      <c r="Y915" s="44">
        <f t="shared" si="1689"/>
        <v>0</v>
      </c>
      <c r="Z915" s="1089">
        <f t="shared" si="1689"/>
        <v>0</v>
      </c>
      <c r="AA915" s="1089">
        <f t="shared" si="1689"/>
        <v>0</v>
      </c>
      <c r="AB915" s="1089">
        <f t="shared" si="1689"/>
        <v>0</v>
      </c>
      <c r="AC915" s="1089">
        <f t="shared" si="1689"/>
        <v>0</v>
      </c>
      <c r="AD915" s="1089">
        <f t="shared" si="1689"/>
        <v>0</v>
      </c>
      <c r="AE915" s="44">
        <f t="shared" si="1689"/>
        <v>0</v>
      </c>
      <c r="AF915" s="44">
        <f t="shared" si="1689"/>
        <v>0</v>
      </c>
      <c r="AG915" s="1089">
        <f t="shared" si="1689"/>
        <v>0</v>
      </c>
      <c r="AH915" s="1089">
        <f t="shared" si="1689"/>
        <v>0</v>
      </c>
      <c r="AI915" s="1326">
        <f t="shared" si="1689"/>
        <v>0</v>
      </c>
      <c r="AJ915" s="79"/>
      <c r="AK915" s="86"/>
      <c r="AL915" s="689"/>
      <c r="AM915" s="694">
        <f t="shared" si="1682"/>
        <v>0</v>
      </c>
      <c r="AN915" s="31"/>
      <c r="AO915" s="622"/>
      <c r="AP915" s="23"/>
      <c r="AQ915" s="23"/>
      <c r="AR915" s="23"/>
      <c r="AS915" s="23"/>
      <c r="AT915" s="23"/>
      <c r="AU915" s="23"/>
      <c r="AV915" s="23"/>
    </row>
    <row r="916" spans="1:48" ht="25.15" hidden="1" customHeight="1">
      <c r="A916" s="103"/>
      <c r="B916" s="89"/>
      <c r="C916" s="80"/>
      <c r="D916" s="90" t="s">
        <v>104</v>
      </c>
      <c r="E916" s="1108"/>
      <c r="F916" s="1089"/>
      <c r="G916" s="44"/>
      <c r="H916" s="1089"/>
      <c r="I916" s="1089"/>
      <c r="J916" s="44"/>
      <c r="K916" s="44"/>
      <c r="L916" s="1089"/>
      <c r="M916" s="1089"/>
      <c r="N916" s="1089"/>
      <c r="O916" s="1089"/>
      <c r="P916" s="1089"/>
      <c r="Q916" s="44"/>
      <c r="R916" s="44"/>
      <c r="S916" s="1089"/>
      <c r="T916" s="1089"/>
      <c r="U916" s="1089"/>
      <c r="V916" s="1089"/>
      <c r="W916" s="1089"/>
      <c r="X916" s="44"/>
      <c r="Y916" s="44"/>
      <c r="Z916" s="1089"/>
      <c r="AA916" s="1089"/>
      <c r="AB916" s="1089"/>
      <c r="AC916" s="1089"/>
      <c r="AD916" s="1089"/>
      <c r="AE916" s="44"/>
      <c r="AF916" s="44"/>
      <c r="AG916" s="1089"/>
      <c r="AH916" s="1089"/>
      <c r="AI916" s="1326"/>
      <c r="AJ916" s="79"/>
      <c r="AK916" s="79"/>
      <c r="AL916" s="63"/>
      <c r="AM916" s="1068">
        <f t="shared" si="1682"/>
        <v>0</v>
      </c>
      <c r="AN916" s="64"/>
      <c r="AO916" s="624"/>
      <c r="AP916" s="23"/>
      <c r="AQ916" s="23"/>
      <c r="AR916" s="23"/>
      <c r="AS916" s="23"/>
      <c r="AT916" s="23"/>
      <c r="AU916" s="23"/>
      <c r="AV916" s="23"/>
    </row>
    <row r="917" spans="1:48" ht="25.15" hidden="1" customHeight="1" thickBot="1">
      <c r="A917" s="106"/>
      <c r="B917" s="93"/>
      <c r="C917" s="94"/>
      <c r="D917" s="95" t="s">
        <v>111</v>
      </c>
      <c r="E917" s="1109">
        <f>IF(E916="O/H",E913,0+E913)</f>
        <v>0</v>
      </c>
      <c r="F917" s="1110">
        <f t="shared" ref="F917:AI917" si="1690">IF(F916="O/H",F913,+E917+F913)</f>
        <v>0</v>
      </c>
      <c r="G917" s="1212">
        <f t="shared" si="1690"/>
        <v>0</v>
      </c>
      <c r="H917" s="1110">
        <f t="shared" si="1690"/>
        <v>0</v>
      </c>
      <c r="I917" s="1110">
        <f t="shared" si="1690"/>
        <v>0</v>
      </c>
      <c r="J917" s="1212">
        <f t="shared" si="1690"/>
        <v>0</v>
      </c>
      <c r="K917" s="1212">
        <f t="shared" si="1690"/>
        <v>0</v>
      </c>
      <c r="L917" s="1110">
        <f t="shared" si="1690"/>
        <v>0</v>
      </c>
      <c r="M917" s="1110">
        <f t="shared" si="1690"/>
        <v>0</v>
      </c>
      <c r="N917" s="1110">
        <f t="shared" si="1690"/>
        <v>0</v>
      </c>
      <c r="O917" s="1110">
        <f t="shared" si="1690"/>
        <v>0</v>
      </c>
      <c r="P917" s="1110">
        <f t="shared" si="1690"/>
        <v>0</v>
      </c>
      <c r="Q917" s="1212">
        <f t="shared" si="1690"/>
        <v>0</v>
      </c>
      <c r="R917" s="1212">
        <f t="shared" si="1690"/>
        <v>0</v>
      </c>
      <c r="S917" s="1110">
        <f t="shared" si="1690"/>
        <v>0</v>
      </c>
      <c r="T917" s="1110">
        <f t="shared" si="1690"/>
        <v>0</v>
      </c>
      <c r="U917" s="1110">
        <f t="shared" si="1690"/>
        <v>0</v>
      </c>
      <c r="V917" s="1110">
        <f t="shared" si="1690"/>
        <v>0</v>
      </c>
      <c r="W917" s="1110">
        <f t="shared" si="1690"/>
        <v>0</v>
      </c>
      <c r="X917" s="1212">
        <f t="shared" si="1690"/>
        <v>0</v>
      </c>
      <c r="Y917" s="1212">
        <f t="shared" si="1690"/>
        <v>0</v>
      </c>
      <c r="Z917" s="1110">
        <f t="shared" si="1690"/>
        <v>0</v>
      </c>
      <c r="AA917" s="1110">
        <f t="shared" si="1690"/>
        <v>0</v>
      </c>
      <c r="AB917" s="1110">
        <f t="shared" si="1690"/>
        <v>0</v>
      </c>
      <c r="AC917" s="1110">
        <f t="shared" si="1690"/>
        <v>0</v>
      </c>
      <c r="AD917" s="1110">
        <f t="shared" si="1690"/>
        <v>0</v>
      </c>
      <c r="AE917" s="1212">
        <f t="shared" si="1690"/>
        <v>0</v>
      </c>
      <c r="AF917" s="1212">
        <f t="shared" si="1690"/>
        <v>0</v>
      </c>
      <c r="AG917" s="1110">
        <f t="shared" si="1690"/>
        <v>0</v>
      </c>
      <c r="AH917" s="1110">
        <f t="shared" si="1690"/>
        <v>0</v>
      </c>
      <c r="AI917" s="1340">
        <f t="shared" si="1690"/>
        <v>0</v>
      </c>
      <c r="AJ917" s="96"/>
      <c r="AK917" s="96"/>
      <c r="AL917" s="97"/>
      <c r="AM917" s="1071">
        <f t="shared" si="1682"/>
        <v>0</v>
      </c>
      <c r="AN917" s="98"/>
      <c r="AO917" s="625"/>
      <c r="AP917" s="23"/>
      <c r="AQ917" s="23"/>
      <c r="AR917" s="23"/>
      <c r="AS917" s="23"/>
      <c r="AT917" s="23"/>
      <c r="AU917" s="23"/>
      <c r="AV917" s="23"/>
    </row>
    <row r="918" spans="1:48" ht="25.15" hidden="1" customHeight="1" thickTop="1">
      <c r="A918" s="99"/>
      <c r="B918" s="26" t="s">
        <v>211</v>
      </c>
      <c r="C918" s="27"/>
      <c r="D918" s="28" t="s">
        <v>82</v>
      </c>
      <c r="E918" s="1111"/>
      <c r="F918" s="1111"/>
      <c r="G918" s="1201"/>
      <c r="H918" s="1111"/>
      <c r="I918" s="1111"/>
      <c r="J918" s="1201"/>
      <c r="K918" s="1201"/>
      <c r="L918" s="1111"/>
      <c r="M918" s="1111"/>
      <c r="N918" s="1111"/>
      <c r="O918" s="1111"/>
      <c r="P918" s="1111"/>
      <c r="Q918" s="1201"/>
      <c r="R918" s="1201"/>
      <c r="S918" s="1111"/>
      <c r="T918" s="1111"/>
      <c r="U918" s="1111"/>
      <c r="V918" s="1111"/>
      <c r="W918" s="1111"/>
      <c r="X918" s="1201"/>
      <c r="Y918" s="1201"/>
      <c r="Z918" s="1111"/>
      <c r="AA918" s="1111"/>
      <c r="AB918" s="1111"/>
      <c r="AC918" s="1111"/>
      <c r="AD918" s="1111"/>
      <c r="AE918" s="1201"/>
      <c r="AF918" s="1201"/>
      <c r="AG918" s="1111"/>
      <c r="AH918" s="1111"/>
      <c r="AI918" s="1111"/>
      <c r="AJ918" s="100">
        <f>SUM(Table75[[#This Row],[June''2026]:[Column27]])</f>
        <v>0</v>
      </c>
      <c r="AK918" s="100">
        <f t="shared" si="1684"/>
        <v>0</v>
      </c>
      <c r="AL918" s="101">
        <f>+AJ918*AN918</f>
        <v>0</v>
      </c>
      <c r="AM918" s="1072">
        <f t="shared" si="1682"/>
        <v>0</v>
      </c>
      <c r="AN918" s="102"/>
      <c r="AO918" s="622" t="e">
        <f>Table5[[#This Row],[Total]]*B922/1000</f>
        <v>#VALUE!</v>
      </c>
      <c r="AP918" s="32" t="s">
        <v>193</v>
      </c>
      <c r="AQ918" s="33" t="s">
        <v>84</v>
      </c>
      <c r="AR918" s="33" t="s">
        <v>85</v>
      </c>
      <c r="AS918" s="33" t="s">
        <v>86</v>
      </c>
      <c r="AT918" s="33" t="s">
        <v>87</v>
      </c>
      <c r="AU918" s="33" t="s">
        <v>88</v>
      </c>
      <c r="AV918" s="34" t="s">
        <v>68</v>
      </c>
    </row>
    <row r="919" spans="1:48" ht="25.15" hidden="1" customHeight="1">
      <c r="A919" s="103"/>
      <c r="B919" s="35" t="s">
        <v>212</v>
      </c>
      <c r="C919" s="36"/>
      <c r="D919" s="37" t="s">
        <v>90</v>
      </c>
      <c r="E919" s="1373">
        <f>IF(E918="",0,+ E918/E925)</f>
        <v>0</v>
      </c>
      <c r="F919" s="1096">
        <f t="shared" ref="F919:AI919" si="1691">IF(F918="",0, E919+F918/F925)</f>
        <v>0</v>
      </c>
      <c r="G919" s="1207">
        <f t="shared" si="1691"/>
        <v>0</v>
      </c>
      <c r="H919" s="1096">
        <f t="shared" si="1691"/>
        <v>0</v>
      </c>
      <c r="I919" s="1096">
        <f t="shared" si="1691"/>
        <v>0</v>
      </c>
      <c r="J919" s="1207">
        <f t="shared" si="1691"/>
        <v>0</v>
      </c>
      <c r="K919" s="1207">
        <f t="shared" si="1691"/>
        <v>0</v>
      </c>
      <c r="L919" s="1096">
        <f t="shared" si="1691"/>
        <v>0</v>
      </c>
      <c r="M919" s="1096">
        <f t="shared" si="1691"/>
        <v>0</v>
      </c>
      <c r="N919" s="1096">
        <f t="shared" si="1691"/>
        <v>0</v>
      </c>
      <c r="O919" s="1096">
        <f t="shared" si="1691"/>
        <v>0</v>
      </c>
      <c r="P919" s="1096">
        <f t="shared" si="1691"/>
        <v>0</v>
      </c>
      <c r="Q919" s="1207">
        <f t="shared" si="1691"/>
        <v>0</v>
      </c>
      <c r="R919" s="1207">
        <f t="shared" si="1691"/>
        <v>0</v>
      </c>
      <c r="S919" s="1096">
        <f t="shared" si="1691"/>
        <v>0</v>
      </c>
      <c r="T919" s="1096">
        <f t="shared" si="1691"/>
        <v>0</v>
      </c>
      <c r="U919" s="1096">
        <f t="shared" si="1691"/>
        <v>0</v>
      </c>
      <c r="V919" s="1096">
        <f t="shared" si="1691"/>
        <v>0</v>
      </c>
      <c r="W919" s="1096">
        <f t="shared" si="1691"/>
        <v>0</v>
      </c>
      <c r="X919" s="1207">
        <f t="shared" si="1691"/>
        <v>0</v>
      </c>
      <c r="Y919" s="1207">
        <f t="shared" si="1691"/>
        <v>0</v>
      </c>
      <c r="Z919" s="1096">
        <f t="shared" si="1691"/>
        <v>0</v>
      </c>
      <c r="AA919" s="1096">
        <f t="shared" si="1691"/>
        <v>0</v>
      </c>
      <c r="AB919" s="1096">
        <f t="shared" si="1691"/>
        <v>0</v>
      </c>
      <c r="AC919" s="1096">
        <f t="shared" si="1691"/>
        <v>0</v>
      </c>
      <c r="AD919" s="1096">
        <f t="shared" si="1691"/>
        <v>0</v>
      </c>
      <c r="AE919" s="1207">
        <f t="shared" si="1691"/>
        <v>0</v>
      </c>
      <c r="AF919" s="1207">
        <f t="shared" si="1691"/>
        <v>0</v>
      </c>
      <c r="AG919" s="1096">
        <f t="shared" si="1691"/>
        <v>0</v>
      </c>
      <c r="AH919" s="1096">
        <f t="shared" si="1691"/>
        <v>0</v>
      </c>
      <c r="AI919" s="1324">
        <f t="shared" si="1691"/>
        <v>0</v>
      </c>
      <c r="AJ919" s="38"/>
      <c r="AK919" s="29"/>
      <c r="AL919" s="30"/>
      <c r="AM919" s="694">
        <f t="shared" si="1682"/>
        <v>0</v>
      </c>
      <c r="AN919" s="31"/>
      <c r="AO919" s="630"/>
      <c r="AP919" s="39" t="s">
        <v>91</v>
      </c>
      <c r="AQ919" s="40">
        <f>SUM(E918:I918)</f>
        <v>0</v>
      </c>
      <c r="AR919" s="41">
        <f>SUM(J918:P918)</f>
        <v>0</v>
      </c>
      <c r="AS919" s="41">
        <f>SUM(Q918:W918)</f>
        <v>0</v>
      </c>
      <c r="AT919" s="41">
        <f>SUM(X918:AD918)</f>
        <v>0</v>
      </c>
      <c r="AU919" s="41">
        <f>SUM(AE918:AI918)</f>
        <v>0</v>
      </c>
      <c r="AV919" s="34">
        <f t="shared" ref="AV919:AV924" si="1692">SUM(AQ919:AU919)</f>
        <v>0</v>
      </c>
    </row>
    <row r="920" spans="1:48" ht="25.15" hidden="1" customHeight="1">
      <c r="A920" s="103"/>
      <c r="B920" s="26" t="s">
        <v>92</v>
      </c>
      <c r="C920" s="42"/>
      <c r="D920" s="43" t="s">
        <v>93</v>
      </c>
      <c r="E920" s="1325">
        <v>0</v>
      </c>
      <c r="F920" s="1089"/>
      <c r="G920" s="44"/>
      <c r="H920" s="1089"/>
      <c r="I920" s="1089"/>
      <c r="J920" s="44"/>
      <c r="K920" s="44"/>
      <c r="L920" s="1089"/>
      <c r="M920" s="1089"/>
      <c r="N920" s="1089"/>
      <c r="O920" s="1089"/>
      <c r="P920" s="1089"/>
      <c r="Q920" s="44"/>
      <c r="R920" s="44"/>
      <c r="S920" s="1089"/>
      <c r="T920" s="1089"/>
      <c r="U920" s="1089"/>
      <c r="V920" s="1089"/>
      <c r="W920" s="1089"/>
      <c r="X920" s="44"/>
      <c r="Y920" s="44"/>
      <c r="Z920" s="1089"/>
      <c r="AA920" s="1089"/>
      <c r="AB920" s="1089"/>
      <c r="AC920" s="1089"/>
      <c r="AD920" s="1089"/>
      <c r="AE920" s="44"/>
      <c r="AF920" s="44"/>
      <c r="AG920" s="1089"/>
      <c r="AH920" s="1089"/>
      <c r="AI920" s="1326"/>
      <c r="AJ920" s="45">
        <f>SUM(E920:AI920)</f>
        <v>0</v>
      </c>
      <c r="AK920" s="45"/>
      <c r="AL920" s="46">
        <f>+AJ920*AN918</f>
        <v>0</v>
      </c>
      <c r="AM920" s="1066">
        <f t="shared" si="1682"/>
        <v>0</v>
      </c>
      <c r="AN920" s="31"/>
      <c r="AO920" s="632">
        <f>(AJ920+AJ922+AJ923+AJ924)*B922/1000</f>
        <v>0</v>
      </c>
      <c r="AP920" s="47" t="s">
        <v>94</v>
      </c>
      <c r="AQ920" s="48">
        <f>SUM(E920:I920)</f>
        <v>0</v>
      </c>
      <c r="AR920" s="49">
        <f>SUM(J920:P920)</f>
        <v>0</v>
      </c>
      <c r="AS920" s="49">
        <f>SUM(Q920:W920)</f>
        <v>0</v>
      </c>
      <c r="AT920" s="49">
        <f>SUM(X920:AD920)</f>
        <v>0</v>
      </c>
      <c r="AU920" s="49">
        <f>SUM(AE920:AI920)</f>
        <v>0</v>
      </c>
      <c r="AV920" s="50">
        <f t="shared" si="1692"/>
        <v>0</v>
      </c>
    </row>
    <row r="921" spans="1:48" ht="25.15" hidden="1" customHeight="1">
      <c r="A921" s="103"/>
      <c r="B921" s="51"/>
      <c r="C921" s="52" t="s">
        <v>95</v>
      </c>
      <c r="D921" s="53" t="s">
        <v>96</v>
      </c>
      <c r="E921" s="1327">
        <f t="shared" ref="E921:AJ921" si="1693">+E920-E918</f>
        <v>0</v>
      </c>
      <c r="F921" s="1097">
        <f t="shared" si="1693"/>
        <v>0</v>
      </c>
      <c r="G921" s="1205">
        <f t="shared" si="1693"/>
        <v>0</v>
      </c>
      <c r="H921" s="1097">
        <f t="shared" si="1693"/>
        <v>0</v>
      </c>
      <c r="I921" s="1097">
        <f t="shared" si="1693"/>
        <v>0</v>
      </c>
      <c r="J921" s="1205">
        <f t="shared" si="1693"/>
        <v>0</v>
      </c>
      <c r="K921" s="1205">
        <f t="shared" si="1693"/>
        <v>0</v>
      </c>
      <c r="L921" s="1097">
        <f t="shared" si="1693"/>
        <v>0</v>
      </c>
      <c r="M921" s="1097">
        <f t="shared" si="1693"/>
        <v>0</v>
      </c>
      <c r="N921" s="1097">
        <f t="shared" si="1693"/>
        <v>0</v>
      </c>
      <c r="O921" s="1097">
        <f t="shared" si="1693"/>
        <v>0</v>
      </c>
      <c r="P921" s="1097">
        <f t="shared" si="1693"/>
        <v>0</v>
      </c>
      <c r="Q921" s="1205">
        <f t="shared" si="1693"/>
        <v>0</v>
      </c>
      <c r="R921" s="1205">
        <f t="shared" si="1693"/>
        <v>0</v>
      </c>
      <c r="S921" s="1097">
        <f t="shared" si="1693"/>
        <v>0</v>
      </c>
      <c r="T921" s="1097">
        <f t="shared" si="1693"/>
        <v>0</v>
      </c>
      <c r="U921" s="1097">
        <f t="shared" si="1693"/>
        <v>0</v>
      </c>
      <c r="V921" s="1097">
        <f t="shared" si="1693"/>
        <v>0</v>
      </c>
      <c r="W921" s="1097">
        <f t="shared" si="1693"/>
        <v>0</v>
      </c>
      <c r="X921" s="1205">
        <f t="shared" si="1693"/>
        <v>0</v>
      </c>
      <c r="Y921" s="1205">
        <f t="shared" si="1693"/>
        <v>0</v>
      </c>
      <c r="Z921" s="1097">
        <f t="shared" si="1693"/>
        <v>0</v>
      </c>
      <c r="AA921" s="1097">
        <f t="shared" si="1693"/>
        <v>0</v>
      </c>
      <c r="AB921" s="1097">
        <f t="shared" si="1693"/>
        <v>0</v>
      </c>
      <c r="AC921" s="1097">
        <f t="shared" si="1693"/>
        <v>0</v>
      </c>
      <c r="AD921" s="1097">
        <f t="shared" si="1693"/>
        <v>0</v>
      </c>
      <c r="AE921" s="1205">
        <f t="shared" si="1693"/>
        <v>0</v>
      </c>
      <c r="AF921" s="1205">
        <f t="shared" si="1693"/>
        <v>0</v>
      </c>
      <c r="AG921" s="1097">
        <f t="shared" si="1693"/>
        <v>0</v>
      </c>
      <c r="AH921" s="1097">
        <f t="shared" si="1693"/>
        <v>0</v>
      </c>
      <c r="AI921" s="1328">
        <f t="shared" si="1693"/>
        <v>0</v>
      </c>
      <c r="AJ921" s="54">
        <f t="shared" si="1693"/>
        <v>0</v>
      </c>
      <c r="AK921" s="54"/>
      <c r="AL921" s="55">
        <f>+AJ921*AN918</f>
        <v>0</v>
      </c>
      <c r="AM921" s="1067">
        <f t="shared" si="1682"/>
        <v>0</v>
      </c>
      <c r="AN921" s="31" t="s">
        <v>97</v>
      </c>
      <c r="AO921" s="622"/>
      <c r="AP921" s="39" t="s">
        <v>98</v>
      </c>
      <c r="AQ921" s="56">
        <f>AQ920-AQ919</f>
        <v>0</v>
      </c>
      <c r="AR921" s="70">
        <f>AR920-AR919</f>
        <v>0</v>
      </c>
      <c r="AS921" s="70">
        <f>AS920-AS919</f>
        <v>0</v>
      </c>
      <c r="AT921" s="70">
        <f>AT920-AT919</f>
        <v>0</v>
      </c>
      <c r="AU921" s="70">
        <f>AU920-AU919</f>
        <v>0</v>
      </c>
      <c r="AV921" s="57">
        <f t="shared" si="1692"/>
        <v>0</v>
      </c>
    </row>
    <row r="922" spans="1:48" ht="25.15" hidden="1" customHeight="1">
      <c r="A922" s="58"/>
      <c r="B922" s="59"/>
      <c r="C922" s="60" t="s">
        <v>100</v>
      </c>
      <c r="D922" s="61" t="s">
        <v>101</v>
      </c>
      <c r="E922" s="1329"/>
      <c r="F922" s="1099"/>
      <c r="G922" s="1208"/>
      <c r="H922" s="1099"/>
      <c r="I922" s="1099"/>
      <c r="J922" s="1208"/>
      <c r="K922" s="1208"/>
      <c r="L922" s="1099"/>
      <c r="M922" s="1099"/>
      <c r="N922" s="1099"/>
      <c r="O922" s="1099"/>
      <c r="P922" s="1099"/>
      <c r="Q922" s="1208"/>
      <c r="R922" s="1208"/>
      <c r="S922" s="1099"/>
      <c r="T922" s="1099"/>
      <c r="U922" s="1099"/>
      <c r="V922" s="1099"/>
      <c r="W922" s="1099"/>
      <c r="X922" s="1208"/>
      <c r="Y922" s="1208"/>
      <c r="Z922" s="1099"/>
      <c r="AA922" s="1099"/>
      <c r="AB922" s="1099"/>
      <c r="AC922" s="1099"/>
      <c r="AD922" s="1099"/>
      <c r="AE922" s="1208"/>
      <c r="AF922" s="1208"/>
      <c r="AG922" s="1099"/>
      <c r="AH922" s="1099"/>
      <c r="AI922" s="1330"/>
      <c r="AJ922" s="62">
        <f>SUM(E922:AI922)</f>
        <v>0</v>
      </c>
      <c r="AK922" s="62"/>
      <c r="AL922" s="63">
        <f>+AJ922*AN918</f>
        <v>0</v>
      </c>
      <c r="AM922" s="1068">
        <f t="shared" si="1682"/>
        <v>0</v>
      </c>
      <c r="AN922" s="64" t="e">
        <f>+AJ922/AJ920*100</f>
        <v>#DIV/0!</v>
      </c>
      <c r="AO922" s="635" t="e">
        <f>AO920/AO918</f>
        <v>#VALUE!</v>
      </c>
      <c r="AP922" s="39" t="s">
        <v>102</v>
      </c>
      <c r="AQ922" s="56">
        <f>SUM(E922:I922)</f>
        <v>0</v>
      </c>
      <c r="AR922" s="70">
        <f>SUM(J922:P922)</f>
        <v>0</v>
      </c>
      <c r="AS922" s="70">
        <f>SUM(Q922:W922)</f>
        <v>0</v>
      </c>
      <c r="AT922" s="70">
        <f>SUM(X922:AD922)</f>
        <v>0</v>
      </c>
      <c r="AU922" s="70">
        <f>SUM(AE922:AI922)</f>
        <v>0</v>
      </c>
      <c r="AV922" s="57">
        <f t="shared" si="1692"/>
        <v>0</v>
      </c>
    </row>
    <row r="923" spans="1:48" ht="25.15" hidden="1" customHeight="1">
      <c r="A923" s="58" t="s">
        <v>202</v>
      </c>
      <c r="B923" s="65"/>
      <c r="C923" s="66"/>
      <c r="D923" s="67" t="s">
        <v>103</v>
      </c>
      <c r="E923" s="1331"/>
      <c r="F923" s="1101"/>
      <c r="G923" s="1209"/>
      <c r="H923" s="1101"/>
      <c r="I923" s="1101"/>
      <c r="J923" s="1209"/>
      <c r="K923" s="1209"/>
      <c r="L923" s="1101"/>
      <c r="M923" s="1101"/>
      <c r="N923" s="1101"/>
      <c r="O923" s="1101"/>
      <c r="P923" s="1101"/>
      <c r="Q923" s="1209"/>
      <c r="R923" s="1209"/>
      <c r="S923" s="1101"/>
      <c r="T923" s="1101"/>
      <c r="U923" s="1101"/>
      <c r="V923" s="1101"/>
      <c r="W923" s="1101"/>
      <c r="X923" s="1209"/>
      <c r="Y923" s="1209"/>
      <c r="Z923" s="1101"/>
      <c r="AA923" s="1101"/>
      <c r="AB923" s="1101"/>
      <c r="AC923" s="1101"/>
      <c r="AD923" s="1101"/>
      <c r="AE923" s="1209"/>
      <c r="AF923" s="1209"/>
      <c r="AG923" s="1101"/>
      <c r="AH923" s="1101"/>
      <c r="AI923" s="1332"/>
      <c r="AJ923" s="68">
        <f>SUM(E923:AI923)</f>
        <v>0</v>
      </c>
      <c r="AK923" s="68"/>
      <c r="AL923" s="69">
        <f>+AJ923*AN918</f>
        <v>0</v>
      </c>
      <c r="AM923" s="1069">
        <f t="shared" si="1682"/>
        <v>0</v>
      </c>
      <c r="AN923" s="31"/>
      <c r="AO923" s="622"/>
      <c r="AP923" s="39" t="s">
        <v>19</v>
      </c>
      <c r="AQ923" s="56">
        <f>AQ922*AN918</f>
        <v>0</v>
      </c>
      <c r="AR923" s="56">
        <f>AR922*AN918</f>
        <v>0</v>
      </c>
      <c r="AS923" s="56">
        <f>AS922*AN918</f>
        <v>0</v>
      </c>
      <c r="AT923" s="56">
        <f>AT922*AN918</f>
        <v>0</v>
      </c>
      <c r="AU923" s="56">
        <f>AU922*AN918</f>
        <v>0</v>
      </c>
      <c r="AV923" s="57">
        <f t="shared" si="1692"/>
        <v>0</v>
      </c>
    </row>
    <row r="924" spans="1:48" ht="25.15" hidden="1" customHeight="1">
      <c r="A924" s="103"/>
      <c r="B924" s="65"/>
      <c r="C924" s="72" t="s">
        <v>104</v>
      </c>
      <c r="D924" s="73" t="s">
        <v>105</v>
      </c>
      <c r="E924" s="1378"/>
      <c r="F924" s="1103"/>
      <c r="G924" s="1210"/>
      <c r="H924" s="1103"/>
      <c r="I924" s="1103"/>
      <c r="J924" s="1210"/>
      <c r="K924" s="1210"/>
      <c r="L924" s="1103"/>
      <c r="M924" s="1103"/>
      <c r="N924" s="1103"/>
      <c r="O924" s="1103"/>
      <c r="P924" s="1103"/>
      <c r="Q924" s="1210"/>
      <c r="R924" s="1210"/>
      <c r="S924" s="1103"/>
      <c r="T924" s="1103"/>
      <c r="U924" s="1103"/>
      <c r="V924" s="1103"/>
      <c r="W924" s="1103"/>
      <c r="X924" s="1210"/>
      <c r="Y924" s="1210"/>
      <c r="Z924" s="1103"/>
      <c r="AA924" s="1103"/>
      <c r="AB924" s="1103"/>
      <c r="AC924" s="1103"/>
      <c r="AD924" s="1103"/>
      <c r="AE924" s="1210"/>
      <c r="AF924" s="1210"/>
      <c r="AG924" s="1103"/>
      <c r="AH924" s="1103"/>
      <c r="AI924" s="1352"/>
      <c r="AJ924" s="74">
        <f>SUM(E924:AI924)</f>
        <v>0</v>
      </c>
      <c r="AK924" s="74"/>
      <c r="AL924" s="75">
        <f>+AJ924*AN918</f>
        <v>0</v>
      </c>
      <c r="AM924" s="1070">
        <f t="shared" si="1682"/>
        <v>0</v>
      </c>
      <c r="AN924" s="76"/>
      <c r="AO924" s="636"/>
      <c r="AP924" s="47" t="s">
        <v>106</v>
      </c>
      <c r="AQ924" s="48">
        <f>AQ920*AN918</f>
        <v>0</v>
      </c>
      <c r="AR924" s="48">
        <f>AR920*AN918</f>
        <v>0</v>
      </c>
      <c r="AS924" s="48">
        <f>AS920*AN918</f>
        <v>0</v>
      </c>
      <c r="AT924" s="48">
        <f>AT920*AN918</f>
        <v>0</v>
      </c>
      <c r="AU924" s="48">
        <f>AU920*AN918</f>
        <v>0</v>
      </c>
      <c r="AV924" s="50">
        <f t="shared" si="1692"/>
        <v>0</v>
      </c>
    </row>
    <row r="925" spans="1:48" ht="25.15" hidden="1" customHeight="1">
      <c r="A925" s="103"/>
      <c r="B925" s="65"/>
      <c r="C925" s="77">
        <v>300000</v>
      </c>
      <c r="D925" s="78" t="s">
        <v>107</v>
      </c>
      <c r="E925" s="1327">
        <v>1</v>
      </c>
      <c r="F925" s="1097">
        <v>1</v>
      </c>
      <c r="G925" s="1205">
        <v>1</v>
      </c>
      <c r="H925" s="1097">
        <v>1</v>
      </c>
      <c r="I925" s="1097">
        <v>1</v>
      </c>
      <c r="J925" s="1205">
        <v>1</v>
      </c>
      <c r="K925" s="1205">
        <v>1</v>
      </c>
      <c r="L925" s="1097">
        <v>1</v>
      </c>
      <c r="M925" s="1097">
        <v>1</v>
      </c>
      <c r="N925" s="1097">
        <v>1</v>
      </c>
      <c r="O925" s="1097">
        <v>1</v>
      </c>
      <c r="P925" s="1097">
        <v>1</v>
      </c>
      <c r="Q925" s="1205">
        <v>1</v>
      </c>
      <c r="R925" s="1205">
        <v>1</v>
      </c>
      <c r="S925" s="1097">
        <v>1</v>
      </c>
      <c r="T925" s="1097">
        <v>1</v>
      </c>
      <c r="U925" s="1097">
        <v>1</v>
      </c>
      <c r="V925" s="1097">
        <v>1</v>
      </c>
      <c r="W925" s="1097">
        <v>1</v>
      </c>
      <c r="X925" s="1205">
        <v>1</v>
      </c>
      <c r="Y925" s="1205">
        <v>1</v>
      </c>
      <c r="Z925" s="1097">
        <v>1</v>
      </c>
      <c r="AA925" s="1097">
        <v>1</v>
      </c>
      <c r="AB925" s="1097">
        <v>1</v>
      </c>
      <c r="AC925" s="1097">
        <v>1</v>
      </c>
      <c r="AD925" s="1097">
        <v>1</v>
      </c>
      <c r="AE925" s="1205">
        <v>1</v>
      </c>
      <c r="AF925" s="1205">
        <v>1</v>
      </c>
      <c r="AG925" s="1097">
        <v>1</v>
      </c>
      <c r="AH925" s="1097">
        <v>1</v>
      </c>
      <c r="AI925" s="1328">
        <v>1</v>
      </c>
      <c r="AJ925" s="79"/>
      <c r="AK925" s="79"/>
      <c r="AL925" s="55"/>
      <c r="AM925" s="1067">
        <f t="shared" si="1682"/>
        <v>0</v>
      </c>
      <c r="AN925" s="31"/>
      <c r="AO925" s="622"/>
      <c r="AP925" s="23"/>
      <c r="AQ925" s="23"/>
      <c r="AR925" s="23"/>
      <c r="AS925" s="23"/>
      <c r="AT925" s="23"/>
      <c r="AU925" s="23"/>
      <c r="AV925" s="23"/>
    </row>
    <row r="926" spans="1:48" ht="25.15" hidden="1" customHeight="1">
      <c r="A926" s="103"/>
      <c r="B926" s="65"/>
      <c r="C926" s="80" t="s">
        <v>108</v>
      </c>
      <c r="D926" s="81" t="s">
        <v>109</v>
      </c>
      <c r="E926" s="1374">
        <f>SUM(E920+E922+E923+E924)/E925</f>
        <v>0</v>
      </c>
      <c r="F926" s="1104">
        <f>SUM(F920+F922+F923+F924)/F925</f>
        <v>0</v>
      </c>
      <c r="G926" s="1211">
        <f>SUM(G920+G922+G923+G924)/G925</f>
        <v>0</v>
      </c>
      <c r="H926" s="1104">
        <f t="shared" ref="H926:AH926" si="1694">SUM(H920+H922+H923+H924)/H925</f>
        <v>0</v>
      </c>
      <c r="I926" s="1104">
        <f t="shared" si="1694"/>
        <v>0</v>
      </c>
      <c r="J926" s="1211">
        <f t="shared" si="1694"/>
        <v>0</v>
      </c>
      <c r="K926" s="1211">
        <f t="shared" si="1694"/>
        <v>0</v>
      </c>
      <c r="L926" s="1104">
        <f t="shared" si="1694"/>
        <v>0</v>
      </c>
      <c r="M926" s="1104">
        <f t="shared" si="1694"/>
        <v>0</v>
      </c>
      <c r="N926" s="1104">
        <f t="shared" si="1694"/>
        <v>0</v>
      </c>
      <c r="O926" s="1104">
        <f t="shared" si="1694"/>
        <v>0</v>
      </c>
      <c r="P926" s="1104">
        <f t="shared" si="1694"/>
        <v>0</v>
      </c>
      <c r="Q926" s="1211">
        <f t="shared" si="1694"/>
        <v>0</v>
      </c>
      <c r="R926" s="1211">
        <f t="shared" si="1694"/>
        <v>0</v>
      </c>
      <c r="S926" s="1104">
        <f t="shared" si="1694"/>
        <v>0</v>
      </c>
      <c r="T926" s="1104">
        <f t="shared" si="1694"/>
        <v>0</v>
      </c>
      <c r="U926" s="1104">
        <f t="shared" si="1694"/>
        <v>0</v>
      </c>
      <c r="V926" s="1104">
        <f t="shared" si="1694"/>
        <v>0</v>
      </c>
      <c r="W926" s="1104">
        <f t="shared" si="1694"/>
        <v>0</v>
      </c>
      <c r="X926" s="1211">
        <f t="shared" si="1694"/>
        <v>0</v>
      </c>
      <c r="Y926" s="1211">
        <f t="shared" si="1694"/>
        <v>0</v>
      </c>
      <c r="Z926" s="1104">
        <f t="shared" si="1694"/>
        <v>0</v>
      </c>
      <c r="AA926" s="1104">
        <f t="shared" si="1694"/>
        <v>0</v>
      </c>
      <c r="AB926" s="1104">
        <f t="shared" si="1694"/>
        <v>0</v>
      </c>
      <c r="AC926" s="1104">
        <f t="shared" si="1694"/>
        <v>0</v>
      </c>
      <c r="AD926" s="1104">
        <f t="shared" si="1694"/>
        <v>0</v>
      </c>
      <c r="AE926" s="1211">
        <f t="shared" si="1694"/>
        <v>0</v>
      </c>
      <c r="AF926" s="1211">
        <f t="shared" si="1694"/>
        <v>0</v>
      </c>
      <c r="AG926" s="1104">
        <f t="shared" si="1694"/>
        <v>0</v>
      </c>
      <c r="AH926" s="1104">
        <f t="shared" si="1694"/>
        <v>0</v>
      </c>
      <c r="AI926" s="1335">
        <f>SUM(AI920+AI922+AI923)/AI925</f>
        <v>0</v>
      </c>
      <c r="AJ926" s="104">
        <f>SUM(E926:AI926)</f>
        <v>0</v>
      </c>
      <c r="AK926" s="104"/>
      <c r="AL926" s="83"/>
      <c r="AM926" s="1068">
        <f t="shared" si="1682"/>
        <v>0</v>
      </c>
      <c r="AN926" s="31"/>
      <c r="AO926" s="622"/>
      <c r="AP926" s="23"/>
      <c r="AQ926" s="23"/>
      <c r="AR926" s="23"/>
      <c r="AS926" s="23"/>
      <c r="AT926" s="23"/>
      <c r="AU926" s="23"/>
      <c r="AV926" s="23"/>
    </row>
    <row r="927" spans="1:48" ht="25.15" hidden="1" customHeight="1">
      <c r="A927" s="103"/>
      <c r="B927" s="59"/>
      <c r="C927" s="84">
        <f>+C925*0.8</f>
        <v>240000</v>
      </c>
      <c r="D927" s="85" t="s">
        <v>110</v>
      </c>
      <c r="E927" s="1105"/>
      <c r="F927" s="1106"/>
      <c r="G927" s="1211"/>
      <c r="H927" s="1104"/>
      <c r="I927" s="1104"/>
      <c r="J927" s="1211"/>
      <c r="K927" s="1211"/>
      <c r="L927" s="1104"/>
      <c r="M927" s="1104"/>
      <c r="N927" s="1104"/>
      <c r="O927" s="1107"/>
      <c r="P927" s="1104"/>
      <c r="Q927" s="1211"/>
      <c r="R927" s="1211"/>
      <c r="S927" s="1104"/>
      <c r="T927" s="1104"/>
      <c r="U927" s="1104"/>
      <c r="V927" s="1104"/>
      <c r="W927" s="1104"/>
      <c r="X927" s="1211"/>
      <c r="Y927" s="1211"/>
      <c r="Z927" s="1104"/>
      <c r="AA927" s="1104"/>
      <c r="AB927" s="1104"/>
      <c r="AC927" s="1104"/>
      <c r="AD927" s="1104"/>
      <c r="AE927" s="1211"/>
      <c r="AF927" s="1211"/>
      <c r="AG927" s="1104"/>
      <c r="AH927" s="1104"/>
      <c r="AI927" s="1353"/>
      <c r="AJ927" s="86"/>
      <c r="AK927" s="86"/>
      <c r="AL927" s="690"/>
      <c r="AM927" s="694">
        <f t="shared" si="1682"/>
        <v>0</v>
      </c>
      <c r="AN927" s="31"/>
      <c r="AO927" s="622"/>
      <c r="AP927" s="23"/>
      <c r="AQ927" s="23"/>
      <c r="AR927" s="23"/>
      <c r="AS927" s="23"/>
      <c r="AT927" s="23"/>
      <c r="AU927" s="23"/>
      <c r="AV927" s="23"/>
    </row>
    <row r="928" spans="1:48" ht="25.15" hidden="1" customHeight="1">
      <c r="A928" s="103"/>
      <c r="B928" s="105"/>
      <c r="C928" s="77"/>
      <c r="D928" s="88" t="s">
        <v>111</v>
      </c>
      <c r="E928" s="1108">
        <f>IF(E927="O/H",E926,0+E926)</f>
        <v>0</v>
      </c>
      <c r="F928" s="1089">
        <f t="shared" ref="F928:AI928" si="1695">IF(F927="O/H",F926,+E928+F926)</f>
        <v>0</v>
      </c>
      <c r="G928" s="44">
        <f t="shared" si="1695"/>
        <v>0</v>
      </c>
      <c r="H928" s="1089">
        <f t="shared" si="1695"/>
        <v>0</v>
      </c>
      <c r="I928" s="1089">
        <f t="shared" si="1695"/>
        <v>0</v>
      </c>
      <c r="J928" s="44">
        <f t="shared" si="1695"/>
        <v>0</v>
      </c>
      <c r="K928" s="44">
        <f t="shared" si="1695"/>
        <v>0</v>
      </c>
      <c r="L928" s="1089">
        <f t="shared" si="1695"/>
        <v>0</v>
      </c>
      <c r="M928" s="1089">
        <f t="shared" si="1695"/>
        <v>0</v>
      </c>
      <c r="N928" s="1089">
        <f t="shared" si="1695"/>
        <v>0</v>
      </c>
      <c r="O928" s="1089">
        <f t="shared" si="1695"/>
        <v>0</v>
      </c>
      <c r="P928" s="1089">
        <f t="shared" si="1695"/>
        <v>0</v>
      </c>
      <c r="Q928" s="44">
        <f t="shared" si="1695"/>
        <v>0</v>
      </c>
      <c r="R928" s="44">
        <f t="shared" si="1695"/>
        <v>0</v>
      </c>
      <c r="S928" s="1089">
        <f t="shared" si="1695"/>
        <v>0</v>
      </c>
      <c r="T928" s="1089">
        <f t="shared" si="1695"/>
        <v>0</v>
      </c>
      <c r="U928" s="1089">
        <f t="shared" si="1695"/>
        <v>0</v>
      </c>
      <c r="V928" s="1089">
        <f t="shared" si="1695"/>
        <v>0</v>
      </c>
      <c r="W928" s="1089">
        <f t="shared" si="1695"/>
        <v>0</v>
      </c>
      <c r="X928" s="44">
        <f t="shared" si="1695"/>
        <v>0</v>
      </c>
      <c r="Y928" s="44">
        <f t="shared" si="1695"/>
        <v>0</v>
      </c>
      <c r="Z928" s="1089">
        <f t="shared" si="1695"/>
        <v>0</v>
      </c>
      <c r="AA928" s="1089">
        <f t="shared" si="1695"/>
        <v>0</v>
      </c>
      <c r="AB928" s="1089">
        <f t="shared" si="1695"/>
        <v>0</v>
      </c>
      <c r="AC928" s="1089">
        <f t="shared" si="1695"/>
        <v>0</v>
      </c>
      <c r="AD928" s="1089">
        <f t="shared" si="1695"/>
        <v>0</v>
      </c>
      <c r="AE928" s="44">
        <f t="shared" si="1695"/>
        <v>0</v>
      </c>
      <c r="AF928" s="44">
        <f t="shared" si="1695"/>
        <v>0</v>
      </c>
      <c r="AG928" s="1089">
        <f t="shared" si="1695"/>
        <v>0</v>
      </c>
      <c r="AH928" s="1089">
        <f t="shared" si="1695"/>
        <v>0</v>
      </c>
      <c r="AI928" s="1326">
        <f t="shared" si="1695"/>
        <v>0</v>
      </c>
      <c r="AJ928" s="79"/>
      <c r="AK928" s="86"/>
      <c r="AL928" s="689"/>
      <c r="AM928" s="694">
        <f t="shared" si="1682"/>
        <v>0</v>
      </c>
      <c r="AN928" s="31"/>
      <c r="AO928" s="622"/>
      <c r="AP928" s="23"/>
      <c r="AQ928" s="23"/>
      <c r="AR928" s="23"/>
      <c r="AS928" s="23"/>
      <c r="AT928" s="23"/>
      <c r="AU928" s="23"/>
      <c r="AV928" s="23"/>
    </row>
    <row r="929" spans="1:48" s="23" customFormat="1" ht="20.65" hidden="1" customHeight="1">
      <c r="A929" s="274"/>
      <c r="B929" s="312"/>
      <c r="C929" s="308"/>
      <c r="D929" s="795" t="s">
        <v>112</v>
      </c>
      <c r="E929" s="1108">
        <f>IF(AND(ISNUMBER(E920)),124488+E926)</f>
        <v>124488</v>
      </c>
      <c r="F929" s="1089" t="str">
        <f>IF(AND(ISNUMBER(F920)),E929+F926,"")</f>
        <v/>
      </c>
      <c r="G929" s="44" t="str">
        <f t="shared" ref="G929" si="1696">IF(AND(ISNUMBER(G920)),F929+G926,"")</f>
        <v/>
      </c>
      <c r="H929" s="1089" t="str">
        <f t="shared" ref="H929" si="1697">IF(AND(ISNUMBER(H920)),G929+H926,"")</f>
        <v/>
      </c>
      <c r="I929" s="1089" t="str">
        <f>IF(AND(ISNUMBER(I920)),H929+I926,"")</f>
        <v/>
      </c>
      <c r="J929" s="44" t="str">
        <f>IF(AND(ISNUMBER(J920)),I929+J926,"")</f>
        <v/>
      </c>
      <c r="K929" s="44" t="str">
        <f>IF(AND(ISNUMBER(K920)),J929+K926,"")</f>
        <v/>
      </c>
      <c r="L929" s="1089" t="str">
        <f t="shared" ref="L929" si="1698">IF(AND(ISNUMBER(L920)),K929+L926,"")</f>
        <v/>
      </c>
      <c r="M929" s="1089" t="str">
        <f t="shared" ref="M929" si="1699">IF(AND(ISNUMBER(M920)),L929+M926,"")</f>
        <v/>
      </c>
      <c r="N929" s="1089" t="str">
        <f t="shared" ref="N929" si="1700">IF(AND(ISNUMBER(N920)),M929+N926,"")</f>
        <v/>
      </c>
      <c r="O929" s="1089" t="str">
        <f t="shared" ref="O929" si="1701">IF(AND(ISNUMBER(O920)),N929+O926,"")</f>
        <v/>
      </c>
      <c r="P929" s="1089" t="str">
        <f t="shared" ref="P929" si="1702">IF(AND(ISNUMBER(P920)),O929+P926,"")</f>
        <v/>
      </c>
      <c r="Q929" s="44" t="str">
        <f t="shared" ref="Q929" si="1703">IF(AND(ISNUMBER(Q920)),P929+Q926,"")</f>
        <v/>
      </c>
      <c r="R929" s="44" t="str">
        <f t="shared" ref="R929" si="1704">IF(AND(ISNUMBER(R920)),Q929+R926,"")</f>
        <v/>
      </c>
      <c r="S929" s="1089" t="str">
        <f t="shared" ref="S929" si="1705">IF(AND(ISNUMBER(S920)),R929+S926,"")</f>
        <v/>
      </c>
      <c r="T929" s="1089" t="str">
        <f t="shared" ref="T929" si="1706">IF(AND(ISNUMBER(T920)),S929+T926,"")</f>
        <v/>
      </c>
      <c r="U929" s="1089" t="str">
        <f t="shared" ref="U929" si="1707">IF(AND(ISNUMBER(U920)),T929+U926,"")</f>
        <v/>
      </c>
      <c r="V929" s="1089" t="str">
        <f t="shared" ref="V929" si="1708">IF(AND(ISNUMBER(V920)),U929+V926,"")</f>
        <v/>
      </c>
      <c r="W929" s="1089" t="str">
        <f t="shared" ref="W929" si="1709">IF(AND(ISNUMBER(W920)),V929+W926,"")</f>
        <v/>
      </c>
      <c r="X929" s="44" t="str">
        <f t="shared" ref="X929" si="1710">IF(AND(ISNUMBER(X920)),W929+X926,"")</f>
        <v/>
      </c>
      <c r="Y929" s="44" t="str">
        <f t="shared" ref="Y929" si="1711">IF(AND(ISNUMBER(Y920)),X929+Y926,"")</f>
        <v/>
      </c>
      <c r="Z929" s="1089" t="str">
        <f t="shared" ref="Z929" si="1712">IF(AND(ISNUMBER(Z920)),Y929+Z926,"")</f>
        <v/>
      </c>
      <c r="AA929" s="1089" t="str">
        <f t="shared" ref="AA929" si="1713">IF(AND(ISNUMBER(AA920)),Z929+AA926,"")</f>
        <v/>
      </c>
      <c r="AB929" s="1089" t="str">
        <f t="shared" ref="AB929" si="1714">IF(AND(ISNUMBER(AB920)),AA929+AB926,"")</f>
        <v/>
      </c>
      <c r="AC929" s="1089" t="str">
        <f t="shared" ref="AC929" si="1715">IF(AND(ISNUMBER(AC920)),AB929+AC926,"")</f>
        <v/>
      </c>
      <c r="AD929" s="1089" t="str">
        <f t="shared" ref="AD929" si="1716">IF(AND(ISNUMBER(AD920)),AC929+AD926,"")</f>
        <v/>
      </c>
      <c r="AE929" s="44" t="str">
        <f t="shared" ref="AE929" si="1717">IF(AND(ISNUMBER(AE920)),AD929+AE926,"")</f>
        <v/>
      </c>
      <c r="AF929" s="44" t="str">
        <f t="shared" ref="AF929" si="1718">IF(AND(ISNUMBER(AF920)),AE929+AF926,"")</f>
        <v/>
      </c>
      <c r="AG929" s="1089" t="str">
        <f t="shared" ref="AG929" si="1719">IF(AND(ISNUMBER(AG920)),AF929+AG926,"")</f>
        <v/>
      </c>
      <c r="AH929" s="1089" t="str">
        <f t="shared" ref="AH929" si="1720">IF(AND(ISNUMBER(AH920)),AG929+AH926,"")</f>
        <v/>
      </c>
      <c r="AI929" s="1089" t="str">
        <f t="shared" ref="AI929" si="1721">IF(AND(ISNUMBER(AI920)),AH929+AI926,"")</f>
        <v/>
      </c>
      <c r="AJ929" s="793"/>
      <c r="AK929" s="793"/>
      <c r="AL929" s="909"/>
      <c r="AM929" s="890">
        <f t="shared" si="1682"/>
        <v>0</v>
      </c>
      <c r="AN929" s="76"/>
      <c r="AO929" s="624"/>
      <c r="AP929" s="285"/>
      <c r="AQ929" s="285"/>
      <c r="AR929" s="285"/>
      <c r="AS929" s="285"/>
      <c r="AT929" s="286"/>
      <c r="AU929" s="285"/>
      <c r="AV929" s="287"/>
    </row>
    <row r="930" spans="1:48" ht="25.15" hidden="1" customHeight="1">
      <c r="A930" s="103"/>
      <c r="B930" s="89"/>
      <c r="C930" s="80"/>
      <c r="D930" s="90" t="s">
        <v>104</v>
      </c>
      <c r="E930" s="1108"/>
      <c r="F930" s="1089"/>
      <c r="G930" s="44"/>
      <c r="H930" s="1089"/>
      <c r="I930" s="1089"/>
      <c r="J930" s="44"/>
      <c r="K930" s="44"/>
      <c r="L930" s="1089"/>
      <c r="M930" s="1089"/>
      <c r="N930" s="1089"/>
      <c r="O930" s="1089"/>
      <c r="P930" s="1089"/>
      <c r="Q930" s="44"/>
      <c r="R930" s="44"/>
      <c r="S930" s="1089"/>
      <c r="T930" s="1089"/>
      <c r="U930" s="1089"/>
      <c r="V930" s="1089"/>
      <c r="W930" s="1089"/>
      <c r="X930" s="44"/>
      <c r="Y930" s="44"/>
      <c r="Z930" s="1089"/>
      <c r="AA930" s="1089"/>
      <c r="AB930" s="1089"/>
      <c r="AC930" s="1089"/>
      <c r="AD930" s="1089"/>
      <c r="AE930" s="44"/>
      <c r="AF930" s="44"/>
      <c r="AG930" s="1089"/>
      <c r="AH930" s="1089"/>
      <c r="AI930" s="1326"/>
      <c r="AJ930" s="79"/>
      <c r="AK930" s="79"/>
      <c r="AL930" s="63"/>
      <c r="AM930" s="1068">
        <f t="shared" si="1682"/>
        <v>0</v>
      </c>
      <c r="AN930" s="64"/>
      <c r="AO930" s="624"/>
      <c r="AP930" s="23"/>
      <c r="AQ930" s="23"/>
      <c r="AR930" s="23"/>
      <c r="AS930" s="23"/>
      <c r="AT930" s="23"/>
      <c r="AU930" s="23"/>
      <c r="AV930" s="23"/>
    </row>
    <row r="931" spans="1:48" ht="25.15" hidden="1" customHeight="1" thickBot="1">
      <c r="A931" s="106"/>
      <c r="B931" s="93"/>
      <c r="C931" s="94"/>
      <c r="D931" s="95" t="s">
        <v>111</v>
      </c>
      <c r="E931" s="1109">
        <f>IF(E930="O/H",E926,0+E926)</f>
        <v>0</v>
      </c>
      <c r="F931" s="1110">
        <f t="shared" ref="F931:AI931" si="1722">IF(F930="O/H",F926,+E931+F926)</f>
        <v>0</v>
      </c>
      <c r="G931" s="1212">
        <f t="shared" si="1722"/>
        <v>0</v>
      </c>
      <c r="H931" s="1110">
        <f t="shared" si="1722"/>
        <v>0</v>
      </c>
      <c r="I931" s="1110">
        <f t="shared" si="1722"/>
        <v>0</v>
      </c>
      <c r="J931" s="1212">
        <f t="shared" si="1722"/>
        <v>0</v>
      </c>
      <c r="K931" s="1212">
        <f t="shared" si="1722"/>
        <v>0</v>
      </c>
      <c r="L931" s="1110">
        <f t="shared" si="1722"/>
        <v>0</v>
      </c>
      <c r="M931" s="1110">
        <f t="shared" si="1722"/>
        <v>0</v>
      </c>
      <c r="N931" s="1110">
        <f t="shared" si="1722"/>
        <v>0</v>
      </c>
      <c r="O931" s="1110">
        <f t="shared" si="1722"/>
        <v>0</v>
      </c>
      <c r="P931" s="1110">
        <f t="shared" si="1722"/>
        <v>0</v>
      </c>
      <c r="Q931" s="1212">
        <f t="shared" si="1722"/>
        <v>0</v>
      </c>
      <c r="R931" s="1212">
        <f t="shared" si="1722"/>
        <v>0</v>
      </c>
      <c r="S931" s="1110">
        <f t="shared" si="1722"/>
        <v>0</v>
      </c>
      <c r="T931" s="1110">
        <f t="shared" si="1722"/>
        <v>0</v>
      </c>
      <c r="U931" s="1110">
        <f t="shared" si="1722"/>
        <v>0</v>
      </c>
      <c r="V931" s="1110">
        <f t="shared" si="1722"/>
        <v>0</v>
      </c>
      <c r="W931" s="1110">
        <f t="shared" si="1722"/>
        <v>0</v>
      </c>
      <c r="X931" s="1212">
        <f t="shared" si="1722"/>
        <v>0</v>
      </c>
      <c r="Y931" s="1212">
        <f t="shared" si="1722"/>
        <v>0</v>
      </c>
      <c r="Z931" s="1110">
        <f t="shared" si="1722"/>
        <v>0</v>
      </c>
      <c r="AA931" s="1110">
        <f t="shared" si="1722"/>
        <v>0</v>
      </c>
      <c r="AB931" s="1110">
        <f t="shared" si="1722"/>
        <v>0</v>
      </c>
      <c r="AC931" s="1110">
        <f t="shared" si="1722"/>
        <v>0</v>
      </c>
      <c r="AD931" s="1110">
        <f t="shared" si="1722"/>
        <v>0</v>
      </c>
      <c r="AE931" s="1212">
        <f t="shared" si="1722"/>
        <v>0</v>
      </c>
      <c r="AF931" s="1212">
        <f t="shared" si="1722"/>
        <v>0</v>
      </c>
      <c r="AG931" s="1110">
        <f t="shared" si="1722"/>
        <v>0</v>
      </c>
      <c r="AH931" s="1110">
        <f t="shared" si="1722"/>
        <v>0</v>
      </c>
      <c r="AI931" s="1340">
        <f t="shared" si="1722"/>
        <v>0</v>
      </c>
      <c r="AJ931" s="96"/>
      <c r="AK931" s="96"/>
      <c r="AL931" s="97"/>
      <c r="AM931" s="1071">
        <f t="shared" si="1682"/>
        <v>0</v>
      </c>
      <c r="AN931" s="98"/>
      <c r="AO931" s="625"/>
      <c r="AP931" s="23"/>
      <c r="AQ931" s="23"/>
      <c r="AR931" s="23"/>
      <c r="AS931" s="23"/>
      <c r="AT931" s="23"/>
      <c r="AU931" s="23"/>
      <c r="AV931" s="23"/>
    </row>
    <row r="932" spans="1:48" ht="25.15" hidden="1" customHeight="1" thickTop="1">
      <c r="A932" s="99"/>
      <c r="B932" s="26" t="s">
        <v>213</v>
      </c>
      <c r="C932" s="27"/>
      <c r="D932" s="28" t="s">
        <v>82</v>
      </c>
      <c r="E932" s="1111"/>
      <c r="F932" s="1111"/>
      <c r="G932" s="1201"/>
      <c r="H932" s="1111"/>
      <c r="I932" s="1111"/>
      <c r="J932" s="1201"/>
      <c r="K932" s="1201"/>
      <c r="L932" s="1111"/>
      <c r="M932" s="1111"/>
      <c r="N932" s="1111"/>
      <c r="O932" s="1111"/>
      <c r="P932" s="1111"/>
      <c r="Q932" s="1201"/>
      <c r="R932" s="1201"/>
      <c r="S932" s="1111"/>
      <c r="T932" s="1111"/>
      <c r="U932" s="1111"/>
      <c r="V932" s="1111"/>
      <c r="W932" s="1111"/>
      <c r="X932" s="1201"/>
      <c r="Y932" s="1201"/>
      <c r="Z932" s="1111"/>
      <c r="AA932" s="1111"/>
      <c r="AB932" s="1111"/>
      <c r="AC932" s="1111"/>
      <c r="AD932" s="1111"/>
      <c r="AE932" s="1201"/>
      <c r="AF932" s="1201"/>
      <c r="AG932" s="1111"/>
      <c r="AH932" s="1111"/>
      <c r="AI932" s="1111"/>
      <c r="AJ932" s="100">
        <f>SUM(Table75[[#This Row],[June''2026]:[Column27]])</f>
        <v>0</v>
      </c>
      <c r="AK932" s="100">
        <f t="shared" si="1684"/>
        <v>0</v>
      </c>
      <c r="AL932" s="101">
        <f>+AJ932*AN932</f>
        <v>0</v>
      </c>
      <c r="AM932" s="1072">
        <f t="shared" si="1682"/>
        <v>0</v>
      </c>
      <c r="AN932" s="102"/>
      <c r="AO932" s="622" t="e">
        <f>Table5[[#This Row],[Total]]*B936/1000</f>
        <v>#VALUE!</v>
      </c>
      <c r="AP932" s="32" t="s">
        <v>193</v>
      </c>
      <c r="AQ932" s="33" t="s">
        <v>84</v>
      </c>
      <c r="AR932" s="33" t="s">
        <v>85</v>
      </c>
      <c r="AS932" s="33" t="s">
        <v>86</v>
      </c>
      <c r="AT932" s="33" t="s">
        <v>87</v>
      </c>
      <c r="AU932" s="33" t="s">
        <v>88</v>
      </c>
      <c r="AV932" s="34" t="s">
        <v>68</v>
      </c>
    </row>
    <row r="933" spans="1:48" ht="25.15" hidden="1" customHeight="1">
      <c r="A933" s="103"/>
      <c r="B933" s="35" t="s">
        <v>114</v>
      </c>
      <c r="C933" s="36"/>
      <c r="D933" s="37" t="s">
        <v>90</v>
      </c>
      <c r="E933" s="1373">
        <f>IF(E932="",0,+ E932/E939)</f>
        <v>0</v>
      </c>
      <c r="F933" s="1096">
        <f t="shared" ref="F933:AI933" si="1723">IF(F932="",0, E933+F932/F939)</f>
        <v>0</v>
      </c>
      <c r="G933" s="1207">
        <f t="shared" si="1723"/>
        <v>0</v>
      </c>
      <c r="H933" s="1096">
        <f t="shared" si="1723"/>
        <v>0</v>
      </c>
      <c r="I933" s="1096">
        <f t="shared" si="1723"/>
        <v>0</v>
      </c>
      <c r="J933" s="1207">
        <f t="shared" si="1723"/>
        <v>0</v>
      </c>
      <c r="K933" s="1207">
        <f t="shared" si="1723"/>
        <v>0</v>
      </c>
      <c r="L933" s="1096">
        <f t="shared" si="1723"/>
        <v>0</v>
      </c>
      <c r="M933" s="1096">
        <f t="shared" si="1723"/>
        <v>0</v>
      </c>
      <c r="N933" s="1096">
        <f t="shared" si="1723"/>
        <v>0</v>
      </c>
      <c r="O933" s="1096">
        <f t="shared" si="1723"/>
        <v>0</v>
      </c>
      <c r="P933" s="1096">
        <f t="shared" si="1723"/>
        <v>0</v>
      </c>
      <c r="Q933" s="1207">
        <f t="shared" si="1723"/>
        <v>0</v>
      </c>
      <c r="R933" s="1207">
        <f t="shared" si="1723"/>
        <v>0</v>
      </c>
      <c r="S933" s="1096">
        <f t="shared" si="1723"/>
        <v>0</v>
      </c>
      <c r="T933" s="1096">
        <f t="shared" si="1723"/>
        <v>0</v>
      </c>
      <c r="U933" s="1096">
        <f t="shared" si="1723"/>
        <v>0</v>
      </c>
      <c r="V933" s="1096">
        <f t="shared" si="1723"/>
        <v>0</v>
      </c>
      <c r="W933" s="1096">
        <f t="shared" si="1723"/>
        <v>0</v>
      </c>
      <c r="X933" s="1207">
        <f t="shared" si="1723"/>
        <v>0</v>
      </c>
      <c r="Y933" s="1207">
        <f t="shared" si="1723"/>
        <v>0</v>
      </c>
      <c r="Z933" s="1096">
        <f t="shared" si="1723"/>
        <v>0</v>
      </c>
      <c r="AA933" s="1096">
        <f t="shared" si="1723"/>
        <v>0</v>
      </c>
      <c r="AB933" s="1096">
        <f t="shared" si="1723"/>
        <v>0</v>
      </c>
      <c r="AC933" s="1096">
        <f t="shared" si="1723"/>
        <v>0</v>
      </c>
      <c r="AD933" s="1096">
        <f t="shared" si="1723"/>
        <v>0</v>
      </c>
      <c r="AE933" s="1207">
        <f t="shared" si="1723"/>
        <v>0</v>
      </c>
      <c r="AF933" s="1207">
        <f t="shared" si="1723"/>
        <v>0</v>
      </c>
      <c r="AG933" s="1096">
        <f t="shared" si="1723"/>
        <v>0</v>
      </c>
      <c r="AH933" s="1096">
        <f t="shared" si="1723"/>
        <v>0</v>
      </c>
      <c r="AI933" s="1324">
        <f t="shared" si="1723"/>
        <v>0</v>
      </c>
      <c r="AJ933" s="38"/>
      <c r="AK933" s="29"/>
      <c r="AL933" s="30"/>
      <c r="AM933" s="694">
        <f t="shared" si="1682"/>
        <v>0</v>
      </c>
      <c r="AN933" s="31"/>
      <c r="AO933" s="630"/>
      <c r="AP933" s="39" t="s">
        <v>91</v>
      </c>
      <c r="AQ933" s="40">
        <f>SUM(E932:I932)</f>
        <v>0</v>
      </c>
      <c r="AR933" s="41">
        <f>SUM(J932:P932)</f>
        <v>0</v>
      </c>
      <c r="AS933" s="41">
        <f>SUM(Q932:W932)</f>
        <v>0</v>
      </c>
      <c r="AT933" s="41">
        <f>SUM(X932:AD932)</f>
        <v>0</v>
      </c>
      <c r="AU933" s="41">
        <f>SUM(AE932:AI932)</f>
        <v>0</v>
      </c>
      <c r="AV933" s="34">
        <f t="shared" ref="AV933:AV938" si="1724">SUM(AQ933:AU933)</f>
        <v>0</v>
      </c>
    </row>
    <row r="934" spans="1:48" ht="25.15" hidden="1" customHeight="1">
      <c r="A934" s="103"/>
      <c r="B934" s="26" t="s">
        <v>92</v>
      </c>
      <c r="C934" s="42"/>
      <c r="D934" s="43" t="s">
        <v>93</v>
      </c>
      <c r="E934" s="1325"/>
      <c r="F934" s="1089"/>
      <c r="G934" s="44"/>
      <c r="H934" s="1089"/>
      <c r="I934" s="1089"/>
      <c r="J934" s="44"/>
      <c r="K934" s="44"/>
      <c r="L934" s="1089"/>
      <c r="M934" s="1089"/>
      <c r="N934" s="1089"/>
      <c r="O934" s="1089"/>
      <c r="P934" s="1089"/>
      <c r="Q934" s="44"/>
      <c r="R934" s="44"/>
      <c r="S934" s="1089"/>
      <c r="T934" s="1089"/>
      <c r="U934" s="1089"/>
      <c r="V934" s="1089"/>
      <c r="W934" s="1089"/>
      <c r="X934" s="44"/>
      <c r="Y934" s="44"/>
      <c r="Z934" s="1089"/>
      <c r="AA934" s="1089"/>
      <c r="AB934" s="1089"/>
      <c r="AC934" s="1089"/>
      <c r="AD934" s="1089"/>
      <c r="AE934" s="44"/>
      <c r="AF934" s="44"/>
      <c r="AG934" s="1089"/>
      <c r="AH934" s="1089"/>
      <c r="AI934" s="1326"/>
      <c r="AJ934" s="45">
        <f>SUM(E934:AI934)</f>
        <v>0</v>
      </c>
      <c r="AK934" s="45"/>
      <c r="AL934" s="46">
        <f>+AJ934*AN932</f>
        <v>0</v>
      </c>
      <c r="AM934" s="1066">
        <f t="shared" si="1682"/>
        <v>0</v>
      </c>
      <c r="AN934" s="31"/>
      <c r="AO934" s="632">
        <f>(AJ934+AJ936+AJ937+AJ938)*B936/1000</f>
        <v>0</v>
      </c>
      <c r="AP934" s="47" t="s">
        <v>94</v>
      </c>
      <c r="AQ934" s="48">
        <f>SUM(E934:I934)</f>
        <v>0</v>
      </c>
      <c r="AR934" s="49">
        <f>SUM(J934:P934)</f>
        <v>0</v>
      </c>
      <c r="AS934" s="49">
        <f>SUM(Q934:W934)</f>
        <v>0</v>
      </c>
      <c r="AT934" s="49">
        <f>SUM(X934:AD934)</f>
        <v>0</v>
      </c>
      <c r="AU934" s="49">
        <f>SUM(AE934:AI934)</f>
        <v>0</v>
      </c>
      <c r="AV934" s="50">
        <f t="shared" si="1724"/>
        <v>0</v>
      </c>
    </row>
    <row r="935" spans="1:48" ht="25.15" hidden="1" customHeight="1">
      <c r="A935" s="103"/>
      <c r="B935" s="51"/>
      <c r="C935" s="52" t="s">
        <v>95</v>
      </c>
      <c r="D935" s="53" t="s">
        <v>96</v>
      </c>
      <c r="E935" s="1327">
        <f t="shared" ref="E935:AJ935" si="1725">+E934-E932</f>
        <v>0</v>
      </c>
      <c r="F935" s="1097">
        <f t="shared" si="1725"/>
        <v>0</v>
      </c>
      <c r="G935" s="1205">
        <f t="shared" si="1725"/>
        <v>0</v>
      </c>
      <c r="H935" s="1097">
        <f t="shared" si="1725"/>
        <v>0</v>
      </c>
      <c r="I935" s="1097">
        <f t="shared" si="1725"/>
        <v>0</v>
      </c>
      <c r="J935" s="1205">
        <f t="shared" si="1725"/>
        <v>0</v>
      </c>
      <c r="K935" s="1205">
        <f t="shared" si="1725"/>
        <v>0</v>
      </c>
      <c r="L935" s="1097">
        <f t="shared" si="1725"/>
        <v>0</v>
      </c>
      <c r="M935" s="1097">
        <f t="shared" si="1725"/>
        <v>0</v>
      </c>
      <c r="N935" s="1097">
        <f t="shared" si="1725"/>
        <v>0</v>
      </c>
      <c r="O935" s="1097">
        <f t="shared" si="1725"/>
        <v>0</v>
      </c>
      <c r="P935" s="1097">
        <f t="shared" si="1725"/>
        <v>0</v>
      </c>
      <c r="Q935" s="1205">
        <f t="shared" si="1725"/>
        <v>0</v>
      </c>
      <c r="R935" s="1205">
        <f t="shared" si="1725"/>
        <v>0</v>
      </c>
      <c r="S935" s="1097">
        <f t="shared" si="1725"/>
        <v>0</v>
      </c>
      <c r="T935" s="1097">
        <f t="shared" si="1725"/>
        <v>0</v>
      </c>
      <c r="U935" s="1097">
        <f t="shared" si="1725"/>
        <v>0</v>
      </c>
      <c r="V935" s="1097">
        <f t="shared" si="1725"/>
        <v>0</v>
      </c>
      <c r="W935" s="1097">
        <f t="shared" si="1725"/>
        <v>0</v>
      </c>
      <c r="X935" s="1205">
        <f t="shared" si="1725"/>
        <v>0</v>
      </c>
      <c r="Y935" s="1205">
        <f t="shared" si="1725"/>
        <v>0</v>
      </c>
      <c r="Z935" s="1097">
        <f t="shared" si="1725"/>
        <v>0</v>
      </c>
      <c r="AA935" s="1097">
        <f t="shared" si="1725"/>
        <v>0</v>
      </c>
      <c r="AB935" s="1097">
        <f t="shared" si="1725"/>
        <v>0</v>
      </c>
      <c r="AC935" s="1097">
        <f t="shared" si="1725"/>
        <v>0</v>
      </c>
      <c r="AD935" s="1097">
        <f t="shared" si="1725"/>
        <v>0</v>
      </c>
      <c r="AE935" s="1205">
        <f t="shared" si="1725"/>
        <v>0</v>
      </c>
      <c r="AF935" s="1205">
        <f t="shared" si="1725"/>
        <v>0</v>
      </c>
      <c r="AG935" s="1097">
        <f t="shared" si="1725"/>
        <v>0</v>
      </c>
      <c r="AH935" s="1097">
        <f t="shared" si="1725"/>
        <v>0</v>
      </c>
      <c r="AI935" s="1328">
        <f t="shared" si="1725"/>
        <v>0</v>
      </c>
      <c r="AJ935" s="54">
        <f t="shared" si="1725"/>
        <v>0</v>
      </c>
      <c r="AK935" s="54"/>
      <c r="AL935" s="55">
        <f>+AJ935*AN932</f>
        <v>0</v>
      </c>
      <c r="AM935" s="1067">
        <f t="shared" si="1682"/>
        <v>0</v>
      </c>
      <c r="AN935" s="31" t="s">
        <v>97</v>
      </c>
      <c r="AO935" s="622"/>
      <c r="AP935" s="39" t="s">
        <v>98</v>
      </c>
      <c r="AQ935" s="56">
        <f>AQ934-AQ933</f>
        <v>0</v>
      </c>
      <c r="AR935" s="70">
        <f>AR934-AR933</f>
        <v>0</v>
      </c>
      <c r="AS935" s="70">
        <f>AS934-AS933</f>
        <v>0</v>
      </c>
      <c r="AT935" s="70">
        <f>AT934-AT933</f>
        <v>0</v>
      </c>
      <c r="AU935" s="70">
        <f>AU934-AU933</f>
        <v>0</v>
      </c>
      <c r="AV935" s="57">
        <f t="shared" si="1724"/>
        <v>0</v>
      </c>
    </row>
    <row r="936" spans="1:48" ht="25.15" hidden="1" customHeight="1">
      <c r="A936" s="58"/>
      <c r="B936" s="59"/>
      <c r="C936" s="60" t="s">
        <v>100</v>
      </c>
      <c r="D936" s="61" t="s">
        <v>101</v>
      </c>
      <c r="E936" s="1329"/>
      <c r="F936" s="1099"/>
      <c r="G936" s="1208"/>
      <c r="H936" s="1099"/>
      <c r="I936" s="1099"/>
      <c r="J936" s="1208"/>
      <c r="K936" s="1208"/>
      <c r="L936" s="1099"/>
      <c r="M936" s="1099"/>
      <c r="N936" s="1099"/>
      <c r="O936" s="1099"/>
      <c r="P936" s="1099"/>
      <c r="Q936" s="1208"/>
      <c r="R936" s="1208"/>
      <c r="S936" s="1099"/>
      <c r="T936" s="1099"/>
      <c r="U936" s="1099"/>
      <c r="V936" s="1099"/>
      <c r="W936" s="1099"/>
      <c r="X936" s="1208"/>
      <c r="Y936" s="1208"/>
      <c r="Z936" s="1099"/>
      <c r="AA936" s="1099"/>
      <c r="AB936" s="1099"/>
      <c r="AC936" s="1099"/>
      <c r="AD936" s="1099"/>
      <c r="AE936" s="1208"/>
      <c r="AF936" s="1208"/>
      <c r="AG936" s="1099"/>
      <c r="AH936" s="1099"/>
      <c r="AI936" s="1330"/>
      <c r="AJ936" s="62">
        <f>SUM(E936:AI936)</f>
        <v>0</v>
      </c>
      <c r="AK936" s="62"/>
      <c r="AL936" s="63">
        <f>+AJ936*AN932</f>
        <v>0</v>
      </c>
      <c r="AM936" s="1068">
        <f t="shared" si="1682"/>
        <v>0</v>
      </c>
      <c r="AN936" s="64" t="e">
        <f>+AJ936/AJ934*100</f>
        <v>#DIV/0!</v>
      </c>
      <c r="AO936" s="635" t="e">
        <f>AO934/AO932</f>
        <v>#VALUE!</v>
      </c>
      <c r="AP936" s="39" t="s">
        <v>102</v>
      </c>
      <c r="AQ936" s="56">
        <f>SUM(E936:I936)</f>
        <v>0</v>
      </c>
      <c r="AR936" s="70">
        <f>SUM(J936:P936)</f>
        <v>0</v>
      </c>
      <c r="AS936" s="70">
        <f>SUM(Q936:W936)</f>
        <v>0</v>
      </c>
      <c r="AT936" s="70">
        <f>SUM(X936:AD936)</f>
        <v>0</v>
      </c>
      <c r="AU936" s="70">
        <f>SUM(AE936:AI936)</f>
        <v>0</v>
      </c>
      <c r="AV936" s="57">
        <f t="shared" si="1724"/>
        <v>0</v>
      </c>
    </row>
    <row r="937" spans="1:48" ht="25.15" hidden="1" customHeight="1">
      <c r="A937" s="58" t="s">
        <v>202</v>
      </c>
      <c r="B937" s="65"/>
      <c r="C937" s="66"/>
      <c r="D937" s="67" t="s">
        <v>103</v>
      </c>
      <c r="E937" s="1331"/>
      <c r="F937" s="1101"/>
      <c r="G937" s="1209"/>
      <c r="H937" s="1101"/>
      <c r="I937" s="1101"/>
      <c r="J937" s="1209"/>
      <c r="K937" s="1209"/>
      <c r="L937" s="1101"/>
      <c r="M937" s="1101"/>
      <c r="N937" s="1101"/>
      <c r="O937" s="1101"/>
      <c r="P937" s="1101"/>
      <c r="Q937" s="1209"/>
      <c r="R937" s="1209"/>
      <c r="S937" s="1101"/>
      <c r="T937" s="1101"/>
      <c r="U937" s="1101"/>
      <c r="V937" s="1101"/>
      <c r="W937" s="1101"/>
      <c r="X937" s="1209"/>
      <c r="Y937" s="1209"/>
      <c r="Z937" s="1101"/>
      <c r="AA937" s="1101"/>
      <c r="AB937" s="1101"/>
      <c r="AC937" s="1101"/>
      <c r="AD937" s="1101"/>
      <c r="AE937" s="1209"/>
      <c r="AF937" s="1209"/>
      <c r="AG937" s="1101"/>
      <c r="AH937" s="1101"/>
      <c r="AI937" s="1332"/>
      <c r="AJ937" s="68">
        <f>SUM(E937:AI937)</f>
        <v>0</v>
      </c>
      <c r="AK937" s="68"/>
      <c r="AL937" s="69">
        <f>+AJ937*AN932</f>
        <v>0</v>
      </c>
      <c r="AM937" s="1069">
        <f t="shared" si="1682"/>
        <v>0</v>
      </c>
      <c r="AN937" s="31"/>
      <c r="AO937" s="622"/>
      <c r="AP937" s="39" t="s">
        <v>19</v>
      </c>
      <c r="AQ937" s="56">
        <f>AQ936*AN932</f>
        <v>0</v>
      </c>
      <c r="AR937" s="56">
        <f>AR936*AN932</f>
        <v>0</v>
      </c>
      <c r="AS937" s="56">
        <f>AS936*AN932</f>
        <v>0</v>
      </c>
      <c r="AT937" s="56">
        <f>AT936*AN932</f>
        <v>0</v>
      </c>
      <c r="AU937" s="56">
        <f>AU936*AN932</f>
        <v>0</v>
      </c>
      <c r="AV937" s="57">
        <f t="shared" si="1724"/>
        <v>0</v>
      </c>
    </row>
    <row r="938" spans="1:48" ht="25.15" hidden="1" customHeight="1">
      <c r="A938" s="103"/>
      <c r="B938" s="65"/>
      <c r="C938" s="72" t="s">
        <v>104</v>
      </c>
      <c r="D938" s="73" t="s">
        <v>105</v>
      </c>
      <c r="E938" s="1378"/>
      <c r="F938" s="1103"/>
      <c r="G938" s="1210"/>
      <c r="H938" s="1103"/>
      <c r="I938" s="1103"/>
      <c r="J938" s="1210"/>
      <c r="K938" s="1210"/>
      <c r="L938" s="1103"/>
      <c r="M938" s="1103"/>
      <c r="N938" s="1103"/>
      <c r="O938" s="1103"/>
      <c r="P938" s="1103"/>
      <c r="Q938" s="1210"/>
      <c r="R938" s="1210"/>
      <c r="S938" s="1103"/>
      <c r="T938" s="1103"/>
      <c r="U938" s="1103"/>
      <c r="V938" s="1103"/>
      <c r="W938" s="1103"/>
      <c r="X938" s="1210"/>
      <c r="Y938" s="1210"/>
      <c r="Z938" s="1103"/>
      <c r="AA938" s="1103"/>
      <c r="AB938" s="1103"/>
      <c r="AC938" s="1103"/>
      <c r="AD938" s="1103"/>
      <c r="AE938" s="1210"/>
      <c r="AF938" s="1210"/>
      <c r="AG938" s="1103"/>
      <c r="AH938" s="1103"/>
      <c r="AI938" s="1352"/>
      <c r="AJ938" s="74">
        <f>SUM(E938:AI938)</f>
        <v>0</v>
      </c>
      <c r="AK938" s="74"/>
      <c r="AL938" s="75">
        <f>+AJ938*AN932</f>
        <v>0</v>
      </c>
      <c r="AM938" s="1070">
        <f t="shared" si="1682"/>
        <v>0</v>
      </c>
      <c r="AN938" s="76"/>
      <c r="AO938" s="636"/>
      <c r="AP938" s="47" t="s">
        <v>106</v>
      </c>
      <c r="AQ938" s="48">
        <f>AQ934*AN932</f>
        <v>0</v>
      </c>
      <c r="AR938" s="48">
        <f>AR934*AN932</f>
        <v>0</v>
      </c>
      <c r="AS938" s="48">
        <f>AS934*AN932</f>
        <v>0</v>
      </c>
      <c r="AT938" s="48">
        <f>AT934*AN932</f>
        <v>0</v>
      </c>
      <c r="AU938" s="48">
        <f>AU934*AN932</f>
        <v>0</v>
      </c>
      <c r="AV938" s="50">
        <f t="shared" si="1724"/>
        <v>0</v>
      </c>
    </row>
    <row r="939" spans="1:48" ht="25.15" hidden="1" customHeight="1">
      <c r="A939" s="103"/>
      <c r="B939" s="65"/>
      <c r="C939" s="77">
        <v>300000</v>
      </c>
      <c r="D939" s="78" t="s">
        <v>107</v>
      </c>
      <c r="E939" s="1327">
        <v>1</v>
      </c>
      <c r="F939" s="1097">
        <v>1</v>
      </c>
      <c r="G939" s="1205">
        <v>1</v>
      </c>
      <c r="H939" s="1097">
        <v>1</v>
      </c>
      <c r="I939" s="1097">
        <v>1</v>
      </c>
      <c r="J939" s="1205">
        <v>1</v>
      </c>
      <c r="K939" s="1205">
        <v>1</v>
      </c>
      <c r="L939" s="1097">
        <v>1</v>
      </c>
      <c r="M939" s="1097">
        <v>1</v>
      </c>
      <c r="N939" s="1097">
        <v>1</v>
      </c>
      <c r="O939" s="1097">
        <v>1</v>
      </c>
      <c r="P939" s="1097">
        <v>1</v>
      </c>
      <c r="Q939" s="1205">
        <v>1</v>
      </c>
      <c r="R939" s="1205">
        <v>1</v>
      </c>
      <c r="S939" s="1097">
        <v>1</v>
      </c>
      <c r="T939" s="1097">
        <v>1</v>
      </c>
      <c r="U939" s="1097">
        <v>1</v>
      </c>
      <c r="V939" s="1097">
        <v>1</v>
      </c>
      <c r="W939" s="1097">
        <v>1</v>
      </c>
      <c r="X939" s="1205">
        <v>1</v>
      </c>
      <c r="Y939" s="1205">
        <v>1</v>
      </c>
      <c r="Z939" s="1097">
        <v>1</v>
      </c>
      <c r="AA939" s="1097">
        <v>1</v>
      </c>
      <c r="AB939" s="1097">
        <v>1</v>
      </c>
      <c r="AC939" s="1097">
        <v>1</v>
      </c>
      <c r="AD939" s="1097">
        <v>1</v>
      </c>
      <c r="AE939" s="1205">
        <v>1</v>
      </c>
      <c r="AF939" s="1205">
        <v>1</v>
      </c>
      <c r="AG939" s="1097">
        <v>1</v>
      </c>
      <c r="AH939" s="1097">
        <v>1</v>
      </c>
      <c r="AI939" s="1328">
        <v>1</v>
      </c>
      <c r="AJ939" s="79"/>
      <c r="AK939" s="79"/>
      <c r="AL939" s="55"/>
      <c r="AM939" s="1067">
        <f t="shared" si="1682"/>
        <v>0</v>
      </c>
      <c r="AN939" s="31"/>
      <c r="AO939" s="622"/>
      <c r="AP939" s="23"/>
      <c r="AQ939" s="23"/>
      <c r="AR939" s="23"/>
      <c r="AS939" s="23"/>
      <c r="AT939" s="23"/>
      <c r="AU939" s="23"/>
      <c r="AV939" s="23"/>
    </row>
    <row r="940" spans="1:48" ht="25.15" hidden="1" customHeight="1">
      <c r="A940" s="103"/>
      <c r="B940" s="65"/>
      <c r="C940" s="80" t="s">
        <v>108</v>
      </c>
      <c r="D940" s="81" t="s">
        <v>109</v>
      </c>
      <c r="E940" s="1374">
        <f>SUM(E934+E936+E937+E938)/E939</f>
        <v>0</v>
      </c>
      <c r="F940" s="1104">
        <f>SUM(F934+F936+F937+F938)/F939</f>
        <v>0</v>
      </c>
      <c r="G940" s="1211">
        <f>SUM(G934+G936+G937+G938)/G939</f>
        <v>0</v>
      </c>
      <c r="H940" s="1104">
        <f t="shared" ref="H940:AH940" si="1726">SUM(H934+H936+H937+H938)/H939</f>
        <v>0</v>
      </c>
      <c r="I940" s="1104">
        <f t="shared" si="1726"/>
        <v>0</v>
      </c>
      <c r="J940" s="1211">
        <f t="shared" si="1726"/>
        <v>0</v>
      </c>
      <c r="K940" s="1211">
        <f t="shared" si="1726"/>
        <v>0</v>
      </c>
      <c r="L940" s="1104">
        <f t="shared" si="1726"/>
        <v>0</v>
      </c>
      <c r="M940" s="1104">
        <f t="shared" si="1726"/>
        <v>0</v>
      </c>
      <c r="N940" s="1104">
        <f t="shared" si="1726"/>
        <v>0</v>
      </c>
      <c r="O940" s="1104">
        <f t="shared" si="1726"/>
        <v>0</v>
      </c>
      <c r="P940" s="1104">
        <f t="shared" si="1726"/>
        <v>0</v>
      </c>
      <c r="Q940" s="1211">
        <f t="shared" si="1726"/>
        <v>0</v>
      </c>
      <c r="R940" s="1211">
        <f t="shared" si="1726"/>
        <v>0</v>
      </c>
      <c r="S940" s="1104">
        <f t="shared" si="1726"/>
        <v>0</v>
      </c>
      <c r="T940" s="1104">
        <f t="shared" si="1726"/>
        <v>0</v>
      </c>
      <c r="U940" s="1104">
        <f t="shared" si="1726"/>
        <v>0</v>
      </c>
      <c r="V940" s="1104">
        <f t="shared" si="1726"/>
        <v>0</v>
      </c>
      <c r="W940" s="1104">
        <f t="shared" si="1726"/>
        <v>0</v>
      </c>
      <c r="X940" s="1211">
        <f t="shared" si="1726"/>
        <v>0</v>
      </c>
      <c r="Y940" s="1211">
        <f t="shared" si="1726"/>
        <v>0</v>
      </c>
      <c r="Z940" s="1104">
        <f t="shared" si="1726"/>
        <v>0</v>
      </c>
      <c r="AA940" s="1104">
        <f t="shared" si="1726"/>
        <v>0</v>
      </c>
      <c r="AB940" s="1104">
        <f t="shared" si="1726"/>
        <v>0</v>
      </c>
      <c r="AC940" s="1104">
        <f t="shared" si="1726"/>
        <v>0</v>
      </c>
      <c r="AD940" s="1104">
        <f t="shared" si="1726"/>
        <v>0</v>
      </c>
      <c r="AE940" s="1211">
        <f t="shared" si="1726"/>
        <v>0</v>
      </c>
      <c r="AF940" s="1211">
        <f t="shared" si="1726"/>
        <v>0</v>
      </c>
      <c r="AG940" s="1104">
        <f t="shared" si="1726"/>
        <v>0</v>
      </c>
      <c r="AH940" s="1104">
        <f t="shared" si="1726"/>
        <v>0</v>
      </c>
      <c r="AI940" s="1335">
        <f>SUM(AI934+AI936+AI937)/AI939</f>
        <v>0</v>
      </c>
      <c r="AJ940" s="104">
        <f>SUM(E940:AI940)</f>
        <v>0</v>
      </c>
      <c r="AK940" s="104"/>
      <c r="AL940" s="83"/>
      <c r="AM940" s="1068">
        <f t="shared" si="1682"/>
        <v>0</v>
      </c>
      <c r="AN940" s="31"/>
      <c r="AO940" s="622"/>
      <c r="AP940" s="23"/>
      <c r="AQ940" s="23"/>
      <c r="AR940" s="23"/>
      <c r="AS940" s="23"/>
      <c r="AT940" s="23"/>
      <c r="AU940" s="23"/>
      <c r="AV940" s="23"/>
    </row>
    <row r="941" spans="1:48" ht="25.15" hidden="1" customHeight="1">
      <c r="A941" s="103"/>
      <c r="B941" s="59"/>
      <c r="C941" s="84">
        <f>+C939*0.8</f>
        <v>240000</v>
      </c>
      <c r="D941" s="85" t="s">
        <v>110</v>
      </c>
      <c r="E941" s="1105"/>
      <c r="F941" s="1106"/>
      <c r="G941" s="1211"/>
      <c r="H941" s="1104"/>
      <c r="I941" s="1104"/>
      <c r="J941" s="1211"/>
      <c r="K941" s="1211"/>
      <c r="L941" s="1104"/>
      <c r="M941" s="1104"/>
      <c r="N941" s="1104"/>
      <c r="O941" s="1107"/>
      <c r="P941" s="1104"/>
      <c r="Q941" s="1211"/>
      <c r="R941" s="1211"/>
      <c r="S941" s="1104"/>
      <c r="T941" s="1104"/>
      <c r="U941" s="1104"/>
      <c r="V941" s="1104"/>
      <c r="W941" s="1104"/>
      <c r="X941" s="1211"/>
      <c r="Y941" s="1211"/>
      <c r="Z941" s="1104"/>
      <c r="AA941" s="1104"/>
      <c r="AB941" s="1104"/>
      <c r="AC941" s="1104"/>
      <c r="AD941" s="1104"/>
      <c r="AE941" s="1211"/>
      <c r="AF941" s="1211"/>
      <c r="AG941" s="1104"/>
      <c r="AH941" s="1104"/>
      <c r="AI941" s="1353"/>
      <c r="AJ941" s="86"/>
      <c r="AK941" s="86"/>
      <c r="AL941" s="690"/>
      <c r="AM941" s="694">
        <f t="shared" si="1682"/>
        <v>0</v>
      </c>
      <c r="AN941" s="31"/>
      <c r="AO941" s="622"/>
      <c r="AP941" s="23"/>
      <c r="AQ941" s="23"/>
      <c r="AR941" s="23"/>
      <c r="AS941" s="23"/>
      <c r="AT941" s="23"/>
      <c r="AU941" s="23"/>
      <c r="AV941" s="23"/>
    </row>
    <row r="942" spans="1:48" ht="25.15" hidden="1" customHeight="1">
      <c r="A942" s="103"/>
      <c r="B942" s="105"/>
      <c r="C942" s="77"/>
      <c r="D942" s="88" t="s">
        <v>111</v>
      </c>
      <c r="E942" s="1108">
        <f>IF(E941="O/H",E940,0+E940)</f>
        <v>0</v>
      </c>
      <c r="F942" s="1089">
        <f t="shared" ref="F942:AI942" si="1727">IF(F941="O/H",F940,+E942+F940)</f>
        <v>0</v>
      </c>
      <c r="G942" s="44">
        <f t="shared" si="1727"/>
        <v>0</v>
      </c>
      <c r="H942" s="1089">
        <f t="shared" si="1727"/>
        <v>0</v>
      </c>
      <c r="I942" s="1089">
        <f t="shared" si="1727"/>
        <v>0</v>
      </c>
      <c r="J942" s="44">
        <f t="shared" si="1727"/>
        <v>0</v>
      </c>
      <c r="K942" s="44">
        <f t="shared" si="1727"/>
        <v>0</v>
      </c>
      <c r="L942" s="1089">
        <f t="shared" si="1727"/>
        <v>0</v>
      </c>
      <c r="M942" s="1089">
        <f t="shared" si="1727"/>
        <v>0</v>
      </c>
      <c r="N942" s="1089">
        <f t="shared" si="1727"/>
        <v>0</v>
      </c>
      <c r="O942" s="1089">
        <f t="shared" si="1727"/>
        <v>0</v>
      </c>
      <c r="P942" s="1089">
        <f t="shared" si="1727"/>
        <v>0</v>
      </c>
      <c r="Q942" s="44">
        <f t="shared" si="1727"/>
        <v>0</v>
      </c>
      <c r="R942" s="44">
        <f t="shared" si="1727"/>
        <v>0</v>
      </c>
      <c r="S942" s="1089">
        <f t="shared" si="1727"/>
        <v>0</v>
      </c>
      <c r="T942" s="1089">
        <f t="shared" si="1727"/>
        <v>0</v>
      </c>
      <c r="U942" s="1089">
        <f t="shared" si="1727"/>
        <v>0</v>
      </c>
      <c r="V942" s="1089">
        <f t="shared" si="1727"/>
        <v>0</v>
      </c>
      <c r="W942" s="1089">
        <f t="shared" si="1727"/>
        <v>0</v>
      </c>
      <c r="X942" s="44">
        <f t="shared" si="1727"/>
        <v>0</v>
      </c>
      <c r="Y942" s="44">
        <f t="shared" si="1727"/>
        <v>0</v>
      </c>
      <c r="Z942" s="1089">
        <f t="shared" si="1727"/>
        <v>0</v>
      </c>
      <c r="AA942" s="1089">
        <f t="shared" si="1727"/>
        <v>0</v>
      </c>
      <c r="AB942" s="1089">
        <f t="shared" si="1727"/>
        <v>0</v>
      </c>
      <c r="AC942" s="1089">
        <f t="shared" si="1727"/>
        <v>0</v>
      </c>
      <c r="AD942" s="1089">
        <f t="shared" si="1727"/>
        <v>0</v>
      </c>
      <c r="AE942" s="44">
        <f t="shared" si="1727"/>
        <v>0</v>
      </c>
      <c r="AF942" s="44">
        <f t="shared" si="1727"/>
        <v>0</v>
      </c>
      <c r="AG942" s="1089">
        <f t="shared" si="1727"/>
        <v>0</v>
      </c>
      <c r="AH942" s="1089">
        <f t="shared" si="1727"/>
        <v>0</v>
      </c>
      <c r="AI942" s="1326">
        <f t="shared" si="1727"/>
        <v>0</v>
      </c>
      <c r="AJ942" s="79"/>
      <c r="AK942" s="86"/>
      <c r="AL942" s="689"/>
      <c r="AM942" s="694">
        <f t="shared" si="1682"/>
        <v>0</v>
      </c>
      <c r="AN942" s="31"/>
      <c r="AO942" s="622"/>
      <c r="AP942" s="23"/>
      <c r="AQ942" s="23"/>
      <c r="AR942" s="23"/>
      <c r="AS942" s="23"/>
      <c r="AT942" s="23"/>
      <c r="AU942" s="23"/>
      <c r="AV942" s="23"/>
    </row>
    <row r="943" spans="1:48" ht="25.15" hidden="1" customHeight="1">
      <c r="A943" s="103"/>
      <c r="B943" s="89"/>
      <c r="C943" s="80"/>
      <c r="D943" s="90" t="s">
        <v>104</v>
      </c>
      <c r="E943" s="1108"/>
      <c r="F943" s="1089"/>
      <c r="G943" s="44"/>
      <c r="H943" s="1089"/>
      <c r="I943" s="1089"/>
      <c r="J943" s="44"/>
      <c r="K943" s="44"/>
      <c r="L943" s="1089"/>
      <c r="M943" s="1089"/>
      <c r="N943" s="1089"/>
      <c r="O943" s="1089"/>
      <c r="P943" s="1089"/>
      <c r="Q943" s="44"/>
      <c r="R943" s="44"/>
      <c r="S943" s="1089"/>
      <c r="T943" s="1089"/>
      <c r="U943" s="1089"/>
      <c r="V943" s="1089"/>
      <c r="W943" s="1089"/>
      <c r="X943" s="44"/>
      <c r="Y943" s="44"/>
      <c r="Z943" s="1089"/>
      <c r="AA943" s="1089"/>
      <c r="AB943" s="1089"/>
      <c r="AC943" s="1089"/>
      <c r="AD943" s="1089"/>
      <c r="AE943" s="44"/>
      <c r="AF943" s="44"/>
      <c r="AG943" s="1089"/>
      <c r="AH943" s="1089"/>
      <c r="AI943" s="1326"/>
      <c r="AJ943" s="79"/>
      <c r="AK943" s="79"/>
      <c r="AL943" s="63"/>
      <c r="AM943" s="1068">
        <f t="shared" si="1682"/>
        <v>0</v>
      </c>
      <c r="AN943" s="64"/>
      <c r="AO943" s="624"/>
      <c r="AP943" s="23"/>
      <c r="AQ943" s="23"/>
      <c r="AR943" s="23"/>
      <c r="AS943" s="23"/>
      <c r="AT943" s="23"/>
      <c r="AU943" s="23"/>
      <c r="AV943" s="23"/>
    </row>
    <row r="944" spans="1:48" ht="18.75" hidden="1" customHeight="1" thickBot="1">
      <c r="A944" s="106"/>
      <c r="B944" s="93"/>
      <c r="C944" s="94"/>
      <c r="D944" s="95" t="s">
        <v>111</v>
      </c>
      <c r="E944" s="1109">
        <f>IF(E943="O/H",E940,0+E940)</f>
        <v>0</v>
      </c>
      <c r="F944" s="1110">
        <f t="shared" ref="F944:AI944" si="1728">IF(F943="O/H",F940,+E944+F940)</f>
        <v>0</v>
      </c>
      <c r="G944" s="1212">
        <f t="shared" si="1728"/>
        <v>0</v>
      </c>
      <c r="H944" s="1110">
        <f t="shared" si="1728"/>
        <v>0</v>
      </c>
      <c r="I944" s="1110">
        <f t="shared" si="1728"/>
        <v>0</v>
      </c>
      <c r="J944" s="1212">
        <f t="shared" si="1728"/>
        <v>0</v>
      </c>
      <c r="K944" s="1212">
        <f t="shared" si="1728"/>
        <v>0</v>
      </c>
      <c r="L944" s="1110">
        <f t="shared" si="1728"/>
        <v>0</v>
      </c>
      <c r="M944" s="1110">
        <f t="shared" si="1728"/>
        <v>0</v>
      </c>
      <c r="N944" s="1110">
        <f t="shared" si="1728"/>
        <v>0</v>
      </c>
      <c r="O944" s="1110">
        <f t="shared" si="1728"/>
        <v>0</v>
      </c>
      <c r="P944" s="1110">
        <f t="shared" si="1728"/>
        <v>0</v>
      </c>
      <c r="Q944" s="1212">
        <f t="shared" si="1728"/>
        <v>0</v>
      </c>
      <c r="R944" s="1212">
        <f t="shared" si="1728"/>
        <v>0</v>
      </c>
      <c r="S944" s="1110">
        <f t="shared" si="1728"/>
        <v>0</v>
      </c>
      <c r="T944" s="1110">
        <f t="shared" si="1728"/>
        <v>0</v>
      </c>
      <c r="U944" s="1110">
        <f t="shared" si="1728"/>
        <v>0</v>
      </c>
      <c r="V944" s="1110">
        <f t="shared" si="1728"/>
        <v>0</v>
      </c>
      <c r="W944" s="1110">
        <f t="shared" si="1728"/>
        <v>0</v>
      </c>
      <c r="X944" s="1212">
        <f t="shared" si="1728"/>
        <v>0</v>
      </c>
      <c r="Y944" s="1212">
        <f t="shared" si="1728"/>
        <v>0</v>
      </c>
      <c r="Z944" s="1110">
        <f t="shared" si="1728"/>
        <v>0</v>
      </c>
      <c r="AA944" s="1110">
        <f t="shared" si="1728"/>
        <v>0</v>
      </c>
      <c r="AB944" s="1110">
        <f t="shared" si="1728"/>
        <v>0</v>
      </c>
      <c r="AC944" s="1110">
        <f t="shared" si="1728"/>
        <v>0</v>
      </c>
      <c r="AD944" s="1110">
        <f t="shared" si="1728"/>
        <v>0</v>
      </c>
      <c r="AE944" s="1212">
        <f t="shared" si="1728"/>
        <v>0</v>
      </c>
      <c r="AF944" s="1212">
        <f t="shared" si="1728"/>
        <v>0</v>
      </c>
      <c r="AG944" s="1110">
        <f t="shared" si="1728"/>
        <v>0</v>
      </c>
      <c r="AH944" s="1110">
        <f t="shared" si="1728"/>
        <v>0</v>
      </c>
      <c r="AI944" s="1340">
        <f t="shared" si="1728"/>
        <v>0</v>
      </c>
      <c r="AJ944" s="96"/>
      <c r="AK944" s="96"/>
      <c r="AL944" s="97"/>
      <c r="AM944" s="1071">
        <f t="shared" si="1682"/>
        <v>0</v>
      </c>
      <c r="AN944" s="98"/>
      <c r="AO944" s="625"/>
      <c r="AP944" s="23"/>
      <c r="AQ944" s="23"/>
      <c r="AR944" s="23"/>
      <c r="AS944" s="23"/>
      <c r="AT944" s="23"/>
      <c r="AU944" s="23"/>
      <c r="AV944" s="23"/>
    </row>
    <row r="945" spans="1:48" ht="25.15" customHeight="1" thickTop="1">
      <c r="A945" s="99"/>
      <c r="B945" s="26" t="s">
        <v>214</v>
      </c>
      <c r="C945" s="27"/>
      <c r="D945" s="28" t="s">
        <v>82</v>
      </c>
      <c r="E945" s="1523">
        <v>0</v>
      </c>
      <c r="F945" s="1111">
        <v>0</v>
      </c>
      <c r="G945" s="1201">
        <v>0</v>
      </c>
      <c r="H945" s="1111">
        <v>0</v>
      </c>
      <c r="I945" s="1111">
        <v>0</v>
      </c>
      <c r="J945" s="1201">
        <v>0</v>
      </c>
      <c r="K945" s="1201">
        <v>0</v>
      </c>
      <c r="L945" s="1111">
        <v>0</v>
      </c>
      <c r="M945" s="1111">
        <v>0</v>
      </c>
      <c r="N945" s="1111">
        <v>0</v>
      </c>
      <c r="O945" s="1111">
        <v>0</v>
      </c>
      <c r="P945" s="1111">
        <v>0</v>
      </c>
      <c r="Q945" s="1201">
        <v>0</v>
      </c>
      <c r="R945" s="1201">
        <v>0</v>
      </c>
      <c r="S945" s="1111">
        <v>550</v>
      </c>
      <c r="T945" s="1111">
        <v>700</v>
      </c>
      <c r="U945" s="1111">
        <v>700</v>
      </c>
      <c r="V945" s="1111">
        <v>700</v>
      </c>
      <c r="W945" s="1111">
        <v>700</v>
      </c>
      <c r="X945" s="1201">
        <v>0</v>
      </c>
      <c r="Y945" s="1201">
        <v>0</v>
      </c>
      <c r="Z945" s="1111">
        <v>550</v>
      </c>
      <c r="AA945" s="1111">
        <v>700</v>
      </c>
      <c r="AB945" s="1111">
        <v>700</v>
      </c>
      <c r="AC945" s="1111">
        <v>700</v>
      </c>
      <c r="AD945" s="1111">
        <v>0</v>
      </c>
      <c r="AE945" s="1201">
        <v>0</v>
      </c>
      <c r="AF945" s="1201">
        <v>0</v>
      </c>
      <c r="AG945" s="1111">
        <v>0</v>
      </c>
      <c r="AH945" s="1111">
        <v>0</v>
      </c>
      <c r="AI945" s="1111"/>
      <c r="AJ945" s="100">
        <f>SUM(Table75[[#This Row],[June''2026]:[Column27]])</f>
        <v>6000</v>
      </c>
      <c r="AK945" s="100"/>
      <c r="AL945" s="101">
        <f>+AJ945*AN945</f>
        <v>0</v>
      </c>
      <c r="AM945" s="1072">
        <f t="shared" si="1682"/>
        <v>0</v>
      </c>
      <c r="AN945" s="102"/>
      <c r="AO945" s="622" t="e">
        <f>Table5[[#This Row],[Total]]*B949/1000</f>
        <v>#VALUE!</v>
      </c>
      <c r="AP945" s="32" t="s">
        <v>193</v>
      </c>
      <c r="AQ945" s="33" t="s">
        <v>84</v>
      </c>
      <c r="AR945" s="33" t="s">
        <v>85</v>
      </c>
      <c r="AS945" s="33" t="s">
        <v>86</v>
      </c>
      <c r="AT945" s="33" t="s">
        <v>87</v>
      </c>
      <c r="AU945" s="33" t="s">
        <v>88</v>
      </c>
      <c r="AV945" s="34" t="s">
        <v>68</v>
      </c>
    </row>
    <row r="946" spans="1:48" ht="26.25" customHeight="1">
      <c r="A946" s="103"/>
      <c r="B946" s="35" t="s">
        <v>215</v>
      </c>
      <c r="C946" s="36"/>
      <c r="D946" s="37" t="s">
        <v>90</v>
      </c>
      <c r="E946" s="1373">
        <f>IF(E945="",0,+ E945/E952)</f>
        <v>0</v>
      </c>
      <c r="F946" s="1096">
        <f t="shared" ref="F946:AI946" si="1729">IF(F945="",0, E946+F945/F952)</f>
        <v>0</v>
      </c>
      <c r="G946" s="1207">
        <f t="shared" si="1729"/>
        <v>0</v>
      </c>
      <c r="H946" s="1096">
        <f t="shared" si="1729"/>
        <v>0</v>
      </c>
      <c r="I946" s="1096">
        <f t="shared" si="1729"/>
        <v>0</v>
      </c>
      <c r="J946" s="1207">
        <f t="shared" si="1729"/>
        <v>0</v>
      </c>
      <c r="K946" s="1207">
        <f t="shared" si="1729"/>
        <v>0</v>
      </c>
      <c r="L946" s="1096">
        <f t="shared" si="1729"/>
        <v>0</v>
      </c>
      <c r="M946" s="1096">
        <f t="shared" si="1729"/>
        <v>0</v>
      </c>
      <c r="N946" s="1096">
        <f t="shared" si="1729"/>
        <v>0</v>
      </c>
      <c r="O946" s="1096">
        <f t="shared" si="1729"/>
        <v>0</v>
      </c>
      <c r="P946" s="1096">
        <f t="shared" si="1729"/>
        <v>0</v>
      </c>
      <c r="Q946" s="1207">
        <f t="shared" si="1729"/>
        <v>0</v>
      </c>
      <c r="R946" s="1207">
        <f t="shared" si="1729"/>
        <v>0</v>
      </c>
      <c r="S946" s="1096">
        <f t="shared" si="1729"/>
        <v>550</v>
      </c>
      <c r="T946" s="1096">
        <f t="shared" si="1729"/>
        <v>1250</v>
      </c>
      <c r="U946" s="1096">
        <f t="shared" si="1729"/>
        <v>1950</v>
      </c>
      <c r="V946" s="1096">
        <f t="shared" si="1729"/>
        <v>2650</v>
      </c>
      <c r="W946" s="1096">
        <f t="shared" si="1729"/>
        <v>3350</v>
      </c>
      <c r="X946" s="1207">
        <f t="shared" si="1729"/>
        <v>3350</v>
      </c>
      <c r="Y946" s="1207">
        <f t="shared" si="1729"/>
        <v>3350</v>
      </c>
      <c r="Z946" s="1096">
        <f t="shared" si="1729"/>
        <v>3900</v>
      </c>
      <c r="AA946" s="1096">
        <f t="shared" si="1729"/>
        <v>4600</v>
      </c>
      <c r="AB946" s="1096">
        <f t="shared" si="1729"/>
        <v>5300</v>
      </c>
      <c r="AC946" s="1096">
        <f t="shared" si="1729"/>
        <v>6000</v>
      </c>
      <c r="AD946" s="1096">
        <f t="shared" si="1729"/>
        <v>6000</v>
      </c>
      <c r="AE946" s="1207">
        <f t="shared" si="1729"/>
        <v>6000</v>
      </c>
      <c r="AF946" s="1207">
        <f t="shared" si="1729"/>
        <v>6000</v>
      </c>
      <c r="AG946" s="1096">
        <f t="shared" si="1729"/>
        <v>6000</v>
      </c>
      <c r="AH946" s="1096">
        <f t="shared" si="1729"/>
        <v>6000</v>
      </c>
      <c r="AI946" s="1324">
        <f t="shared" si="1729"/>
        <v>0</v>
      </c>
      <c r="AJ946" s="38"/>
      <c r="AK946" s="29"/>
      <c r="AL946" s="30"/>
      <c r="AM946" s="694">
        <f t="shared" si="1682"/>
        <v>0</v>
      </c>
      <c r="AN946" s="31"/>
      <c r="AO946" s="630"/>
      <c r="AP946" s="39" t="s">
        <v>91</v>
      </c>
      <c r="AQ946" s="40">
        <f>SUM(E945:H945)</f>
        <v>0</v>
      </c>
      <c r="AR946" s="41">
        <f>SUM(I945:O945)</f>
        <v>0</v>
      </c>
      <c r="AS946" s="41">
        <f>SUM(P945:V945)</f>
        <v>2650</v>
      </c>
      <c r="AT946" s="41">
        <f>SUM(W945:AC945)</f>
        <v>3350</v>
      </c>
      <c r="AU946" s="41">
        <f>SUM(AD945:AI945)</f>
        <v>0</v>
      </c>
      <c r="AV946" s="34">
        <f t="shared" ref="AV946:AV951" si="1730">SUM(AQ946:AU946)</f>
        <v>6000</v>
      </c>
    </row>
    <row r="947" spans="1:48" ht="25.15" customHeight="1">
      <c r="A947" s="103"/>
      <c r="B947" s="26" t="s">
        <v>92</v>
      </c>
      <c r="C947" s="42"/>
      <c r="D947" s="43" t="s">
        <v>93</v>
      </c>
      <c r="E947" s="1325">
        <v>0</v>
      </c>
      <c r="F947" s="1089">
        <v>0</v>
      </c>
      <c r="G947" s="44">
        <v>0</v>
      </c>
      <c r="H947" s="1089">
        <v>0</v>
      </c>
      <c r="I947" s="1089">
        <v>0</v>
      </c>
      <c r="J947" s="44">
        <v>0</v>
      </c>
      <c r="K947" s="44">
        <v>0</v>
      </c>
      <c r="L947" s="1089">
        <v>0</v>
      </c>
      <c r="M947" s="1089">
        <v>0</v>
      </c>
      <c r="N947" s="1089">
        <v>0</v>
      </c>
      <c r="O947" s="1089">
        <v>0</v>
      </c>
      <c r="P947" s="1089">
        <v>0</v>
      </c>
      <c r="Q947" s="44">
        <v>0</v>
      </c>
      <c r="R947" s="44">
        <v>0</v>
      </c>
      <c r="S947" s="1089">
        <v>0</v>
      </c>
      <c r="T947" s="1089">
        <v>0</v>
      </c>
      <c r="U947" s="1089">
        <v>360</v>
      </c>
      <c r="V947" s="1089">
        <v>780</v>
      </c>
      <c r="W947" s="1089">
        <v>840</v>
      </c>
      <c r="X947" s="44">
        <v>0</v>
      </c>
      <c r="Y947" s="44">
        <v>0</v>
      </c>
      <c r="Z947" s="1089">
        <v>300</v>
      </c>
      <c r="AA947" s="1089">
        <v>720</v>
      </c>
      <c r="AB947" s="1089"/>
      <c r="AC947" s="1089"/>
      <c r="AD947" s="1089"/>
      <c r="AE947" s="44"/>
      <c r="AF947" s="44"/>
      <c r="AG947" s="1089"/>
      <c r="AH947" s="1089"/>
      <c r="AI947" s="1326"/>
      <c r="AJ947" s="45">
        <f>SUM(E947:AI947)</f>
        <v>3000</v>
      </c>
      <c r="AK947" s="45"/>
      <c r="AL947" s="46">
        <f>+AJ947*AN945</f>
        <v>0</v>
      </c>
      <c r="AM947" s="1066">
        <f t="shared" si="1682"/>
        <v>0</v>
      </c>
      <c r="AN947" s="31"/>
      <c r="AO947" s="632">
        <f>(AJ947+AJ949+AJ950+AJ951)*B949/1000</f>
        <v>0</v>
      </c>
      <c r="AP947" s="47" t="s">
        <v>94</v>
      </c>
      <c r="AQ947" s="48">
        <f>SUM(E947:H947)</f>
        <v>0</v>
      </c>
      <c r="AR947" s="49">
        <f>SUM(I947:O947)</f>
        <v>0</v>
      </c>
      <c r="AS947" s="49">
        <f>SUM(P947:V947)</f>
        <v>1140</v>
      </c>
      <c r="AT947" s="49">
        <f>SUM(W947:AC947)</f>
        <v>1860</v>
      </c>
      <c r="AU947" s="49">
        <f>SUM(AD947:AI947)</f>
        <v>0</v>
      </c>
      <c r="AV947" s="50">
        <f t="shared" si="1730"/>
        <v>3000</v>
      </c>
    </row>
    <row r="948" spans="1:48" ht="25.15" customHeight="1">
      <c r="A948" s="103"/>
      <c r="B948" s="51"/>
      <c r="C948" s="52" t="s">
        <v>95</v>
      </c>
      <c r="D948" s="53" t="s">
        <v>96</v>
      </c>
      <c r="E948" s="1327">
        <f t="shared" ref="E948:AJ948" si="1731">+E947-E945</f>
        <v>0</v>
      </c>
      <c r="F948" s="1097">
        <f t="shared" si="1731"/>
        <v>0</v>
      </c>
      <c r="G948" s="1205">
        <f t="shared" si="1731"/>
        <v>0</v>
      </c>
      <c r="H948" s="1097">
        <f t="shared" si="1731"/>
        <v>0</v>
      </c>
      <c r="I948" s="1097">
        <f t="shared" si="1731"/>
        <v>0</v>
      </c>
      <c r="J948" s="1205">
        <f t="shared" si="1731"/>
        <v>0</v>
      </c>
      <c r="K948" s="1205">
        <f t="shared" si="1731"/>
        <v>0</v>
      </c>
      <c r="L948" s="1097">
        <f t="shared" si="1731"/>
        <v>0</v>
      </c>
      <c r="M948" s="1097">
        <f t="shared" si="1731"/>
        <v>0</v>
      </c>
      <c r="N948" s="1097">
        <f t="shared" si="1731"/>
        <v>0</v>
      </c>
      <c r="O948" s="1097">
        <f t="shared" si="1731"/>
        <v>0</v>
      </c>
      <c r="P948" s="1097">
        <f t="shared" si="1731"/>
        <v>0</v>
      </c>
      <c r="Q948" s="1205">
        <f t="shared" si="1731"/>
        <v>0</v>
      </c>
      <c r="R948" s="1205">
        <f t="shared" si="1731"/>
        <v>0</v>
      </c>
      <c r="S948" s="1097">
        <f t="shared" si="1731"/>
        <v>-550</v>
      </c>
      <c r="T948" s="1097">
        <f t="shared" si="1731"/>
        <v>-700</v>
      </c>
      <c r="U948" s="1097">
        <f t="shared" si="1731"/>
        <v>-340</v>
      </c>
      <c r="V948" s="1097">
        <f t="shared" si="1731"/>
        <v>80</v>
      </c>
      <c r="W948" s="1097">
        <f t="shared" si="1731"/>
        <v>140</v>
      </c>
      <c r="X948" s="1205">
        <f t="shared" si="1731"/>
        <v>0</v>
      </c>
      <c r="Y948" s="1205">
        <f t="shared" si="1731"/>
        <v>0</v>
      </c>
      <c r="Z948" s="1097">
        <f t="shared" si="1731"/>
        <v>-250</v>
      </c>
      <c r="AA948" s="1097">
        <f t="shared" si="1731"/>
        <v>20</v>
      </c>
      <c r="AB948" s="1097">
        <f t="shared" si="1731"/>
        <v>-700</v>
      </c>
      <c r="AC948" s="1097">
        <f t="shared" si="1731"/>
        <v>-700</v>
      </c>
      <c r="AD948" s="1097">
        <f t="shared" si="1731"/>
        <v>0</v>
      </c>
      <c r="AE948" s="1205">
        <f t="shared" si="1731"/>
        <v>0</v>
      </c>
      <c r="AF948" s="1205">
        <f t="shared" si="1731"/>
        <v>0</v>
      </c>
      <c r="AG948" s="1097">
        <f t="shared" si="1731"/>
        <v>0</v>
      </c>
      <c r="AH948" s="1097">
        <f t="shared" si="1731"/>
        <v>0</v>
      </c>
      <c r="AI948" s="1328">
        <f t="shared" si="1731"/>
        <v>0</v>
      </c>
      <c r="AJ948" s="54">
        <f t="shared" si="1731"/>
        <v>-3000</v>
      </c>
      <c r="AK948" s="54"/>
      <c r="AL948" s="55">
        <f>+AJ948*AN945</f>
        <v>0</v>
      </c>
      <c r="AM948" s="1067">
        <f t="shared" si="1682"/>
        <v>0</v>
      </c>
      <c r="AN948" s="31" t="s">
        <v>97</v>
      </c>
      <c r="AO948" s="622"/>
      <c r="AP948" s="39" t="s">
        <v>98</v>
      </c>
      <c r="AQ948" s="56">
        <f>AQ947-AQ946</f>
        <v>0</v>
      </c>
      <c r="AR948" s="70">
        <f>AR947-AR946</f>
        <v>0</v>
      </c>
      <c r="AS948" s="70">
        <f>AS947-AS946</f>
        <v>-1510</v>
      </c>
      <c r="AT948" s="70">
        <f>AT947-AT946</f>
        <v>-1490</v>
      </c>
      <c r="AU948" s="70">
        <f>AU947-AU946</f>
        <v>0</v>
      </c>
      <c r="AV948" s="57">
        <f t="shared" si="1730"/>
        <v>-3000</v>
      </c>
    </row>
    <row r="949" spans="1:48" ht="25.15" customHeight="1">
      <c r="A949" s="58"/>
      <c r="B949" s="59"/>
      <c r="C949" s="60" t="s">
        <v>100</v>
      </c>
      <c r="D949" s="61" t="s">
        <v>101</v>
      </c>
      <c r="E949" s="1329">
        <v>0</v>
      </c>
      <c r="F949" s="1099">
        <v>0</v>
      </c>
      <c r="G949" s="1208">
        <v>0</v>
      </c>
      <c r="H949" s="1099">
        <v>0</v>
      </c>
      <c r="I949" s="1099">
        <v>0</v>
      </c>
      <c r="J949" s="1208">
        <v>0</v>
      </c>
      <c r="K949" s="1208">
        <v>0</v>
      </c>
      <c r="L949" s="1099">
        <v>0</v>
      </c>
      <c r="M949" s="1099">
        <v>0</v>
      </c>
      <c r="N949" s="1099">
        <v>0</v>
      </c>
      <c r="O949" s="1099">
        <v>0</v>
      </c>
      <c r="P949" s="1099">
        <v>0</v>
      </c>
      <c r="Q949" s="1208">
        <v>0</v>
      </c>
      <c r="R949" s="1213">
        <v>0</v>
      </c>
      <c r="S949" s="1112">
        <v>0</v>
      </c>
      <c r="T949" s="1099">
        <v>20</v>
      </c>
      <c r="U949" s="1099">
        <v>40</v>
      </c>
      <c r="V949" s="1099">
        <v>20</v>
      </c>
      <c r="W949" s="1099">
        <v>20</v>
      </c>
      <c r="X949" s="1208">
        <v>0</v>
      </c>
      <c r="Y949" s="1208">
        <v>0</v>
      </c>
      <c r="Z949" s="1099">
        <v>10</v>
      </c>
      <c r="AA949" s="1099">
        <v>10</v>
      </c>
      <c r="AB949" s="1099"/>
      <c r="AC949" s="1099"/>
      <c r="AD949" s="1099"/>
      <c r="AE949" s="1208"/>
      <c r="AF949" s="1208"/>
      <c r="AG949" s="1099"/>
      <c r="AH949" s="1099"/>
      <c r="AI949" s="1330"/>
      <c r="AJ949" s="62">
        <f>SUM(E949:AI949)</f>
        <v>120</v>
      </c>
      <c r="AK949" s="62"/>
      <c r="AL949" s="63">
        <f>+AJ949*AN945</f>
        <v>0</v>
      </c>
      <c r="AM949" s="1068">
        <f t="shared" si="1682"/>
        <v>0</v>
      </c>
      <c r="AN949" s="64">
        <f>+AJ949/AJ947*100</f>
        <v>4</v>
      </c>
      <c r="AO949" s="635" t="e">
        <f>AO947/AO945</f>
        <v>#VALUE!</v>
      </c>
      <c r="AP949" s="39" t="s">
        <v>102</v>
      </c>
      <c r="AQ949" s="56">
        <f>SUM(E949:H949)</f>
        <v>0</v>
      </c>
      <c r="AR949" s="70">
        <f>SUM(I949:O949)</f>
        <v>0</v>
      </c>
      <c r="AS949" s="70">
        <f>SUM(P949:V949)</f>
        <v>80</v>
      </c>
      <c r="AT949" s="70">
        <f>SUM(W949:AC949)</f>
        <v>40</v>
      </c>
      <c r="AU949" s="70">
        <f>SUM(AD949:AI949)</f>
        <v>0</v>
      </c>
      <c r="AV949" s="57">
        <f t="shared" si="1730"/>
        <v>120</v>
      </c>
    </row>
    <row r="950" spans="1:48" ht="25.15" customHeight="1">
      <c r="A950" s="58" t="s">
        <v>202</v>
      </c>
      <c r="B950" s="65"/>
      <c r="C950" s="66"/>
      <c r="D950" s="67" t="s">
        <v>103</v>
      </c>
      <c r="E950" s="1331">
        <v>0</v>
      </c>
      <c r="F950" s="1101">
        <v>0</v>
      </c>
      <c r="G950" s="1209">
        <v>0</v>
      </c>
      <c r="H950" s="1101">
        <v>0</v>
      </c>
      <c r="I950" s="1101">
        <v>0</v>
      </c>
      <c r="J950" s="1209">
        <v>0</v>
      </c>
      <c r="K950" s="1209">
        <v>0</v>
      </c>
      <c r="L950" s="1101">
        <v>0</v>
      </c>
      <c r="M950" s="1101">
        <v>0</v>
      </c>
      <c r="N950" s="1101">
        <v>0</v>
      </c>
      <c r="O950" s="1101">
        <v>0</v>
      </c>
      <c r="P950" s="1101">
        <v>0</v>
      </c>
      <c r="Q950" s="1209">
        <v>0</v>
      </c>
      <c r="R950" s="1214">
        <v>0</v>
      </c>
      <c r="S950" s="1114">
        <v>0</v>
      </c>
      <c r="T950" s="1101">
        <v>0</v>
      </c>
      <c r="U950" s="1101">
        <v>0</v>
      </c>
      <c r="V950" s="1101">
        <v>0</v>
      </c>
      <c r="W950" s="1101">
        <v>0</v>
      </c>
      <c r="X950" s="1209">
        <v>0</v>
      </c>
      <c r="Y950" s="1209">
        <v>0</v>
      </c>
      <c r="Z950" s="1101">
        <v>0</v>
      </c>
      <c r="AA950" s="1101">
        <v>0</v>
      </c>
      <c r="AB950" s="1101"/>
      <c r="AC950" s="1101"/>
      <c r="AD950" s="1101"/>
      <c r="AE950" s="1209"/>
      <c r="AF950" s="1209"/>
      <c r="AG950" s="1101"/>
      <c r="AH950" s="1101"/>
      <c r="AI950" s="1332"/>
      <c r="AJ950" s="68">
        <f>SUM(E950:AI950)</f>
        <v>0</v>
      </c>
      <c r="AK950" s="68"/>
      <c r="AL950" s="69">
        <f>+AJ950*AN945</f>
        <v>0</v>
      </c>
      <c r="AM950" s="1069">
        <f t="shared" si="1682"/>
        <v>0</v>
      </c>
      <c r="AN950" s="31"/>
      <c r="AO950" s="622"/>
      <c r="AP950" s="39" t="s">
        <v>19</v>
      </c>
      <c r="AQ950" s="56">
        <f>AQ949*AN945</f>
        <v>0</v>
      </c>
      <c r="AR950" s="56">
        <f>AR949*AN945</f>
        <v>0</v>
      </c>
      <c r="AS950" s="56">
        <f>AS949*AN945</f>
        <v>0</v>
      </c>
      <c r="AT950" s="56">
        <f>AT949*AN945</f>
        <v>0</v>
      </c>
      <c r="AU950" s="56">
        <f>AU949*AN945</f>
        <v>0</v>
      </c>
      <c r="AV950" s="57">
        <f t="shared" si="1730"/>
        <v>0</v>
      </c>
    </row>
    <row r="951" spans="1:48" ht="25.15" customHeight="1">
      <c r="A951" s="103"/>
      <c r="B951" s="65"/>
      <c r="C951" s="72" t="s">
        <v>104</v>
      </c>
      <c r="D951" s="73" t="s">
        <v>105</v>
      </c>
      <c r="E951" s="1378">
        <v>0</v>
      </c>
      <c r="F951" s="1103">
        <v>0</v>
      </c>
      <c r="G951" s="1210">
        <v>0</v>
      </c>
      <c r="H951" s="1103">
        <v>0</v>
      </c>
      <c r="I951" s="1103">
        <v>0</v>
      </c>
      <c r="J951" s="1210">
        <v>0</v>
      </c>
      <c r="K951" s="1210">
        <v>0</v>
      </c>
      <c r="L951" s="1103">
        <v>0</v>
      </c>
      <c r="M951" s="1103">
        <v>0</v>
      </c>
      <c r="N951" s="1103">
        <v>0</v>
      </c>
      <c r="O951" s="1103">
        <v>0</v>
      </c>
      <c r="P951" s="1103">
        <v>0</v>
      </c>
      <c r="Q951" s="1210">
        <v>0</v>
      </c>
      <c r="R951" s="1215">
        <v>0</v>
      </c>
      <c r="S951" s="1116">
        <v>0</v>
      </c>
      <c r="T951" s="1103">
        <v>0</v>
      </c>
      <c r="U951" s="1103">
        <v>0</v>
      </c>
      <c r="V951" s="1103">
        <v>0</v>
      </c>
      <c r="W951" s="1103">
        <v>0</v>
      </c>
      <c r="X951" s="1210">
        <v>0</v>
      </c>
      <c r="Y951" s="1210">
        <v>0</v>
      </c>
      <c r="Z951" s="1103">
        <v>0</v>
      </c>
      <c r="AA951" s="1103">
        <v>0</v>
      </c>
      <c r="AB951" s="1103"/>
      <c r="AC951" s="1103"/>
      <c r="AD951" s="1103"/>
      <c r="AE951" s="1210"/>
      <c r="AF951" s="1210"/>
      <c r="AG951" s="1103"/>
      <c r="AH951" s="1103"/>
      <c r="AI951" s="1352"/>
      <c r="AJ951" s="74">
        <f>SUM(E951:AI951)</f>
        <v>0</v>
      </c>
      <c r="AK951" s="74"/>
      <c r="AL951" s="75">
        <f>+AJ951*AN945</f>
        <v>0</v>
      </c>
      <c r="AM951" s="1070">
        <f t="shared" si="1682"/>
        <v>0</v>
      </c>
      <c r="AN951" s="76"/>
      <c r="AO951" s="636"/>
      <c r="AP951" s="47" t="s">
        <v>106</v>
      </c>
      <c r="AQ951" s="48">
        <f>AQ947*AN945</f>
        <v>0</v>
      </c>
      <c r="AR951" s="48">
        <f>AR947*AN945</f>
        <v>0</v>
      </c>
      <c r="AS951" s="48">
        <f>AS947*AN945</f>
        <v>0</v>
      </c>
      <c r="AT951" s="48">
        <f>AT947*AN945</f>
        <v>0</v>
      </c>
      <c r="AU951" s="48">
        <f>AU947*AN945</f>
        <v>0</v>
      </c>
      <c r="AV951" s="50">
        <f t="shared" si="1730"/>
        <v>0</v>
      </c>
    </row>
    <row r="952" spans="1:48" ht="25.15" customHeight="1">
      <c r="A952" s="103"/>
      <c r="B952" s="65"/>
      <c r="C952" s="77">
        <v>300000</v>
      </c>
      <c r="D952" s="78" t="s">
        <v>107</v>
      </c>
      <c r="E952" s="1327">
        <v>1</v>
      </c>
      <c r="F952" s="1097">
        <v>1</v>
      </c>
      <c r="G952" s="1205">
        <v>1</v>
      </c>
      <c r="H952" s="1097">
        <v>1</v>
      </c>
      <c r="I952" s="1097">
        <v>1</v>
      </c>
      <c r="J952" s="1205">
        <v>1</v>
      </c>
      <c r="K952" s="1205">
        <v>1</v>
      </c>
      <c r="L952" s="1097">
        <v>1</v>
      </c>
      <c r="M952" s="1097">
        <v>1</v>
      </c>
      <c r="N952" s="1097">
        <v>1</v>
      </c>
      <c r="O952" s="1097">
        <v>1</v>
      </c>
      <c r="P952" s="1097">
        <v>1</v>
      </c>
      <c r="Q952" s="1205">
        <v>1</v>
      </c>
      <c r="R952" s="1205">
        <v>1</v>
      </c>
      <c r="S952" s="1097">
        <v>1</v>
      </c>
      <c r="T952" s="1097">
        <v>1</v>
      </c>
      <c r="U952" s="1097">
        <v>1</v>
      </c>
      <c r="V952" s="1097">
        <v>1</v>
      </c>
      <c r="W952" s="1097">
        <v>1</v>
      </c>
      <c r="X952" s="1205">
        <v>1</v>
      </c>
      <c r="Y952" s="1205">
        <v>1</v>
      </c>
      <c r="Z952" s="1097">
        <v>1</v>
      </c>
      <c r="AA952" s="1097">
        <v>1</v>
      </c>
      <c r="AB952" s="1097">
        <v>1</v>
      </c>
      <c r="AC952" s="1097">
        <v>1</v>
      </c>
      <c r="AD952" s="1097">
        <v>1</v>
      </c>
      <c r="AE952" s="1205">
        <v>1</v>
      </c>
      <c r="AF952" s="1205">
        <v>1</v>
      </c>
      <c r="AG952" s="1097">
        <v>1</v>
      </c>
      <c r="AH952" s="1097">
        <v>1</v>
      </c>
      <c r="AI952" s="1328">
        <v>1</v>
      </c>
      <c r="AJ952" s="79"/>
      <c r="AK952" s="79"/>
      <c r="AL952" s="55"/>
      <c r="AM952" s="1067">
        <f t="shared" si="1682"/>
        <v>0</v>
      </c>
      <c r="AN952" s="31"/>
      <c r="AO952" s="622"/>
      <c r="AP952" s="23"/>
      <c r="AQ952" s="23"/>
      <c r="AR952" s="23"/>
      <c r="AS952" s="23"/>
      <c r="AT952" s="23"/>
      <c r="AU952" s="23"/>
      <c r="AV952" s="23"/>
    </row>
    <row r="953" spans="1:48" ht="25.15" customHeight="1">
      <c r="A953" s="103"/>
      <c r="B953" s="65"/>
      <c r="C953" s="80" t="s">
        <v>108</v>
      </c>
      <c r="D953" s="81" t="s">
        <v>109</v>
      </c>
      <c r="E953" s="1374">
        <f>SUM(E947+E949+E950+E951)/E952</f>
        <v>0</v>
      </c>
      <c r="F953" s="1104">
        <f>SUM(F947+F949+F950+F951)/F952</f>
        <v>0</v>
      </c>
      <c r="G953" s="1211">
        <f>SUM(G947+G949+G950+G951)/G952</f>
        <v>0</v>
      </c>
      <c r="H953" s="1104">
        <f t="shared" ref="H953:AH953" si="1732">SUM(H947+H949+H950+H951)/H952</f>
        <v>0</v>
      </c>
      <c r="I953" s="1104">
        <f t="shared" si="1732"/>
        <v>0</v>
      </c>
      <c r="J953" s="1211">
        <f t="shared" si="1732"/>
        <v>0</v>
      </c>
      <c r="K953" s="1211">
        <f t="shared" si="1732"/>
        <v>0</v>
      </c>
      <c r="L953" s="1104">
        <f t="shared" si="1732"/>
        <v>0</v>
      </c>
      <c r="M953" s="1104">
        <f t="shared" si="1732"/>
        <v>0</v>
      </c>
      <c r="N953" s="1104">
        <f t="shared" si="1732"/>
        <v>0</v>
      </c>
      <c r="O953" s="1104">
        <f t="shared" si="1732"/>
        <v>0</v>
      </c>
      <c r="P953" s="1104">
        <f t="shared" si="1732"/>
        <v>0</v>
      </c>
      <c r="Q953" s="1211">
        <f t="shared" si="1732"/>
        <v>0</v>
      </c>
      <c r="R953" s="1211">
        <f t="shared" si="1732"/>
        <v>0</v>
      </c>
      <c r="S953" s="1104">
        <f t="shared" si="1732"/>
        <v>0</v>
      </c>
      <c r="T953" s="1104">
        <f t="shared" si="1732"/>
        <v>20</v>
      </c>
      <c r="U953" s="1104">
        <f t="shared" si="1732"/>
        <v>400</v>
      </c>
      <c r="V953" s="1104">
        <f t="shared" si="1732"/>
        <v>800</v>
      </c>
      <c r="W953" s="1104">
        <f t="shared" si="1732"/>
        <v>860</v>
      </c>
      <c r="X953" s="1211">
        <f t="shared" si="1732"/>
        <v>0</v>
      </c>
      <c r="Y953" s="1211">
        <f t="shared" si="1732"/>
        <v>0</v>
      </c>
      <c r="Z953" s="1104">
        <f t="shared" si="1732"/>
        <v>310</v>
      </c>
      <c r="AA953" s="1104">
        <f t="shared" si="1732"/>
        <v>730</v>
      </c>
      <c r="AB953" s="1104">
        <f t="shared" si="1732"/>
        <v>0</v>
      </c>
      <c r="AC953" s="1104">
        <f t="shared" si="1732"/>
        <v>0</v>
      </c>
      <c r="AD953" s="1104">
        <f t="shared" si="1732"/>
        <v>0</v>
      </c>
      <c r="AE953" s="1211">
        <f t="shared" si="1732"/>
        <v>0</v>
      </c>
      <c r="AF953" s="1211">
        <f t="shared" si="1732"/>
        <v>0</v>
      </c>
      <c r="AG953" s="1104">
        <f t="shared" si="1732"/>
        <v>0</v>
      </c>
      <c r="AH953" s="1104">
        <f t="shared" si="1732"/>
        <v>0</v>
      </c>
      <c r="AI953" s="1335">
        <f>SUM(AI947+AI949+AI950)/AI952</f>
        <v>0</v>
      </c>
      <c r="AJ953" s="104">
        <f>SUM(E953:AI953)</f>
        <v>3120</v>
      </c>
      <c r="AK953" s="104"/>
      <c r="AL953" s="83"/>
      <c r="AM953" s="1068">
        <f t="shared" si="1682"/>
        <v>0</v>
      </c>
      <c r="AN953" s="31"/>
      <c r="AO953" s="622"/>
      <c r="AP953" s="23"/>
      <c r="AQ953" s="23"/>
      <c r="AR953" s="23"/>
      <c r="AS953" s="23"/>
      <c r="AT953" s="23"/>
      <c r="AU953" s="23"/>
      <c r="AV953" s="23"/>
    </row>
    <row r="954" spans="1:48" ht="25.15" customHeight="1">
      <c r="A954" s="103"/>
      <c r="B954" s="59"/>
      <c r="C954" s="84">
        <f>+C952*0.8</f>
        <v>240000</v>
      </c>
      <c r="D954" s="85" t="s">
        <v>110</v>
      </c>
      <c r="E954" s="1105"/>
      <c r="F954" s="1106"/>
      <c r="G954" s="1211"/>
      <c r="H954" s="1104"/>
      <c r="I954" s="1104"/>
      <c r="J954" s="1211"/>
      <c r="K954" s="1211"/>
      <c r="L954" s="1104"/>
      <c r="M954" s="1104"/>
      <c r="N954" s="1104"/>
      <c r="O954" s="1107"/>
      <c r="P954" s="1104"/>
      <c r="Q954" s="1211"/>
      <c r="R954" s="1211"/>
      <c r="S954" s="1104"/>
      <c r="T954" s="1104"/>
      <c r="U954" s="1104"/>
      <c r="V954" s="1104"/>
      <c r="W954" s="1104"/>
      <c r="X954" s="1211"/>
      <c r="Y954" s="1211"/>
      <c r="Z954" s="1104"/>
      <c r="AA954" s="1104"/>
      <c r="AB954" s="1104"/>
      <c r="AC954" s="1104"/>
      <c r="AD954" s="1104"/>
      <c r="AE954" s="1211"/>
      <c r="AF954" s="1211"/>
      <c r="AG954" s="1104"/>
      <c r="AH954" s="1104"/>
      <c r="AI954" s="1353"/>
      <c r="AJ954" s="86"/>
      <c r="AK954" s="86"/>
      <c r="AL954" s="690"/>
      <c r="AM954" s="694">
        <f t="shared" si="1682"/>
        <v>0</v>
      </c>
      <c r="AN954" s="31"/>
      <c r="AO954" s="622"/>
      <c r="AP954" s="23"/>
      <c r="AQ954" s="23"/>
      <c r="AR954" s="23"/>
      <c r="AS954" s="23"/>
      <c r="AT954" s="23"/>
      <c r="AU954" s="23"/>
      <c r="AV954" s="23"/>
    </row>
    <row r="955" spans="1:48" ht="25.15" customHeight="1">
      <c r="A955" s="103"/>
      <c r="B955" s="105"/>
      <c r="C955" s="77"/>
      <c r="D955" s="88" t="s">
        <v>111</v>
      </c>
      <c r="E955" s="1108">
        <f>IF(E954="O/H",E953,0+E953)</f>
        <v>0</v>
      </c>
      <c r="F955" s="1089">
        <f t="shared" ref="F955:AI955" si="1733">IF(F954="O/H",F953,+E955+F953)</f>
        <v>0</v>
      </c>
      <c r="G955" s="44">
        <f t="shared" si="1733"/>
        <v>0</v>
      </c>
      <c r="H955" s="1089">
        <f t="shared" si="1733"/>
        <v>0</v>
      </c>
      <c r="I955" s="1089">
        <f t="shared" si="1733"/>
        <v>0</v>
      </c>
      <c r="J955" s="44">
        <f t="shared" si="1733"/>
        <v>0</v>
      </c>
      <c r="K955" s="44">
        <f t="shared" si="1733"/>
        <v>0</v>
      </c>
      <c r="L955" s="1089">
        <f t="shared" si="1733"/>
        <v>0</v>
      </c>
      <c r="M955" s="1089">
        <f t="shared" si="1733"/>
        <v>0</v>
      </c>
      <c r="N955" s="1089">
        <f t="shared" si="1733"/>
        <v>0</v>
      </c>
      <c r="O955" s="1089">
        <f t="shared" si="1733"/>
        <v>0</v>
      </c>
      <c r="P955" s="1089">
        <f t="shared" si="1733"/>
        <v>0</v>
      </c>
      <c r="Q955" s="44">
        <f t="shared" si="1733"/>
        <v>0</v>
      </c>
      <c r="R955" s="44">
        <f t="shared" si="1733"/>
        <v>0</v>
      </c>
      <c r="S955" s="1089">
        <f t="shared" si="1733"/>
        <v>0</v>
      </c>
      <c r="T955" s="1089">
        <f t="shared" si="1733"/>
        <v>20</v>
      </c>
      <c r="U955" s="1089">
        <f t="shared" si="1733"/>
        <v>420</v>
      </c>
      <c r="V955" s="1089">
        <f t="shared" si="1733"/>
        <v>1220</v>
      </c>
      <c r="W955" s="1089">
        <f t="shared" si="1733"/>
        <v>2080</v>
      </c>
      <c r="X955" s="44">
        <f t="shared" si="1733"/>
        <v>2080</v>
      </c>
      <c r="Y955" s="44">
        <f t="shared" si="1733"/>
        <v>2080</v>
      </c>
      <c r="Z955" s="1089">
        <f t="shared" si="1733"/>
        <v>2390</v>
      </c>
      <c r="AA955" s="1089">
        <f t="shared" si="1733"/>
        <v>3120</v>
      </c>
      <c r="AB955" s="1089">
        <f t="shared" si="1733"/>
        <v>3120</v>
      </c>
      <c r="AC955" s="1089">
        <f t="shared" si="1733"/>
        <v>3120</v>
      </c>
      <c r="AD955" s="1089">
        <f t="shared" si="1733"/>
        <v>3120</v>
      </c>
      <c r="AE955" s="44">
        <f t="shared" si="1733"/>
        <v>3120</v>
      </c>
      <c r="AF955" s="44">
        <f t="shared" si="1733"/>
        <v>3120</v>
      </c>
      <c r="AG955" s="1089">
        <f t="shared" si="1733"/>
        <v>3120</v>
      </c>
      <c r="AH955" s="1089">
        <f t="shared" si="1733"/>
        <v>3120</v>
      </c>
      <c r="AI955" s="1326">
        <f t="shared" si="1733"/>
        <v>3120</v>
      </c>
      <c r="AJ955" s="79"/>
      <c r="AK955" s="86"/>
      <c r="AL955" s="689"/>
      <c r="AM955" s="694">
        <f t="shared" si="1682"/>
        <v>0</v>
      </c>
      <c r="AN955" s="31"/>
      <c r="AO955" s="622"/>
      <c r="AP955" s="23"/>
      <c r="AQ955" s="23"/>
      <c r="AR955" s="23"/>
      <c r="AS955" s="23"/>
      <c r="AT955" s="23"/>
      <c r="AU955" s="23"/>
      <c r="AV955" s="23"/>
    </row>
    <row r="956" spans="1:48" s="23" customFormat="1" ht="20.65" customHeight="1">
      <c r="A956" s="274"/>
      <c r="B956" s="312"/>
      <c r="C956" s="308"/>
      <c r="D956" s="795" t="s">
        <v>112</v>
      </c>
      <c r="E956" s="1108">
        <f>IF(AND(ISNUMBER(E947)),0+E953)</f>
        <v>0</v>
      </c>
      <c r="F956" s="1089">
        <f>IF(AND(ISNUMBER(F947)),E956+F953,"")</f>
        <v>0</v>
      </c>
      <c r="G956" s="44">
        <f t="shared" ref="G956" si="1734">IF(AND(ISNUMBER(G947)),F956+G953,"")</f>
        <v>0</v>
      </c>
      <c r="H956" s="1089">
        <f t="shared" ref="H956" si="1735">IF(AND(ISNUMBER(H947)),G956+H953,"")</f>
        <v>0</v>
      </c>
      <c r="I956" s="1089">
        <f>IF(AND(ISNUMBER(I947)),H956+I953,"")</f>
        <v>0</v>
      </c>
      <c r="J956" s="44">
        <f>IF(AND(ISNUMBER(J947)),I956+J953,"")</f>
        <v>0</v>
      </c>
      <c r="K956" s="44">
        <f>IF(AND(ISNUMBER(K947)),J956+K953,"")</f>
        <v>0</v>
      </c>
      <c r="L956" s="1089">
        <f t="shared" ref="L956" si="1736">IF(AND(ISNUMBER(L947)),K956+L953,"")</f>
        <v>0</v>
      </c>
      <c r="M956" s="1089">
        <f t="shared" ref="M956" si="1737">IF(AND(ISNUMBER(M947)),L956+M953,"")</f>
        <v>0</v>
      </c>
      <c r="N956" s="1089">
        <f t="shared" ref="N956" si="1738">IF(AND(ISNUMBER(N947)),M956+N953,"")</f>
        <v>0</v>
      </c>
      <c r="O956" s="1089">
        <f t="shared" ref="O956" si="1739">IF(AND(ISNUMBER(O947)),N956+O953,"")</f>
        <v>0</v>
      </c>
      <c r="P956" s="1089">
        <f t="shared" ref="P956" si="1740">IF(AND(ISNUMBER(P947)),O956+P953,"")</f>
        <v>0</v>
      </c>
      <c r="Q956" s="44">
        <f t="shared" ref="Q956" si="1741">IF(AND(ISNUMBER(Q947)),P956+Q953,"")</f>
        <v>0</v>
      </c>
      <c r="R956" s="44">
        <f t="shared" ref="R956" si="1742">IF(AND(ISNUMBER(R947)),Q956+R953,"")</f>
        <v>0</v>
      </c>
      <c r="S956" s="1089">
        <f t="shared" ref="S956" si="1743">IF(AND(ISNUMBER(S947)),R956+S953,"")</f>
        <v>0</v>
      </c>
      <c r="T956" s="1089">
        <f t="shared" ref="T956" si="1744">IF(AND(ISNUMBER(T947)),S956+T953,"")</f>
        <v>20</v>
      </c>
      <c r="U956" s="1089">
        <f t="shared" ref="U956" si="1745">IF(AND(ISNUMBER(U947)),T956+U953,"")</f>
        <v>420</v>
      </c>
      <c r="V956" s="1089">
        <f t="shared" ref="V956" si="1746">IF(AND(ISNUMBER(V947)),U956+V953,"")</f>
        <v>1220</v>
      </c>
      <c r="W956" s="1089">
        <f t="shared" ref="W956" si="1747">IF(AND(ISNUMBER(W947)),V956+W953,"")</f>
        <v>2080</v>
      </c>
      <c r="X956" s="44">
        <f t="shared" ref="X956" si="1748">IF(AND(ISNUMBER(X947)),W956+X953,"")</f>
        <v>2080</v>
      </c>
      <c r="Y956" s="44">
        <f t="shared" ref="Y956" si="1749">IF(AND(ISNUMBER(Y947)),X956+Y953,"")</f>
        <v>2080</v>
      </c>
      <c r="Z956" s="1089">
        <f t="shared" ref="Z956" si="1750">IF(AND(ISNUMBER(Z947)),Y956+Z953,"")</f>
        <v>2390</v>
      </c>
      <c r="AA956" s="1089">
        <f t="shared" ref="AA956" si="1751">IF(AND(ISNUMBER(AA947)),Z956+AA953,"")</f>
        <v>3120</v>
      </c>
      <c r="AB956" s="1089" t="str">
        <f t="shared" ref="AB956" si="1752">IF(AND(ISNUMBER(AB947)),AA956+AB953,"")</f>
        <v/>
      </c>
      <c r="AC956" s="1089" t="str">
        <f t="shared" ref="AC956" si="1753">IF(AND(ISNUMBER(AC947)),AB956+AC953,"")</f>
        <v/>
      </c>
      <c r="AD956" s="1089" t="str">
        <f t="shared" ref="AD956" si="1754">IF(AND(ISNUMBER(AD947)),AC956+AD953,"")</f>
        <v/>
      </c>
      <c r="AE956" s="44" t="str">
        <f t="shared" ref="AE956" si="1755">IF(AND(ISNUMBER(AE947)),AD956+AE953,"")</f>
        <v/>
      </c>
      <c r="AF956" s="44" t="str">
        <f t="shared" ref="AF956" si="1756">IF(AND(ISNUMBER(AF947)),AE956+AF953,"")</f>
        <v/>
      </c>
      <c r="AG956" s="1089" t="str">
        <f t="shared" ref="AG956" si="1757">IF(AND(ISNUMBER(AG947)),AF956+AG953,"")</f>
        <v/>
      </c>
      <c r="AH956" s="1089" t="str">
        <f t="shared" ref="AH956" si="1758">IF(AND(ISNUMBER(AH947)),AG956+AH953,"")</f>
        <v/>
      </c>
      <c r="AI956" s="1089" t="str">
        <f t="shared" ref="AI956" si="1759">IF(AND(ISNUMBER(AI947)),AH956+AI953,"")</f>
        <v/>
      </c>
      <c r="AJ956" s="793"/>
      <c r="AK956" s="793"/>
      <c r="AL956" s="909"/>
      <c r="AM956" s="890">
        <f t="shared" si="1682"/>
        <v>0</v>
      </c>
      <c r="AN956" s="76"/>
      <c r="AO956" s="624"/>
      <c r="AP956" s="285"/>
      <c r="AQ956" s="285"/>
      <c r="AR956" s="285"/>
      <c r="AS956" s="285"/>
      <c r="AT956" s="286"/>
      <c r="AU956" s="285"/>
      <c r="AV956" s="287"/>
    </row>
    <row r="957" spans="1:48" ht="25.15" customHeight="1">
      <c r="A957" s="103"/>
      <c r="B957" s="89"/>
      <c r="C957" s="80"/>
      <c r="D957" s="90" t="s">
        <v>104</v>
      </c>
      <c r="E957" s="1108"/>
      <c r="F957" s="1089"/>
      <c r="G957" s="44"/>
      <c r="H957" s="1089"/>
      <c r="I957" s="1089"/>
      <c r="J957" s="44"/>
      <c r="K957" s="44"/>
      <c r="L957" s="1089"/>
      <c r="M957" s="1089"/>
      <c r="N957" s="1089"/>
      <c r="O957" s="1089"/>
      <c r="P957" s="1089"/>
      <c r="Q957" s="44"/>
      <c r="R957" s="44"/>
      <c r="S957" s="1089"/>
      <c r="T957" s="1089"/>
      <c r="U957" s="1089"/>
      <c r="V957" s="1089"/>
      <c r="W957" s="1089"/>
      <c r="X957" s="44"/>
      <c r="Y957" s="44"/>
      <c r="Z957" s="1089"/>
      <c r="AA957" s="1089"/>
      <c r="AB957" s="1089"/>
      <c r="AC957" s="1089"/>
      <c r="AD957" s="1089"/>
      <c r="AE957" s="44"/>
      <c r="AF957" s="44"/>
      <c r="AG957" s="1089"/>
      <c r="AH957" s="1089"/>
      <c r="AI957" s="1326"/>
      <c r="AJ957" s="79"/>
      <c r="AK957" s="79"/>
      <c r="AL957" s="63"/>
      <c r="AM957" s="1068">
        <f t="shared" si="1682"/>
        <v>0</v>
      </c>
      <c r="AN957" s="64"/>
      <c r="AO957" s="624"/>
      <c r="AP957" s="23"/>
      <c r="AQ957" s="23"/>
      <c r="AR957" s="23"/>
      <c r="AS957" s="23"/>
      <c r="AT957" s="23"/>
      <c r="AU957" s="23"/>
      <c r="AV957" s="23"/>
    </row>
    <row r="958" spans="1:48" ht="25.15" customHeight="1" thickBot="1">
      <c r="A958" s="106"/>
      <c r="B958" s="93"/>
      <c r="C958" s="94"/>
      <c r="D958" s="95" t="s">
        <v>111</v>
      </c>
      <c r="E958" s="1109">
        <f>IF(E957="O/H",E953,0+E953)</f>
        <v>0</v>
      </c>
      <c r="F958" s="1110">
        <f t="shared" ref="F958:AI958" si="1760">IF(F957="O/H",F953,+E958+F953)</f>
        <v>0</v>
      </c>
      <c r="G958" s="1212">
        <f t="shared" si="1760"/>
        <v>0</v>
      </c>
      <c r="H958" s="1110">
        <f t="shared" si="1760"/>
        <v>0</v>
      </c>
      <c r="I958" s="1110">
        <f t="shared" si="1760"/>
        <v>0</v>
      </c>
      <c r="J958" s="1212">
        <f t="shared" si="1760"/>
        <v>0</v>
      </c>
      <c r="K958" s="1212">
        <f t="shared" si="1760"/>
        <v>0</v>
      </c>
      <c r="L958" s="1110">
        <f t="shared" si="1760"/>
        <v>0</v>
      </c>
      <c r="M958" s="1110">
        <f t="shared" si="1760"/>
        <v>0</v>
      </c>
      <c r="N958" s="1110">
        <f t="shared" si="1760"/>
        <v>0</v>
      </c>
      <c r="O958" s="1110">
        <f t="shared" si="1760"/>
        <v>0</v>
      </c>
      <c r="P958" s="1110">
        <f t="shared" si="1760"/>
        <v>0</v>
      </c>
      <c r="Q958" s="1212">
        <f t="shared" si="1760"/>
        <v>0</v>
      </c>
      <c r="R958" s="1212">
        <f t="shared" si="1760"/>
        <v>0</v>
      </c>
      <c r="S958" s="1110">
        <f t="shared" si="1760"/>
        <v>0</v>
      </c>
      <c r="T958" s="1110">
        <f t="shared" si="1760"/>
        <v>20</v>
      </c>
      <c r="U958" s="1110">
        <f t="shared" si="1760"/>
        <v>420</v>
      </c>
      <c r="V958" s="1110">
        <f t="shared" si="1760"/>
        <v>1220</v>
      </c>
      <c r="W958" s="1110">
        <f t="shared" si="1760"/>
        <v>2080</v>
      </c>
      <c r="X958" s="1212">
        <f t="shared" si="1760"/>
        <v>2080</v>
      </c>
      <c r="Y958" s="1212">
        <f t="shared" si="1760"/>
        <v>2080</v>
      </c>
      <c r="Z958" s="1110">
        <f t="shared" si="1760"/>
        <v>2390</v>
      </c>
      <c r="AA958" s="1110">
        <f t="shared" si="1760"/>
        <v>3120</v>
      </c>
      <c r="AB958" s="1110">
        <f t="shared" si="1760"/>
        <v>3120</v>
      </c>
      <c r="AC958" s="1110">
        <f t="shared" si="1760"/>
        <v>3120</v>
      </c>
      <c r="AD958" s="1110">
        <f t="shared" si="1760"/>
        <v>3120</v>
      </c>
      <c r="AE958" s="1212">
        <f t="shared" si="1760"/>
        <v>3120</v>
      </c>
      <c r="AF958" s="1212">
        <f t="shared" si="1760"/>
        <v>3120</v>
      </c>
      <c r="AG958" s="1110">
        <f t="shared" si="1760"/>
        <v>3120</v>
      </c>
      <c r="AH958" s="1110">
        <f t="shared" si="1760"/>
        <v>3120</v>
      </c>
      <c r="AI958" s="1340">
        <f t="shared" si="1760"/>
        <v>3120</v>
      </c>
      <c r="AJ958" s="96"/>
      <c r="AK958" s="96"/>
      <c r="AL958" s="97"/>
      <c r="AM958" s="1071">
        <f t="shared" si="1682"/>
        <v>0</v>
      </c>
      <c r="AN958" s="98"/>
      <c r="AO958" s="625"/>
      <c r="AP958" s="23"/>
      <c r="AQ958" s="23"/>
      <c r="AR958" s="23"/>
      <c r="AS958" s="23"/>
      <c r="AT958" s="23"/>
      <c r="AU958" s="23"/>
      <c r="AV958" s="23"/>
    </row>
    <row r="959" spans="1:48" ht="25.15" customHeight="1" thickTop="1">
      <c r="A959" s="99"/>
      <c r="B959" s="26" t="s">
        <v>216</v>
      </c>
      <c r="C959" s="27"/>
      <c r="D959" s="28" t="s">
        <v>82</v>
      </c>
      <c r="E959" s="1523"/>
      <c r="F959" s="1111"/>
      <c r="G959" s="1201"/>
      <c r="H959" s="1111"/>
      <c r="I959" s="1111"/>
      <c r="J959" s="1201"/>
      <c r="K959" s="1201"/>
      <c r="L959" s="1111"/>
      <c r="M959" s="1111"/>
      <c r="N959" s="1111"/>
      <c r="O959" s="1111"/>
      <c r="P959" s="1111"/>
      <c r="Q959" s="1201"/>
      <c r="R959" s="1201"/>
      <c r="S959" s="1111"/>
      <c r="T959" s="1111"/>
      <c r="U959" s="1111"/>
      <c r="V959" s="1111"/>
      <c r="W959" s="1111"/>
      <c r="X959" s="1201"/>
      <c r="Y959" s="1201"/>
      <c r="Z959" s="1111"/>
      <c r="AA959" s="1111"/>
      <c r="AB959" s="1111"/>
      <c r="AC959" s="1111"/>
      <c r="AD959" s="1111"/>
      <c r="AE959" s="1201"/>
      <c r="AF959" s="1201"/>
      <c r="AG959" s="1111"/>
      <c r="AH959" s="1111"/>
      <c r="AI959" s="1111">
        <v>0</v>
      </c>
      <c r="AJ959" s="100">
        <f>SUM(Table75[[#This Row],[June''2026]:[Column27]])</f>
        <v>0</v>
      </c>
      <c r="AK959" s="100">
        <f t="shared" si="1684"/>
        <v>3000</v>
      </c>
      <c r="AL959" s="101">
        <f>+AJ959*AN959</f>
        <v>0</v>
      </c>
      <c r="AM959" s="1072">
        <f t="shared" si="1682"/>
        <v>0</v>
      </c>
      <c r="AN959" s="102"/>
      <c r="AO959" s="622" t="e">
        <f>Table5[[#This Row],[Total]]*B963/1000</f>
        <v>#VALUE!</v>
      </c>
      <c r="AP959" s="32" t="s">
        <v>193</v>
      </c>
      <c r="AQ959" s="33" t="s">
        <v>84</v>
      </c>
      <c r="AR959" s="33" t="s">
        <v>85</v>
      </c>
      <c r="AS959" s="33" t="s">
        <v>86</v>
      </c>
      <c r="AT959" s="33" t="s">
        <v>87</v>
      </c>
      <c r="AU959" s="33" t="s">
        <v>88</v>
      </c>
      <c r="AV959" s="34" t="s">
        <v>68</v>
      </c>
    </row>
    <row r="960" spans="1:48" ht="25.15" customHeight="1">
      <c r="A960" s="103"/>
      <c r="B960" s="35" t="s">
        <v>114</v>
      </c>
      <c r="C960" s="36"/>
      <c r="D960" s="37" t="s">
        <v>90</v>
      </c>
      <c r="E960" s="1373">
        <f>IF(E959="",0,+ E959/E966)</f>
        <v>0</v>
      </c>
      <c r="F960" s="1096">
        <f t="shared" ref="F960:AI960" si="1761">IF(F959="",0, E960+F959/F966)</f>
        <v>0</v>
      </c>
      <c r="G960" s="1207">
        <f t="shared" si="1761"/>
        <v>0</v>
      </c>
      <c r="H960" s="1096">
        <f t="shared" si="1761"/>
        <v>0</v>
      </c>
      <c r="I960" s="1096">
        <f t="shared" si="1761"/>
        <v>0</v>
      </c>
      <c r="J960" s="1207">
        <f t="shared" si="1761"/>
        <v>0</v>
      </c>
      <c r="K960" s="1207">
        <f t="shared" si="1761"/>
        <v>0</v>
      </c>
      <c r="L960" s="1096">
        <f t="shared" si="1761"/>
        <v>0</v>
      </c>
      <c r="M960" s="1096">
        <f t="shared" si="1761"/>
        <v>0</v>
      </c>
      <c r="N960" s="1096">
        <f t="shared" si="1761"/>
        <v>0</v>
      </c>
      <c r="O960" s="1096">
        <f t="shared" si="1761"/>
        <v>0</v>
      </c>
      <c r="P960" s="1096">
        <f t="shared" si="1761"/>
        <v>0</v>
      </c>
      <c r="Q960" s="1207">
        <f t="shared" si="1761"/>
        <v>0</v>
      </c>
      <c r="R960" s="1207">
        <f t="shared" si="1761"/>
        <v>0</v>
      </c>
      <c r="S960" s="1096">
        <f t="shared" si="1761"/>
        <v>0</v>
      </c>
      <c r="T960" s="1096">
        <f t="shared" si="1761"/>
        <v>0</v>
      </c>
      <c r="U960" s="1096">
        <f t="shared" si="1761"/>
        <v>0</v>
      </c>
      <c r="V960" s="1096">
        <f t="shared" si="1761"/>
        <v>0</v>
      </c>
      <c r="W960" s="1096">
        <f t="shared" si="1761"/>
        <v>0</v>
      </c>
      <c r="X960" s="1207">
        <f t="shared" si="1761"/>
        <v>0</v>
      </c>
      <c r="Y960" s="1207">
        <f t="shared" si="1761"/>
        <v>0</v>
      </c>
      <c r="Z960" s="1096">
        <f t="shared" si="1761"/>
        <v>0</v>
      </c>
      <c r="AA960" s="1096">
        <f t="shared" si="1761"/>
        <v>0</v>
      </c>
      <c r="AB960" s="1096">
        <f t="shared" si="1761"/>
        <v>0</v>
      </c>
      <c r="AC960" s="1096">
        <f t="shared" si="1761"/>
        <v>0</v>
      </c>
      <c r="AD960" s="1096">
        <f t="shared" si="1761"/>
        <v>0</v>
      </c>
      <c r="AE960" s="1207">
        <f t="shared" si="1761"/>
        <v>0</v>
      </c>
      <c r="AF960" s="1207">
        <f t="shared" si="1761"/>
        <v>0</v>
      </c>
      <c r="AG960" s="1096">
        <f t="shared" si="1761"/>
        <v>0</v>
      </c>
      <c r="AH960" s="1096">
        <f t="shared" si="1761"/>
        <v>0</v>
      </c>
      <c r="AI960" s="1324">
        <f t="shared" si="1761"/>
        <v>0</v>
      </c>
      <c r="AJ960" s="38"/>
      <c r="AK960" s="29"/>
      <c r="AL960" s="30"/>
      <c r="AM960" s="694">
        <f t="shared" si="1682"/>
        <v>0</v>
      </c>
      <c r="AN960" s="31"/>
      <c r="AO960" s="630"/>
      <c r="AP960" s="39" t="s">
        <v>91</v>
      </c>
      <c r="AQ960" s="40">
        <f>SUM(E959:H959)</f>
        <v>0</v>
      </c>
      <c r="AR960" s="41">
        <f>SUM(I959:O959)</f>
        <v>0</v>
      </c>
      <c r="AS960" s="41">
        <f>SUM(P959:V959)</f>
        <v>0</v>
      </c>
      <c r="AT960" s="41">
        <f>SUM(W959:AC959)</f>
        <v>0</v>
      </c>
      <c r="AU960" s="41">
        <f>SUM(AD959:AI959)</f>
        <v>0</v>
      </c>
      <c r="AV960" s="34">
        <f t="shared" ref="AV960:AV965" si="1762">SUM(AQ960:AU960)</f>
        <v>0</v>
      </c>
    </row>
    <row r="961" spans="1:48" ht="25.15" customHeight="1">
      <c r="A961" s="103"/>
      <c r="B961" s="26" t="s">
        <v>92</v>
      </c>
      <c r="C961" s="42"/>
      <c r="D961" s="43" t="s">
        <v>93</v>
      </c>
      <c r="E961" s="1325">
        <v>0</v>
      </c>
      <c r="F961" s="1089">
        <v>0</v>
      </c>
      <c r="G961" s="44">
        <v>0</v>
      </c>
      <c r="H961" s="1089">
        <v>0</v>
      </c>
      <c r="I961" s="1089">
        <v>0</v>
      </c>
      <c r="J961" s="44">
        <v>0</v>
      </c>
      <c r="K961" s="44">
        <v>0</v>
      </c>
      <c r="L961" s="1089">
        <v>0</v>
      </c>
      <c r="M961" s="1089">
        <v>0</v>
      </c>
      <c r="N961" s="1089">
        <v>0</v>
      </c>
      <c r="O961" s="1089">
        <v>0</v>
      </c>
      <c r="P961" s="1089">
        <v>0</v>
      </c>
      <c r="Q961" s="44">
        <v>0</v>
      </c>
      <c r="R961" s="44">
        <v>0</v>
      </c>
      <c r="S961" s="1089">
        <v>0</v>
      </c>
      <c r="T961" s="1089">
        <v>0</v>
      </c>
      <c r="U961" s="1089">
        <v>0</v>
      </c>
      <c r="V961" s="1089">
        <v>1000</v>
      </c>
      <c r="W961" s="1089">
        <v>1000</v>
      </c>
      <c r="X961" s="44">
        <v>0</v>
      </c>
      <c r="Y961" s="44">
        <v>0</v>
      </c>
      <c r="Z961" s="1089">
        <v>0</v>
      </c>
      <c r="AA961" s="1089">
        <v>1000</v>
      </c>
      <c r="AB961" s="1089"/>
      <c r="AC961" s="1089"/>
      <c r="AD961" s="1089"/>
      <c r="AE961" s="44"/>
      <c r="AF961" s="44"/>
      <c r="AG961" s="1089"/>
      <c r="AH961" s="1089"/>
      <c r="AI961" s="1326"/>
      <c r="AJ961" s="45">
        <f>SUM(E961:AI961)</f>
        <v>3000</v>
      </c>
      <c r="AK961" s="45"/>
      <c r="AL961" s="46">
        <f>+AJ961*AN959</f>
        <v>0</v>
      </c>
      <c r="AM961" s="1066">
        <f t="shared" si="1682"/>
        <v>0</v>
      </c>
      <c r="AN961" s="31"/>
      <c r="AO961" s="632">
        <f>(AJ961+AJ963+AJ964+AJ965)*B963/1000</f>
        <v>0</v>
      </c>
      <c r="AP961" s="47" t="s">
        <v>94</v>
      </c>
      <c r="AQ961" s="48">
        <f>SUM(E961:H961)</f>
        <v>0</v>
      </c>
      <c r="AR961" s="49">
        <f>SUM(I961:O961)</f>
        <v>0</v>
      </c>
      <c r="AS961" s="49">
        <f>SUM(P961:V961)</f>
        <v>1000</v>
      </c>
      <c r="AT961" s="49">
        <f>SUM(W961:AC961)</f>
        <v>2000</v>
      </c>
      <c r="AU961" s="49">
        <f>SUM(AD961:AI961)</f>
        <v>0</v>
      </c>
      <c r="AV961" s="50">
        <f t="shared" si="1762"/>
        <v>3000</v>
      </c>
    </row>
    <row r="962" spans="1:48" ht="25.15" customHeight="1">
      <c r="A962" s="103"/>
      <c r="B962" s="51"/>
      <c r="C962" s="52" t="s">
        <v>95</v>
      </c>
      <c r="D962" s="53" t="s">
        <v>96</v>
      </c>
      <c r="E962" s="1327">
        <f t="shared" ref="E962:AJ962" si="1763">+E961-E959</f>
        <v>0</v>
      </c>
      <c r="F962" s="1097">
        <f t="shared" si="1763"/>
        <v>0</v>
      </c>
      <c r="G962" s="1205">
        <f t="shared" si="1763"/>
        <v>0</v>
      </c>
      <c r="H962" s="1097">
        <v>0</v>
      </c>
      <c r="I962" s="1097">
        <f t="shared" si="1763"/>
        <v>0</v>
      </c>
      <c r="J962" s="1205">
        <f t="shared" si="1763"/>
        <v>0</v>
      </c>
      <c r="K962" s="1205">
        <f t="shared" si="1763"/>
        <v>0</v>
      </c>
      <c r="L962" s="1097">
        <f t="shared" si="1763"/>
        <v>0</v>
      </c>
      <c r="M962" s="1097">
        <f t="shared" si="1763"/>
        <v>0</v>
      </c>
      <c r="N962" s="1097">
        <f t="shared" si="1763"/>
        <v>0</v>
      </c>
      <c r="O962" s="1097">
        <f t="shared" si="1763"/>
        <v>0</v>
      </c>
      <c r="P962" s="1097">
        <f t="shared" si="1763"/>
        <v>0</v>
      </c>
      <c r="Q962" s="1205">
        <f t="shared" si="1763"/>
        <v>0</v>
      </c>
      <c r="R962" s="1205">
        <f t="shared" si="1763"/>
        <v>0</v>
      </c>
      <c r="S962" s="1097">
        <f t="shared" si="1763"/>
        <v>0</v>
      </c>
      <c r="T962" s="1097">
        <f t="shared" si="1763"/>
        <v>0</v>
      </c>
      <c r="U962" s="1097">
        <f t="shared" si="1763"/>
        <v>0</v>
      </c>
      <c r="V962" s="1097">
        <f t="shared" si="1763"/>
        <v>1000</v>
      </c>
      <c r="W962" s="1097">
        <f t="shared" si="1763"/>
        <v>1000</v>
      </c>
      <c r="X962" s="1205">
        <f t="shared" si="1763"/>
        <v>0</v>
      </c>
      <c r="Y962" s="1205">
        <f>+Y961-Y959</f>
        <v>0</v>
      </c>
      <c r="Z962" s="1097">
        <f t="shared" si="1763"/>
        <v>0</v>
      </c>
      <c r="AA962" s="1097">
        <f t="shared" si="1763"/>
        <v>1000</v>
      </c>
      <c r="AB962" s="1097">
        <f t="shared" si="1763"/>
        <v>0</v>
      </c>
      <c r="AC962" s="1097">
        <f t="shared" si="1763"/>
        <v>0</v>
      </c>
      <c r="AD962" s="1097">
        <f t="shared" si="1763"/>
        <v>0</v>
      </c>
      <c r="AE962" s="1205">
        <f t="shared" si="1763"/>
        <v>0</v>
      </c>
      <c r="AF962" s="1205">
        <f t="shared" si="1763"/>
        <v>0</v>
      </c>
      <c r="AG962" s="1097">
        <f t="shared" si="1763"/>
        <v>0</v>
      </c>
      <c r="AH962" s="1097">
        <f t="shared" si="1763"/>
        <v>0</v>
      </c>
      <c r="AI962" s="1328">
        <f t="shared" si="1763"/>
        <v>0</v>
      </c>
      <c r="AJ962" s="54">
        <f t="shared" si="1763"/>
        <v>3000</v>
      </c>
      <c r="AK962" s="54"/>
      <c r="AL962" s="55">
        <f>+AJ962*AN959</f>
        <v>0</v>
      </c>
      <c r="AM962" s="1067">
        <f t="shared" si="1682"/>
        <v>0</v>
      </c>
      <c r="AN962" s="31" t="s">
        <v>97</v>
      </c>
      <c r="AO962" s="622"/>
      <c r="AP962" s="39" t="s">
        <v>98</v>
      </c>
      <c r="AQ962" s="56">
        <f>AQ961-AQ960</f>
        <v>0</v>
      </c>
      <c r="AR962" s="70">
        <f>AR961-AR960</f>
        <v>0</v>
      </c>
      <c r="AS962" s="70">
        <f>AS961-AS960</f>
        <v>1000</v>
      </c>
      <c r="AT962" s="70">
        <f>AT961-AT960</f>
        <v>2000</v>
      </c>
      <c r="AU962" s="70">
        <f>AU961-AU960</f>
        <v>0</v>
      </c>
      <c r="AV962" s="57">
        <f t="shared" si="1762"/>
        <v>3000</v>
      </c>
    </row>
    <row r="963" spans="1:48" ht="25.15" customHeight="1">
      <c r="A963" s="58"/>
      <c r="B963" s="59"/>
      <c r="C963" s="60" t="s">
        <v>100</v>
      </c>
      <c r="D963" s="61" t="s">
        <v>101</v>
      </c>
      <c r="E963" s="1329">
        <v>0</v>
      </c>
      <c r="F963" s="1099">
        <v>0</v>
      </c>
      <c r="G963" s="1208">
        <v>0</v>
      </c>
      <c r="H963" s="1099">
        <v>0</v>
      </c>
      <c r="I963" s="1099">
        <v>0</v>
      </c>
      <c r="J963" s="1208">
        <v>0</v>
      </c>
      <c r="K963" s="1208">
        <v>0</v>
      </c>
      <c r="L963" s="1099">
        <v>0</v>
      </c>
      <c r="M963" s="1099">
        <v>0</v>
      </c>
      <c r="N963" s="1099">
        <v>0</v>
      </c>
      <c r="O963" s="1099">
        <v>0</v>
      </c>
      <c r="P963" s="1099">
        <v>0</v>
      </c>
      <c r="Q963" s="1208">
        <v>0</v>
      </c>
      <c r="R963" s="1208">
        <v>0</v>
      </c>
      <c r="S963" s="1112">
        <v>0</v>
      </c>
      <c r="T963" s="1099">
        <v>0</v>
      </c>
      <c r="U963" s="1099">
        <v>0</v>
      </c>
      <c r="V963" s="1099">
        <v>0</v>
      </c>
      <c r="W963" s="1099">
        <v>0</v>
      </c>
      <c r="X963" s="1208">
        <v>0</v>
      </c>
      <c r="Y963" s="1208">
        <v>0</v>
      </c>
      <c r="Z963" s="1099">
        <v>0</v>
      </c>
      <c r="AA963" s="1099">
        <v>0</v>
      </c>
      <c r="AB963" s="1099"/>
      <c r="AC963" s="1099"/>
      <c r="AD963" s="1099"/>
      <c r="AE963" s="1208"/>
      <c r="AF963" s="1208"/>
      <c r="AG963" s="1099"/>
      <c r="AH963" s="1099"/>
      <c r="AI963" s="1330"/>
      <c r="AJ963" s="62">
        <f>SUM(E963:AI963)</f>
        <v>0</v>
      </c>
      <c r="AK963" s="62"/>
      <c r="AL963" s="63">
        <f>+AJ963*AN959</f>
        <v>0</v>
      </c>
      <c r="AM963" s="1068">
        <f t="shared" si="1682"/>
        <v>0</v>
      </c>
      <c r="AN963" s="64">
        <f>+AJ963/AJ961*100</f>
        <v>0</v>
      </c>
      <c r="AO963" s="635" t="e">
        <f>AO961/AO959</f>
        <v>#VALUE!</v>
      </c>
      <c r="AP963" s="39" t="s">
        <v>102</v>
      </c>
      <c r="AQ963" s="56">
        <f>SUM(E963:H963)</f>
        <v>0</v>
      </c>
      <c r="AR963" s="70">
        <f>SUM(I963:O963)</f>
        <v>0</v>
      </c>
      <c r="AS963" s="70">
        <f>SUM(P963:V963)</f>
        <v>0</v>
      </c>
      <c r="AT963" s="70">
        <f>SUM(W963:AC963)</f>
        <v>0</v>
      </c>
      <c r="AU963" s="70">
        <f>SUM(AD963:AI963)</f>
        <v>0</v>
      </c>
      <c r="AV963" s="57">
        <f t="shared" si="1762"/>
        <v>0</v>
      </c>
    </row>
    <row r="964" spans="1:48" ht="25.15" customHeight="1">
      <c r="A964" s="58" t="s">
        <v>202</v>
      </c>
      <c r="B964" s="65"/>
      <c r="C964" s="66"/>
      <c r="D964" s="67" t="s">
        <v>103</v>
      </c>
      <c r="E964" s="1331">
        <v>0</v>
      </c>
      <c r="F964" s="1101">
        <v>0</v>
      </c>
      <c r="G964" s="1209">
        <v>0</v>
      </c>
      <c r="H964" s="1101">
        <v>0</v>
      </c>
      <c r="I964" s="1101">
        <v>0</v>
      </c>
      <c r="J964" s="1209">
        <v>0</v>
      </c>
      <c r="K964" s="1209">
        <v>0</v>
      </c>
      <c r="L964" s="1101">
        <v>0</v>
      </c>
      <c r="M964" s="1101">
        <v>0</v>
      </c>
      <c r="N964" s="1101">
        <v>0</v>
      </c>
      <c r="O964" s="1101">
        <v>0</v>
      </c>
      <c r="P964" s="1101">
        <v>0</v>
      </c>
      <c r="Q964" s="1209">
        <v>0</v>
      </c>
      <c r="R964" s="1209">
        <v>0</v>
      </c>
      <c r="S964" s="1114">
        <v>0</v>
      </c>
      <c r="T964" s="1101">
        <v>0</v>
      </c>
      <c r="U964" s="1101">
        <v>0</v>
      </c>
      <c r="V964" s="1101">
        <v>0</v>
      </c>
      <c r="W964" s="1101">
        <v>0</v>
      </c>
      <c r="X964" s="1209">
        <v>0</v>
      </c>
      <c r="Y964" s="1209">
        <v>0</v>
      </c>
      <c r="Z964" s="1101">
        <v>0</v>
      </c>
      <c r="AA964" s="1101">
        <v>0</v>
      </c>
      <c r="AB964" s="1101"/>
      <c r="AC964" s="1101"/>
      <c r="AD964" s="1101"/>
      <c r="AE964" s="1209"/>
      <c r="AF964" s="1209"/>
      <c r="AG964" s="1101"/>
      <c r="AH964" s="1101"/>
      <c r="AI964" s="1332"/>
      <c r="AJ964" s="68">
        <f>SUM(E964:AI964)</f>
        <v>0</v>
      </c>
      <c r="AK964" s="68"/>
      <c r="AL964" s="69">
        <f>+AJ964*AN959</f>
        <v>0</v>
      </c>
      <c r="AM964" s="1069">
        <f t="shared" si="1682"/>
        <v>0</v>
      </c>
      <c r="AN964" s="31"/>
      <c r="AO964" s="622"/>
      <c r="AP964" s="39" t="s">
        <v>19</v>
      </c>
      <c r="AQ964" s="56">
        <f>AQ963*AN959</f>
        <v>0</v>
      </c>
      <c r="AR964" s="56">
        <f>AR963*AN959</f>
        <v>0</v>
      </c>
      <c r="AS964" s="56">
        <f>AS963*AN959</f>
        <v>0</v>
      </c>
      <c r="AT964" s="56">
        <f>AT963*AN959</f>
        <v>0</v>
      </c>
      <c r="AU964" s="56">
        <f>AU963*AN959</f>
        <v>0</v>
      </c>
      <c r="AV964" s="57">
        <f t="shared" si="1762"/>
        <v>0</v>
      </c>
    </row>
    <row r="965" spans="1:48" ht="25.15" customHeight="1">
      <c r="A965" s="103"/>
      <c r="B965" s="65"/>
      <c r="C965" s="72" t="s">
        <v>104</v>
      </c>
      <c r="D965" s="73" t="s">
        <v>105</v>
      </c>
      <c r="E965" s="1378">
        <v>0</v>
      </c>
      <c r="F965" s="1103">
        <v>0</v>
      </c>
      <c r="G965" s="1210">
        <v>0</v>
      </c>
      <c r="H965" s="1103">
        <v>0</v>
      </c>
      <c r="I965" s="1103">
        <v>0</v>
      </c>
      <c r="J965" s="1210">
        <v>0</v>
      </c>
      <c r="K965" s="1210">
        <v>0</v>
      </c>
      <c r="L965" s="1103">
        <v>0</v>
      </c>
      <c r="M965" s="1103">
        <v>0</v>
      </c>
      <c r="N965" s="1103">
        <v>0</v>
      </c>
      <c r="O965" s="1103">
        <v>0</v>
      </c>
      <c r="P965" s="1103">
        <v>0</v>
      </c>
      <c r="Q965" s="1210">
        <v>0</v>
      </c>
      <c r="R965" s="1210">
        <v>0</v>
      </c>
      <c r="S965" s="1116">
        <v>0</v>
      </c>
      <c r="T965" s="1103">
        <v>0</v>
      </c>
      <c r="U965" s="1103">
        <v>0</v>
      </c>
      <c r="V965" s="1103">
        <v>0</v>
      </c>
      <c r="W965" s="1103">
        <v>0</v>
      </c>
      <c r="X965" s="1210">
        <v>0</v>
      </c>
      <c r="Y965" s="1210">
        <v>0</v>
      </c>
      <c r="Z965" s="1103">
        <v>0</v>
      </c>
      <c r="AA965" s="1103">
        <v>0</v>
      </c>
      <c r="AB965" s="1103"/>
      <c r="AC965" s="1103"/>
      <c r="AD965" s="1103"/>
      <c r="AE965" s="1210"/>
      <c r="AF965" s="1210"/>
      <c r="AG965" s="1103"/>
      <c r="AH965" s="1103"/>
      <c r="AI965" s="1352"/>
      <c r="AJ965" s="74">
        <f>SUM(E965:AI965)</f>
        <v>0</v>
      </c>
      <c r="AK965" s="74"/>
      <c r="AL965" s="75">
        <f>+AJ965*AN959</f>
        <v>0</v>
      </c>
      <c r="AM965" s="1070">
        <f t="shared" si="1682"/>
        <v>0</v>
      </c>
      <c r="AN965" s="76"/>
      <c r="AO965" s="636"/>
      <c r="AP965" s="47" t="s">
        <v>106</v>
      </c>
      <c r="AQ965" s="48">
        <f>AQ961*AN959</f>
        <v>0</v>
      </c>
      <c r="AR965" s="48">
        <f>AR961*AN959</f>
        <v>0</v>
      </c>
      <c r="AS965" s="48">
        <f>AS961*AN959</f>
        <v>0</v>
      </c>
      <c r="AT965" s="48">
        <f>AT961*AN959</f>
        <v>0</v>
      </c>
      <c r="AU965" s="48">
        <f>AU961*AN959</f>
        <v>0</v>
      </c>
      <c r="AV965" s="50">
        <f t="shared" si="1762"/>
        <v>0</v>
      </c>
    </row>
    <row r="966" spans="1:48" ht="25.15" customHeight="1">
      <c r="A966" s="103"/>
      <c r="B966" s="65"/>
      <c r="C966" s="77">
        <v>300000</v>
      </c>
      <c r="D966" s="78" t="s">
        <v>107</v>
      </c>
      <c r="E966" s="1327">
        <v>1</v>
      </c>
      <c r="F966" s="1097">
        <v>1</v>
      </c>
      <c r="G966" s="1205">
        <v>1</v>
      </c>
      <c r="H966" s="1097">
        <v>1</v>
      </c>
      <c r="I966" s="1097">
        <v>1</v>
      </c>
      <c r="J966" s="1205">
        <v>1</v>
      </c>
      <c r="K966" s="1205">
        <v>1</v>
      </c>
      <c r="L966" s="1097">
        <v>1</v>
      </c>
      <c r="M966" s="1097">
        <v>1</v>
      </c>
      <c r="N966" s="1097">
        <v>1</v>
      </c>
      <c r="O966" s="1097">
        <v>1</v>
      </c>
      <c r="P966" s="1097">
        <v>1</v>
      </c>
      <c r="Q966" s="1205">
        <v>1</v>
      </c>
      <c r="R966" s="1205">
        <v>1</v>
      </c>
      <c r="S966" s="1097">
        <v>1</v>
      </c>
      <c r="T966" s="1097">
        <v>1</v>
      </c>
      <c r="U966" s="1097">
        <v>1</v>
      </c>
      <c r="V966" s="1097">
        <v>1</v>
      </c>
      <c r="W966" s="1097">
        <v>1</v>
      </c>
      <c r="X966" s="1205">
        <v>1</v>
      </c>
      <c r="Y966" s="1205">
        <v>1</v>
      </c>
      <c r="Z966" s="1097">
        <v>1</v>
      </c>
      <c r="AA966" s="1097">
        <v>1</v>
      </c>
      <c r="AB966" s="1097">
        <v>1</v>
      </c>
      <c r="AC966" s="1097">
        <v>1</v>
      </c>
      <c r="AD966" s="1097">
        <v>1</v>
      </c>
      <c r="AE966" s="1205">
        <v>1</v>
      </c>
      <c r="AF966" s="1205">
        <v>1</v>
      </c>
      <c r="AG966" s="1097">
        <v>1</v>
      </c>
      <c r="AH966" s="1097">
        <v>1</v>
      </c>
      <c r="AI966" s="1328">
        <v>1</v>
      </c>
      <c r="AJ966" s="79"/>
      <c r="AK966" s="79"/>
      <c r="AL966" s="55"/>
      <c r="AM966" s="1067">
        <f t="shared" si="1682"/>
        <v>0</v>
      </c>
      <c r="AN966" s="31"/>
      <c r="AO966" s="622"/>
      <c r="AP966" s="23"/>
      <c r="AQ966" s="23"/>
      <c r="AR966" s="23"/>
      <c r="AS966" s="23"/>
      <c r="AT966" s="23"/>
      <c r="AU966" s="23"/>
      <c r="AV966" s="23"/>
    </row>
    <row r="967" spans="1:48" ht="25.15" customHeight="1">
      <c r="A967" s="103"/>
      <c r="B967" s="65"/>
      <c r="C967" s="80" t="s">
        <v>108</v>
      </c>
      <c r="D967" s="81" t="s">
        <v>109</v>
      </c>
      <c r="E967" s="1374">
        <f>SUM(E961+E963+E964+E965)/E966</f>
        <v>0</v>
      </c>
      <c r="F967" s="1104">
        <f>SUM(F961+F963+F964+F965)/F966</f>
        <v>0</v>
      </c>
      <c r="G967" s="1211">
        <f>SUM(G961+G963+G964+G965)/G966</f>
        <v>0</v>
      </c>
      <c r="H967" s="1104">
        <f t="shared" ref="H967:AH967" si="1764">SUM(H961+H963+H964+H965)/H966</f>
        <v>0</v>
      </c>
      <c r="I967" s="1104">
        <f t="shared" si="1764"/>
        <v>0</v>
      </c>
      <c r="J967" s="1211">
        <f t="shared" si="1764"/>
        <v>0</v>
      </c>
      <c r="K967" s="1211">
        <f t="shared" si="1764"/>
        <v>0</v>
      </c>
      <c r="L967" s="1104">
        <f t="shared" si="1764"/>
        <v>0</v>
      </c>
      <c r="M967" s="1104">
        <f t="shared" si="1764"/>
        <v>0</v>
      </c>
      <c r="N967" s="1104">
        <f t="shared" si="1764"/>
        <v>0</v>
      </c>
      <c r="O967" s="1104">
        <f t="shared" si="1764"/>
        <v>0</v>
      </c>
      <c r="P967" s="1104">
        <f t="shared" si="1764"/>
        <v>0</v>
      </c>
      <c r="Q967" s="1211">
        <f t="shared" si="1764"/>
        <v>0</v>
      </c>
      <c r="R967" s="1211">
        <f t="shared" si="1764"/>
        <v>0</v>
      </c>
      <c r="S967" s="1104">
        <f t="shared" si="1764"/>
        <v>0</v>
      </c>
      <c r="T967" s="1104">
        <f t="shared" si="1764"/>
        <v>0</v>
      </c>
      <c r="U967" s="1104">
        <f t="shared" si="1764"/>
        <v>0</v>
      </c>
      <c r="V967" s="1104">
        <f t="shared" si="1764"/>
        <v>1000</v>
      </c>
      <c r="W967" s="1104">
        <f t="shared" si="1764"/>
        <v>1000</v>
      </c>
      <c r="X967" s="1211">
        <f t="shared" si="1764"/>
        <v>0</v>
      </c>
      <c r="Y967" s="1211">
        <f t="shared" si="1764"/>
        <v>0</v>
      </c>
      <c r="Z967" s="1104">
        <f t="shared" si="1764"/>
        <v>0</v>
      </c>
      <c r="AA967" s="1104">
        <f t="shared" si="1764"/>
        <v>1000</v>
      </c>
      <c r="AB967" s="1104">
        <f t="shared" si="1764"/>
        <v>0</v>
      </c>
      <c r="AC967" s="1104">
        <f t="shared" si="1764"/>
        <v>0</v>
      </c>
      <c r="AD967" s="1104">
        <f t="shared" si="1764"/>
        <v>0</v>
      </c>
      <c r="AE967" s="1211">
        <f t="shared" si="1764"/>
        <v>0</v>
      </c>
      <c r="AF967" s="1211">
        <f t="shared" si="1764"/>
        <v>0</v>
      </c>
      <c r="AG967" s="1104">
        <f t="shared" si="1764"/>
        <v>0</v>
      </c>
      <c r="AH967" s="1104">
        <f t="shared" si="1764"/>
        <v>0</v>
      </c>
      <c r="AI967" s="1335">
        <f>SUM(AI961+AI963+AI964)/AI966</f>
        <v>0</v>
      </c>
      <c r="AJ967" s="104">
        <f>SUM(E967:AI967)</f>
        <v>3000</v>
      </c>
      <c r="AK967" s="104"/>
      <c r="AL967" s="83"/>
      <c r="AM967" s="1068">
        <f t="shared" ref="AM967:AM1030" si="1765">AL969</f>
        <v>0</v>
      </c>
      <c r="AN967" s="31"/>
      <c r="AO967" s="622"/>
      <c r="AP967" s="23"/>
      <c r="AQ967" s="23"/>
      <c r="AR967" s="23"/>
      <c r="AS967" s="23"/>
      <c r="AT967" s="23"/>
      <c r="AU967" s="23"/>
      <c r="AV967" s="23"/>
    </row>
    <row r="968" spans="1:48" ht="25.15" customHeight="1">
      <c r="A968" s="103"/>
      <c r="B968" s="59"/>
      <c r="C968" s="84">
        <f>+C966*0.8</f>
        <v>240000</v>
      </c>
      <c r="D968" s="85" t="s">
        <v>110</v>
      </c>
      <c r="E968" s="1105"/>
      <c r="F968" s="1106"/>
      <c r="G968" s="1211"/>
      <c r="H968" s="1104"/>
      <c r="I968" s="1104"/>
      <c r="J968" s="1211"/>
      <c r="K968" s="1211"/>
      <c r="L968" s="1104"/>
      <c r="M968" s="1104"/>
      <c r="N968" s="1104"/>
      <c r="O968" s="1107"/>
      <c r="P968" s="1104"/>
      <c r="Q968" s="1211"/>
      <c r="R968" s="1211"/>
      <c r="S968" s="1104"/>
      <c r="T968" s="1104"/>
      <c r="U968" s="1104"/>
      <c r="V968" s="1104"/>
      <c r="W968" s="1104"/>
      <c r="X968" s="1211"/>
      <c r="Y968" s="1211"/>
      <c r="Z968" s="1104"/>
      <c r="AA968" s="1104"/>
      <c r="AB968" s="1104"/>
      <c r="AC968" s="1104"/>
      <c r="AD968" s="1104"/>
      <c r="AE968" s="1211"/>
      <c r="AF968" s="1211"/>
      <c r="AG968" s="1104"/>
      <c r="AH968" s="1104"/>
      <c r="AI968" s="1353"/>
      <c r="AJ968" s="86"/>
      <c r="AK968" s="86"/>
      <c r="AL968" s="690"/>
      <c r="AM968" s="694">
        <f t="shared" si="1765"/>
        <v>0</v>
      </c>
      <c r="AN968" s="31"/>
      <c r="AO968" s="622"/>
      <c r="AP968" s="23"/>
      <c r="AQ968" s="23"/>
      <c r="AR968" s="23"/>
      <c r="AS968" s="23"/>
      <c r="AT968" s="23"/>
      <c r="AU968" s="23"/>
      <c r="AV968" s="23"/>
    </row>
    <row r="969" spans="1:48" ht="25.15" customHeight="1">
      <c r="A969" s="103"/>
      <c r="B969" s="105"/>
      <c r="C969" s="77"/>
      <c r="D969" s="88" t="s">
        <v>111</v>
      </c>
      <c r="E969" s="1108">
        <f>IF(E968="O/H",E967,0+E967)</f>
        <v>0</v>
      </c>
      <c r="F969" s="1089">
        <f t="shared" ref="F969:AI969" si="1766">IF(F968="O/H",F967,+E969+F967)</f>
        <v>0</v>
      </c>
      <c r="G969" s="44">
        <f t="shared" si="1766"/>
        <v>0</v>
      </c>
      <c r="H969" s="1089">
        <f t="shared" si="1766"/>
        <v>0</v>
      </c>
      <c r="I969" s="1089">
        <f t="shared" si="1766"/>
        <v>0</v>
      </c>
      <c r="J969" s="44">
        <f t="shared" si="1766"/>
        <v>0</v>
      </c>
      <c r="K969" s="44">
        <f t="shared" si="1766"/>
        <v>0</v>
      </c>
      <c r="L969" s="1089">
        <f t="shared" si="1766"/>
        <v>0</v>
      </c>
      <c r="M969" s="1089">
        <f t="shared" si="1766"/>
        <v>0</v>
      </c>
      <c r="N969" s="1089">
        <f t="shared" si="1766"/>
        <v>0</v>
      </c>
      <c r="O969" s="1089">
        <f t="shared" si="1766"/>
        <v>0</v>
      </c>
      <c r="P969" s="1089">
        <f t="shared" si="1766"/>
        <v>0</v>
      </c>
      <c r="Q969" s="44">
        <f t="shared" si="1766"/>
        <v>0</v>
      </c>
      <c r="R969" s="44">
        <f t="shared" si="1766"/>
        <v>0</v>
      </c>
      <c r="S969" s="1089">
        <f t="shared" si="1766"/>
        <v>0</v>
      </c>
      <c r="T969" s="1089">
        <f t="shared" si="1766"/>
        <v>0</v>
      </c>
      <c r="U969" s="1089">
        <f t="shared" si="1766"/>
        <v>0</v>
      </c>
      <c r="V969" s="1089">
        <f t="shared" si="1766"/>
        <v>1000</v>
      </c>
      <c r="W969" s="1089">
        <f t="shared" si="1766"/>
        <v>2000</v>
      </c>
      <c r="X969" s="44">
        <f t="shared" si="1766"/>
        <v>2000</v>
      </c>
      <c r="Y969" s="44">
        <f t="shared" si="1766"/>
        <v>2000</v>
      </c>
      <c r="Z969" s="1089">
        <f t="shared" si="1766"/>
        <v>2000</v>
      </c>
      <c r="AA969" s="1089">
        <f t="shared" si="1766"/>
        <v>3000</v>
      </c>
      <c r="AB969" s="1089">
        <f t="shared" si="1766"/>
        <v>3000</v>
      </c>
      <c r="AC969" s="1089">
        <f t="shared" si="1766"/>
        <v>3000</v>
      </c>
      <c r="AD969" s="1089">
        <f t="shared" si="1766"/>
        <v>3000</v>
      </c>
      <c r="AE969" s="44">
        <f t="shared" si="1766"/>
        <v>3000</v>
      </c>
      <c r="AF969" s="44">
        <f t="shared" si="1766"/>
        <v>3000</v>
      </c>
      <c r="AG969" s="1089">
        <f t="shared" si="1766"/>
        <v>3000</v>
      </c>
      <c r="AH969" s="1089">
        <f t="shared" si="1766"/>
        <v>3000</v>
      </c>
      <c r="AI969" s="1326">
        <f t="shared" si="1766"/>
        <v>3000</v>
      </c>
      <c r="AJ969" s="79"/>
      <c r="AK969" s="86"/>
      <c r="AL969" s="689"/>
      <c r="AM969" s="694">
        <f t="shared" si="1765"/>
        <v>0</v>
      </c>
      <c r="AN969" s="31"/>
      <c r="AO969" s="622"/>
      <c r="AP969" s="23"/>
      <c r="AQ969" s="23"/>
      <c r="AR969" s="23"/>
      <c r="AS969" s="23"/>
      <c r="AT969" s="23"/>
      <c r="AU969" s="23"/>
      <c r="AV969" s="23"/>
    </row>
    <row r="970" spans="1:48" ht="25.15" customHeight="1">
      <c r="A970" s="103"/>
      <c r="B970" s="89"/>
      <c r="C970" s="80"/>
      <c r="D970" s="90" t="s">
        <v>104</v>
      </c>
      <c r="E970" s="1108"/>
      <c r="F970" s="1089"/>
      <c r="G970" s="44"/>
      <c r="H970" s="1089"/>
      <c r="I970" s="1089"/>
      <c r="J970" s="44"/>
      <c r="K970" s="44"/>
      <c r="L970" s="1089"/>
      <c r="M970" s="1089"/>
      <c r="N970" s="1089"/>
      <c r="O970" s="1089"/>
      <c r="P970" s="1089"/>
      <c r="Q970" s="44"/>
      <c r="R970" s="44"/>
      <c r="S970" s="1089"/>
      <c r="T970" s="1089"/>
      <c r="U970" s="1089"/>
      <c r="V970" s="1089"/>
      <c r="W970" s="1089"/>
      <c r="X970" s="44"/>
      <c r="Y970" s="44"/>
      <c r="Z970" s="1089"/>
      <c r="AA970" s="1089"/>
      <c r="AB970" s="1089"/>
      <c r="AC970" s="1089"/>
      <c r="AD970" s="1089"/>
      <c r="AE970" s="44"/>
      <c r="AF970" s="44"/>
      <c r="AG970" s="1089"/>
      <c r="AH970" s="1089"/>
      <c r="AI970" s="1326"/>
      <c r="AJ970" s="79"/>
      <c r="AK970" s="79"/>
      <c r="AL970" s="63"/>
      <c r="AM970" s="1068">
        <f t="shared" si="1765"/>
        <v>0</v>
      </c>
      <c r="AN970" s="64"/>
      <c r="AO970" s="624"/>
      <c r="AP970" s="23"/>
      <c r="AQ970" s="23"/>
      <c r="AR970" s="23"/>
      <c r="AS970" s="23"/>
      <c r="AT970" s="23"/>
      <c r="AU970" s="23"/>
      <c r="AV970" s="23"/>
    </row>
    <row r="971" spans="1:48" ht="25.15" customHeight="1" thickBot="1">
      <c r="A971" s="106"/>
      <c r="B971" s="93"/>
      <c r="C971" s="94"/>
      <c r="D971" s="95" t="s">
        <v>111</v>
      </c>
      <c r="E971" s="1109">
        <f>IF(E970="O/H",E967,0+E967)</f>
        <v>0</v>
      </c>
      <c r="F971" s="1110">
        <f t="shared" ref="F971:AI971" si="1767">IF(F970="O/H",F967,+E971+F967)</f>
        <v>0</v>
      </c>
      <c r="G971" s="1212">
        <f t="shared" si="1767"/>
        <v>0</v>
      </c>
      <c r="H971" s="1110">
        <f t="shared" si="1767"/>
        <v>0</v>
      </c>
      <c r="I971" s="1110">
        <f t="shared" si="1767"/>
        <v>0</v>
      </c>
      <c r="J971" s="1212">
        <f t="shared" si="1767"/>
        <v>0</v>
      </c>
      <c r="K971" s="1212">
        <f t="shared" si="1767"/>
        <v>0</v>
      </c>
      <c r="L971" s="1110">
        <f t="shared" si="1767"/>
        <v>0</v>
      </c>
      <c r="M971" s="1110">
        <f t="shared" si="1767"/>
        <v>0</v>
      </c>
      <c r="N971" s="1110">
        <f t="shared" si="1767"/>
        <v>0</v>
      </c>
      <c r="O971" s="1110">
        <f t="shared" si="1767"/>
        <v>0</v>
      </c>
      <c r="P971" s="1110">
        <f t="shared" si="1767"/>
        <v>0</v>
      </c>
      <c r="Q971" s="1212">
        <f t="shared" si="1767"/>
        <v>0</v>
      </c>
      <c r="R971" s="1212">
        <f t="shared" si="1767"/>
        <v>0</v>
      </c>
      <c r="S971" s="1110">
        <f t="shared" si="1767"/>
        <v>0</v>
      </c>
      <c r="T971" s="1110">
        <f t="shared" si="1767"/>
        <v>0</v>
      </c>
      <c r="U971" s="1110">
        <f t="shared" si="1767"/>
        <v>0</v>
      </c>
      <c r="V971" s="1110">
        <f t="shared" si="1767"/>
        <v>1000</v>
      </c>
      <c r="W971" s="1110">
        <f t="shared" si="1767"/>
        <v>2000</v>
      </c>
      <c r="X971" s="1212">
        <f t="shared" si="1767"/>
        <v>2000</v>
      </c>
      <c r="Y971" s="1212">
        <f t="shared" si="1767"/>
        <v>2000</v>
      </c>
      <c r="Z971" s="1110">
        <f t="shared" si="1767"/>
        <v>2000</v>
      </c>
      <c r="AA971" s="1110">
        <f t="shared" si="1767"/>
        <v>3000</v>
      </c>
      <c r="AB971" s="1110">
        <f t="shared" si="1767"/>
        <v>3000</v>
      </c>
      <c r="AC971" s="1110">
        <f t="shared" si="1767"/>
        <v>3000</v>
      </c>
      <c r="AD971" s="1110">
        <f t="shared" si="1767"/>
        <v>3000</v>
      </c>
      <c r="AE971" s="1212">
        <f t="shared" si="1767"/>
        <v>3000</v>
      </c>
      <c r="AF971" s="1212">
        <f t="shared" si="1767"/>
        <v>3000</v>
      </c>
      <c r="AG971" s="1110">
        <f t="shared" si="1767"/>
        <v>3000</v>
      </c>
      <c r="AH971" s="1110">
        <f t="shared" si="1767"/>
        <v>3000</v>
      </c>
      <c r="AI971" s="1340">
        <f t="shared" si="1767"/>
        <v>3000</v>
      </c>
      <c r="AJ971" s="96"/>
      <c r="AK971" s="96"/>
      <c r="AL971" s="97"/>
      <c r="AM971" s="1071">
        <f t="shared" si="1765"/>
        <v>0</v>
      </c>
      <c r="AN971" s="98"/>
      <c r="AO971" s="625"/>
      <c r="AP971" s="23"/>
      <c r="AQ971" s="23"/>
      <c r="AR971" s="23"/>
      <c r="AS971" s="23"/>
      <c r="AT971" s="23"/>
      <c r="AU971" s="23"/>
      <c r="AV971" s="23"/>
    </row>
    <row r="972" spans="1:48" ht="25.15" hidden="1" customHeight="1" thickTop="1">
      <c r="A972" s="99"/>
      <c r="B972" s="26" t="s">
        <v>217</v>
      </c>
      <c r="C972" s="27"/>
      <c r="D972" s="28" t="s">
        <v>82</v>
      </c>
      <c r="E972" s="1111"/>
      <c r="F972" s="1111"/>
      <c r="G972" s="1201"/>
      <c r="H972" s="1111"/>
      <c r="I972" s="1111"/>
      <c r="J972" s="1201"/>
      <c r="K972" s="1201"/>
      <c r="L972" s="1111"/>
      <c r="M972" s="1111"/>
      <c r="N972" s="1111"/>
      <c r="O972" s="1111"/>
      <c r="P972" s="1111"/>
      <c r="Q972" s="1201"/>
      <c r="R972" s="1201"/>
      <c r="S972" s="1111"/>
      <c r="T972" s="1111"/>
      <c r="U972" s="1111"/>
      <c r="V972" s="1111"/>
      <c r="W972" s="1111"/>
      <c r="X972" s="1201"/>
      <c r="Y972" s="1201"/>
      <c r="Z972" s="1111"/>
      <c r="AA972" s="1111"/>
      <c r="AB972" s="1111"/>
      <c r="AC972" s="1111"/>
      <c r="AD972" s="1111"/>
      <c r="AE972" s="1201"/>
      <c r="AF972" s="1201"/>
      <c r="AG972" s="1111"/>
      <c r="AH972" s="1111"/>
      <c r="AI972" s="1111"/>
      <c r="AJ972" s="100">
        <f>SUM(Table75[[#This Row],[June''2026]:[Column27]])</f>
        <v>0</v>
      </c>
      <c r="AK972" s="100">
        <f t="shared" ref="AK972:AK1026" si="1768">AJ974</f>
        <v>0</v>
      </c>
      <c r="AL972" s="101">
        <f>+AJ972*AN972</f>
        <v>0</v>
      </c>
      <c r="AM972" s="1072">
        <f t="shared" si="1765"/>
        <v>0</v>
      </c>
      <c r="AN972" s="102">
        <v>55.37388</v>
      </c>
      <c r="AO972" s="622" t="e">
        <f>Table5[[#This Row],[Total]]*B976/1000</f>
        <v>#VALUE!</v>
      </c>
      <c r="AP972" s="32" t="s">
        <v>193</v>
      </c>
      <c r="AQ972" s="33" t="s">
        <v>84</v>
      </c>
      <c r="AR972" s="33" t="s">
        <v>85</v>
      </c>
      <c r="AS972" s="33" t="s">
        <v>86</v>
      </c>
      <c r="AT972" s="33" t="s">
        <v>87</v>
      </c>
      <c r="AU972" s="33" t="s">
        <v>88</v>
      </c>
      <c r="AV972" s="34" t="s">
        <v>68</v>
      </c>
    </row>
    <row r="973" spans="1:48" ht="25.15" hidden="1" customHeight="1">
      <c r="A973" s="103"/>
      <c r="B973" s="35" t="s">
        <v>218</v>
      </c>
      <c r="C973" s="36"/>
      <c r="D973" s="37" t="s">
        <v>90</v>
      </c>
      <c r="E973" s="1373">
        <f>IF(E972="",0,+ E972/E979)</f>
        <v>0</v>
      </c>
      <c r="F973" s="1096">
        <f t="shared" ref="F973:AI973" si="1769">IF(F972="",0, E973+F972/F979)</f>
        <v>0</v>
      </c>
      <c r="G973" s="1207">
        <f t="shared" si="1769"/>
        <v>0</v>
      </c>
      <c r="H973" s="1096">
        <f t="shared" si="1769"/>
        <v>0</v>
      </c>
      <c r="I973" s="1096">
        <f t="shared" si="1769"/>
        <v>0</v>
      </c>
      <c r="J973" s="1207">
        <f t="shared" si="1769"/>
        <v>0</v>
      </c>
      <c r="K973" s="1207">
        <f t="shared" si="1769"/>
        <v>0</v>
      </c>
      <c r="L973" s="1096">
        <f t="shared" si="1769"/>
        <v>0</v>
      </c>
      <c r="M973" s="1096">
        <f t="shared" si="1769"/>
        <v>0</v>
      </c>
      <c r="N973" s="1096">
        <f t="shared" si="1769"/>
        <v>0</v>
      </c>
      <c r="O973" s="1096">
        <f t="shared" si="1769"/>
        <v>0</v>
      </c>
      <c r="P973" s="1096">
        <f t="shared" si="1769"/>
        <v>0</v>
      </c>
      <c r="Q973" s="1207">
        <f t="shared" si="1769"/>
        <v>0</v>
      </c>
      <c r="R973" s="1207">
        <f t="shared" si="1769"/>
        <v>0</v>
      </c>
      <c r="S973" s="1096">
        <f t="shared" si="1769"/>
        <v>0</v>
      </c>
      <c r="T973" s="1096">
        <f t="shared" si="1769"/>
        <v>0</v>
      </c>
      <c r="U973" s="1096">
        <f t="shared" si="1769"/>
        <v>0</v>
      </c>
      <c r="V973" s="1096">
        <f t="shared" si="1769"/>
        <v>0</v>
      </c>
      <c r="W973" s="1096">
        <f t="shared" si="1769"/>
        <v>0</v>
      </c>
      <c r="X973" s="1207">
        <f t="shared" si="1769"/>
        <v>0</v>
      </c>
      <c r="Y973" s="1207">
        <f t="shared" si="1769"/>
        <v>0</v>
      </c>
      <c r="Z973" s="1096">
        <f t="shared" si="1769"/>
        <v>0</v>
      </c>
      <c r="AA973" s="1096">
        <f t="shared" si="1769"/>
        <v>0</v>
      </c>
      <c r="AB973" s="1096">
        <f t="shared" si="1769"/>
        <v>0</v>
      </c>
      <c r="AC973" s="1096">
        <f t="shared" si="1769"/>
        <v>0</v>
      </c>
      <c r="AD973" s="1096">
        <f t="shared" si="1769"/>
        <v>0</v>
      </c>
      <c r="AE973" s="1207">
        <f t="shared" si="1769"/>
        <v>0</v>
      </c>
      <c r="AF973" s="1207">
        <f t="shared" si="1769"/>
        <v>0</v>
      </c>
      <c r="AG973" s="1096">
        <f t="shared" si="1769"/>
        <v>0</v>
      </c>
      <c r="AH973" s="1096">
        <f t="shared" si="1769"/>
        <v>0</v>
      </c>
      <c r="AI973" s="1324">
        <f t="shared" si="1769"/>
        <v>0</v>
      </c>
      <c r="AJ973" s="38"/>
      <c r="AK973" s="29"/>
      <c r="AL973" s="30"/>
      <c r="AM973" s="694">
        <f t="shared" si="1765"/>
        <v>0</v>
      </c>
      <c r="AN973" s="31"/>
      <c r="AO973" s="630"/>
      <c r="AP973" s="39" t="s">
        <v>91</v>
      </c>
      <c r="AQ973" s="40">
        <f>SUM(E972:I972)</f>
        <v>0</v>
      </c>
      <c r="AR973" s="41">
        <f>SUM(J972:P972)</f>
        <v>0</v>
      </c>
      <c r="AS973" s="41">
        <f>SUM(Q972:W972)</f>
        <v>0</v>
      </c>
      <c r="AT973" s="41">
        <f>SUM(X972:AD972)</f>
        <v>0</v>
      </c>
      <c r="AU973" s="41">
        <f>SUM(AE972:AI972)</f>
        <v>0</v>
      </c>
      <c r="AV973" s="34">
        <f t="shared" ref="AV973:AV978" si="1770">SUM(AQ973:AU973)</f>
        <v>0</v>
      </c>
    </row>
    <row r="974" spans="1:48" ht="25.15" hidden="1" customHeight="1">
      <c r="A974" s="103"/>
      <c r="B974" s="26" t="s">
        <v>92</v>
      </c>
      <c r="C974" s="42"/>
      <c r="D974" s="43" t="s">
        <v>93</v>
      </c>
      <c r="E974" s="1325"/>
      <c r="F974" s="1089"/>
      <c r="G974" s="44"/>
      <c r="H974" s="1089"/>
      <c r="I974" s="1089"/>
      <c r="J974" s="44"/>
      <c r="K974" s="44"/>
      <c r="L974" s="1089"/>
      <c r="M974" s="1089"/>
      <c r="N974" s="1089"/>
      <c r="O974" s="1089"/>
      <c r="P974" s="1089"/>
      <c r="Q974" s="44"/>
      <c r="R974" s="44"/>
      <c r="S974" s="1089"/>
      <c r="T974" s="1089"/>
      <c r="U974" s="1089"/>
      <c r="V974" s="1089"/>
      <c r="W974" s="1089"/>
      <c r="X974" s="44"/>
      <c r="Y974" s="44"/>
      <c r="Z974" s="1089"/>
      <c r="AA974" s="1089"/>
      <c r="AB974" s="1089"/>
      <c r="AC974" s="1089"/>
      <c r="AD974" s="1089"/>
      <c r="AE974" s="44"/>
      <c r="AF974" s="44"/>
      <c r="AG974" s="1089"/>
      <c r="AH974" s="1089"/>
      <c r="AI974" s="1326"/>
      <c r="AJ974" s="45">
        <f>SUM(E974:AI974)</f>
        <v>0</v>
      </c>
      <c r="AK974" s="45"/>
      <c r="AL974" s="46">
        <f>+AJ974*AN972</f>
        <v>0</v>
      </c>
      <c r="AM974" s="1066">
        <f t="shared" si="1765"/>
        <v>0</v>
      </c>
      <c r="AN974" s="31"/>
      <c r="AO974" s="632">
        <f>(AJ974+AJ976+AJ977+AJ978)*B976/1000</f>
        <v>0</v>
      </c>
      <c r="AP974" s="47" t="s">
        <v>94</v>
      </c>
      <c r="AQ974" s="48">
        <f>SUM(E974:I974)</f>
        <v>0</v>
      </c>
      <c r="AR974" s="49">
        <f>SUM(J974:P974)</f>
        <v>0</v>
      </c>
      <c r="AS974" s="49">
        <f>SUM(Q974:W974)</f>
        <v>0</v>
      </c>
      <c r="AT974" s="49">
        <f>SUM(X974:AD974)</f>
        <v>0</v>
      </c>
      <c r="AU974" s="49">
        <f>SUM(AE974:AI974)</f>
        <v>0</v>
      </c>
      <c r="AV974" s="50">
        <f t="shared" si="1770"/>
        <v>0</v>
      </c>
    </row>
    <row r="975" spans="1:48" ht="25.15" hidden="1" customHeight="1">
      <c r="A975" s="103"/>
      <c r="B975" s="51"/>
      <c r="C975" s="52" t="s">
        <v>95</v>
      </c>
      <c r="D975" s="53" t="s">
        <v>96</v>
      </c>
      <c r="E975" s="1327">
        <f t="shared" ref="E975:AJ975" si="1771">+E974-E972</f>
        <v>0</v>
      </c>
      <c r="F975" s="1097">
        <f t="shared" si="1771"/>
        <v>0</v>
      </c>
      <c r="G975" s="1205">
        <f t="shared" si="1771"/>
        <v>0</v>
      </c>
      <c r="H975" s="1097">
        <f t="shared" si="1771"/>
        <v>0</v>
      </c>
      <c r="I975" s="1097">
        <f t="shared" si="1771"/>
        <v>0</v>
      </c>
      <c r="J975" s="1205">
        <f t="shared" si="1771"/>
        <v>0</v>
      </c>
      <c r="K975" s="1205">
        <f t="shared" si="1771"/>
        <v>0</v>
      </c>
      <c r="L975" s="1097">
        <f t="shared" si="1771"/>
        <v>0</v>
      </c>
      <c r="M975" s="1097">
        <f t="shared" si="1771"/>
        <v>0</v>
      </c>
      <c r="N975" s="1097">
        <f t="shared" si="1771"/>
        <v>0</v>
      </c>
      <c r="O975" s="1097">
        <f t="shared" si="1771"/>
        <v>0</v>
      </c>
      <c r="P975" s="1097">
        <f t="shared" si="1771"/>
        <v>0</v>
      </c>
      <c r="Q975" s="1205">
        <f t="shared" si="1771"/>
        <v>0</v>
      </c>
      <c r="R975" s="1205">
        <f t="shared" si="1771"/>
        <v>0</v>
      </c>
      <c r="S975" s="1097">
        <f t="shared" si="1771"/>
        <v>0</v>
      </c>
      <c r="T975" s="1097">
        <f t="shared" si="1771"/>
        <v>0</v>
      </c>
      <c r="U975" s="1097">
        <f t="shared" si="1771"/>
        <v>0</v>
      </c>
      <c r="V975" s="1097">
        <f t="shared" si="1771"/>
        <v>0</v>
      </c>
      <c r="W975" s="1097">
        <f t="shared" si="1771"/>
        <v>0</v>
      </c>
      <c r="X975" s="1205">
        <f t="shared" si="1771"/>
        <v>0</v>
      </c>
      <c r="Y975" s="1205">
        <f t="shared" si="1771"/>
        <v>0</v>
      </c>
      <c r="Z975" s="1097">
        <f t="shared" si="1771"/>
        <v>0</v>
      </c>
      <c r="AA975" s="1097">
        <f t="shared" si="1771"/>
        <v>0</v>
      </c>
      <c r="AB975" s="1097">
        <f t="shared" si="1771"/>
        <v>0</v>
      </c>
      <c r="AC975" s="1097">
        <f t="shared" si="1771"/>
        <v>0</v>
      </c>
      <c r="AD975" s="1097">
        <f t="shared" si="1771"/>
        <v>0</v>
      </c>
      <c r="AE975" s="1205">
        <f t="shared" si="1771"/>
        <v>0</v>
      </c>
      <c r="AF975" s="1205">
        <f t="shared" si="1771"/>
        <v>0</v>
      </c>
      <c r="AG975" s="1097">
        <f t="shared" si="1771"/>
        <v>0</v>
      </c>
      <c r="AH975" s="1097">
        <f t="shared" si="1771"/>
        <v>0</v>
      </c>
      <c r="AI975" s="1328">
        <f t="shared" si="1771"/>
        <v>0</v>
      </c>
      <c r="AJ975" s="54">
        <f t="shared" si="1771"/>
        <v>0</v>
      </c>
      <c r="AK975" s="54"/>
      <c r="AL975" s="55">
        <f>+AJ975*AN972</f>
        <v>0</v>
      </c>
      <c r="AM975" s="1067">
        <f t="shared" si="1765"/>
        <v>0</v>
      </c>
      <c r="AN975" s="31" t="s">
        <v>97</v>
      </c>
      <c r="AO975" s="622"/>
      <c r="AP975" s="39" t="s">
        <v>98</v>
      </c>
      <c r="AQ975" s="56">
        <f>AQ974-AQ973</f>
        <v>0</v>
      </c>
      <c r="AR975" s="70">
        <f>AR974-AR973</f>
        <v>0</v>
      </c>
      <c r="AS975" s="70">
        <f>AS974-AS973</f>
        <v>0</v>
      </c>
      <c r="AT975" s="70">
        <f>AT974-AT973</f>
        <v>0</v>
      </c>
      <c r="AU975" s="70">
        <f>AU974-AU973</f>
        <v>0</v>
      </c>
      <c r="AV975" s="57">
        <f t="shared" si="1770"/>
        <v>0</v>
      </c>
    </row>
    <row r="976" spans="1:48" ht="25.15" hidden="1" customHeight="1">
      <c r="A976" s="58"/>
      <c r="B976" s="59"/>
      <c r="C976" s="60" t="s">
        <v>100</v>
      </c>
      <c r="D976" s="61" t="s">
        <v>101</v>
      </c>
      <c r="E976" s="1329"/>
      <c r="F976" s="1099"/>
      <c r="G976" s="1208"/>
      <c r="H976" s="1099"/>
      <c r="I976" s="1099"/>
      <c r="J976" s="1208"/>
      <c r="K976" s="1208"/>
      <c r="L976" s="1099"/>
      <c r="M976" s="1099"/>
      <c r="N976" s="1099"/>
      <c r="O976" s="1099"/>
      <c r="P976" s="1099"/>
      <c r="Q976" s="1208"/>
      <c r="R976" s="1208"/>
      <c r="S976" s="1099"/>
      <c r="T976" s="1099"/>
      <c r="U976" s="1099"/>
      <c r="V976" s="1099"/>
      <c r="W976" s="1099"/>
      <c r="X976" s="1208"/>
      <c r="Y976" s="1208"/>
      <c r="Z976" s="1099"/>
      <c r="AA976" s="1099"/>
      <c r="AB976" s="1099"/>
      <c r="AC976" s="1099"/>
      <c r="AD976" s="1099"/>
      <c r="AE976" s="1208"/>
      <c r="AF976" s="1208"/>
      <c r="AG976" s="1099"/>
      <c r="AH976" s="1099"/>
      <c r="AI976" s="1330"/>
      <c r="AJ976" s="62">
        <f>SUM(E976:AI976)</f>
        <v>0</v>
      </c>
      <c r="AK976" s="62"/>
      <c r="AL976" s="63">
        <f>+AJ976*AN972</f>
        <v>0</v>
      </c>
      <c r="AM976" s="1068">
        <f t="shared" si="1765"/>
        <v>0</v>
      </c>
      <c r="AN976" s="64" t="e">
        <f>+AJ976/AJ974*100</f>
        <v>#DIV/0!</v>
      </c>
      <c r="AO976" s="635" t="e">
        <f>AO974/AO972</f>
        <v>#VALUE!</v>
      </c>
      <c r="AP976" s="39" t="s">
        <v>102</v>
      </c>
      <c r="AQ976" s="56">
        <f>SUM(E976:I976)</f>
        <v>0</v>
      </c>
      <c r="AR976" s="70">
        <f>SUM(J976:P976)</f>
        <v>0</v>
      </c>
      <c r="AS976" s="70">
        <f>SUM(Q976:W976)</f>
        <v>0</v>
      </c>
      <c r="AT976" s="70">
        <f>SUM(X976:AD976)</f>
        <v>0</v>
      </c>
      <c r="AU976" s="70">
        <f>SUM(AE976:AI976)</f>
        <v>0</v>
      </c>
      <c r="AV976" s="57">
        <f t="shared" si="1770"/>
        <v>0</v>
      </c>
    </row>
    <row r="977" spans="1:48" ht="25.15" hidden="1" customHeight="1">
      <c r="A977" s="58" t="s">
        <v>202</v>
      </c>
      <c r="B977" s="65"/>
      <c r="C977" s="66"/>
      <c r="D977" s="67" t="s">
        <v>103</v>
      </c>
      <c r="E977" s="1331"/>
      <c r="F977" s="1101"/>
      <c r="G977" s="1209"/>
      <c r="H977" s="1101"/>
      <c r="I977" s="1101"/>
      <c r="J977" s="1209"/>
      <c r="K977" s="1209"/>
      <c r="L977" s="1101"/>
      <c r="M977" s="1101"/>
      <c r="N977" s="1101"/>
      <c r="O977" s="1101"/>
      <c r="P977" s="1101"/>
      <c r="Q977" s="1209"/>
      <c r="R977" s="1209"/>
      <c r="S977" s="1101"/>
      <c r="T977" s="1101"/>
      <c r="U977" s="1101"/>
      <c r="V977" s="1101"/>
      <c r="W977" s="1101"/>
      <c r="X977" s="1209"/>
      <c r="Y977" s="1209"/>
      <c r="Z977" s="1101"/>
      <c r="AA977" s="1101"/>
      <c r="AB977" s="1101"/>
      <c r="AC977" s="1101"/>
      <c r="AD977" s="1101"/>
      <c r="AE977" s="1209"/>
      <c r="AF977" s="1209"/>
      <c r="AG977" s="1101"/>
      <c r="AH977" s="1101"/>
      <c r="AI977" s="1332"/>
      <c r="AJ977" s="68">
        <f>SUM(E977:AI977)</f>
        <v>0</v>
      </c>
      <c r="AK977" s="68"/>
      <c r="AL977" s="69">
        <f>+AJ977*AN972</f>
        <v>0</v>
      </c>
      <c r="AM977" s="1069">
        <f t="shared" si="1765"/>
        <v>0</v>
      </c>
      <c r="AN977" s="31"/>
      <c r="AO977" s="622"/>
      <c r="AP977" s="39" t="s">
        <v>19</v>
      </c>
      <c r="AQ977" s="56">
        <f>AQ976*AN972</f>
        <v>0</v>
      </c>
      <c r="AR977" s="56">
        <f>AR976*AN972</f>
        <v>0</v>
      </c>
      <c r="AS977" s="56">
        <f>AS976*AN972</f>
        <v>0</v>
      </c>
      <c r="AT977" s="56">
        <f>AT976*AN972</f>
        <v>0</v>
      </c>
      <c r="AU977" s="56">
        <f>AU976*AN972</f>
        <v>0</v>
      </c>
      <c r="AV977" s="57">
        <f t="shared" si="1770"/>
        <v>0</v>
      </c>
    </row>
    <row r="978" spans="1:48" ht="25.15" hidden="1" customHeight="1">
      <c r="A978" s="103"/>
      <c r="B978" s="65"/>
      <c r="C978" s="72" t="s">
        <v>104</v>
      </c>
      <c r="D978" s="73" t="s">
        <v>105</v>
      </c>
      <c r="E978" s="1378"/>
      <c r="F978" s="1103"/>
      <c r="G978" s="1210"/>
      <c r="H978" s="1103"/>
      <c r="I978" s="1103"/>
      <c r="J978" s="1210"/>
      <c r="K978" s="1210"/>
      <c r="L978" s="1103"/>
      <c r="M978" s="1103"/>
      <c r="N978" s="1103"/>
      <c r="O978" s="1103"/>
      <c r="P978" s="1103"/>
      <c r="Q978" s="1210"/>
      <c r="R978" s="1210"/>
      <c r="S978" s="1103"/>
      <c r="T978" s="1103"/>
      <c r="U978" s="1103"/>
      <c r="V978" s="1103"/>
      <c r="W978" s="1103"/>
      <c r="X978" s="1210"/>
      <c r="Y978" s="1210"/>
      <c r="Z978" s="1103"/>
      <c r="AA978" s="1103"/>
      <c r="AB978" s="1103"/>
      <c r="AC978" s="1103"/>
      <c r="AD978" s="1103"/>
      <c r="AE978" s="1210"/>
      <c r="AF978" s="1210"/>
      <c r="AG978" s="1103"/>
      <c r="AH978" s="1103"/>
      <c r="AI978" s="1352"/>
      <c r="AJ978" s="74">
        <f>SUM(E978:AI978)</f>
        <v>0</v>
      </c>
      <c r="AK978" s="74"/>
      <c r="AL978" s="75">
        <f>+AJ978*AN972</f>
        <v>0</v>
      </c>
      <c r="AM978" s="1070">
        <f t="shared" si="1765"/>
        <v>0</v>
      </c>
      <c r="AN978" s="76"/>
      <c r="AO978" s="636"/>
      <c r="AP978" s="47" t="s">
        <v>106</v>
      </c>
      <c r="AQ978" s="48">
        <f>AQ974*AN972</f>
        <v>0</v>
      </c>
      <c r="AR978" s="48">
        <f>AR974*AN972</f>
        <v>0</v>
      </c>
      <c r="AS978" s="48">
        <f>AS974*AN972</f>
        <v>0</v>
      </c>
      <c r="AT978" s="48">
        <f>AT974*AN972</f>
        <v>0</v>
      </c>
      <c r="AU978" s="48">
        <f>AU974*AN972</f>
        <v>0</v>
      </c>
      <c r="AV978" s="50">
        <f t="shared" si="1770"/>
        <v>0</v>
      </c>
    </row>
    <row r="979" spans="1:48" ht="25.15" hidden="1" customHeight="1">
      <c r="A979" s="103"/>
      <c r="B979" s="65"/>
      <c r="C979" s="77">
        <v>300000</v>
      </c>
      <c r="D979" s="78" t="s">
        <v>107</v>
      </c>
      <c r="E979" s="1327">
        <v>1</v>
      </c>
      <c r="F979" s="1097">
        <v>1</v>
      </c>
      <c r="G979" s="1205">
        <v>1</v>
      </c>
      <c r="H979" s="1097">
        <v>1</v>
      </c>
      <c r="I979" s="1097">
        <v>1</v>
      </c>
      <c r="J979" s="1205">
        <v>1</v>
      </c>
      <c r="K979" s="1205">
        <v>1</v>
      </c>
      <c r="L979" s="1097">
        <v>1</v>
      </c>
      <c r="M979" s="1097">
        <v>1</v>
      </c>
      <c r="N979" s="1097">
        <v>1</v>
      </c>
      <c r="O979" s="1097">
        <v>1</v>
      </c>
      <c r="P979" s="1097">
        <v>1</v>
      </c>
      <c r="Q979" s="1205">
        <v>1</v>
      </c>
      <c r="R979" s="1205">
        <v>1</v>
      </c>
      <c r="S979" s="1097">
        <v>1</v>
      </c>
      <c r="T979" s="1097">
        <v>1</v>
      </c>
      <c r="U979" s="1097">
        <v>1</v>
      </c>
      <c r="V979" s="1097">
        <v>1</v>
      </c>
      <c r="W979" s="1097">
        <v>1</v>
      </c>
      <c r="X979" s="1205">
        <v>1</v>
      </c>
      <c r="Y979" s="1205">
        <v>1</v>
      </c>
      <c r="Z979" s="1097">
        <v>1</v>
      </c>
      <c r="AA979" s="1097">
        <v>1</v>
      </c>
      <c r="AB979" s="1097">
        <v>1</v>
      </c>
      <c r="AC979" s="1097">
        <v>1</v>
      </c>
      <c r="AD979" s="1097">
        <v>1</v>
      </c>
      <c r="AE979" s="1205">
        <v>1</v>
      </c>
      <c r="AF979" s="1205">
        <v>1</v>
      </c>
      <c r="AG979" s="1097">
        <v>1</v>
      </c>
      <c r="AH979" s="1097">
        <v>1</v>
      </c>
      <c r="AI979" s="1328">
        <v>1</v>
      </c>
      <c r="AJ979" s="79"/>
      <c r="AK979" s="79"/>
      <c r="AL979" s="55"/>
      <c r="AM979" s="1067">
        <f t="shared" si="1765"/>
        <v>0</v>
      </c>
      <c r="AN979" s="31"/>
      <c r="AO979" s="622"/>
      <c r="AP979" s="23"/>
      <c r="AQ979" s="23"/>
      <c r="AR979" s="23"/>
      <c r="AS979" s="23"/>
      <c r="AT979" s="23"/>
      <c r="AU979" s="23"/>
      <c r="AV979" s="23"/>
    </row>
    <row r="980" spans="1:48" ht="25.15" hidden="1" customHeight="1">
      <c r="A980" s="103"/>
      <c r="B980" s="65"/>
      <c r="C980" s="80" t="s">
        <v>108</v>
      </c>
      <c r="D980" s="81" t="s">
        <v>109</v>
      </c>
      <c r="E980" s="1374">
        <f>SUM(E974+E976+E977+E978)/E979</f>
        <v>0</v>
      </c>
      <c r="F980" s="1104">
        <f>SUM(F974+F976+F977+F978)/F979</f>
        <v>0</v>
      </c>
      <c r="G980" s="1211">
        <f>SUM(G974+G976+G977+G978)/G979</f>
        <v>0</v>
      </c>
      <c r="H980" s="1104">
        <f t="shared" ref="H980:AH980" si="1772">SUM(H974+H976+H977+H978)/H979</f>
        <v>0</v>
      </c>
      <c r="I980" s="1104">
        <f t="shared" si="1772"/>
        <v>0</v>
      </c>
      <c r="J980" s="1211">
        <f t="shared" si="1772"/>
        <v>0</v>
      </c>
      <c r="K980" s="1211">
        <f t="shared" si="1772"/>
        <v>0</v>
      </c>
      <c r="L980" s="1104">
        <f t="shared" si="1772"/>
        <v>0</v>
      </c>
      <c r="M980" s="1104">
        <f t="shared" si="1772"/>
        <v>0</v>
      </c>
      <c r="N980" s="1104">
        <f t="shared" si="1772"/>
        <v>0</v>
      </c>
      <c r="O980" s="1104">
        <f t="shared" si="1772"/>
        <v>0</v>
      </c>
      <c r="P980" s="1104">
        <f t="shared" si="1772"/>
        <v>0</v>
      </c>
      <c r="Q980" s="1211">
        <f t="shared" si="1772"/>
        <v>0</v>
      </c>
      <c r="R980" s="1211">
        <f t="shared" si="1772"/>
        <v>0</v>
      </c>
      <c r="S980" s="1104">
        <f t="shared" si="1772"/>
        <v>0</v>
      </c>
      <c r="T980" s="1104">
        <f t="shared" si="1772"/>
        <v>0</v>
      </c>
      <c r="U980" s="1104">
        <f t="shared" si="1772"/>
        <v>0</v>
      </c>
      <c r="V980" s="1104">
        <f t="shared" si="1772"/>
        <v>0</v>
      </c>
      <c r="W980" s="1104">
        <f t="shared" si="1772"/>
        <v>0</v>
      </c>
      <c r="X980" s="1211">
        <f t="shared" si="1772"/>
        <v>0</v>
      </c>
      <c r="Y980" s="1211">
        <f t="shared" si="1772"/>
        <v>0</v>
      </c>
      <c r="Z980" s="1104">
        <f t="shared" si="1772"/>
        <v>0</v>
      </c>
      <c r="AA980" s="1104">
        <f t="shared" si="1772"/>
        <v>0</v>
      </c>
      <c r="AB980" s="1104">
        <f t="shared" si="1772"/>
        <v>0</v>
      </c>
      <c r="AC980" s="1104">
        <f t="shared" si="1772"/>
        <v>0</v>
      </c>
      <c r="AD980" s="1104">
        <f t="shared" si="1772"/>
        <v>0</v>
      </c>
      <c r="AE980" s="1211">
        <f t="shared" si="1772"/>
        <v>0</v>
      </c>
      <c r="AF980" s="1211">
        <f t="shared" si="1772"/>
        <v>0</v>
      </c>
      <c r="AG980" s="1104">
        <f t="shared" si="1772"/>
        <v>0</v>
      </c>
      <c r="AH980" s="1104">
        <f t="shared" si="1772"/>
        <v>0</v>
      </c>
      <c r="AI980" s="1335">
        <f>SUM(AI974+AI976+AI977)/AI979</f>
        <v>0</v>
      </c>
      <c r="AJ980" s="104">
        <f>SUM(E980:AI980)</f>
        <v>0</v>
      </c>
      <c r="AK980" s="104"/>
      <c r="AL980" s="83"/>
      <c r="AM980" s="1068">
        <f t="shared" si="1765"/>
        <v>0</v>
      </c>
      <c r="AN980" s="31"/>
      <c r="AO980" s="622"/>
      <c r="AP980" s="23"/>
      <c r="AQ980" s="23"/>
      <c r="AR980" s="23"/>
      <c r="AS980" s="23"/>
      <c r="AT980" s="23"/>
      <c r="AU980" s="23"/>
      <c r="AV980" s="23"/>
    </row>
    <row r="981" spans="1:48" ht="25.15" hidden="1" customHeight="1">
      <c r="A981" s="103"/>
      <c r="B981" s="59"/>
      <c r="C981" s="84">
        <f>+C979*0.8</f>
        <v>240000</v>
      </c>
      <c r="D981" s="85" t="s">
        <v>110</v>
      </c>
      <c r="E981" s="1105"/>
      <c r="F981" s="1106"/>
      <c r="G981" s="1211"/>
      <c r="H981" s="1104"/>
      <c r="I981" s="1104"/>
      <c r="J981" s="1211"/>
      <c r="K981" s="1211"/>
      <c r="L981" s="1104"/>
      <c r="M981" s="1104"/>
      <c r="N981" s="1104"/>
      <c r="O981" s="1107"/>
      <c r="P981" s="1104"/>
      <c r="Q981" s="1211"/>
      <c r="R981" s="1211"/>
      <c r="S981" s="1104"/>
      <c r="T981" s="1104"/>
      <c r="U981" s="1104"/>
      <c r="V981" s="1104"/>
      <c r="W981" s="1104"/>
      <c r="X981" s="1211"/>
      <c r="Y981" s="1211"/>
      <c r="Z981" s="1104"/>
      <c r="AA981" s="1104"/>
      <c r="AB981" s="1104"/>
      <c r="AC981" s="1104"/>
      <c r="AD981" s="1104"/>
      <c r="AE981" s="1211"/>
      <c r="AF981" s="1211"/>
      <c r="AG981" s="1104"/>
      <c r="AH981" s="1104"/>
      <c r="AI981" s="1353"/>
      <c r="AJ981" s="86"/>
      <c r="AK981" s="86"/>
      <c r="AL981" s="690"/>
      <c r="AM981" s="694">
        <f t="shared" si="1765"/>
        <v>0</v>
      </c>
      <c r="AN981" s="31"/>
      <c r="AO981" s="622"/>
      <c r="AP981" s="23"/>
      <c r="AQ981" s="23"/>
      <c r="AR981" s="23"/>
      <c r="AS981" s="23"/>
      <c r="AT981" s="23"/>
      <c r="AU981" s="23"/>
      <c r="AV981" s="23"/>
    </row>
    <row r="982" spans="1:48" ht="25.15" hidden="1" customHeight="1">
      <c r="A982" s="103"/>
      <c r="B982" s="105"/>
      <c r="C982" s="77"/>
      <c r="D982" s="88" t="s">
        <v>111</v>
      </c>
      <c r="E982" s="1108">
        <f>IF(E981="O/H",E980,0+E980)</f>
        <v>0</v>
      </c>
      <c r="F982" s="1089">
        <f t="shared" ref="F982:AI982" si="1773">IF(F981="O/H",F980,+E982+F980)</f>
        <v>0</v>
      </c>
      <c r="G982" s="44">
        <f t="shared" si="1773"/>
        <v>0</v>
      </c>
      <c r="H982" s="1089">
        <f t="shared" si="1773"/>
        <v>0</v>
      </c>
      <c r="I982" s="1089">
        <f t="shared" si="1773"/>
        <v>0</v>
      </c>
      <c r="J982" s="44">
        <f t="shared" si="1773"/>
        <v>0</v>
      </c>
      <c r="K982" s="44">
        <f t="shared" si="1773"/>
        <v>0</v>
      </c>
      <c r="L982" s="1089">
        <f t="shared" si="1773"/>
        <v>0</v>
      </c>
      <c r="M982" s="1089">
        <f t="shared" si="1773"/>
        <v>0</v>
      </c>
      <c r="N982" s="1089">
        <f t="shared" si="1773"/>
        <v>0</v>
      </c>
      <c r="O982" s="1089">
        <f t="shared" si="1773"/>
        <v>0</v>
      </c>
      <c r="P982" s="1089">
        <f t="shared" si="1773"/>
        <v>0</v>
      </c>
      <c r="Q982" s="44">
        <f t="shared" si="1773"/>
        <v>0</v>
      </c>
      <c r="R982" s="44">
        <f t="shared" si="1773"/>
        <v>0</v>
      </c>
      <c r="S982" s="1089">
        <f t="shared" si="1773"/>
        <v>0</v>
      </c>
      <c r="T982" s="1089">
        <f t="shared" si="1773"/>
        <v>0</v>
      </c>
      <c r="U982" s="1089">
        <f t="shared" si="1773"/>
        <v>0</v>
      </c>
      <c r="V982" s="1089">
        <f t="shared" si="1773"/>
        <v>0</v>
      </c>
      <c r="W982" s="1089">
        <f t="shared" si="1773"/>
        <v>0</v>
      </c>
      <c r="X982" s="44">
        <f t="shared" si="1773"/>
        <v>0</v>
      </c>
      <c r="Y982" s="44">
        <f t="shared" si="1773"/>
        <v>0</v>
      </c>
      <c r="Z982" s="1089">
        <f t="shared" si="1773"/>
        <v>0</v>
      </c>
      <c r="AA982" s="1089">
        <f t="shared" si="1773"/>
        <v>0</v>
      </c>
      <c r="AB982" s="1089">
        <f t="shared" si="1773"/>
        <v>0</v>
      </c>
      <c r="AC982" s="1089">
        <f t="shared" si="1773"/>
        <v>0</v>
      </c>
      <c r="AD982" s="1089">
        <f t="shared" si="1773"/>
        <v>0</v>
      </c>
      <c r="AE982" s="44">
        <f t="shared" si="1773"/>
        <v>0</v>
      </c>
      <c r="AF982" s="44">
        <f t="shared" si="1773"/>
        <v>0</v>
      </c>
      <c r="AG982" s="1089">
        <f t="shared" si="1773"/>
        <v>0</v>
      </c>
      <c r="AH982" s="1089">
        <f t="shared" si="1773"/>
        <v>0</v>
      </c>
      <c r="AI982" s="1326">
        <f t="shared" si="1773"/>
        <v>0</v>
      </c>
      <c r="AJ982" s="79"/>
      <c r="AK982" s="86"/>
      <c r="AL982" s="689"/>
      <c r="AM982" s="694">
        <f t="shared" si="1765"/>
        <v>0</v>
      </c>
      <c r="AN982" s="31"/>
      <c r="AO982" s="622"/>
      <c r="AP982" s="23"/>
      <c r="AQ982" s="23"/>
      <c r="AR982" s="23"/>
      <c r="AS982" s="23"/>
      <c r="AT982" s="23"/>
      <c r="AU982" s="23"/>
      <c r="AV982" s="23"/>
    </row>
    <row r="983" spans="1:48" s="23" customFormat="1" ht="20.65" hidden="1" customHeight="1">
      <c r="A983" s="274"/>
      <c r="B983" s="312"/>
      <c r="C983" s="308"/>
      <c r="D983" s="795" t="s">
        <v>112</v>
      </c>
      <c r="E983" s="1108" t="b">
        <f>IF(AND(ISNUMBER(E974)),4744+E980)</f>
        <v>0</v>
      </c>
      <c r="F983" s="1089" t="str">
        <f>IF(AND(ISNUMBER(F974)),E983+F980,"")</f>
        <v/>
      </c>
      <c r="G983" s="44" t="str">
        <f t="shared" ref="G983" si="1774">IF(AND(ISNUMBER(G974)),F983+G980,"")</f>
        <v/>
      </c>
      <c r="H983" s="1089" t="str">
        <f t="shared" ref="H983" si="1775">IF(AND(ISNUMBER(H974)),G983+H980,"")</f>
        <v/>
      </c>
      <c r="I983" s="1089" t="str">
        <f>IF(AND(ISNUMBER(I974)),H983+I980,"")</f>
        <v/>
      </c>
      <c r="J983" s="44" t="str">
        <f>IF(AND(ISNUMBER(J974)),I983+J980,"")</f>
        <v/>
      </c>
      <c r="K983" s="44" t="str">
        <f>IF(AND(ISNUMBER(K974)),J983+K980,"")</f>
        <v/>
      </c>
      <c r="L983" s="1089" t="str">
        <f t="shared" ref="L983" si="1776">IF(AND(ISNUMBER(L974)),K983+L980,"")</f>
        <v/>
      </c>
      <c r="M983" s="1089" t="str">
        <f t="shared" ref="M983" si="1777">IF(AND(ISNUMBER(M974)),L983+M980,"")</f>
        <v/>
      </c>
      <c r="N983" s="1089" t="str">
        <f t="shared" ref="N983" si="1778">IF(AND(ISNUMBER(N974)),M983+N980,"")</f>
        <v/>
      </c>
      <c r="O983" s="1089" t="str">
        <f t="shared" ref="O983" si="1779">IF(AND(ISNUMBER(O974)),N983+O980,"")</f>
        <v/>
      </c>
      <c r="P983" s="1089" t="str">
        <f t="shared" ref="P983" si="1780">IF(AND(ISNUMBER(P974)),O983+P980,"")</f>
        <v/>
      </c>
      <c r="Q983" s="44" t="str">
        <f t="shared" ref="Q983" si="1781">IF(AND(ISNUMBER(Q974)),P983+Q980,"")</f>
        <v/>
      </c>
      <c r="R983" s="44" t="str">
        <f t="shared" ref="R983" si="1782">IF(AND(ISNUMBER(R974)),Q983+R980,"")</f>
        <v/>
      </c>
      <c r="S983" s="1089" t="str">
        <f t="shared" ref="S983" si="1783">IF(AND(ISNUMBER(S974)),R983+S980,"")</f>
        <v/>
      </c>
      <c r="T983" s="1089" t="str">
        <f t="shared" ref="T983" si="1784">IF(AND(ISNUMBER(T974)),S983+T980,"")</f>
        <v/>
      </c>
      <c r="U983" s="1089" t="str">
        <f t="shared" ref="U983" si="1785">IF(AND(ISNUMBER(U974)),T983+U980,"")</f>
        <v/>
      </c>
      <c r="V983" s="1089" t="str">
        <f t="shared" ref="V983" si="1786">IF(AND(ISNUMBER(V974)),U983+V980,"")</f>
        <v/>
      </c>
      <c r="W983" s="1089" t="str">
        <f t="shared" ref="W983" si="1787">IF(AND(ISNUMBER(W974)),V983+W980,"")</f>
        <v/>
      </c>
      <c r="X983" s="44" t="str">
        <f t="shared" ref="X983" si="1788">IF(AND(ISNUMBER(X974)),W983+X980,"")</f>
        <v/>
      </c>
      <c r="Y983" s="44" t="str">
        <f t="shared" ref="Y983" si="1789">IF(AND(ISNUMBER(Y974)),X983+Y980,"")</f>
        <v/>
      </c>
      <c r="Z983" s="1089" t="str">
        <f t="shared" ref="Z983" si="1790">IF(AND(ISNUMBER(Z974)),Y983+Z980,"")</f>
        <v/>
      </c>
      <c r="AA983" s="1089" t="str">
        <f t="shared" ref="AA983" si="1791">IF(AND(ISNUMBER(AA974)),Z983+AA980,"")</f>
        <v/>
      </c>
      <c r="AB983" s="1089" t="str">
        <f t="shared" ref="AB983" si="1792">IF(AND(ISNUMBER(AB974)),AA983+AB980,"")</f>
        <v/>
      </c>
      <c r="AC983" s="1089" t="str">
        <f t="shared" ref="AC983" si="1793">IF(AND(ISNUMBER(AC974)),AB983+AC980,"")</f>
        <v/>
      </c>
      <c r="AD983" s="1089" t="str">
        <f t="shared" ref="AD983" si="1794">IF(AND(ISNUMBER(AD974)),AC983+AD980,"")</f>
        <v/>
      </c>
      <c r="AE983" s="44" t="str">
        <f t="shared" ref="AE983" si="1795">IF(AND(ISNUMBER(AE974)),AD983+AE980,"")</f>
        <v/>
      </c>
      <c r="AF983" s="44" t="str">
        <f t="shared" ref="AF983" si="1796">IF(AND(ISNUMBER(AF974)),AE983+AF980,"")</f>
        <v/>
      </c>
      <c r="AG983" s="1089" t="str">
        <f t="shared" ref="AG983" si="1797">IF(AND(ISNUMBER(AG974)),AF983+AG980,"")</f>
        <v/>
      </c>
      <c r="AH983" s="1089" t="str">
        <f t="shared" ref="AH983" si="1798">IF(AND(ISNUMBER(AH974)),AG983+AH980,"")</f>
        <v/>
      </c>
      <c r="AI983" s="1089" t="str">
        <f t="shared" ref="AI983" si="1799">IF(AND(ISNUMBER(AI974)),AH983+AI980,"")</f>
        <v/>
      </c>
      <c r="AJ983" s="793"/>
      <c r="AK983" s="793"/>
      <c r="AL983" s="909"/>
      <c r="AM983" s="890">
        <f t="shared" si="1765"/>
        <v>0</v>
      </c>
      <c r="AN983" s="76"/>
      <c r="AO983" s="624"/>
      <c r="AP983" s="285"/>
      <c r="AQ983" s="285"/>
      <c r="AR983" s="285"/>
      <c r="AS983" s="285"/>
      <c r="AT983" s="286"/>
      <c r="AU983" s="285"/>
      <c r="AV983" s="287"/>
    </row>
    <row r="984" spans="1:48" ht="25.15" hidden="1" customHeight="1">
      <c r="A984" s="103"/>
      <c r="B984" s="89"/>
      <c r="C984" s="80"/>
      <c r="D984" s="90" t="s">
        <v>104</v>
      </c>
      <c r="E984" s="1108"/>
      <c r="F984" s="1089"/>
      <c r="G984" s="44"/>
      <c r="H984" s="1089"/>
      <c r="I984" s="1089"/>
      <c r="J984" s="44"/>
      <c r="K984" s="44"/>
      <c r="L984" s="1089"/>
      <c r="M984" s="1089"/>
      <c r="N984" s="1089"/>
      <c r="O984" s="1089"/>
      <c r="P984" s="1089"/>
      <c r="Q984" s="44"/>
      <c r="R984" s="44"/>
      <c r="S984" s="1089"/>
      <c r="T984" s="1089"/>
      <c r="U984" s="1089"/>
      <c r="V984" s="1089"/>
      <c r="W984" s="1089"/>
      <c r="X984" s="44"/>
      <c r="Y984" s="44"/>
      <c r="Z984" s="1089"/>
      <c r="AA984" s="1089"/>
      <c r="AB984" s="1089"/>
      <c r="AC984" s="1089"/>
      <c r="AD984" s="1089"/>
      <c r="AE984" s="44"/>
      <c r="AF984" s="44"/>
      <c r="AG984" s="1089"/>
      <c r="AH984" s="1089"/>
      <c r="AI984" s="1326"/>
      <c r="AJ984" s="79"/>
      <c r="AK984" s="79"/>
      <c r="AL984" s="63"/>
      <c r="AM984" s="1068">
        <f t="shared" si="1765"/>
        <v>0</v>
      </c>
      <c r="AN984" s="64"/>
      <c r="AO984" s="624"/>
      <c r="AP984" s="23"/>
      <c r="AQ984" s="23"/>
      <c r="AR984" s="23"/>
      <c r="AS984" s="23"/>
      <c r="AT984" s="23"/>
      <c r="AU984" s="23"/>
      <c r="AV984" s="23"/>
    </row>
    <row r="985" spans="1:48" ht="25.15" hidden="1" customHeight="1" thickBot="1">
      <c r="A985" s="106"/>
      <c r="B985" s="93"/>
      <c r="C985" s="94"/>
      <c r="D985" s="95" t="s">
        <v>111</v>
      </c>
      <c r="E985" s="1109">
        <f>IF(E984="O/H",E980,0+E980)</f>
        <v>0</v>
      </c>
      <c r="F985" s="1110">
        <f t="shared" ref="F985:AI985" si="1800">IF(F984="O/H",F980,+E985+F980)</f>
        <v>0</v>
      </c>
      <c r="G985" s="1212">
        <f t="shared" si="1800"/>
        <v>0</v>
      </c>
      <c r="H985" s="1110">
        <f t="shared" si="1800"/>
        <v>0</v>
      </c>
      <c r="I985" s="1110">
        <f t="shared" si="1800"/>
        <v>0</v>
      </c>
      <c r="J985" s="1212">
        <f t="shared" si="1800"/>
        <v>0</v>
      </c>
      <c r="K985" s="1212">
        <f t="shared" si="1800"/>
        <v>0</v>
      </c>
      <c r="L985" s="1110">
        <f t="shared" si="1800"/>
        <v>0</v>
      </c>
      <c r="M985" s="1110">
        <f t="shared" si="1800"/>
        <v>0</v>
      </c>
      <c r="N985" s="1110">
        <f t="shared" si="1800"/>
        <v>0</v>
      </c>
      <c r="O985" s="1110">
        <f t="shared" si="1800"/>
        <v>0</v>
      </c>
      <c r="P985" s="1110">
        <f t="shared" si="1800"/>
        <v>0</v>
      </c>
      <c r="Q985" s="1212">
        <f t="shared" si="1800"/>
        <v>0</v>
      </c>
      <c r="R985" s="1212">
        <f t="shared" si="1800"/>
        <v>0</v>
      </c>
      <c r="S985" s="1110">
        <f t="shared" si="1800"/>
        <v>0</v>
      </c>
      <c r="T985" s="1110">
        <f t="shared" si="1800"/>
        <v>0</v>
      </c>
      <c r="U985" s="1110">
        <f t="shared" si="1800"/>
        <v>0</v>
      </c>
      <c r="V985" s="1110">
        <f t="shared" si="1800"/>
        <v>0</v>
      </c>
      <c r="W985" s="1110">
        <f t="shared" si="1800"/>
        <v>0</v>
      </c>
      <c r="X985" s="1212">
        <f t="shared" si="1800"/>
        <v>0</v>
      </c>
      <c r="Y985" s="1212">
        <f t="shared" si="1800"/>
        <v>0</v>
      </c>
      <c r="Z985" s="1110">
        <f t="shared" si="1800"/>
        <v>0</v>
      </c>
      <c r="AA985" s="1110">
        <f t="shared" si="1800"/>
        <v>0</v>
      </c>
      <c r="AB985" s="1110">
        <f t="shared" si="1800"/>
        <v>0</v>
      </c>
      <c r="AC985" s="1110">
        <f t="shared" si="1800"/>
        <v>0</v>
      </c>
      <c r="AD985" s="1110">
        <f t="shared" si="1800"/>
        <v>0</v>
      </c>
      <c r="AE985" s="1212">
        <f t="shared" si="1800"/>
        <v>0</v>
      </c>
      <c r="AF985" s="1212">
        <f t="shared" si="1800"/>
        <v>0</v>
      </c>
      <c r="AG985" s="1110">
        <f t="shared" si="1800"/>
        <v>0</v>
      </c>
      <c r="AH985" s="1110">
        <f t="shared" si="1800"/>
        <v>0</v>
      </c>
      <c r="AI985" s="1340">
        <f t="shared" si="1800"/>
        <v>0</v>
      </c>
      <c r="AJ985" s="96"/>
      <c r="AK985" s="96"/>
      <c r="AL985" s="97"/>
      <c r="AM985" s="1071">
        <f t="shared" si="1765"/>
        <v>0</v>
      </c>
      <c r="AN985" s="98"/>
      <c r="AO985" s="625"/>
      <c r="AP985" s="23"/>
      <c r="AQ985" s="23"/>
      <c r="AR985" s="23"/>
      <c r="AS985" s="23"/>
      <c r="AT985" s="23"/>
      <c r="AU985" s="23"/>
      <c r="AV985" s="23"/>
    </row>
    <row r="986" spans="1:48" ht="25.15" hidden="1" customHeight="1" thickTop="1">
      <c r="A986" s="99"/>
      <c r="B986" s="26" t="s">
        <v>219</v>
      </c>
      <c r="C986" s="27"/>
      <c r="D986" s="28" t="s">
        <v>82</v>
      </c>
      <c r="E986" s="1111"/>
      <c r="F986" s="1111"/>
      <c r="G986" s="1201"/>
      <c r="H986" s="1111"/>
      <c r="I986" s="1111"/>
      <c r="J986" s="1201"/>
      <c r="K986" s="1201"/>
      <c r="L986" s="1111"/>
      <c r="M986" s="1111"/>
      <c r="N986" s="1111"/>
      <c r="O986" s="1111"/>
      <c r="P986" s="1111"/>
      <c r="Q986" s="1201"/>
      <c r="R986" s="1201"/>
      <c r="S986" s="1111"/>
      <c r="T986" s="1111"/>
      <c r="U986" s="1111"/>
      <c r="V986" s="1111"/>
      <c r="W986" s="1111"/>
      <c r="X986" s="1201"/>
      <c r="Y986" s="1201"/>
      <c r="Z986" s="1111"/>
      <c r="AA986" s="1111"/>
      <c r="AB986" s="1111"/>
      <c r="AC986" s="1111"/>
      <c r="AD986" s="1111"/>
      <c r="AE986" s="1201"/>
      <c r="AF986" s="1201"/>
      <c r="AG986" s="1111"/>
      <c r="AH986" s="1111"/>
      <c r="AI986" s="1111"/>
      <c r="AJ986" s="100">
        <f>SUM(Table75[[#This Row],[June''2026]:[Column27]])</f>
        <v>0</v>
      </c>
      <c r="AK986" s="100">
        <f t="shared" si="1768"/>
        <v>0</v>
      </c>
      <c r="AL986" s="101">
        <f>+AJ986*AN986</f>
        <v>0</v>
      </c>
      <c r="AM986" s="1072">
        <f t="shared" si="1765"/>
        <v>0</v>
      </c>
      <c r="AN986" s="102"/>
      <c r="AO986" s="622" t="e">
        <f>Table5[[#This Row],[Total]]*B990/1000</f>
        <v>#VALUE!</v>
      </c>
      <c r="AP986" s="32" t="s">
        <v>193</v>
      </c>
      <c r="AQ986" s="33" t="s">
        <v>84</v>
      </c>
      <c r="AR986" s="33" t="s">
        <v>85</v>
      </c>
      <c r="AS986" s="33" t="s">
        <v>86</v>
      </c>
      <c r="AT986" s="33" t="s">
        <v>87</v>
      </c>
      <c r="AU986" s="33" t="s">
        <v>88</v>
      </c>
      <c r="AV986" s="34" t="s">
        <v>68</v>
      </c>
    </row>
    <row r="987" spans="1:48" ht="25.15" hidden="1" customHeight="1">
      <c r="A987" s="103"/>
      <c r="B987" s="35" t="s">
        <v>114</v>
      </c>
      <c r="C987" s="36"/>
      <c r="D987" s="37" t="s">
        <v>90</v>
      </c>
      <c r="E987" s="1373">
        <f>IF(E986="",0,+ E986/E993)</f>
        <v>0</v>
      </c>
      <c r="F987" s="1096">
        <f t="shared" ref="F987:AI987" si="1801">IF(F986="",0, E987+F986/F993)</f>
        <v>0</v>
      </c>
      <c r="G987" s="1207">
        <f t="shared" si="1801"/>
        <v>0</v>
      </c>
      <c r="H987" s="1096">
        <f t="shared" si="1801"/>
        <v>0</v>
      </c>
      <c r="I987" s="1096">
        <f t="shared" si="1801"/>
        <v>0</v>
      </c>
      <c r="J987" s="1207">
        <f t="shared" si="1801"/>
        <v>0</v>
      </c>
      <c r="K987" s="1207">
        <f t="shared" si="1801"/>
        <v>0</v>
      </c>
      <c r="L987" s="1096">
        <f t="shared" si="1801"/>
        <v>0</v>
      </c>
      <c r="M987" s="1096">
        <f t="shared" si="1801"/>
        <v>0</v>
      </c>
      <c r="N987" s="1096">
        <f t="shared" si="1801"/>
        <v>0</v>
      </c>
      <c r="O987" s="1096">
        <f t="shared" si="1801"/>
        <v>0</v>
      </c>
      <c r="P987" s="1096">
        <f t="shared" si="1801"/>
        <v>0</v>
      </c>
      <c r="Q987" s="1207">
        <f t="shared" si="1801"/>
        <v>0</v>
      </c>
      <c r="R987" s="1207">
        <f t="shared" si="1801"/>
        <v>0</v>
      </c>
      <c r="S987" s="1096">
        <f t="shared" si="1801"/>
        <v>0</v>
      </c>
      <c r="T987" s="1096">
        <f t="shared" si="1801"/>
        <v>0</v>
      </c>
      <c r="U987" s="1096">
        <f t="shared" si="1801"/>
        <v>0</v>
      </c>
      <c r="V987" s="1096">
        <f t="shared" si="1801"/>
        <v>0</v>
      </c>
      <c r="W987" s="1096">
        <f t="shared" si="1801"/>
        <v>0</v>
      </c>
      <c r="X987" s="1207">
        <f t="shared" si="1801"/>
        <v>0</v>
      </c>
      <c r="Y987" s="1207">
        <f t="shared" si="1801"/>
        <v>0</v>
      </c>
      <c r="Z987" s="1096">
        <f t="shared" si="1801"/>
        <v>0</v>
      </c>
      <c r="AA987" s="1096">
        <f t="shared" si="1801"/>
        <v>0</v>
      </c>
      <c r="AB987" s="1096">
        <f t="shared" si="1801"/>
        <v>0</v>
      </c>
      <c r="AC987" s="1096">
        <f t="shared" si="1801"/>
        <v>0</v>
      </c>
      <c r="AD987" s="1096">
        <f t="shared" si="1801"/>
        <v>0</v>
      </c>
      <c r="AE987" s="1207">
        <f t="shared" si="1801"/>
        <v>0</v>
      </c>
      <c r="AF987" s="1207">
        <f t="shared" si="1801"/>
        <v>0</v>
      </c>
      <c r="AG987" s="1096">
        <f t="shared" si="1801"/>
        <v>0</v>
      </c>
      <c r="AH987" s="1096">
        <f t="shared" si="1801"/>
        <v>0</v>
      </c>
      <c r="AI987" s="1324">
        <f t="shared" si="1801"/>
        <v>0</v>
      </c>
      <c r="AJ987" s="38"/>
      <c r="AK987" s="29"/>
      <c r="AL987" s="30"/>
      <c r="AM987" s="694">
        <f t="shared" si="1765"/>
        <v>0</v>
      </c>
      <c r="AN987" s="31"/>
      <c r="AO987" s="630"/>
      <c r="AP987" s="39" t="s">
        <v>91</v>
      </c>
      <c r="AQ987" s="40">
        <f>SUM(E986:I986)</f>
        <v>0</v>
      </c>
      <c r="AR987" s="41">
        <f>SUM(J986:P986)</f>
        <v>0</v>
      </c>
      <c r="AS987" s="41">
        <f>SUM(Q986:W986)</f>
        <v>0</v>
      </c>
      <c r="AT987" s="41">
        <f>SUM(X986:AD986)</f>
        <v>0</v>
      </c>
      <c r="AU987" s="41">
        <f>SUM(AE986:AI986)</f>
        <v>0</v>
      </c>
      <c r="AV987" s="34">
        <f t="shared" ref="AV987:AV992" si="1802">SUM(AQ987:AU987)</f>
        <v>0</v>
      </c>
    </row>
    <row r="988" spans="1:48" ht="25.15" hidden="1" customHeight="1">
      <c r="A988" s="103"/>
      <c r="B988" s="26" t="s">
        <v>92</v>
      </c>
      <c r="C988" s="42"/>
      <c r="D988" s="43" t="s">
        <v>93</v>
      </c>
      <c r="E988" s="1325">
        <v>0</v>
      </c>
      <c r="F988" s="1089"/>
      <c r="G988" s="44"/>
      <c r="H988" s="1089"/>
      <c r="I988" s="1089"/>
      <c r="J988" s="44"/>
      <c r="K988" s="44"/>
      <c r="L988" s="1089"/>
      <c r="M988" s="1089"/>
      <c r="N988" s="1089"/>
      <c r="O988" s="1089"/>
      <c r="P988" s="1089"/>
      <c r="Q988" s="44"/>
      <c r="R988" s="44"/>
      <c r="S988" s="1089"/>
      <c r="T988" s="1089"/>
      <c r="U988" s="1089"/>
      <c r="V988" s="1089"/>
      <c r="W988" s="1089"/>
      <c r="X988" s="44"/>
      <c r="Y988" s="44"/>
      <c r="Z988" s="1089"/>
      <c r="AA988" s="1089"/>
      <c r="AB988" s="1089"/>
      <c r="AC988" s="1089"/>
      <c r="AD988" s="1089"/>
      <c r="AE988" s="44"/>
      <c r="AF988" s="44"/>
      <c r="AG988" s="1089"/>
      <c r="AH988" s="1089"/>
      <c r="AI988" s="1326"/>
      <c r="AJ988" s="45">
        <f>SUM(E988:AI988)</f>
        <v>0</v>
      </c>
      <c r="AK988" s="45"/>
      <c r="AL988" s="46">
        <f>+AJ988*AN986</f>
        <v>0</v>
      </c>
      <c r="AM988" s="1066">
        <f t="shared" si="1765"/>
        <v>0</v>
      </c>
      <c r="AN988" s="31"/>
      <c r="AO988" s="632">
        <f>(AJ988+AJ990+AJ991+AJ992)*B990/1000</f>
        <v>0</v>
      </c>
      <c r="AP988" s="47" t="s">
        <v>94</v>
      </c>
      <c r="AQ988" s="48">
        <f>SUM(E988:I988)</f>
        <v>0</v>
      </c>
      <c r="AR988" s="49">
        <f>SUM(J988:P988)</f>
        <v>0</v>
      </c>
      <c r="AS988" s="49">
        <f>SUM(Q988:W988)</f>
        <v>0</v>
      </c>
      <c r="AT988" s="49">
        <f>SUM(X988:AD988)</f>
        <v>0</v>
      </c>
      <c r="AU988" s="49">
        <f>SUM(AE988:AI988)</f>
        <v>0</v>
      </c>
      <c r="AV988" s="50">
        <f t="shared" si="1802"/>
        <v>0</v>
      </c>
    </row>
    <row r="989" spans="1:48" ht="25.15" hidden="1" customHeight="1">
      <c r="A989" s="103"/>
      <c r="B989" s="51"/>
      <c r="C989" s="52" t="s">
        <v>95</v>
      </c>
      <c r="D989" s="53" t="s">
        <v>96</v>
      </c>
      <c r="E989" s="1327">
        <f t="shared" ref="E989:AJ989" si="1803">+E988-E986</f>
        <v>0</v>
      </c>
      <c r="F989" s="1097">
        <f t="shared" si="1803"/>
        <v>0</v>
      </c>
      <c r="G989" s="1205">
        <f t="shared" si="1803"/>
        <v>0</v>
      </c>
      <c r="H989" s="1097">
        <f t="shared" si="1803"/>
        <v>0</v>
      </c>
      <c r="I989" s="1097">
        <f t="shared" si="1803"/>
        <v>0</v>
      </c>
      <c r="J989" s="1205">
        <f t="shared" si="1803"/>
        <v>0</v>
      </c>
      <c r="K989" s="1205">
        <f t="shared" si="1803"/>
        <v>0</v>
      </c>
      <c r="L989" s="1097">
        <f t="shared" si="1803"/>
        <v>0</v>
      </c>
      <c r="M989" s="1097">
        <f t="shared" si="1803"/>
        <v>0</v>
      </c>
      <c r="N989" s="1097">
        <f>+N988-N986</f>
        <v>0</v>
      </c>
      <c r="O989" s="1097">
        <f t="shared" si="1803"/>
        <v>0</v>
      </c>
      <c r="P989" s="1097">
        <f t="shared" si="1803"/>
        <v>0</v>
      </c>
      <c r="Q989" s="1205">
        <f t="shared" si="1803"/>
        <v>0</v>
      </c>
      <c r="R989" s="1205">
        <f t="shared" si="1803"/>
        <v>0</v>
      </c>
      <c r="S989" s="1097">
        <f t="shared" si="1803"/>
        <v>0</v>
      </c>
      <c r="T989" s="1097">
        <f t="shared" si="1803"/>
        <v>0</v>
      </c>
      <c r="U989" s="1097">
        <f t="shared" si="1803"/>
        <v>0</v>
      </c>
      <c r="V989" s="1097">
        <f t="shared" si="1803"/>
        <v>0</v>
      </c>
      <c r="W989" s="1097">
        <f t="shared" si="1803"/>
        <v>0</v>
      </c>
      <c r="X989" s="1205">
        <f t="shared" si="1803"/>
        <v>0</v>
      </c>
      <c r="Y989" s="1205">
        <f t="shared" si="1803"/>
        <v>0</v>
      </c>
      <c r="Z989" s="1097">
        <f t="shared" si="1803"/>
        <v>0</v>
      </c>
      <c r="AA989" s="1097">
        <f t="shared" si="1803"/>
        <v>0</v>
      </c>
      <c r="AB989" s="1097">
        <f t="shared" si="1803"/>
        <v>0</v>
      </c>
      <c r="AC989" s="1097">
        <f t="shared" si="1803"/>
        <v>0</v>
      </c>
      <c r="AD989" s="1097">
        <f t="shared" si="1803"/>
        <v>0</v>
      </c>
      <c r="AE989" s="1205">
        <f t="shared" si="1803"/>
        <v>0</v>
      </c>
      <c r="AF989" s="1205">
        <f t="shared" si="1803"/>
        <v>0</v>
      </c>
      <c r="AG989" s="1097">
        <f t="shared" si="1803"/>
        <v>0</v>
      </c>
      <c r="AH989" s="1097">
        <f t="shared" si="1803"/>
        <v>0</v>
      </c>
      <c r="AI989" s="1328">
        <f t="shared" si="1803"/>
        <v>0</v>
      </c>
      <c r="AJ989" s="54">
        <f t="shared" si="1803"/>
        <v>0</v>
      </c>
      <c r="AK989" s="54"/>
      <c r="AL989" s="55">
        <f>+AJ989*AN986</f>
        <v>0</v>
      </c>
      <c r="AM989" s="1067">
        <f t="shared" si="1765"/>
        <v>0</v>
      </c>
      <c r="AN989" s="31" t="s">
        <v>97</v>
      </c>
      <c r="AO989" s="622"/>
      <c r="AP989" s="39" t="s">
        <v>98</v>
      </c>
      <c r="AQ989" s="56">
        <f>AQ988-AQ987</f>
        <v>0</v>
      </c>
      <c r="AR989" s="70">
        <f>AR988-AR987</f>
        <v>0</v>
      </c>
      <c r="AS989" s="70">
        <f>AS988-AS987</f>
        <v>0</v>
      </c>
      <c r="AT989" s="70">
        <f>AT988-AT987</f>
        <v>0</v>
      </c>
      <c r="AU989" s="70">
        <f>AU988-AU987</f>
        <v>0</v>
      </c>
      <c r="AV989" s="57">
        <f t="shared" si="1802"/>
        <v>0</v>
      </c>
    </row>
    <row r="990" spans="1:48" ht="25.15" hidden="1" customHeight="1">
      <c r="A990" s="58"/>
      <c r="B990" s="59"/>
      <c r="C990" s="60" t="s">
        <v>100</v>
      </c>
      <c r="D990" s="61" t="s">
        <v>101</v>
      </c>
      <c r="E990" s="1329"/>
      <c r="F990" s="1099"/>
      <c r="G990" s="1208"/>
      <c r="H990" s="1099"/>
      <c r="I990" s="1099"/>
      <c r="J990" s="1208"/>
      <c r="K990" s="1208"/>
      <c r="L990" s="1099"/>
      <c r="M990" s="1099"/>
      <c r="N990" s="1099"/>
      <c r="O990" s="1099"/>
      <c r="P990" s="1099"/>
      <c r="Q990" s="1208"/>
      <c r="R990" s="1208"/>
      <c r="S990" s="1099"/>
      <c r="T990" s="1099"/>
      <c r="U990" s="1099"/>
      <c r="V990" s="1099"/>
      <c r="W990" s="1099"/>
      <c r="X990" s="1208"/>
      <c r="Y990" s="1208"/>
      <c r="Z990" s="1099"/>
      <c r="AA990" s="1099"/>
      <c r="AB990" s="1099"/>
      <c r="AC990" s="1099"/>
      <c r="AD990" s="1099"/>
      <c r="AE990" s="1208"/>
      <c r="AF990" s="1208"/>
      <c r="AG990" s="1099"/>
      <c r="AH990" s="1099"/>
      <c r="AI990" s="1330"/>
      <c r="AJ990" s="62">
        <f>SUM(E990:AI990)</f>
        <v>0</v>
      </c>
      <c r="AK990" s="62"/>
      <c r="AL990" s="63">
        <f>+AJ990*AN986</f>
        <v>0</v>
      </c>
      <c r="AM990" s="1068">
        <f t="shared" si="1765"/>
        <v>0</v>
      </c>
      <c r="AN990" s="64" t="e">
        <f>+AJ990/AJ988*100</f>
        <v>#DIV/0!</v>
      </c>
      <c r="AO990" s="635" t="e">
        <f>AO988/AO986</f>
        <v>#VALUE!</v>
      </c>
      <c r="AP990" s="39" t="s">
        <v>102</v>
      </c>
      <c r="AQ990" s="56">
        <f>SUM(E990:I990)</f>
        <v>0</v>
      </c>
      <c r="AR990" s="70">
        <f>SUM(J990:P990)</f>
        <v>0</v>
      </c>
      <c r="AS990" s="70">
        <f>SUM(Q990:W990)</f>
        <v>0</v>
      </c>
      <c r="AT990" s="70">
        <f>SUM(X990:AD990)</f>
        <v>0</v>
      </c>
      <c r="AU990" s="70">
        <f>SUM(AE990:AI990)</f>
        <v>0</v>
      </c>
      <c r="AV990" s="57">
        <f t="shared" si="1802"/>
        <v>0</v>
      </c>
    </row>
    <row r="991" spans="1:48" ht="25.15" hidden="1" customHeight="1">
      <c r="A991" s="58" t="s">
        <v>202</v>
      </c>
      <c r="B991" s="65"/>
      <c r="C991" s="66"/>
      <c r="D991" s="67" t="s">
        <v>103</v>
      </c>
      <c r="E991" s="1331"/>
      <c r="F991" s="1101"/>
      <c r="G991" s="1209"/>
      <c r="H991" s="1101"/>
      <c r="I991" s="1101"/>
      <c r="J991" s="1209"/>
      <c r="K991" s="1209"/>
      <c r="L991" s="1101"/>
      <c r="M991" s="1101"/>
      <c r="N991" s="1101"/>
      <c r="O991" s="1101"/>
      <c r="P991" s="1101"/>
      <c r="Q991" s="1209"/>
      <c r="R991" s="1209"/>
      <c r="S991" s="1101"/>
      <c r="T991" s="1101"/>
      <c r="U991" s="1101"/>
      <c r="V991" s="1101"/>
      <c r="W991" s="1101"/>
      <c r="X991" s="1209"/>
      <c r="Y991" s="1209"/>
      <c r="Z991" s="1101"/>
      <c r="AA991" s="1101"/>
      <c r="AB991" s="1101"/>
      <c r="AC991" s="1101"/>
      <c r="AD991" s="1101"/>
      <c r="AE991" s="1209"/>
      <c r="AF991" s="1209"/>
      <c r="AG991" s="1101"/>
      <c r="AH991" s="1101"/>
      <c r="AI991" s="1332"/>
      <c r="AJ991" s="68">
        <f>SUM(E991:AI991)</f>
        <v>0</v>
      </c>
      <c r="AK991" s="68"/>
      <c r="AL991" s="69">
        <f>+AJ991*AN986</f>
        <v>0</v>
      </c>
      <c r="AM991" s="1069">
        <f t="shared" si="1765"/>
        <v>0</v>
      </c>
      <c r="AN991" s="31"/>
      <c r="AO991" s="622"/>
      <c r="AP991" s="39" t="s">
        <v>19</v>
      </c>
      <c r="AQ991" s="56">
        <f>AQ990*AN986</f>
        <v>0</v>
      </c>
      <c r="AR991" s="56">
        <f>AR990*AN986</f>
        <v>0</v>
      </c>
      <c r="AS991" s="56">
        <f>AS990*AN986</f>
        <v>0</v>
      </c>
      <c r="AT991" s="56">
        <f>AT990*AN986</f>
        <v>0</v>
      </c>
      <c r="AU991" s="56">
        <f>AU990*AN986</f>
        <v>0</v>
      </c>
      <c r="AV991" s="57">
        <f t="shared" si="1802"/>
        <v>0</v>
      </c>
    </row>
    <row r="992" spans="1:48" ht="25.15" hidden="1" customHeight="1">
      <c r="A992" s="103"/>
      <c r="B992" s="65"/>
      <c r="C992" s="72" t="s">
        <v>104</v>
      </c>
      <c r="D992" s="73" t="s">
        <v>105</v>
      </c>
      <c r="E992" s="1378"/>
      <c r="F992" s="1103"/>
      <c r="G992" s="1210"/>
      <c r="H992" s="1103"/>
      <c r="I992" s="1103"/>
      <c r="J992" s="1210"/>
      <c r="K992" s="1210"/>
      <c r="L992" s="1103"/>
      <c r="M992" s="1103"/>
      <c r="N992" s="1103"/>
      <c r="O992" s="1103"/>
      <c r="P992" s="1103"/>
      <c r="Q992" s="1210"/>
      <c r="R992" s="1210"/>
      <c r="S992" s="1103"/>
      <c r="T992" s="1103"/>
      <c r="U992" s="1103"/>
      <c r="V992" s="1103"/>
      <c r="W992" s="1103"/>
      <c r="X992" s="1210"/>
      <c r="Y992" s="1210"/>
      <c r="Z992" s="1103"/>
      <c r="AA992" s="1103"/>
      <c r="AB992" s="1103"/>
      <c r="AC992" s="1103"/>
      <c r="AD992" s="1103"/>
      <c r="AE992" s="1210"/>
      <c r="AF992" s="1210"/>
      <c r="AG992" s="1103"/>
      <c r="AH992" s="1103"/>
      <c r="AI992" s="1352"/>
      <c r="AJ992" s="74">
        <f>SUM(E992:AI992)</f>
        <v>0</v>
      </c>
      <c r="AK992" s="74"/>
      <c r="AL992" s="75">
        <f>+AJ992*AN986</f>
        <v>0</v>
      </c>
      <c r="AM992" s="1070">
        <f t="shared" si="1765"/>
        <v>0</v>
      </c>
      <c r="AN992" s="76"/>
      <c r="AO992" s="636"/>
      <c r="AP992" s="47" t="s">
        <v>106</v>
      </c>
      <c r="AQ992" s="48">
        <f>AQ988*AN986</f>
        <v>0</v>
      </c>
      <c r="AR992" s="48">
        <f>AR988*AN986</f>
        <v>0</v>
      </c>
      <c r="AS992" s="48">
        <f>AS988*AN986</f>
        <v>0</v>
      </c>
      <c r="AT992" s="48">
        <f>AT988*AN986</f>
        <v>0</v>
      </c>
      <c r="AU992" s="48">
        <f>AU988*AN986</f>
        <v>0</v>
      </c>
      <c r="AV992" s="50">
        <f t="shared" si="1802"/>
        <v>0</v>
      </c>
    </row>
    <row r="993" spans="1:48" ht="25.15" hidden="1" customHeight="1">
      <c r="A993" s="103"/>
      <c r="B993" s="65"/>
      <c r="C993" s="77">
        <v>300000</v>
      </c>
      <c r="D993" s="78" t="s">
        <v>107</v>
      </c>
      <c r="E993" s="1327">
        <v>1</v>
      </c>
      <c r="F993" s="1097">
        <v>1</v>
      </c>
      <c r="G993" s="1205">
        <v>1</v>
      </c>
      <c r="H993" s="1097">
        <v>1</v>
      </c>
      <c r="I993" s="1097">
        <v>1</v>
      </c>
      <c r="J993" s="1205">
        <v>1</v>
      </c>
      <c r="K993" s="1205">
        <v>1</v>
      </c>
      <c r="L993" s="1097">
        <v>1</v>
      </c>
      <c r="M993" s="1097">
        <v>1</v>
      </c>
      <c r="N993" s="1097">
        <v>1</v>
      </c>
      <c r="O993" s="1097">
        <v>1</v>
      </c>
      <c r="P993" s="1097">
        <v>1</v>
      </c>
      <c r="Q993" s="1205">
        <v>1</v>
      </c>
      <c r="R993" s="1205">
        <v>1</v>
      </c>
      <c r="S993" s="1097">
        <v>1</v>
      </c>
      <c r="T993" s="1097">
        <v>1</v>
      </c>
      <c r="U993" s="1097">
        <v>1</v>
      </c>
      <c r="V993" s="1097">
        <v>1</v>
      </c>
      <c r="W993" s="1097">
        <v>1</v>
      </c>
      <c r="X993" s="1205">
        <v>1</v>
      </c>
      <c r="Y993" s="1205">
        <v>1</v>
      </c>
      <c r="Z993" s="1097">
        <v>1</v>
      </c>
      <c r="AA993" s="1097">
        <v>1</v>
      </c>
      <c r="AB993" s="1097">
        <v>1</v>
      </c>
      <c r="AC993" s="1097">
        <v>1</v>
      </c>
      <c r="AD993" s="1097">
        <v>1</v>
      </c>
      <c r="AE993" s="1205">
        <v>1</v>
      </c>
      <c r="AF993" s="1205">
        <v>1</v>
      </c>
      <c r="AG993" s="1097">
        <v>1</v>
      </c>
      <c r="AH993" s="1097">
        <v>1</v>
      </c>
      <c r="AI993" s="1328">
        <v>1</v>
      </c>
      <c r="AJ993" s="79"/>
      <c r="AK993" s="79"/>
      <c r="AL993" s="55"/>
      <c r="AM993" s="1067">
        <f t="shared" si="1765"/>
        <v>0</v>
      </c>
      <c r="AN993" s="31"/>
      <c r="AO993" s="622"/>
      <c r="AP993" s="23"/>
      <c r="AQ993" s="23"/>
      <c r="AR993" s="23"/>
      <c r="AS993" s="23"/>
      <c r="AT993" s="23"/>
      <c r="AU993" s="23"/>
      <c r="AV993" s="23"/>
    </row>
    <row r="994" spans="1:48" ht="25.15" hidden="1" customHeight="1">
      <c r="A994" s="103"/>
      <c r="B994" s="65"/>
      <c r="C994" s="80" t="s">
        <v>108</v>
      </c>
      <c r="D994" s="81" t="s">
        <v>109</v>
      </c>
      <c r="E994" s="1374">
        <f>SUM(E988+E990+E991+E992)/E993</f>
        <v>0</v>
      </c>
      <c r="F994" s="1104">
        <f>SUM(F988+F990+F991+F992)/F993</f>
        <v>0</v>
      </c>
      <c r="G994" s="1211">
        <f>SUM(G988+G990+G991+G992)/G993</f>
        <v>0</v>
      </c>
      <c r="H994" s="1104">
        <f t="shared" ref="H994:AH994" si="1804">SUM(H988+H990+H991+H992)/H993</f>
        <v>0</v>
      </c>
      <c r="I994" s="1104">
        <f t="shared" si="1804"/>
        <v>0</v>
      </c>
      <c r="J994" s="1211">
        <f t="shared" si="1804"/>
        <v>0</v>
      </c>
      <c r="K994" s="1211">
        <f t="shared" si="1804"/>
        <v>0</v>
      </c>
      <c r="L994" s="1104">
        <f t="shared" si="1804"/>
        <v>0</v>
      </c>
      <c r="M994" s="1104">
        <f t="shared" si="1804"/>
        <v>0</v>
      </c>
      <c r="N994" s="1104">
        <f t="shared" si="1804"/>
        <v>0</v>
      </c>
      <c r="O994" s="1104">
        <f t="shared" si="1804"/>
        <v>0</v>
      </c>
      <c r="P994" s="1104">
        <f t="shared" si="1804"/>
        <v>0</v>
      </c>
      <c r="Q994" s="1211">
        <f t="shared" si="1804"/>
        <v>0</v>
      </c>
      <c r="R994" s="1211">
        <f t="shared" si="1804"/>
        <v>0</v>
      </c>
      <c r="S994" s="1104">
        <f t="shared" si="1804"/>
        <v>0</v>
      </c>
      <c r="T994" s="1104">
        <f t="shared" si="1804"/>
        <v>0</v>
      </c>
      <c r="U994" s="1104">
        <f t="shared" si="1804"/>
        <v>0</v>
      </c>
      <c r="V994" s="1104">
        <f t="shared" si="1804"/>
        <v>0</v>
      </c>
      <c r="W994" s="1104">
        <f t="shared" si="1804"/>
        <v>0</v>
      </c>
      <c r="X994" s="1211">
        <f t="shared" si="1804"/>
        <v>0</v>
      </c>
      <c r="Y994" s="1211">
        <f t="shared" si="1804"/>
        <v>0</v>
      </c>
      <c r="Z994" s="1104">
        <f t="shared" si="1804"/>
        <v>0</v>
      </c>
      <c r="AA994" s="1104">
        <f t="shared" si="1804"/>
        <v>0</v>
      </c>
      <c r="AB994" s="1104">
        <f t="shared" si="1804"/>
        <v>0</v>
      </c>
      <c r="AC994" s="1104">
        <f t="shared" si="1804"/>
        <v>0</v>
      </c>
      <c r="AD994" s="1104">
        <f t="shared" si="1804"/>
        <v>0</v>
      </c>
      <c r="AE994" s="1211">
        <f t="shared" si="1804"/>
        <v>0</v>
      </c>
      <c r="AF994" s="1211">
        <f t="shared" si="1804"/>
        <v>0</v>
      </c>
      <c r="AG994" s="1104">
        <f t="shared" si="1804"/>
        <v>0</v>
      </c>
      <c r="AH994" s="1104">
        <f t="shared" si="1804"/>
        <v>0</v>
      </c>
      <c r="AI994" s="1335">
        <f>SUM(AI988+AI990+AI991)/AI993</f>
        <v>0</v>
      </c>
      <c r="AJ994" s="104">
        <f>SUM(E994:AI994)</f>
        <v>0</v>
      </c>
      <c r="AK994" s="104"/>
      <c r="AL994" s="83"/>
      <c r="AM994" s="1068">
        <f t="shared" si="1765"/>
        <v>0</v>
      </c>
      <c r="AN994" s="31"/>
      <c r="AO994" s="622"/>
      <c r="AP994" s="23"/>
      <c r="AQ994" s="23"/>
      <c r="AR994" s="23"/>
      <c r="AS994" s="23"/>
      <c r="AT994" s="23"/>
      <c r="AU994" s="23"/>
      <c r="AV994" s="23"/>
    </row>
    <row r="995" spans="1:48" ht="25.15" hidden="1" customHeight="1">
      <c r="A995" s="103"/>
      <c r="B995" s="59"/>
      <c r="C995" s="84">
        <f>+C993*0.8</f>
        <v>240000</v>
      </c>
      <c r="D995" s="85" t="s">
        <v>110</v>
      </c>
      <c r="E995" s="1105"/>
      <c r="F995" s="1106"/>
      <c r="G995" s="1211"/>
      <c r="H995" s="1104"/>
      <c r="I995" s="1104"/>
      <c r="J995" s="1211"/>
      <c r="K995" s="1211"/>
      <c r="L995" s="1104"/>
      <c r="M995" s="1104"/>
      <c r="N995" s="1104"/>
      <c r="O995" s="1107"/>
      <c r="P995" s="1104"/>
      <c r="Q995" s="1211"/>
      <c r="R995" s="1211"/>
      <c r="S995" s="1104"/>
      <c r="T995" s="1104"/>
      <c r="U995" s="1104"/>
      <c r="V995" s="1104"/>
      <c r="W995" s="1104"/>
      <c r="X995" s="1211"/>
      <c r="Y995" s="1211"/>
      <c r="Z995" s="1104"/>
      <c r="AA995" s="1104"/>
      <c r="AB995" s="1104"/>
      <c r="AC995" s="1104"/>
      <c r="AD995" s="1104"/>
      <c r="AE995" s="1211"/>
      <c r="AF995" s="1211"/>
      <c r="AG995" s="1104"/>
      <c r="AH995" s="1104"/>
      <c r="AI995" s="1353"/>
      <c r="AJ995" s="86"/>
      <c r="AK995" s="86"/>
      <c r="AL995" s="690"/>
      <c r="AM995" s="694">
        <f t="shared" si="1765"/>
        <v>0</v>
      </c>
      <c r="AN995" s="31"/>
      <c r="AO995" s="622"/>
      <c r="AP995" s="23"/>
      <c r="AQ995" s="23"/>
      <c r="AR995" s="23"/>
      <c r="AS995" s="23"/>
      <c r="AT995" s="23"/>
      <c r="AU995" s="23"/>
      <c r="AV995" s="23"/>
    </row>
    <row r="996" spans="1:48" ht="25.15" hidden="1" customHeight="1">
      <c r="A996" s="103"/>
      <c r="B996" s="105"/>
      <c r="C996" s="77"/>
      <c r="D996" s="88" t="s">
        <v>111</v>
      </c>
      <c r="E996" s="1108">
        <f>IF(E995="O/H",E994,0+E994)</f>
        <v>0</v>
      </c>
      <c r="F996" s="1089">
        <f t="shared" ref="F996:AI996" si="1805">IF(F995="O/H",F994,+E996+F994)</f>
        <v>0</v>
      </c>
      <c r="G996" s="44">
        <f t="shared" si="1805"/>
        <v>0</v>
      </c>
      <c r="H996" s="1089">
        <f t="shared" si="1805"/>
        <v>0</v>
      </c>
      <c r="I996" s="1089">
        <f t="shared" si="1805"/>
        <v>0</v>
      </c>
      <c r="J996" s="44">
        <f t="shared" si="1805"/>
        <v>0</v>
      </c>
      <c r="K996" s="44">
        <f t="shared" si="1805"/>
        <v>0</v>
      </c>
      <c r="L996" s="1089">
        <f t="shared" si="1805"/>
        <v>0</v>
      </c>
      <c r="M996" s="1089">
        <f t="shared" si="1805"/>
        <v>0</v>
      </c>
      <c r="N996" s="1089">
        <f t="shared" si="1805"/>
        <v>0</v>
      </c>
      <c r="O996" s="1089">
        <f t="shared" si="1805"/>
        <v>0</v>
      </c>
      <c r="P996" s="1089">
        <f t="shared" si="1805"/>
        <v>0</v>
      </c>
      <c r="Q996" s="44">
        <f t="shared" si="1805"/>
        <v>0</v>
      </c>
      <c r="R996" s="44">
        <f t="shared" si="1805"/>
        <v>0</v>
      </c>
      <c r="S996" s="1089">
        <f t="shared" si="1805"/>
        <v>0</v>
      </c>
      <c r="T996" s="1089">
        <f t="shared" si="1805"/>
        <v>0</v>
      </c>
      <c r="U996" s="1089">
        <f t="shared" si="1805"/>
        <v>0</v>
      </c>
      <c r="V996" s="1089">
        <f t="shared" si="1805"/>
        <v>0</v>
      </c>
      <c r="W996" s="1089">
        <f t="shared" si="1805"/>
        <v>0</v>
      </c>
      <c r="X996" s="44">
        <f t="shared" si="1805"/>
        <v>0</v>
      </c>
      <c r="Y996" s="44">
        <f t="shared" si="1805"/>
        <v>0</v>
      </c>
      <c r="Z996" s="1089">
        <f t="shared" si="1805"/>
        <v>0</v>
      </c>
      <c r="AA996" s="1089">
        <f t="shared" si="1805"/>
        <v>0</v>
      </c>
      <c r="AB996" s="1089">
        <f t="shared" si="1805"/>
        <v>0</v>
      </c>
      <c r="AC996" s="1089">
        <f t="shared" si="1805"/>
        <v>0</v>
      </c>
      <c r="AD996" s="1089">
        <f t="shared" si="1805"/>
        <v>0</v>
      </c>
      <c r="AE996" s="44">
        <f t="shared" si="1805"/>
        <v>0</v>
      </c>
      <c r="AF996" s="44">
        <f t="shared" si="1805"/>
        <v>0</v>
      </c>
      <c r="AG996" s="1089">
        <f t="shared" si="1805"/>
        <v>0</v>
      </c>
      <c r="AH996" s="1089">
        <f t="shared" si="1805"/>
        <v>0</v>
      </c>
      <c r="AI996" s="1326">
        <f t="shared" si="1805"/>
        <v>0</v>
      </c>
      <c r="AJ996" s="79"/>
      <c r="AK996" s="86"/>
      <c r="AL996" s="689"/>
      <c r="AM996" s="694">
        <f t="shared" si="1765"/>
        <v>0</v>
      </c>
      <c r="AN996" s="31"/>
      <c r="AO996" s="622"/>
      <c r="AP996" s="23"/>
      <c r="AQ996" s="23"/>
      <c r="AR996" s="23"/>
      <c r="AS996" s="23"/>
      <c r="AT996" s="23"/>
      <c r="AU996" s="23"/>
      <c r="AV996" s="23"/>
    </row>
    <row r="997" spans="1:48" ht="25.15" hidden="1" customHeight="1">
      <c r="A997" s="103"/>
      <c r="B997" s="89"/>
      <c r="C997" s="80"/>
      <c r="D997" s="90" t="s">
        <v>104</v>
      </c>
      <c r="E997" s="1108"/>
      <c r="F997" s="1089"/>
      <c r="G997" s="44"/>
      <c r="H997" s="1089"/>
      <c r="I997" s="1089"/>
      <c r="J997" s="44"/>
      <c r="K997" s="44"/>
      <c r="L997" s="1089"/>
      <c r="M997" s="1089"/>
      <c r="N997" s="1089"/>
      <c r="O997" s="1089"/>
      <c r="P997" s="1089"/>
      <c r="Q997" s="44"/>
      <c r="R997" s="44"/>
      <c r="S997" s="1089"/>
      <c r="T997" s="1089"/>
      <c r="U997" s="1089"/>
      <c r="V997" s="1089"/>
      <c r="W997" s="1089"/>
      <c r="X997" s="44"/>
      <c r="Y997" s="44"/>
      <c r="Z997" s="1089"/>
      <c r="AA997" s="1089"/>
      <c r="AB997" s="1089"/>
      <c r="AC997" s="1089"/>
      <c r="AD997" s="1089"/>
      <c r="AE997" s="44"/>
      <c r="AF997" s="44"/>
      <c r="AG997" s="1089"/>
      <c r="AH997" s="1089"/>
      <c r="AI997" s="1326"/>
      <c r="AJ997" s="79"/>
      <c r="AK997" s="79"/>
      <c r="AL997" s="63"/>
      <c r="AM997" s="1068">
        <f t="shared" si="1765"/>
        <v>0</v>
      </c>
      <c r="AN997" s="64"/>
      <c r="AO997" s="624"/>
      <c r="AP997" s="23"/>
      <c r="AQ997" s="23"/>
      <c r="AR997" s="23"/>
      <c r="AS997" s="23"/>
      <c r="AT997" s="23"/>
      <c r="AU997" s="23"/>
      <c r="AV997" s="23"/>
    </row>
    <row r="998" spans="1:48" ht="25.15" hidden="1" customHeight="1" thickBot="1">
      <c r="A998" s="106"/>
      <c r="B998" s="93"/>
      <c r="C998" s="94"/>
      <c r="D998" s="95" t="s">
        <v>111</v>
      </c>
      <c r="E998" s="1109">
        <f>IF(E997="O/H",E994,0+E994)</f>
        <v>0</v>
      </c>
      <c r="F998" s="1110">
        <f t="shared" ref="F998:AI998" si="1806">IF(F997="O/H",F994,+E998+F994)</f>
        <v>0</v>
      </c>
      <c r="G998" s="1212">
        <f t="shared" si="1806"/>
        <v>0</v>
      </c>
      <c r="H998" s="1110">
        <f t="shared" si="1806"/>
        <v>0</v>
      </c>
      <c r="I998" s="1110">
        <f t="shared" si="1806"/>
        <v>0</v>
      </c>
      <c r="J998" s="1212">
        <f t="shared" si="1806"/>
        <v>0</v>
      </c>
      <c r="K998" s="1212">
        <f t="shared" si="1806"/>
        <v>0</v>
      </c>
      <c r="L998" s="1110">
        <f t="shared" si="1806"/>
        <v>0</v>
      </c>
      <c r="M998" s="1110">
        <f t="shared" si="1806"/>
        <v>0</v>
      </c>
      <c r="N998" s="1110">
        <f t="shared" si="1806"/>
        <v>0</v>
      </c>
      <c r="O998" s="1110">
        <f t="shared" si="1806"/>
        <v>0</v>
      </c>
      <c r="P998" s="1110">
        <f t="shared" si="1806"/>
        <v>0</v>
      </c>
      <c r="Q998" s="1212">
        <f t="shared" si="1806"/>
        <v>0</v>
      </c>
      <c r="R998" s="1212">
        <f t="shared" si="1806"/>
        <v>0</v>
      </c>
      <c r="S998" s="1110">
        <f t="shared" si="1806"/>
        <v>0</v>
      </c>
      <c r="T998" s="1110">
        <f t="shared" si="1806"/>
        <v>0</v>
      </c>
      <c r="U998" s="1110">
        <f t="shared" si="1806"/>
        <v>0</v>
      </c>
      <c r="V998" s="1110">
        <f t="shared" si="1806"/>
        <v>0</v>
      </c>
      <c r="W998" s="1110">
        <f t="shared" si="1806"/>
        <v>0</v>
      </c>
      <c r="X998" s="1212">
        <f t="shared" si="1806"/>
        <v>0</v>
      </c>
      <c r="Y998" s="1212">
        <f t="shared" si="1806"/>
        <v>0</v>
      </c>
      <c r="Z998" s="1110">
        <f t="shared" si="1806"/>
        <v>0</v>
      </c>
      <c r="AA998" s="1110">
        <f t="shared" si="1806"/>
        <v>0</v>
      </c>
      <c r="AB998" s="1110">
        <f t="shared" si="1806"/>
        <v>0</v>
      </c>
      <c r="AC998" s="1110">
        <f t="shared" si="1806"/>
        <v>0</v>
      </c>
      <c r="AD998" s="1110">
        <f t="shared" si="1806"/>
        <v>0</v>
      </c>
      <c r="AE998" s="1212">
        <f t="shared" si="1806"/>
        <v>0</v>
      </c>
      <c r="AF998" s="1212">
        <f t="shared" si="1806"/>
        <v>0</v>
      </c>
      <c r="AG998" s="1110">
        <f t="shared" si="1806"/>
        <v>0</v>
      </c>
      <c r="AH998" s="1110">
        <f t="shared" si="1806"/>
        <v>0</v>
      </c>
      <c r="AI998" s="1340">
        <f t="shared" si="1806"/>
        <v>0</v>
      </c>
      <c r="AJ998" s="96"/>
      <c r="AK998" s="96"/>
      <c r="AL998" s="97"/>
      <c r="AM998" s="1071">
        <f t="shared" si="1765"/>
        <v>0</v>
      </c>
      <c r="AN998" s="98"/>
      <c r="AO998" s="625"/>
      <c r="AP998" s="23"/>
      <c r="AQ998" s="23"/>
      <c r="AR998" s="23"/>
      <c r="AS998" s="23"/>
      <c r="AT998" s="23"/>
      <c r="AU998" s="23"/>
      <c r="AV998" s="23"/>
    </row>
    <row r="999" spans="1:48" ht="25.15" hidden="1" customHeight="1" thickTop="1">
      <c r="A999" s="99"/>
      <c r="B999" s="26" t="s">
        <v>220</v>
      </c>
      <c r="C999" s="27"/>
      <c r="D999" s="28" t="s">
        <v>82</v>
      </c>
      <c r="E999" s="1111"/>
      <c r="F999" s="1111"/>
      <c r="G999" s="1201"/>
      <c r="H999" s="1111"/>
      <c r="I999" s="1111"/>
      <c r="J999" s="1201"/>
      <c r="K999" s="1201"/>
      <c r="L999" s="1111"/>
      <c r="M999" s="1111"/>
      <c r="N999" s="1111"/>
      <c r="O999" s="1111"/>
      <c r="P999" s="1111"/>
      <c r="Q999" s="1201"/>
      <c r="R999" s="1201"/>
      <c r="S999" s="1111"/>
      <c r="T999" s="1111"/>
      <c r="U999" s="1111"/>
      <c r="V999" s="1111"/>
      <c r="W999" s="1111"/>
      <c r="X999" s="1201"/>
      <c r="Y999" s="1201"/>
      <c r="Z999" s="1111"/>
      <c r="AA999" s="1111"/>
      <c r="AB999" s="1111"/>
      <c r="AC999" s="1111"/>
      <c r="AD999" s="1111"/>
      <c r="AE999" s="1201"/>
      <c r="AF999" s="1201"/>
      <c r="AG999" s="1111"/>
      <c r="AH999" s="1111"/>
      <c r="AI999" s="1111"/>
      <c r="AJ999" s="100">
        <f>SUM(Table75[[#This Row],[June''2026]:[Column27]])</f>
        <v>0</v>
      </c>
      <c r="AK999" s="1078">
        <f t="shared" si="1768"/>
        <v>0</v>
      </c>
      <c r="AL999" s="101">
        <f>+AJ999*AN999</f>
        <v>0</v>
      </c>
      <c r="AM999" s="1079">
        <f t="shared" si="1765"/>
        <v>0</v>
      </c>
      <c r="AN999" s="102"/>
      <c r="AO999" s="622" t="e">
        <f>Table5[[#This Row],[Total]]*B1003/1000</f>
        <v>#VALUE!</v>
      </c>
      <c r="AP999" s="32" t="s">
        <v>193</v>
      </c>
      <c r="AQ999" s="33" t="s">
        <v>84</v>
      </c>
      <c r="AR999" s="33" t="s">
        <v>85</v>
      </c>
      <c r="AS999" s="33" t="s">
        <v>86</v>
      </c>
      <c r="AT999" s="33" t="s">
        <v>87</v>
      </c>
      <c r="AU999" s="33" t="s">
        <v>88</v>
      </c>
      <c r="AV999" s="34" t="s">
        <v>68</v>
      </c>
    </row>
    <row r="1000" spans="1:48" ht="25.15" hidden="1" customHeight="1">
      <c r="A1000" s="103"/>
      <c r="B1000" s="35" t="s">
        <v>221</v>
      </c>
      <c r="C1000" s="36"/>
      <c r="D1000" s="37" t="s">
        <v>90</v>
      </c>
      <c r="E1000" s="1373">
        <f>IF(E999="",0,+ E999/E1006)</f>
        <v>0</v>
      </c>
      <c r="F1000" s="1096">
        <f t="shared" ref="F1000:U1000" si="1807">IF(F999="",0, E1000+F999/F1006)</f>
        <v>0</v>
      </c>
      <c r="G1000" s="1207">
        <f t="shared" si="1807"/>
        <v>0</v>
      </c>
      <c r="H1000" s="1096">
        <f t="shared" si="1807"/>
        <v>0</v>
      </c>
      <c r="I1000" s="1096">
        <f t="shared" si="1807"/>
        <v>0</v>
      </c>
      <c r="J1000" s="1207">
        <f t="shared" si="1807"/>
        <v>0</v>
      </c>
      <c r="K1000" s="1207">
        <f t="shared" si="1807"/>
        <v>0</v>
      </c>
      <c r="L1000" s="1096">
        <f t="shared" si="1807"/>
        <v>0</v>
      </c>
      <c r="M1000" s="1096">
        <f t="shared" si="1807"/>
        <v>0</v>
      </c>
      <c r="N1000" s="1096">
        <f t="shared" si="1807"/>
        <v>0</v>
      </c>
      <c r="O1000" s="1096">
        <f t="shared" si="1807"/>
        <v>0</v>
      </c>
      <c r="P1000" s="1096">
        <f t="shared" si="1807"/>
        <v>0</v>
      </c>
      <c r="Q1000" s="1207">
        <f t="shared" si="1807"/>
        <v>0</v>
      </c>
      <c r="R1000" s="1207">
        <f t="shared" si="1807"/>
        <v>0</v>
      </c>
      <c r="S1000" s="1096">
        <f t="shared" si="1807"/>
        <v>0</v>
      </c>
      <c r="T1000" s="1096">
        <f t="shared" si="1807"/>
        <v>0</v>
      </c>
      <c r="U1000" s="1096">
        <f t="shared" si="1807"/>
        <v>0</v>
      </c>
      <c r="V1000" s="1096">
        <f>IF(V999="",0, U1000+V999/V1006)</f>
        <v>0</v>
      </c>
      <c r="W1000" s="1096">
        <f t="shared" ref="W1000:AI1000" si="1808">IF(W999="",0, V1000+W999/W1006)</f>
        <v>0</v>
      </c>
      <c r="X1000" s="1207">
        <f t="shared" si="1808"/>
        <v>0</v>
      </c>
      <c r="Y1000" s="1207">
        <f t="shared" si="1808"/>
        <v>0</v>
      </c>
      <c r="Z1000" s="1096">
        <f t="shared" si="1808"/>
        <v>0</v>
      </c>
      <c r="AA1000" s="1096">
        <f t="shared" si="1808"/>
        <v>0</v>
      </c>
      <c r="AB1000" s="1096">
        <f t="shared" si="1808"/>
        <v>0</v>
      </c>
      <c r="AC1000" s="1096">
        <f t="shared" si="1808"/>
        <v>0</v>
      </c>
      <c r="AD1000" s="1096">
        <f t="shared" si="1808"/>
        <v>0</v>
      </c>
      <c r="AE1000" s="1207">
        <f t="shared" si="1808"/>
        <v>0</v>
      </c>
      <c r="AF1000" s="1207">
        <f t="shared" si="1808"/>
        <v>0</v>
      </c>
      <c r="AG1000" s="1096">
        <f t="shared" si="1808"/>
        <v>0</v>
      </c>
      <c r="AH1000" s="1096">
        <f t="shared" si="1808"/>
        <v>0</v>
      </c>
      <c r="AI1000" s="1324">
        <f t="shared" si="1808"/>
        <v>0</v>
      </c>
      <c r="AJ1000" s="38"/>
      <c r="AK1000" s="29"/>
      <c r="AL1000" s="30"/>
      <c r="AM1000" s="694"/>
      <c r="AN1000" s="31"/>
      <c r="AO1000" s="630"/>
      <c r="AP1000" s="39" t="s">
        <v>91</v>
      </c>
      <c r="AQ1000" s="40">
        <f>SUM(E999:I999)</f>
        <v>0</v>
      </c>
      <c r="AR1000" s="41">
        <f>SUM(J999:P999)</f>
        <v>0</v>
      </c>
      <c r="AS1000" s="41">
        <f>SUM(Q999:W999)</f>
        <v>0</v>
      </c>
      <c r="AT1000" s="41">
        <f>SUM(X999:AD999)</f>
        <v>0</v>
      </c>
      <c r="AU1000" s="41">
        <f>SUM(AE999:AI999)</f>
        <v>0</v>
      </c>
      <c r="AV1000" s="34">
        <f t="shared" ref="AV1000:AV1005" si="1809">SUM(AQ1000:AU1000)</f>
        <v>0</v>
      </c>
    </row>
    <row r="1001" spans="1:48" ht="25.15" hidden="1" customHeight="1">
      <c r="A1001" s="103"/>
      <c r="B1001" s="26" t="s">
        <v>92</v>
      </c>
      <c r="C1001" s="42"/>
      <c r="D1001" s="43" t="s">
        <v>93</v>
      </c>
      <c r="E1001" s="1108"/>
      <c r="F1001" s="1089"/>
      <c r="G1001" s="44"/>
      <c r="H1001" s="1089"/>
      <c r="I1001" s="1089"/>
      <c r="J1001" s="44"/>
      <c r="K1001" s="44"/>
      <c r="L1001" s="1089"/>
      <c r="M1001" s="1089"/>
      <c r="N1001" s="1089"/>
      <c r="O1001" s="1089"/>
      <c r="P1001" s="1089"/>
      <c r="Q1001" s="44"/>
      <c r="R1001" s="44"/>
      <c r="S1001" s="1089"/>
      <c r="T1001" s="1089"/>
      <c r="U1001" s="1089"/>
      <c r="V1001" s="1089"/>
      <c r="W1001" s="1089"/>
      <c r="X1001" s="44"/>
      <c r="Y1001" s="44"/>
      <c r="Z1001" s="1089"/>
      <c r="AA1001" s="1089"/>
      <c r="AB1001" s="1089"/>
      <c r="AC1001" s="1089"/>
      <c r="AD1001" s="1089"/>
      <c r="AE1001" s="44"/>
      <c r="AF1001" s="44"/>
      <c r="AG1001" s="1089"/>
      <c r="AH1001" s="1089"/>
      <c r="AI1001" s="1326"/>
      <c r="AJ1001" s="45">
        <f>SUM(E1001:AI1001)</f>
        <v>0</v>
      </c>
      <c r="AK1001" s="45"/>
      <c r="AL1001" s="46">
        <f>+AJ1001*AN999</f>
        <v>0</v>
      </c>
      <c r="AM1001" s="1066"/>
      <c r="AN1001" s="31"/>
      <c r="AO1001" s="632">
        <f>(AJ1001+AJ1003+AJ1004+AJ1005)*B1003/1000</f>
        <v>0</v>
      </c>
      <c r="AP1001" s="47" t="s">
        <v>94</v>
      </c>
      <c r="AQ1001" s="48">
        <f>SUM(E1001:I1001)</f>
        <v>0</v>
      </c>
      <c r="AR1001" s="49">
        <f>SUM(J1001:P1001)</f>
        <v>0</v>
      </c>
      <c r="AS1001" s="49">
        <f>SUM(Q1001:W1001)</f>
        <v>0</v>
      </c>
      <c r="AT1001" s="49">
        <f>SUM(X1001:AD1001)</f>
        <v>0</v>
      </c>
      <c r="AU1001" s="49">
        <f>SUM(AE1001:AI1001)</f>
        <v>0</v>
      </c>
      <c r="AV1001" s="50">
        <f t="shared" si="1809"/>
        <v>0</v>
      </c>
    </row>
    <row r="1002" spans="1:48" ht="25.15" hidden="1" customHeight="1">
      <c r="A1002" s="103"/>
      <c r="B1002" s="51"/>
      <c r="C1002" s="52" t="s">
        <v>95</v>
      </c>
      <c r="D1002" s="53" t="s">
        <v>96</v>
      </c>
      <c r="E1002" s="1327">
        <f t="shared" ref="E1002:AJ1002" si="1810">+E1001-E999</f>
        <v>0</v>
      </c>
      <c r="F1002" s="1097">
        <f t="shared" si="1810"/>
        <v>0</v>
      </c>
      <c r="G1002" s="1205">
        <f t="shared" si="1810"/>
        <v>0</v>
      </c>
      <c r="H1002" s="1097">
        <f t="shared" si="1810"/>
        <v>0</v>
      </c>
      <c r="I1002" s="1097">
        <f t="shared" si="1810"/>
        <v>0</v>
      </c>
      <c r="J1002" s="1205">
        <f t="shared" si="1810"/>
        <v>0</v>
      </c>
      <c r="K1002" s="1205">
        <f t="shared" si="1810"/>
        <v>0</v>
      </c>
      <c r="L1002" s="1097">
        <f t="shared" si="1810"/>
        <v>0</v>
      </c>
      <c r="M1002" s="1097">
        <f t="shared" si="1810"/>
        <v>0</v>
      </c>
      <c r="N1002" s="1097">
        <f t="shared" si="1810"/>
        <v>0</v>
      </c>
      <c r="O1002" s="1097">
        <f t="shared" si="1810"/>
        <v>0</v>
      </c>
      <c r="P1002" s="1097">
        <f t="shared" si="1810"/>
        <v>0</v>
      </c>
      <c r="Q1002" s="1205">
        <f t="shared" si="1810"/>
        <v>0</v>
      </c>
      <c r="R1002" s="1205">
        <f t="shared" si="1810"/>
        <v>0</v>
      </c>
      <c r="S1002" s="1097">
        <f t="shared" si="1810"/>
        <v>0</v>
      </c>
      <c r="T1002" s="1097">
        <f t="shared" si="1810"/>
        <v>0</v>
      </c>
      <c r="U1002" s="1097">
        <f>+U1001-U999</f>
        <v>0</v>
      </c>
      <c r="V1002" s="1097">
        <f>+V1001-V999</f>
        <v>0</v>
      </c>
      <c r="W1002" s="1097">
        <f t="shared" si="1810"/>
        <v>0</v>
      </c>
      <c r="X1002" s="1205">
        <f t="shared" si="1810"/>
        <v>0</v>
      </c>
      <c r="Y1002" s="1205">
        <f t="shared" si="1810"/>
        <v>0</v>
      </c>
      <c r="Z1002" s="1097">
        <f t="shared" si="1810"/>
        <v>0</v>
      </c>
      <c r="AA1002" s="1097">
        <f t="shared" si="1810"/>
        <v>0</v>
      </c>
      <c r="AB1002" s="1097">
        <f t="shared" si="1810"/>
        <v>0</v>
      </c>
      <c r="AC1002" s="1097">
        <f t="shared" si="1810"/>
        <v>0</v>
      </c>
      <c r="AD1002" s="1097">
        <f t="shared" si="1810"/>
        <v>0</v>
      </c>
      <c r="AE1002" s="1205">
        <f t="shared" si="1810"/>
        <v>0</v>
      </c>
      <c r="AF1002" s="1205">
        <f t="shared" si="1810"/>
        <v>0</v>
      </c>
      <c r="AG1002" s="1097">
        <f t="shared" si="1810"/>
        <v>0</v>
      </c>
      <c r="AH1002" s="1097">
        <f t="shared" si="1810"/>
        <v>0</v>
      </c>
      <c r="AI1002" s="1328">
        <f t="shared" si="1810"/>
        <v>0</v>
      </c>
      <c r="AJ1002" s="54">
        <f t="shared" si="1810"/>
        <v>0</v>
      </c>
      <c r="AK1002" s="54"/>
      <c r="AL1002" s="55">
        <f>+AJ1002*AN999</f>
        <v>0</v>
      </c>
      <c r="AM1002" s="1067"/>
      <c r="AN1002" s="31" t="s">
        <v>97</v>
      </c>
      <c r="AO1002" s="622"/>
      <c r="AP1002" s="39" t="s">
        <v>98</v>
      </c>
      <c r="AQ1002" s="56">
        <f>AQ1001-AQ1000</f>
        <v>0</v>
      </c>
      <c r="AR1002" s="70">
        <f>AR1001-AR1000</f>
        <v>0</v>
      </c>
      <c r="AS1002" s="70">
        <f>AS1001-AS1000</f>
        <v>0</v>
      </c>
      <c r="AT1002" s="70">
        <f>AT1001-AT1000</f>
        <v>0</v>
      </c>
      <c r="AU1002" s="70">
        <f>AU1001-AU1000</f>
        <v>0</v>
      </c>
      <c r="AV1002" s="57">
        <f t="shared" si="1809"/>
        <v>0</v>
      </c>
    </row>
    <row r="1003" spans="1:48" ht="25.15" hidden="1" customHeight="1">
      <c r="A1003" s="58"/>
      <c r="B1003" s="59"/>
      <c r="C1003" s="60" t="s">
        <v>100</v>
      </c>
      <c r="D1003" s="61" t="s">
        <v>101</v>
      </c>
      <c r="E1003" s="1329"/>
      <c r="F1003" s="1099"/>
      <c r="G1003" s="1208"/>
      <c r="H1003" s="1099"/>
      <c r="I1003" s="1099"/>
      <c r="J1003" s="1208"/>
      <c r="K1003" s="1208"/>
      <c r="L1003" s="1099"/>
      <c r="M1003" s="1112"/>
      <c r="N1003" s="1112"/>
      <c r="O1003" s="1099"/>
      <c r="P1003" s="1099"/>
      <c r="Q1003" s="1208"/>
      <c r="R1003" s="1213"/>
      <c r="S1003" s="1112"/>
      <c r="T1003" s="1112"/>
      <c r="U1003" s="1099"/>
      <c r="V1003" s="1112"/>
      <c r="W1003" s="1112"/>
      <c r="X1003" s="1213"/>
      <c r="Y1003" s="1213"/>
      <c r="Z1003" s="1112"/>
      <c r="AA1003" s="1112"/>
      <c r="AB1003" s="1099"/>
      <c r="AC1003" s="1112"/>
      <c r="AD1003" s="1112"/>
      <c r="AE1003" s="1213"/>
      <c r="AF1003" s="1213"/>
      <c r="AG1003" s="1112"/>
      <c r="AH1003" s="1112"/>
      <c r="AI1003" s="1330"/>
      <c r="AJ1003" s="62">
        <f>SUM(E1003:AI1003)</f>
        <v>0</v>
      </c>
      <c r="AK1003" s="62"/>
      <c r="AL1003" s="63">
        <f>+AJ1003*AN999</f>
        <v>0</v>
      </c>
      <c r="AM1003" s="1068"/>
      <c r="AN1003" s="64" t="e">
        <f>+AJ1003/AJ1001*100</f>
        <v>#DIV/0!</v>
      </c>
      <c r="AO1003" s="635" t="e">
        <f>AO1001/AO999</f>
        <v>#VALUE!</v>
      </c>
      <c r="AP1003" s="39" t="s">
        <v>102</v>
      </c>
      <c r="AQ1003" s="56">
        <f>SUM(E1003:I1003)</f>
        <v>0</v>
      </c>
      <c r="AR1003" s="70">
        <f>SUM(J1003:P1003)</f>
        <v>0</v>
      </c>
      <c r="AS1003" s="70">
        <f>SUM(Q1003:W1003)</f>
        <v>0</v>
      </c>
      <c r="AT1003" s="70">
        <f>SUM(X1003:AD1003)</f>
        <v>0</v>
      </c>
      <c r="AU1003" s="70">
        <f>SUM(AE1003:AI1003)</f>
        <v>0</v>
      </c>
      <c r="AV1003" s="57">
        <f t="shared" si="1809"/>
        <v>0</v>
      </c>
    </row>
    <row r="1004" spans="1:48" ht="25.15" hidden="1" customHeight="1">
      <c r="A1004" s="58" t="s">
        <v>202</v>
      </c>
      <c r="B1004" s="65"/>
      <c r="C1004" s="66"/>
      <c r="D1004" s="67" t="s">
        <v>103</v>
      </c>
      <c r="E1004" s="1331"/>
      <c r="F1004" s="1101"/>
      <c r="G1004" s="1209"/>
      <c r="H1004" s="1101"/>
      <c r="I1004" s="1101"/>
      <c r="J1004" s="1209"/>
      <c r="K1004" s="1209"/>
      <c r="L1004" s="1101"/>
      <c r="M1004" s="1101"/>
      <c r="N1004" s="1101"/>
      <c r="O1004" s="1101"/>
      <c r="P1004" s="1101"/>
      <c r="Q1004" s="1209"/>
      <c r="R1004" s="1209"/>
      <c r="S1004" s="1101"/>
      <c r="T1004" s="1101"/>
      <c r="U1004" s="1101"/>
      <c r="V1004" s="1101"/>
      <c r="W1004" s="1101"/>
      <c r="X1004" s="1209"/>
      <c r="Y1004" s="1209"/>
      <c r="Z1004" s="1101"/>
      <c r="AA1004" s="1101"/>
      <c r="AB1004" s="1101"/>
      <c r="AC1004" s="1101"/>
      <c r="AD1004" s="1101"/>
      <c r="AE1004" s="1209"/>
      <c r="AF1004" s="1209"/>
      <c r="AG1004" s="1101"/>
      <c r="AH1004" s="1101"/>
      <c r="AI1004" s="1332"/>
      <c r="AJ1004" s="68">
        <f>SUM(E1004:AI1004)</f>
        <v>0</v>
      </c>
      <c r="AK1004" s="68"/>
      <c r="AL1004" s="69">
        <f>+AJ1004*AN999</f>
        <v>0</v>
      </c>
      <c r="AM1004" s="1069"/>
      <c r="AN1004" s="31"/>
      <c r="AO1004" s="622"/>
      <c r="AP1004" s="39" t="s">
        <v>19</v>
      </c>
      <c r="AQ1004" s="56">
        <f>AQ1003*AN999</f>
        <v>0</v>
      </c>
      <c r="AR1004" s="56">
        <f>AR1003*AN999</f>
        <v>0</v>
      </c>
      <c r="AS1004" s="56">
        <f>AS1003*AN999</f>
        <v>0</v>
      </c>
      <c r="AT1004" s="56">
        <f>AT1003*AN999</f>
        <v>0</v>
      </c>
      <c r="AU1004" s="56">
        <f>AU1003*AN999</f>
        <v>0</v>
      </c>
      <c r="AV1004" s="57">
        <f t="shared" si="1809"/>
        <v>0</v>
      </c>
    </row>
    <row r="1005" spans="1:48" ht="25.15" hidden="1" customHeight="1">
      <c r="A1005" s="103"/>
      <c r="B1005" s="65"/>
      <c r="C1005" s="72" t="s">
        <v>104</v>
      </c>
      <c r="D1005" s="73" t="s">
        <v>105</v>
      </c>
      <c r="E1005" s="1378"/>
      <c r="F1005" s="1103"/>
      <c r="G1005" s="1210"/>
      <c r="H1005" s="1103"/>
      <c r="I1005" s="1103"/>
      <c r="J1005" s="1210"/>
      <c r="K1005" s="1210"/>
      <c r="L1005" s="1103"/>
      <c r="M1005" s="1103"/>
      <c r="N1005" s="1103"/>
      <c r="O1005" s="1103"/>
      <c r="P1005" s="1103"/>
      <c r="Q1005" s="1210"/>
      <c r="R1005" s="1210"/>
      <c r="S1005" s="1103"/>
      <c r="T1005" s="1103"/>
      <c r="U1005" s="1103"/>
      <c r="V1005" s="1103"/>
      <c r="W1005" s="1103"/>
      <c r="X1005" s="1210"/>
      <c r="Y1005" s="1210"/>
      <c r="Z1005" s="1103"/>
      <c r="AA1005" s="1103"/>
      <c r="AB1005" s="1103"/>
      <c r="AC1005" s="1103"/>
      <c r="AD1005" s="1103"/>
      <c r="AE1005" s="1210"/>
      <c r="AF1005" s="1210"/>
      <c r="AG1005" s="1103"/>
      <c r="AH1005" s="1103"/>
      <c r="AI1005" s="1352"/>
      <c r="AJ1005" s="74">
        <f>SUM(E1005:AI1005)</f>
        <v>0</v>
      </c>
      <c r="AK1005" s="74"/>
      <c r="AL1005" s="75">
        <f>+AJ1005*AN999</f>
        <v>0</v>
      </c>
      <c r="AM1005" s="1070"/>
      <c r="AN1005" s="76"/>
      <c r="AO1005" s="636"/>
      <c r="AP1005" s="47" t="s">
        <v>106</v>
      </c>
      <c r="AQ1005" s="48">
        <f>AQ1001*AN999</f>
        <v>0</v>
      </c>
      <c r="AR1005" s="48">
        <f>AR1001*AN999</f>
        <v>0</v>
      </c>
      <c r="AS1005" s="48">
        <f>AS1001*AN999</f>
        <v>0</v>
      </c>
      <c r="AT1005" s="48">
        <f>AT1001*AN999</f>
        <v>0</v>
      </c>
      <c r="AU1005" s="48">
        <f>AU1001*AN999</f>
        <v>0</v>
      </c>
      <c r="AV1005" s="50">
        <f t="shared" si="1809"/>
        <v>0</v>
      </c>
    </row>
    <row r="1006" spans="1:48" ht="25.15" hidden="1" customHeight="1">
      <c r="A1006" s="103"/>
      <c r="B1006" s="65"/>
      <c r="C1006" s="77">
        <v>300000</v>
      </c>
      <c r="D1006" s="78" t="s">
        <v>107</v>
      </c>
      <c r="E1006" s="1327">
        <v>1</v>
      </c>
      <c r="F1006" s="1097">
        <v>1</v>
      </c>
      <c r="G1006" s="1205">
        <v>1</v>
      </c>
      <c r="H1006" s="1097">
        <v>1</v>
      </c>
      <c r="I1006" s="1097">
        <v>1</v>
      </c>
      <c r="J1006" s="1205">
        <v>1</v>
      </c>
      <c r="K1006" s="1205">
        <v>1</v>
      </c>
      <c r="L1006" s="1097">
        <v>1</v>
      </c>
      <c r="M1006" s="1097">
        <v>1</v>
      </c>
      <c r="N1006" s="1097">
        <v>1</v>
      </c>
      <c r="O1006" s="1097">
        <v>1</v>
      </c>
      <c r="P1006" s="1097">
        <v>1</v>
      </c>
      <c r="Q1006" s="1205">
        <v>1</v>
      </c>
      <c r="R1006" s="1205">
        <v>1</v>
      </c>
      <c r="S1006" s="1097">
        <v>1</v>
      </c>
      <c r="T1006" s="1097">
        <v>1</v>
      </c>
      <c r="U1006" s="1097">
        <v>1</v>
      </c>
      <c r="V1006" s="1097">
        <v>1</v>
      </c>
      <c r="W1006" s="1097">
        <v>1</v>
      </c>
      <c r="X1006" s="1205">
        <v>1</v>
      </c>
      <c r="Y1006" s="1205">
        <v>1</v>
      </c>
      <c r="Z1006" s="1097">
        <v>1</v>
      </c>
      <c r="AA1006" s="1097">
        <v>1</v>
      </c>
      <c r="AB1006" s="1097">
        <v>1</v>
      </c>
      <c r="AC1006" s="1097">
        <v>1</v>
      </c>
      <c r="AD1006" s="1097">
        <v>1</v>
      </c>
      <c r="AE1006" s="1205">
        <v>1</v>
      </c>
      <c r="AF1006" s="1205">
        <v>1</v>
      </c>
      <c r="AG1006" s="1097">
        <v>1</v>
      </c>
      <c r="AH1006" s="1097">
        <v>1</v>
      </c>
      <c r="AI1006" s="1328">
        <v>1</v>
      </c>
      <c r="AJ1006" s="79"/>
      <c r="AK1006" s="79"/>
      <c r="AL1006" s="55"/>
      <c r="AM1006" s="1067"/>
      <c r="AN1006" s="31"/>
      <c r="AO1006" s="622"/>
      <c r="AP1006" s="23"/>
      <c r="AQ1006" s="23"/>
      <c r="AR1006" s="23"/>
      <c r="AS1006" s="23"/>
      <c r="AT1006" s="23"/>
      <c r="AU1006" s="23"/>
      <c r="AV1006" s="23"/>
    </row>
    <row r="1007" spans="1:48" ht="25.15" hidden="1" customHeight="1">
      <c r="A1007" s="103"/>
      <c r="B1007" s="65"/>
      <c r="C1007" s="80" t="s">
        <v>108</v>
      </c>
      <c r="D1007" s="81" t="s">
        <v>109</v>
      </c>
      <c r="E1007" s="1374">
        <f>SUM(E1001+E1003+E1004+E1005)/E1006</f>
        <v>0</v>
      </c>
      <c r="F1007" s="1104">
        <f>SUM(F1001+F1003+F1004+F1005)/F1006</f>
        <v>0</v>
      </c>
      <c r="G1007" s="1211">
        <f>SUM(G1001+G1003+G1004+G1005)/G1006</f>
        <v>0</v>
      </c>
      <c r="H1007" s="1104">
        <f t="shared" ref="H1007:AH1007" si="1811">SUM(H1001+H1003+H1004+H1005)/H1006</f>
        <v>0</v>
      </c>
      <c r="I1007" s="1104">
        <f t="shared" si="1811"/>
        <v>0</v>
      </c>
      <c r="J1007" s="1211">
        <f t="shared" si="1811"/>
        <v>0</v>
      </c>
      <c r="K1007" s="1211">
        <f t="shared" si="1811"/>
        <v>0</v>
      </c>
      <c r="L1007" s="1104">
        <f t="shared" si="1811"/>
        <v>0</v>
      </c>
      <c r="M1007" s="1104">
        <f t="shared" si="1811"/>
        <v>0</v>
      </c>
      <c r="N1007" s="1104">
        <f t="shared" si="1811"/>
        <v>0</v>
      </c>
      <c r="O1007" s="1104">
        <f t="shared" si="1811"/>
        <v>0</v>
      </c>
      <c r="P1007" s="1104">
        <f t="shared" si="1811"/>
        <v>0</v>
      </c>
      <c r="Q1007" s="1211">
        <f t="shared" si="1811"/>
        <v>0</v>
      </c>
      <c r="R1007" s="1211">
        <f t="shared" si="1811"/>
        <v>0</v>
      </c>
      <c r="S1007" s="1104">
        <f t="shared" si="1811"/>
        <v>0</v>
      </c>
      <c r="T1007" s="1104">
        <f t="shared" si="1811"/>
        <v>0</v>
      </c>
      <c r="U1007" s="1104">
        <f t="shared" si="1811"/>
        <v>0</v>
      </c>
      <c r="V1007" s="1104">
        <f t="shared" si="1811"/>
        <v>0</v>
      </c>
      <c r="W1007" s="1104">
        <f t="shared" si="1811"/>
        <v>0</v>
      </c>
      <c r="X1007" s="1211">
        <f t="shared" si="1811"/>
        <v>0</v>
      </c>
      <c r="Y1007" s="1211">
        <f t="shared" si="1811"/>
        <v>0</v>
      </c>
      <c r="Z1007" s="1104">
        <f t="shared" si="1811"/>
        <v>0</v>
      </c>
      <c r="AA1007" s="1104">
        <f t="shared" si="1811"/>
        <v>0</v>
      </c>
      <c r="AB1007" s="1104">
        <f t="shared" si="1811"/>
        <v>0</v>
      </c>
      <c r="AC1007" s="1104">
        <f t="shared" si="1811"/>
        <v>0</v>
      </c>
      <c r="AD1007" s="1104">
        <f t="shared" si="1811"/>
        <v>0</v>
      </c>
      <c r="AE1007" s="1211">
        <f t="shared" si="1811"/>
        <v>0</v>
      </c>
      <c r="AF1007" s="1211">
        <f t="shared" si="1811"/>
        <v>0</v>
      </c>
      <c r="AG1007" s="1104">
        <f t="shared" si="1811"/>
        <v>0</v>
      </c>
      <c r="AH1007" s="1104">
        <f t="shared" si="1811"/>
        <v>0</v>
      </c>
      <c r="AI1007" s="1335">
        <f>SUM(AI1001+AI1003+AI1004)/AI1006</f>
        <v>0</v>
      </c>
      <c r="AJ1007" s="104">
        <f>SUM(E1007:AI1007)</f>
        <v>0</v>
      </c>
      <c r="AK1007" s="104"/>
      <c r="AL1007" s="83"/>
      <c r="AM1007" s="1068"/>
      <c r="AN1007" s="31"/>
      <c r="AO1007" s="622"/>
      <c r="AP1007" s="23"/>
      <c r="AQ1007" s="23"/>
      <c r="AR1007" s="23"/>
      <c r="AS1007" s="23"/>
      <c r="AT1007" s="23"/>
      <c r="AU1007" s="23"/>
      <c r="AV1007" s="23"/>
    </row>
    <row r="1008" spans="1:48" ht="25.15" hidden="1" customHeight="1">
      <c r="A1008" s="103"/>
      <c r="B1008" s="59"/>
      <c r="C1008" s="84">
        <f>+C1006*0.8</f>
        <v>240000</v>
      </c>
      <c r="D1008" s="85" t="s">
        <v>110</v>
      </c>
      <c r="E1008" s="1105"/>
      <c r="F1008" s="1106"/>
      <c r="G1008" s="1211"/>
      <c r="H1008" s="1104"/>
      <c r="I1008" s="1104"/>
      <c r="J1008" s="1211"/>
      <c r="K1008" s="1211"/>
      <c r="L1008" s="1104"/>
      <c r="M1008" s="1104"/>
      <c r="N1008" s="1104"/>
      <c r="O1008" s="1107"/>
      <c r="P1008" s="1104"/>
      <c r="Q1008" s="1211"/>
      <c r="R1008" s="1211"/>
      <c r="S1008" s="1104"/>
      <c r="T1008" s="1104"/>
      <c r="U1008" s="1104"/>
      <c r="V1008" s="1104"/>
      <c r="W1008" s="1104"/>
      <c r="X1008" s="1211"/>
      <c r="Y1008" s="1211"/>
      <c r="Z1008" s="1104"/>
      <c r="AA1008" s="1104"/>
      <c r="AB1008" s="1104"/>
      <c r="AC1008" s="1104"/>
      <c r="AD1008" s="1104"/>
      <c r="AE1008" s="1211"/>
      <c r="AF1008" s="1211"/>
      <c r="AG1008" s="1104"/>
      <c r="AH1008" s="1104"/>
      <c r="AI1008" s="1353"/>
      <c r="AJ1008" s="86"/>
      <c r="AK1008" s="86"/>
      <c r="AL1008" s="690"/>
      <c r="AM1008" s="694"/>
      <c r="AN1008" s="31"/>
      <c r="AO1008" s="622"/>
      <c r="AP1008" s="23"/>
      <c r="AQ1008" s="23"/>
      <c r="AR1008" s="23"/>
      <c r="AS1008" s="23"/>
      <c r="AT1008" s="23"/>
      <c r="AU1008" s="23"/>
      <c r="AV1008" s="23"/>
    </row>
    <row r="1009" spans="1:48" ht="25.15" hidden="1" customHeight="1">
      <c r="A1009" s="103"/>
      <c r="B1009" s="105"/>
      <c r="C1009" s="77"/>
      <c r="D1009" s="88" t="s">
        <v>111</v>
      </c>
      <c r="E1009" s="1108">
        <f>IF(E1008="O/H",E1007,0+E1007)</f>
        <v>0</v>
      </c>
      <c r="F1009" s="1089">
        <f t="shared" ref="F1009:AI1009" si="1812">IF(F1008="O/H",F1007,+E1009+F1007)</f>
        <v>0</v>
      </c>
      <c r="G1009" s="44">
        <f t="shared" si="1812"/>
        <v>0</v>
      </c>
      <c r="H1009" s="1089">
        <f t="shared" si="1812"/>
        <v>0</v>
      </c>
      <c r="I1009" s="1089">
        <f t="shared" si="1812"/>
        <v>0</v>
      </c>
      <c r="J1009" s="44">
        <f t="shared" si="1812"/>
        <v>0</v>
      </c>
      <c r="K1009" s="44">
        <f t="shared" si="1812"/>
        <v>0</v>
      </c>
      <c r="L1009" s="1089">
        <f t="shared" si="1812"/>
        <v>0</v>
      </c>
      <c r="M1009" s="1089">
        <f t="shared" si="1812"/>
        <v>0</v>
      </c>
      <c r="N1009" s="1089">
        <f t="shared" si="1812"/>
        <v>0</v>
      </c>
      <c r="O1009" s="1089">
        <f t="shared" si="1812"/>
        <v>0</v>
      </c>
      <c r="P1009" s="1089">
        <f t="shared" si="1812"/>
        <v>0</v>
      </c>
      <c r="Q1009" s="44">
        <f t="shared" si="1812"/>
        <v>0</v>
      </c>
      <c r="R1009" s="44">
        <f t="shared" si="1812"/>
        <v>0</v>
      </c>
      <c r="S1009" s="1089">
        <f t="shared" si="1812"/>
        <v>0</v>
      </c>
      <c r="T1009" s="1089">
        <f t="shared" si="1812"/>
        <v>0</v>
      </c>
      <c r="U1009" s="1089">
        <f t="shared" si="1812"/>
        <v>0</v>
      </c>
      <c r="V1009" s="1089">
        <f t="shared" si="1812"/>
        <v>0</v>
      </c>
      <c r="W1009" s="1089">
        <f t="shared" si="1812"/>
        <v>0</v>
      </c>
      <c r="X1009" s="44">
        <f t="shared" si="1812"/>
        <v>0</v>
      </c>
      <c r="Y1009" s="44">
        <f t="shared" si="1812"/>
        <v>0</v>
      </c>
      <c r="Z1009" s="1089">
        <f t="shared" si="1812"/>
        <v>0</v>
      </c>
      <c r="AA1009" s="1089">
        <f t="shared" si="1812"/>
        <v>0</v>
      </c>
      <c r="AB1009" s="1089">
        <f t="shared" si="1812"/>
        <v>0</v>
      </c>
      <c r="AC1009" s="1089">
        <f t="shared" si="1812"/>
        <v>0</v>
      </c>
      <c r="AD1009" s="1089">
        <f t="shared" si="1812"/>
        <v>0</v>
      </c>
      <c r="AE1009" s="44">
        <f t="shared" si="1812"/>
        <v>0</v>
      </c>
      <c r="AF1009" s="44">
        <f t="shared" si="1812"/>
        <v>0</v>
      </c>
      <c r="AG1009" s="1089">
        <f t="shared" si="1812"/>
        <v>0</v>
      </c>
      <c r="AH1009" s="1089">
        <f t="shared" si="1812"/>
        <v>0</v>
      </c>
      <c r="AI1009" s="1326">
        <f t="shared" si="1812"/>
        <v>0</v>
      </c>
      <c r="AJ1009" s="79"/>
      <c r="AK1009" s="86"/>
      <c r="AL1009" s="689"/>
      <c r="AM1009" s="694"/>
      <c r="AN1009" s="31"/>
      <c r="AO1009" s="622"/>
      <c r="AP1009" s="23"/>
      <c r="AQ1009" s="23"/>
      <c r="AR1009" s="23"/>
      <c r="AS1009" s="23"/>
      <c r="AT1009" s="23"/>
      <c r="AU1009" s="23"/>
      <c r="AV1009" s="23"/>
    </row>
    <row r="1010" spans="1:48" s="23" customFormat="1" ht="20.65" hidden="1" customHeight="1">
      <c r="A1010" s="274"/>
      <c r="B1010" s="312"/>
      <c r="C1010" s="308"/>
      <c r="D1010" s="795" t="s">
        <v>112</v>
      </c>
      <c r="E1010" s="1108" t="b">
        <f>IF(AND(ISNUMBER(E1001)),388661+E1007)</f>
        <v>0</v>
      </c>
      <c r="F1010" s="1089" t="str">
        <f>IF(AND(ISNUMBER(F1001)),E1010+F1007,"")</f>
        <v/>
      </c>
      <c r="G1010" s="44" t="str">
        <f t="shared" ref="G1010" si="1813">IF(AND(ISNUMBER(G1001)),F1010+G1007,"")</f>
        <v/>
      </c>
      <c r="H1010" s="1089" t="str">
        <f t="shared" ref="H1010" si="1814">IF(AND(ISNUMBER(H1001)),G1010+H1007,"")</f>
        <v/>
      </c>
      <c r="I1010" s="1089" t="str">
        <f>IF(AND(ISNUMBER(I1001)),H1010+I1007,"")</f>
        <v/>
      </c>
      <c r="J1010" s="44" t="str">
        <f>IF(AND(ISNUMBER(J1001)),I1010+J1007,"")</f>
        <v/>
      </c>
      <c r="K1010" s="44" t="str">
        <f>IF(AND(ISNUMBER(K1001)),J1010+K1007,"")</f>
        <v/>
      </c>
      <c r="L1010" s="1089" t="str">
        <f t="shared" ref="L1010" si="1815">IF(AND(ISNUMBER(L1001)),K1010+L1007,"")</f>
        <v/>
      </c>
      <c r="M1010" s="1089" t="str">
        <f t="shared" ref="M1010" si="1816">IF(AND(ISNUMBER(M1001)),L1010+M1007,"")</f>
        <v/>
      </c>
      <c r="N1010" s="1089" t="str">
        <f t="shared" ref="N1010" si="1817">IF(AND(ISNUMBER(N1001)),M1010+N1007,"")</f>
        <v/>
      </c>
      <c r="O1010" s="1089" t="str">
        <f t="shared" ref="O1010" si="1818">IF(AND(ISNUMBER(O1001)),N1010+O1007,"")</f>
        <v/>
      </c>
      <c r="P1010" s="1089" t="str">
        <f t="shared" ref="P1010" si="1819">IF(AND(ISNUMBER(P1001)),O1010+P1007,"")</f>
        <v/>
      </c>
      <c r="Q1010" s="44" t="str">
        <f t="shared" ref="Q1010" si="1820">IF(AND(ISNUMBER(Q1001)),P1010+Q1007,"")</f>
        <v/>
      </c>
      <c r="R1010" s="44" t="str">
        <f t="shared" ref="R1010" si="1821">IF(AND(ISNUMBER(R1001)),Q1010+R1007,"")</f>
        <v/>
      </c>
      <c r="S1010" s="1089" t="str">
        <f t="shared" ref="S1010" si="1822">IF(AND(ISNUMBER(S1001)),R1010+S1007,"")</f>
        <v/>
      </c>
      <c r="T1010" s="1089" t="str">
        <f t="shared" ref="T1010" si="1823">IF(AND(ISNUMBER(T1001)),S1010+T1007,"")</f>
        <v/>
      </c>
      <c r="U1010" s="1089" t="str">
        <f t="shared" ref="U1010" si="1824">IF(AND(ISNUMBER(U1001)),T1010+U1007,"")</f>
        <v/>
      </c>
      <c r="V1010" s="1089" t="str">
        <f t="shared" ref="V1010" si="1825">IF(AND(ISNUMBER(V1001)),U1010+V1007,"")</f>
        <v/>
      </c>
      <c r="W1010" s="1089" t="str">
        <f t="shared" ref="W1010" si="1826">IF(AND(ISNUMBER(W1001)),V1010+W1007,"")</f>
        <v/>
      </c>
      <c r="X1010" s="44" t="str">
        <f t="shared" ref="X1010:Y1010" si="1827">IF(AND(ISNUMBER(X1001)),W1010+X1007,"")</f>
        <v/>
      </c>
      <c r="Y1010" s="44" t="str">
        <f t="shared" si="1827"/>
        <v/>
      </c>
      <c r="Z1010" s="1089" t="str">
        <f t="shared" ref="Z1010" si="1828">IF(AND(ISNUMBER(Z1001)),Y1010+Z1007,"")</f>
        <v/>
      </c>
      <c r="AA1010" s="1089" t="str">
        <f t="shared" ref="AA1010" si="1829">IF(AND(ISNUMBER(AA1001)),Z1010+AA1007,"")</f>
        <v/>
      </c>
      <c r="AB1010" s="1089" t="str">
        <f t="shared" ref="AB1010" si="1830">IF(AND(ISNUMBER(AB1001)),AA1010+AB1007,"")</f>
        <v/>
      </c>
      <c r="AC1010" s="1089" t="str">
        <f t="shared" ref="AC1010" si="1831">IF(AND(ISNUMBER(AC1001)),AB1010+AC1007,"")</f>
        <v/>
      </c>
      <c r="AD1010" s="1089" t="str">
        <f t="shared" ref="AD1010" si="1832">IF(AND(ISNUMBER(AD1001)),AC1010+AD1007,"")</f>
        <v/>
      </c>
      <c r="AE1010" s="44" t="str">
        <f t="shared" ref="AE1010" si="1833">IF(AND(ISNUMBER(AE1001)),AD1010+AE1007,"")</f>
        <v/>
      </c>
      <c r="AF1010" s="44" t="str">
        <f t="shared" ref="AF1010" si="1834">IF(AND(ISNUMBER(AF1001)),AE1010+AF1007,"")</f>
        <v/>
      </c>
      <c r="AG1010" s="1089" t="str">
        <f t="shared" ref="AG1010" si="1835">IF(AND(ISNUMBER(AG1001)),AF1010+AG1007,"")</f>
        <v/>
      </c>
      <c r="AH1010" s="1089" t="str">
        <f t="shared" ref="AH1010" si="1836">IF(AND(ISNUMBER(AH1001)),AG1010+AH1007,"")</f>
        <v/>
      </c>
      <c r="AI1010" s="1089" t="str">
        <f t="shared" ref="AI1010" si="1837">IF(AND(ISNUMBER(AI1001)),AH1010+AI1007,"")</f>
        <v/>
      </c>
      <c r="AJ1010" s="793"/>
      <c r="AK1010" s="793"/>
      <c r="AL1010" s="909"/>
      <c r="AM1010" s="890"/>
      <c r="AN1010" s="76"/>
      <c r="AO1010" s="624"/>
      <c r="AP1010" s="285"/>
      <c r="AQ1010" s="285"/>
      <c r="AR1010" s="285"/>
      <c r="AS1010" s="285"/>
      <c r="AT1010" s="286"/>
      <c r="AU1010" s="285"/>
      <c r="AV1010" s="287"/>
    </row>
    <row r="1011" spans="1:48" ht="25.15" hidden="1" customHeight="1">
      <c r="A1011" s="103"/>
      <c r="B1011" s="89"/>
      <c r="C1011" s="80"/>
      <c r="D1011" s="90" t="s">
        <v>104</v>
      </c>
      <c r="E1011" s="1108"/>
      <c r="F1011" s="1089"/>
      <c r="G1011" s="44"/>
      <c r="H1011" s="1089"/>
      <c r="I1011" s="1089"/>
      <c r="J1011" s="44"/>
      <c r="K1011" s="44"/>
      <c r="L1011" s="1089"/>
      <c r="M1011" s="1089"/>
      <c r="N1011" s="1089"/>
      <c r="O1011" s="1089"/>
      <c r="P1011" s="1089"/>
      <c r="Q1011" s="44"/>
      <c r="R1011" s="44"/>
      <c r="S1011" s="1089"/>
      <c r="T1011" s="1089"/>
      <c r="U1011" s="1089"/>
      <c r="V1011" s="1089"/>
      <c r="W1011" s="1089"/>
      <c r="X1011" s="44"/>
      <c r="Y1011" s="44"/>
      <c r="Z1011" s="1089"/>
      <c r="AA1011" s="1089"/>
      <c r="AB1011" s="1089"/>
      <c r="AC1011" s="1089"/>
      <c r="AD1011" s="1089"/>
      <c r="AE1011" s="44"/>
      <c r="AF1011" s="44"/>
      <c r="AG1011" s="1089"/>
      <c r="AH1011" s="1089"/>
      <c r="AI1011" s="1326"/>
      <c r="AJ1011" s="79"/>
      <c r="AK1011" s="79"/>
      <c r="AL1011" s="63"/>
      <c r="AM1011" s="1068"/>
      <c r="AN1011" s="64"/>
      <c r="AO1011" s="624"/>
      <c r="AP1011" s="23"/>
      <c r="AQ1011" s="23"/>
      <c r="AR1011" s="23"/>
      <c r="AS1011" s="23"/>
      <c r="AT1011" s="23"/>
      <c r="AU1011" s="23"/>
      <c r="AV1011" s="23"/>
    </row>
    <row r="1012" spans="1:48" ht="25.15" hidden="1" customHeight="1" thickBot="1">
      <c r="A1012" s="106"/>
      <c r="B1012" s="93"/>
      <c r="C1012" s="94"/>
      <c r="D1012" s="95" t="s">
        <v>111</v>
      </c>
      <c r="E1012" s="1109">
        <f>IF(E1011="O/H",E1007,0+E1007)</f>
        <v>0</v>
      </c>
      <c r="F1012" s="1110">
        <f t="shared" ref="F1012:AI1012" si="1838">IF(F1011="O/H",F1007,+E1012+F1007)</f>
        <v>0</v>
      </c>
      <c r="G1012" s="1212">
        <f t="shared" si="1838"/>
        <v>0</v>
      </c>
      <c r="H1012" s="1110">
        <f t="shared" si="1838"/>
        <v>0</v>
      </c>
      <c r="I1012" s="1110">
        <f t="shared" si="1838"/>
        <v>0</v>
      </c>
      <c r="J1012" s="1212">
        <f t="shared" si="1838"/>
        <v>0</v>
      </c>
      <c r="K1012" s="1212">
        <f t="shared" si="1838"/>
        <v>0</v>
      </c>
      <c r="L1012" s="1110">
        <f t="shared" si="1838"/>
        <v>0</v>
      </c>
      <c r="M1012" s="1110">
        <f t="shared" si="1838"/>
        <v>0</v>
      </c>
      <c r="N1012" s="1110">
        <f t="shared" si="1838"/>
        <v>0</v>
      </c>
      <c r="O1012" s="1110">
        <f t="shared" si="1838"/>
        <v>0</v>
      </c>
      <c r="P1012" s="1110">
        <f t="shared" si="1838"/>
        <v>0</v>
      </c>
      <c r="Q1012" s="1212">
        <f t="shared" si="1838"/>
        <v>0</v>
      </c>
      <c r="R1012" s="1212">
        <f t="shared" si="1838"/>
        <v>0</v>
      </c>
      <c r="S1012" s="1110">
        <f t="shared" si="1838"/>
        <v>0</v>
      </c>
      <c r="T1012" s="1110">
        <f t="shared" si="1838"/>
        <v>0</v>
      </c>
      <c r="U1012" s="1110">
        <f t="shared" si="1838"/>
        <v>0</v>
      </c>
      <c r="V1012" s="1110">
        <f t="shared" si="1838"/>
        <v>0</v>
      </c>
      <c r="W1012" s="1110">
        <f t="shared" si="1838"/>
        <v>0</v>
      </c>
      <c r="X1012" s="1212">
        <f t="shared" si="1838"/>
        <v>0</v>
      </c>
      <c r="Y1012" s="1212">
        <f t="shared" si="1838"/>
        <v>0</v>
      </c>
      <c r="Z1012" s="1110">
        <f t="shared" si="1838"/>
        <v>0</v>
      </c>
      <c r="AA1012" s="1110">
        <f t="shared" si="1838"/>
        <v>0</v>
      </c>
      <c r="AB1012" s="1110">
        <f t="shared" si="1838"/>
        <v>0</v>
      </c>
      <c r="AC1012" s="1110">
        <f t="shared" si="1838"/>
        <v>0</v>
      </c>
      <c r="AD1012" s="1110">
        <f t="shared" si="1838"/>
        <v>0</v>
      </c>
      <c r="AE1012" s="1212">
        <f t="shared" si="1838"/>
        <v>0</v>
      </c>
      <c r="AF1012" s="1212">
        <f t="shared" si="1838"/>
        <v>0</v>
      </c>
      <c r="AG1012" s="1110">
        <f t="shared" si="1838"/>
        <v>0</v>
      </c>
      <c r="AH1012" s="1110">
        <f t="shared" si="1838"/>
        <v>0</v>
      </c>
      <c r="AI1012" s="1340">
        <f t="shared" si="1838"/>
        <v>0</v>
      </c>
      <c r="AJ1012" s="96"/>
      <c r="AK1012" s="96"/>
      <c r="AL1012" s="97"/>
      <c r="AM1012" s="1071"/>
      <c r="AN1012" s="98"/>
      <c r="AO1012" s="625"/>
      <c r="AP1012" s="23"/>
      <c r="AQ1012" s="23"/>
      <c r="AR1012" s="23"/>
      <c r="AS1012" s="23"/>
      <c r="AT1012" s="23"/>
      <c r="AU1012" s="23"/>
      <c r="AV1012" s="23"/>
    </row>
    <row r="1013" spans="1:48" ht="25.15" hidden="1" customHeight="1" thickTop="1">
      <c r="A1013" s="99"/>
      <c r="B1013" s="26" t="s">
        <v>222</v>
      </c>
      <c r="C1013" s="27"/>
      <c r="D1013" s="28" t="s">
        <v>82</v>
      </c>
      <c r="E1013" s="1111"/>
      <c r="F1013" s="1111"/>
      <c r="G1013" s="1201"/>
      <c r="H1013" s="1111"/>
      <c r="I1013" s="1111"/>
      <c r="J1013" s="1201"/>
      <c r="K1013" s="1201"/>
      <c r="L1013" s="1111"/>
      <c r="M1013" s="1111"/>
      <c r="N1013" s="1111"/>
      <c r="O1013" s="1111"/>
      <c r="P1013" s="1111"/>
      <c r="Q1013" s="1201"/>
      <c r="R1013" s="1201"/>
      <c r="S1013" s="1111"/>
      <c r="T1013" s="1111"/>
      <c r="U1013" s="1111"/>
      <c r="V1013" s="1111"/>
      <c r="W1013" s="1111"/>
      <c r="X1013" s="1201"/>
      <c r="Y1013" s="1201"/>
      <c r="Z1013" s="1111"/>
      <c r="AA1013" s="1111"/>
      <c r="AB1013" s="1111"/>
      <c r="AC1013" s="1111"/>
      <c r="AD1013" s="1111"/>
      <c r="AE1013" s="1201"/>
      <c r="AF1013" s="1201"/>
      <c r="AG1013" s="1111"/>
      <c r="AH1013" s="1111"/>
      <c r="AI1013" s="1111"/>
      <c r="AJ1013" s="100">
        <f>SUM(Table75[[#This Row],[June''2026]:[Column27]])</f>
        <v>0</v>
      </c>
      <c r="AK1013" s="1078">
        <f t="shared" si="1768"/>
        <v>0</v>
      </c>
      <c r="AL1013" s="101">
        <f>+AJ1013*AN1013</f>
        <v>0</v>
      </c>
      <c r="AM1013" s="1079">
        <f t="shared" si="1765"/>
        <v>0</v>
      </c>
      <c r="AN1013" s="102"/>
      <c r="AO1013" s="622" t="e">
        <f>Table5[[#This Row],[Total]]*B1017/1000</f>
        <v>#VALUE!</v>
      </c>
      <c r="AP1013" s="32" t="s">
        <v>193</v>
      </c>
      <c r="AQ1013" s="33" t="s">
        <v>84</v>
      </c>
      <c r="AR1013" s="33" t="s">
        <v>85</v>
      </c>
      <c r="AS1013" s="33" t="s">
        <v>86</v>
      </c>
      <c r="AT1013" s="33" t="s">
        <v>87</v>
      </c>
      <c r="AU1013" s="33" t="s">
        <v>88</v>
      </c>
      <c r="AV1013" s="34" t="s">
        <v>68</v>
      </c>
    </row>
    <row r="1014" spans="1:48" ht="25.15" hidden="1" customHeight="1">
      <c r="A1014" s="103"/>
      <c r="B1014" s="35" t="s">
        <v>114</v>
      </c>
      <c r="C1014" s="36"/>
      <c r="D1014" s="37" t="s">
        <v>90</v>
      </c>
      <c r="E1014" s="1373">
        <f>IF(E1013="",0,+ E1013/E1020)</f>
        <v>0</v>
      </c>
      <c r="F1014" s="1096">
        <f t="shared" ref="F1014:AI1014" si="1839">IF(F1013="",0, E1014+F1013/F1020)</f>
        <v>0</v>
      </c>
      <c r="G1014" s="1207">
        <f t="shared" si="1839"/>
        <v>0</v>
      </c>
      <c r="H1014" s="1096">
        <f t="shared" si="1839"/>
        <v>0</v>
      </c>
      <c r="I1014" s="1096">
        <f t="shared" si="1839"/>
        <v>0</v>
      </c>
      <c r="J1014" s="1207">
        <f t="shared" si="1839"/>
        <v>0</v>
      </c>
      <c r="K1014" s="1207">
        <f t="shared" si="1839"/>
        <v>0</v>
      </c>
      <c r="L1014" s="1096">
        <f t="shared" si="1839"/>
        <v>0</v>
      </c>
      <c r="M1014" s="1096">
        <f t="shared" si="1839"/>
        <v>0</v>
      </c>
      <c r="N1014" s="1096">
        <f t="shared" si="1839"/>
        <v>0</v>
      </c>
      <c r="O1014" s="1096">
        <f t="shared" si="1839"/>
        <v>0</v>
      </c>
      <c r="P1014" s="1096">
        <f t="shared" si="1839"/>
        <v>0</v>
      </c>
      <c r="Q1014" s="1207">
        <f t="shared" si="1839"/>
        <v>0</v>
      </c>
      <c r="R1014" s="1207">
        <f t="shared" si="1839"/>
        <v>0</v>
      </c>
      <c r="S1014" s="1096">
        <f t="shared" si="1839"/>
        <v>0</v>
      </c>
      <c r="T1014" s="1096">
        <f t="shared" si="1839"/>
        <v>0</v>
      </c>
      <c r="U1014" s="1096">
        <f t="shared" si="1839"/>
        <v>0</v>
      </c>
      <c r="V1014" s="1096">
        <f t="shared" si="1839"/>
        <v>0</v>
      </c>
      <c r="W1014" s="1096">
        <f t="shared" si="1839"/>
        <v>0</v>
      </c>
      <c r="X1014" s="1207">
        <f t="shared" si="1839"/>
        <v>0</v>
      </c>
      <c r="Y1014" s="1207">
        <f t="shared" si="1839"/>
        <v>0</v>
      </c>
      <c r="Z1014" s="1096">
        <f t="shared" si="1839"/>
        <v>0</v>
      </c>
      <c r="AA1014" s="1096">
        <f t="shared" si="1839"/>
        <v>0</v>
      </c>
      <c r="AB1014" s="1096">
        <f t="shared" si="1839"/>
        <v>0</v>
      </c>
      <c r="AC1014" s="1096">
        <f t="shared" si="1839"/>
        <v>0</v>
      </c>
      <c r="AD1014" s="1096">
        <f t="shared" si="1839"/>
        <v>0</v>
      </c>
      <c r="AE1014" s="1207">
        <f t="shared" si="1839"/>
        <v>0</v>
      </c>
      <c r="AF1014" s="1207">
        <f t="shared" si="1839"/>
        <v>0</v>
      </c>
      <c r="AG1014" s="1096">
        <f t="shared" si="1839"/>
        <v>0</v>
      </c>
      <c r="AH1014" s="1096">
        <f t="shared" si="1839"/>
        <v>0</v>
      </c>
      <c r="AI1014" s="1324">
        <f t="shared" si="1839"/>
        <v>0</v>
      </c>
      <c r="AJ1014" s="38"/>
      <c r="AK1014" s="29"/>
      <c r="AL1014" s="30"/>
      <c r="AM1014" s="694"/>
      <c r="AN1014" s="31"/>
      <c r="AO1014" s="630"/>
      <c r="AP1014" s="39" t="s">
        <v>91</v>
      </c>
      <c r="AQ1014" s="40">
        <f>SUM(E1013:I1013)</f>
        <v>0</v>
      </c>
      <c r="AR1014" s="41">
        <f>SUM(J1013:P1013)</f>
        <v>0</v>
      </c>
      <c r="AS1014" s="41">
        <f>SUM(Q1013:W1013)</f>
        <v>0</v>
      </c>
      <c r="AT1014" s="41">
        <f>SUM(X1013:AD1013)</f>
        <v>0</v>
      </c>
      <c r="AU1014" s="41">
        <f>SUM(AE1013:AI1013)</f>
        <v>0</v>
      </c>
      <c r="AV1014" s="34">
        <f t="shared" ref="AV1014:AV1019" si="1840">SUM(AQ1014:AU1014)</f>
        <v>0</v>
      </c>
    </row>
    <row r="1015" spans="1:48" ht="25.15" hidden="1" customHeight="1">
      <c r="A1015" s="103"/>
      <c r="B1015" s="26" t="s">
        <v>92</v>
      </c>
      <c r="C1015" s="42"/>
      <c r="D1015" s="43" t="s">
        <v>93</v>
      </c>
      <c r="E1015" s="1108"/>
      <c r="F1015" s="1089"/>
      <c r="G1015" s="44"/>
      <c r="H1015" s="1089"/>
      <c r="I1015" s="1089"/>
      <c r="J1015" s="44"/>
      <c r="K1015" s="44"/>
      <c r="L1015" s="1089"/>
      <c r="M1015" s="1089"/>
      <c r="N1015" s="1089"/>
      <c r="O1015" s="1089"/>
      <c r="P1015" s="1089"/>
      <c r="Q1015" s="44"/>
      <c r="R1015" s="44"/>
      <c r="S1015" s="1089"/>
      <c r="T1015" s="1089"/>
      <c r="U1015" s="1089"/>
      <c r="V1015" s="1089"/>
      <c r="W1015" s="1089"/>
      <c r="X1015" s="44"/>
      <c r="Y1015" s="44"/>
      <c r="Z1015" s="1089"/>
      <c r="AA1015" s="1089"/>
      <c r="AB1015" s="1089"/>
      <c r="AC1015" s="1089"/>
      <c r="AD1015" s="1089"/>
      <c r="AE1015" s="44"/>
      <c r="AF1015" s="44"/>
      <c r="AG1015" s="1089"/>
      <c r="AH1015" s="1089"/>
      <c r="AI1015" s="1326"/>
      <c r="AJ1015" s="45">
        <f>SUM(E1015:AI1015)</f>
        <v>0</v>
      </c>
      <c r="AK1015" s="45"/>
      <c r="AL1015" s="46">
        <f>+AJ1015*AN1013</f>
        <v>0</v>
      </c>
      <c r="AM1015" s="1066"/>
      <c r="AN1015" s="31"/>
      <c r="AO1015" s="632">
        <f>(AJ1015+AJ1017+AJ1018+AJ1019)*B1017/1000</f>
        <v>0</v>
      </c>
      <c r="AP1015" s="47" t="s">
        <v>94</v>
      </c>
      <c r="AQ1015" s="48">
        <f>SUM(E1015:I1015)</f>
        <v>0</v>
      </c>
      <c r="AR1015" s="49">
        <f>SUM(J1015:P1015)</f>
        <v>0</v>
      </c>
      <c r="AS1015" s="49">
        <f>SUM(Q1015:W1015)</f>
        <v>0</v>
      </c>
      <c r="AT1015" s="49">
        <f>SUM(X1015:AD1015)</f>
        <v>0</v>
      </c>
      <c r="AU1015" s="49">
        <f>SUM(AE1015:AI1015)</f>
        <v>0</v>
      </c>
      <c r="AV1015" s="50">
        <f t="shared" si="1840"/>
        <v>0</v>
      </c>
    </row>
    <row r="1016" spans="1:48" ht="25.15" hidden="1" customHeight="1">
      <c r="A1016" s="103"/>
      <c r="B1016" s="51"/>
      <c r="C1016" s="52" t="s">
        <v>95</v>
      </c>
      <c r="D1016" s="53" t="s">
        <v>96</v>
      </c>
      <c r="E1016" s="1327">
        <f t="shared" ref="E1016:AJ1016" si="1841">+E1015-E1013</f>
        <v>0</v>
      </c>
      <c r="F1016" s="1097">
        <f t="shared" si="1841"/>
        <v>0</v>
      </c>
      <c r="G1016" s="1205">
        <f t="shared" si="1841"/>
        <v>0</v>
      </c>
      <c r="H1016" s="1097">
        <f t="shared" si="1841"/>
        <v>0</v>
      </c>
      <c r="I1016" s="1097">
        <f t="shared" si="1841"/>
        <v>0</v>
      </c>
      <c r="J1016" s="1205">
        <f t="shared" si="1841"/>
        <v>0</v>
      </c>
      <c r="K1016" s="1205">
        <f t="shared" si="1841"/>
        <v>0</v>
      </c>
      <c r="L1016" s="1097">
        <f t="shared" si="1841"/>
        <v>0</v>
      </c>
      <c r="M1016" s="1097">
        <f t="shared" si="1841"/>
        <v>0</v>
      </c>
      <c r="N1016" s="1097">
        <f t="shared" si="1841"/>
        <v>0</v>
      </c>
      <c r="O1016" s="1097">
        <f t="shared" si="1841"/>
        <v>0</v>
      </c>
      <c r="P1016" s="1097">
        <f t="shared" si="1841"/>
        <v>0</v>
      </c>
      <c r="Q1016" s="1205">
        <f t="shared" si="1841"/>
        <v>0</v>
      </c>
      <c r="R1016" s="1205">
        <f t="shared" si="1841"/>
        <v>0</v>
      </c>
      <c r="S1016" s="1097">
        <f t="shared" si="1841"/>
        <v>0</v>
      </c>
      <c r="T1016" s="1097">
        <f t="shared" si="1841"/>
        <v>0</v>
      </c>
      <c r="U1016" s="1097">
        <f>+U1015-U1013</f>
        <v>0</v>
      </c>
      <c r="V1016" s="1097">
        <f t="shared" ref="V1016" si="1842">+V1015-V1013</f>
        <v>0</v>
      </c>
      <c r="W1016" s="1097">
        <f t="shared" si="1841"/>
        <v>0</v>
      </c>
      <c r="X1016" s="1205">
        <f t="shared" si="1841"/>
        <v>0</v>
      </c>
      <c r="Y1016" s="1205">
        <f t="shared" si="1841"/>
        <v>0</v>
      </c>
      <c r="Z1016" s="1097">
        <f t="shared" si="1841"/>
        <v>0</v>
      </c>
      <c r="AA1016" s="1097">
        <f t="shared" si="1841"/>
        <v>0</v>
      </c>
      <c r="AB1016" s="1097">
        <f t="shared" si="1841"/>
        <v>0</v>
      </c>
      <c r="AC1016" s="1097">
        <f t="shared" si="1841"/>
        <v>0</v>
      </c>
      <c r="AD1016" s="1097">
        <f t="shared" si="1841"/>
        <v>0</v>
      </c>
      <c r="AE1016" s="1205">
        <f t="shared" si="1841"/>
        <v>0</v>
      </c>
      <c r="AF1016" s="1205">
        <f t="shared" si="1841"/>
        <v>0</v>
      </c>
      <c r="AG1016" s="1097">
        <f t="shared" si="1841"/>
        <v>0</v>
      </c>
      <c r="AH1016" s="1097">
        <f t="shared" si="1841"/>
        <v>0</v>
      </c>
      <c r="AI1016" s="1328">
        <f t="shared" si="1841"/>
        <v>0</v>
      </c>
      <c r="AJ1016" s="54">
        <f t="shared" si="1841"/>
        <v>0</v>
      </c>
      <c r="AK1016" s="54"/>
      <c r="AL1016" s="55">
        <f>+AJ1016*AN1013</f>
        <v>0</v>
      </c>
      <c r="AM1016" s="1067"/>
      <c r="AN1016" s="31" t="s">
        <v>97</v>
      </c>
      <c r="AO1016" s="622"/>
      <c r="AP1016" s="39" t="s">
        <v>98</v>
      </c>
      <c r="AQ1016" s="56">
        <f>AQ1015-AQ1014</f>
        <v>0</v>
      </c>
      <c r="AR1016" s="70">
        <f>AR1015-AR1014</f>
        <v>0</v>
      </c>
      <c r="AS1016" s="70">
        <f>AS1015-AS1014</f>
        <v>0</v>
      </c>
      <c r="AT1016" s="70">
        <f>AT1015-AT1014</f>
        <v>0</v>
      </c>
      <c r="AU1016" s="70">
        <f>AU1015-AU1014</f>
        <v>0</v>
      </c>
      <c r="AV1016" s="57">
        <f t="shared" si="1840"/>
        <v>0</v>
      </c>
    </row>
    <row r="1017" spans="1:48" ht="25.15" hidden="1" customHeight="1">
      <c r="A1017" s="58"/>
      <c r="B1017" s="59"/>
      <c r="C1017" s="60" t="s">
        <v>100</v>
      </c>
      <c r="D1017" s="61" t="s">
        <v>101</v>
      </c>
      <c r="E1017" s="1329"/>
      <c r="F1017" s="1099"/>
      <c r="G1017" s="1208"/>
      <c r="H1017" s="1099"/>
      <c r="I1017" s="1099"/>
      <c r="J1017" s="1208"/>
      <c r="K1017" s="1208"/>
      <c r="L1017" s="1099"/>
      <c r="M1017" s="1112"/>
      <c r="N1017" s="1112"/>
      <c r="O1017" s="1099"/>
      <c r="P1017" s="1099"/>
      <c r="Q1017" s="1208"/>
      <c r="R1017" s="1213"/>
      <c r="S1017" s="1112"/>
      <c r="T1017" s="1112"/>
      <c r="U1017" s="1099"/>
      <c r="V1017" s="1112"/>
      <c r="W1017" s="1112"/>
      <c r="X1017" s="1213"/>
      <c r="Y1017" s="1213"/>
      <c r="Z1017" s="1112"/>
      <c r="AA1017" s="1112"/>
      <c r="AB1017" s="1099"/>
      <c r="AC1017" s="1112"/>
      <c r="AD1017" s="1112"/>
      <c r="AE1017" s="1213"/>
      <c r="AF1017" s="1213"/>
      <c r="AG1017" s="1112"/>
      <c r="AH1017" s="1112"/>
      <c r="AI1017" s="1330"/>
      <c r="AJ1017" s="62">
        <f>SUM(E1017:AI1017)</f>
        <v>0</v>
      </c>
      <c r="AK1017" s="62"/>
      <c r="AL1017" s="63">
        <f>+AJ1017*AN1013</f>
        <v>0</v>
      </c>
      <c r="AM1017" s="1068"/>
      <c r="AN1017" s="64" t="e">
        <f>+AJ1017/AJ1015*100</f>
        <v>#DIV/0!</v>
      </c>
      <c r="AO1017" s="635" t="e">
        <f>AO1015/AO1013</f>
        <v>#VALUE!</v>
      </c>
      <c r="AP1017" s="39" t="s">
        <v>102</v>
      </c>
      <c r="AQ1017" s="56">
        <f>SUM(E1017:I1017)</f>
        <v>0</v>
      </c>
      <c r="AR1017" s="70">
        <f>SUM(J1017:P1017)</f>
        <v>0</v>
      </c>
      <c r="AS1017" s="70">
        <f>SUM(Q1017:W1017)</f>
        <v>0</v>
      </c>
      <c r="AT1017" s="70">
        <f>SUM(X1017:AD1017)</f>
        <v>0</v>
      </c>
      <c r="AU1017" s="70">
        <f>SUM(AE1017:AI1017)</f>
        <v>0</v>
      </c>
      <c r="AV1017" s="57">
        <f t="shared" si="1840"/>
        <v>0</v>
      </c>
    </row>
    <row r="1018" spans="1:48" ht="25.15" hidden="1" customHeight="1">
      <c r="A1018" s="58" t="s">
        <v>202</v>
      </c>
      <c r="B1018" s="65"/>
      <c r="C1018" s="66"/>
      <c r="D1018" s="67" t="s">
        <v>103</v>
      </c>
      <c r="E1018" s="1331"/>
      <c r="F1018" s="1101"/>
      <c r="G1018" s="1209"/>
      <c r="H1018" s="1101"/>
      <c r="I1018" s="1101"/>
      <c r="J1018" s="1209"/>
      <c r="K1018" s="1209"/>
      <c r="L1018" s="1101"/>
      <c r="M1018" s="1101"/>
      <c r="N1018" s="1101"/>
      <c r="O1018" s="1101"/>
      <c r="P1018" s="1101"/>
      <c r="Q1018" s="1209"/>
      <c r="R1018" s="1209"/>
      <c r="S1018" s="1101"/>
      <c r="T1018" s="1101"/>
      <c r="U1018" s="1101"/>
      <c r="V1018" s="1101"/>
      <c r="W1018" s="1101"/>
      <c r="X1018" s="1209"/>
      <c r="Y1018" s="1209"/>
      <c r="Z1018" s="1101"/>
      <c r="AA1018" s="1101"/>
      <c r="AB1018" s="1101"/>
      <c r="AC1018" s="1101"/>
      <c r="AD1018" s="1101"/>
      <c r="AE1018" s="1209"/>
      <c r="AF1018" s="1209"/>
      <c r="AG1018" s="1101"/>
      <c r="AH1018" s="1101"/>
      <c r="AI1018" s="1332"/>
      <c r="AJ1018" s="68">
        <f>SUM(E1018:AI1018)</f>
        <v>0</v>
      </c>
      <c r="AK1018" s="68"/>
      <c r="AL1018" s="69">
        <f>+AJ1018*AN1013</f>
        <v>0</v>
      </c>
      <c r="AM1018" s="1069"/>
      <c r="AN1018" s="31"/>
      <c r="AO1018" s="622"/>
      <c r="AP1018" s="39" t="s">
        <v>19</v>
      </c>
      <c r="AQ1018" s="56">
        <f>AQ1017*AN1013</f>
        <v>0</v>
      </c>
      <c r="AR1018" s="56">
        <f>AR1017*AN1013</f>
        <v>0</v>
      </c>
      <c r="AS1018" s="56">
        <f>AS1017*AN1013</f>
        <v>0</v>
      </c>
      <c r="AT1018" s="56">
        <f>AT1017*AN1013</f>
        <v>0</v>
      </c>
      <c r="AU1018" s="56">
        <f>AU1017*AN1013</f>
        <v>0</v>
      </c>
      <c r="AV1018" s="57">
        <f t="shared" si="1840"/>
        <v>0</v>
      </c>
    </row>
    <row r="1019" spans="1:48" ht="25.15" hidden="1" customHeight="1">
      <c r="A1019" s="103"/>
      <c r="B1019" s="65"/>
      <c r="C1019" s="72" t="s">
        <v>104</v>
      </c>
      <c r="D1019" s="73" t="s">
        <v>105</v>
      </c>
      <c r="E1019" s="1378"/>
      <c r="F1019" s="1103"/>
      <c r="G1019" s="1210"/>
      <c r="H1019" s="1103"/>
      <c r="I1019" s="1103"/>
      <c r="J1019" s="1210"/>
      <c r="K1019" s="1210"/>
      <c r="L1019" s="1103"/>
      <c r="M1019" s="1103"/>
      <c r="N1019" s="1103"/>
      <c r="O1019" s="1103"/>
      <c r="P1019" s="1103"/>
      <c r="Q1019" s="1210"/>
      <c r="R1019" s="1210"/>
      <c r="S1019" s="1103"/>
      <c r="T1019" s="1103"/>
      <c r="U1019" s="1103"/>
      <c r="V1019" s="1103"/>
      <c r="W1019" s="1103"/>
      <c r="X1019" s="1210"/>
      <c r="Y1019" s="1210"/>
      <c r="Z1019" s="1103"/>
      <c r="AA1019" s="1103"/>
      <c r="AB1019" s="1103"/>
      <c r="AC1019" s="1103"/>
      <c r="AD1019" s="1103"/>
      <c r="AE1019" s="1210"/>
      <c r="AF1019" s="1210"/>
      <c r="AG1019" s="1103"/>
      <c r="AH1019" s="1103"/>
      <c r="AI1019" s="1352"/>
      <c r="AJ1019" s="74">
        <f>SUM(E1019:AI1019)</f>
        <v>0</v>
      </c>
      <c r="AK1019" s="74"/>
      <c r="AL1019" s="75">
        <f>+AJ1019*AN1013</f>
        <v>0</v>
      </c>
      <c r="AM1019" s="1070"/>
      <c r="AN1019" s="76"/>
      <c r="AO1019" s="636"/>
      <c r="AP1019" s="47" t="s">
        <v>106</v>
      </c>
      <c r="AQ1019" s="48">
        <f>AQ1015*AN1013</f>
        <v>0</v>
      </c>
      <c r="AR1019" s="48">
        <f>AR1015*AN1013</f>
        <v>0</v>
      </c>
      <c r="AS1019" s="48">
        <f>AS1015*AN1013</f>
        <v>0</v>
      </c>
      <c r="AT1019" s="48">
        <f>AT1015*AN1013</f>
        <v>0</v>
      </c>
      <c r="AU1019" s="48">
        <f>AU1015*AN1013</f>
        <v>0</v>
      </c>
      <c r="AV1019" s="50">
        <f t="shared" si="1840"/>
        <v>0</v>
      </c>
    </row>
    <row r="1020" spans="1:48" ht="25.15" hidden="1" customHeight="1">
      <c r="A1020" s="103"/>
      <c r="B1020" s="65"/>
      <c r="C1020" s="77">
        <v>300000</v>
      </c>
      <c r="D1020" s="78" t="s">
        <v>107</v>
      </c>
      <c r="E1020" s="1327">
        <v>1</v>
      </c>
      <c r="F1020" s="1097">
        <v>1</v>
      </c>
      <c r="G1020" s="1205">
        <v>1</v>
      </c>
      <c r="H1020" s="1097">
        <v>1</v>
      </c>
      <c r="I1020" s="1097">
        <v>1</v>
      </c>
      <c r="J1020" s="1205">
        <v>1</v>
      </c>
      <c r="K1020" s="1205">
        <v>1</v>
      </c>
      <c r="L1020" s="1097">
        <v>1</v>
      </c>
      <c r="M1020" s="1097">
        <v>1</v>
      </c>
      <c r="N1020" s="1097">
        <v>1</v>
      </c>
      <c r="O1020" s="1097">
        <v>1</v>
      </c>
      <c r="P1020" s="1097">
        <v>1</v>
      </c>
      <c r="Q1020" s="1205">
        <v>1</v>
      </c>
      <c r="R1020" s="1205">
        <v>1</v>
      </c>
      <c r="S1020" s="1097">
        <v>1</v>
      </c>
      <c r="T1020" s="1097">
        <v>1</v>
      </c>
      <c r="U1020" s="1097">
        <v>1</v>
      </c>
      <c r="V1020" s="1097">
        <v>1</v>
      </c>
      <c r="W1020" s="1097">
        <v>1</v>
      </c>
      <c r="X1020" s="1205">
        <v>1</v>
      </c>
      <c r="Y1020" s="1205">
        <v>1</v>
      </c>
      <c r="Z1020" s="1097">
        <v>1</v>
      </c>
      <c r="AA1020" s="1097">
        <v>1</v>
      </c>
      <c r="AB1020" s="1097">
        <v>1</v>
      </c>
      <c r="AC1020" s="1097">
        <v>1</v>
      </c>
      <c r="AD1020" s="1097">
        <v>1</v>
      </c>
      <c r="AE1020" s="1205">
        <v>1</v>
      </c>
      <c r="AF1020" s="1205">
        <v>1</v>
      </c>
      <c r="AG1020" s="1097">
        <v>1</v>
      </c>
      <c r="AH1020" s="1097">
        <v>1</v>
      </c>
      <c r="AI1020" s="1328">
        <v>1</v>
      </c>
      <c r="AJ1020" s="79"/>
      <c r="AK1020" s="79"/>
      <c r="AL1020" s="55"/>
      <c r="AM1020" s="1067"/>
      <c r="AN1020" s="31"/>
      <c r="AO1020" s="622"/>
      <c r="AP1020" s="23"/>
      <c r="AQ1020" s="23"/>
      <c r="AR1020" s="23"/>
      <c r="AS1020" s="23"/>
      <c r="AT1020" s="23"/>
      <c r="AU1020" s="23"/>
      <c r="AV1020" s="23"/>
    </row>
    <row r="1021" spans="1:48" ht="25.15" hidden="1" customHeight="1">
      <c r="A1021" s="103"/>
      <c r="B1021" s="65"/>
      <c r="C1021" s="80" t="s">
        <v>108</v>
      </c>
      <c r="D1021" s="81" t="s">
        <v>109</v>
      </c>
      <c r="E1021" s="1374">
        <f>SUM(E1015+E1017+E1018+E1019)/E1020</f>
        <v>0</v>
      </c>
      <c r="F1021" s="1104">
        <f>SUM(F1015+F1017+F1018+F1019)/F1020</f>
        <v>0</v>
      </c>
      <c r="G1021" s="1211">
        <f>SUM(G1015+G1017+G1018+G1019)/G1020</f>
        <v>0</v>
      </c>
      <c r="H1021" s="1104">
        <f t="shared" ref="H1021:AH1021" si="1843">SUM(H1015+H1017+H1018+H1019)/H1020</f>
        <v>0</v>
      </c>
      <c r="I1021" s="1104">
        <f t="shared" si="1843"/>
        <v>0</v>
      </c>
      <c r="J1021" s="1211">
        <f t="shared" si="1843"/>
        <v>0</v>
      </c>
      <c r="K1021" s="1211">
        <f t="shared" si="1843"/>
        <v>0</v>
      </c>
      <c r="L1021" s="1104">
        <f t="shared" si="1843"/>
        <v>0</v>
      </c>
      <c r="M1021" s="1104">
        <f t="shared" si="1843"/>
        <v>0</v>
      </c>
      <c r="N1021" s="1104">
        <f t="shared" si="1843"/>
        <v>0</v>
      </c>
      <c r="O1021" s="1104">
        <f t="shared" si="1843"/>
        <v>0</v>
      </c>
      <c r="P1021" s="1104">
        <f t="shared" si="1843"/>
        <v>0</v>
      </c>
      <c r="Q1021" s="1211">
        <f t="shared" si="1843"/>
        <v>0</v>
      </c>
      <c r="R1021" s="1211">
        <f t="shared" si="1843"/>
        <v>0</v>
      </c>
      <c r="S1021" s="1104">
        <f t="shared" si="1843"/>
        <v>0</v>
      </c>
      <c r="T1021" s="1104">
        <f t="shared" si="1843"/>
        <v>0</v>
      </c>
      <c r="U1021" s="1104">
        <f t="shared" si="1843"/>
        <v>0</v>
      </c>
      <c r="V1021" s="1104">
        <f t="shared" si="1843"/>
        <v>0</v>
      </c>
      <c r="W1021" s="1104">
        <f t="shared" si="1843"/>
        <v>0</v>
      </c>
      <c r="X1021" s="1211">
        <f t="shared" si="1843"/>
        <v>0</v>
      </c>
      <c r="Y1021" s="1211">
        <f t="shared" si="1843"/>
        <v>0</v>
      </c>
      <c r="Z1021" s="1104">
        <f t="shared" si="1843"/>
        <v>0</v>
      </c>
      <c r="AA1021" s="1104">
        <f t="shared" si="1843"/>
        <v>0</v>
      </c>
      <c r="AB1021" s="1104">
        <f t="shared" si="1843"/>
        <v>0</v>
      </c>
      <c r="AC1021" s="1104">
        <f t="shared" si="1843"/>
        <v>0</v>
      </c>
      <c r="AD1021" s="1104">
        <f t="shared" si="1843"/>
        <v>0</v>
      </c>
      <c r="AE1021" s="1211">
        <f t="shared" si="1843"/>
        <v>0</v>
      </c>
      <c r="AF1021" s="1211">
        <f t="shared" si="1843"/>
        <v>0</v>
      </c>
      <c r="AG1021" s="1104">
        <f t="shared" si="1843"/>
        <v>0</v>
      </c>
      <c r="AH1021" s="1104">
        <f t="shared" si="1843"/>
        <v>0</v>
      </c>
      <c r="AI1021" s="1335">
        <f>SUM(AI1015+AI1017+AI1018)/AI1020</f>
        <v>0</v>
      </c>
      <c r="AJ1021" s="104">
        <f>SUM(E1021:AI1021)</f>
        <v>0</v>
      </c>
      <c r="AK1021" s="104"/>
      <c r="AL1021" s="83"/>
      <c r="AM1021" s="1068"/>
      <c r="AN1021" s="31"/>
      <c r="AO1021" s="622"/>
      <c r="AP1021" s="23"/>
      <c r="AQ1021" s="23"/>
      <c r="AR1021" s="23"/>
      <c r="AS1021" s="23"/>
      <c r="AT1021" s="23"/>
      <c r="AU1021" s="23"/>
      <c r="AV1021" s="23"/>
    </row>
    <row r="1022" spans="1:48" ht="25.15" hidden="1" customHeight="1">
      <c r="A1022" s="103"/>
      <c r="B1022" s="59"/>
      <c r="C1022" s="84">
        <f>+C1020*0.8</f>
        <v>240000</v>
      </c>
      <c r="D1022" s="85" t="s">
        <v>110</v>
      </c>
      <c r="E1022" s="1105"/>
      <c r="F1022" s="1106"/>
      <c r="G1022" s="1211"/>
      <c r="H1022" s="1104"/>
      <c r="I1022" s="1104"/>
      <c r="J1022" s="1211"/>
      <c r="K1022" s="1211"/>
      <c r="L1022" s="1104"/>
      <c r="M1022" s="1104"/>
      <c r="N1022" s="1104"/>
      <c r="O1022" s="1107"/>
      <c r="P1022" s="1104"/>
      <c r="Q1022" s="1211"/>
      <c r="R1022" s="1211"/>
      <c r="S1022" s="1104"/>
      <c r="T1022" s="1104"/>
      <c r="U1022" s="1104"/>
      <c r="V1022" s="1104"/>
      <c r="W1022" s="1104"/>
      <c r="X1022" s="1211"/>
      <c r="Y1022" s="1211"/>
      <c r="Z1022" s="1104"/>
      <c r="AA1022" s="1104"/>
      <c r="AB1022" s="1104"/>
      <c r="AC1022" s="1104"/>
      <c r="AD1022" s="1104"/>
      <c r="AE1022" s="1211"/>
      <c r="AF1022" s="1211"/>
      <c r="AG1022" s="1104"/>
      <c r="AH1022" s="1104"/>
      <c r="AI1022" s="1353"/>
      <c r="AJ1022" s="86"/>
      <c r="AK1022" s="86"/>
      <c r="AL1022" s="690"/>
      <c r="AM1022" s="694"/>
      <c r="AN1022" s="31"/>
      <c r="AO1022" s="622"/>
      <c r="AP1022" s="23"/>
      <c r="AQ1022" s="23"/>
      <c r="AR1022" s="23"/>
      <c r="AS1022" s="23"/>
      <c r="AT1022" s="23"/>
      <c r="AU1022" s="23"/>
      <c r="AV1022" s="23"/>
    </row>
    <row r="1023" spans="1:48" ht="25.15" hidden="1" customHeight="1">
      <c r="A1023" s="103"/>
      <c r="B1023" s="105"/>
      <c r="C1023" s="77"/>
      <c r="D1023" s="88" t="s">
        <v>111</v>
      </c>
      <c r="E1023" s="1108">
        <f>IF(E1022="O/H",E1021,0+E1021)</f>
        <v>0</v>
      </c>
      <c r="F1023" s="1089">
        <f t="shared" ref="F1023:AI1023" si="1844">IF(F1022="O/H",F1021,+E1023+F1021)</f>
        <v>0</v>
      </c>
      <c r="G1023" s="44">
        <f t="shared" si="1844"/>
        <v>0</v>
      </c>
      <c r="H1023" s="1089">
        <f t="shared" si="1844"/>
        <v>0</v>
      </c>
      <c r="I1023" s="1089">
        <f t="shared" si="1844"/>
        <v>0</v>
      </c>
      <c r="J1023" s="44">
        <f t="shared" si="1844"/>
        <v>0</v>
      </c>
      <c r="K1023" s="44">
        <f t="shared" si="1844"/>
        <v>0</v>
      </c>
      <c r="L1023" s="1089">
        <f t="shared" si="1844"/>
        <v>0</v>
      </c>
      <c r="M1023" s="1089">
        <f t="shared" si="1844"/>
        <v>0</v>
      </c>
      <c r="N1023" s="1089">
        <f t="shared" si="1844"/>
        <v>0</v>
      </c>
      <c r="O1023" s="1089">
        <f t="shared" si="1844"/>
        <v>0</v>
      </c>
      <c r="P1023" s="1089">
        <f t="shared" si="1844"/>
        <v>0</v>
      </c>
      <c r="Q1023" s="44">
        <f t="shared" si="1844"/>
        <v>0</v>
      </c>
      <c r="R1023" s="44">
        <f t="shared" si="1844"/>
        <v>0</v>
      </c>
      <c r="S1023" s="1089">
        <f t="shared" si="1844"/>
        <v>0</v>
      </c>
      <c r="T1023" s="1089">
        <f t="shared" si="1844"/>
        <v>0</v>
      </c>
      <c r="U1023" s="1089">
        <f t="shared" si="1844"/>
        <v>0</v>
      </c>
      <c r="V1023" s="1089">
        <f t="shared" si="1844"/>
        <v>0</v>
      </c>
      <c r="W1023" s="1089">
        <f t="shared" si="1844"/>
        <v>0</v>
      </c>
      <c r="X1023" s="44">
        <f t="shared" si="1844"/>
        <v>0</v>
      </c>
      <c r="Y1023" s="44">
        <f t="shared" si="1844"/>
        <v>0</v>
      </c>
      <c r="Z1023" s="1089">
        <f t="shared" si="1844"/>
        <v>0</v>
      </c>
      <c r="AA1023" s="1089">
        <f t="shared" si="1844"/>
        <v>0</v>
      </c>
      <c r="AB1023" s="1089">
        <f t="shared" si="1844"/>
        <v>0</v>
      </c>
      <c r="AC1023" s="1089">
        <f t="shared" si="1844"/>
        <v>0</v>
      </c>
      <c r="AD1023" s="1089">
        <f t="shared" si="1844"/>
        <v>0</v>
      </c>
      <c r="AE1023" s="44">
        <f t="shared" si="1844"/>
        <v>0</v>
      </c>
      <c r="AF1023" s="44">
        <f t="shared" si="1844"/>
        <v>0</v>
      </c>
      <c r="AG1023" s="1089">
        <f t="shared" si="1844"/>
        <v>0</v>
      </c>
      <c r="AH1023" s="1089">
        <f t="shared" si="1844"/>
        <v>0</v>
      </c>
      <c r="AI1023" s="1326">
        <f t="shared" si="1844"/>
        <v>0</v>
      </c>
      <c r="AJ1023" s="79"/>
      <c r="AK1023" s="86"/>
      <c r="AL1023" s="689"/>
      <c r="AM1023" s="694"/>
      <c r="AN1023" s="31"/>
      <c r="AO1023" s="622"/>
      <c r="AP1023" s="23"/>
      <c r="AQ1023" s="23"/>
      <c r="AR1023" s="23"/>
      <c r="AS1023" s="23"/>
      <c r="AT1023" s="23"/>
      <c r="AU1023" s="23"/>
      <c r="AV1023" s="23"/>
    </row>
    <row r="1024" spans="1:48" ht="25.15" hidden="1" customHeight="1">
      <c r="A1024" s="103"/>
      <c r="B1024" s="89"/>
      <c r="C1024" s="80"/>
      <c r="D1024" s="90" t="s">
        <v>104</v>
      </c>
      <c r="E1024" s="1108"/>
      <c r="F1024" s="1089"/>
      <c r="G1024" s="44"/>
      <c r="H1024" s="1089"/>
      <c r="I1024" s="1089"/>
      <c r="J1024" s="44"/>
      <c r="K1024" s="44"/>
      <c r="L1024" s="1089"/>
      <c r="M1024" s="1089"/>
      <c r="N1024" s="1089"/>
      <c r="O1024" s="1089"/>
      <c r="P1024" s="1089"/>
      <c r="Q1024" s="44"/>
      <c r="R1024" s="44"/>
      <c r="S1024" s="1089"/>
      <c r="T1024" s="1089"/>
      <c r="U1024" s="1089"/>
      <c r="V1024" s="1089"/>
      <c r="W1024" s="1089"/>
      <c r="X1024" s="44"/>
      <c r="Y1024" s="44"/>
      <c r="Z1024" s="1089"/>
      <c r="AA1024" s="1089"/>
      <c r="AB1024" s="1089"/>
      <c r="AC1024" s="1089"/>
      <c r="AD1024" s="1089"/>
      <c r="AE1024" s="44"/>
      <c r="AF1024" s="44"/>
      <c r="AG1024" s="1089"/>
      <c r="AH1024" s="1089"/>
      <c r="AI1024" s="1326"/>
      <c r="AJ1024" s="79"/>
      <c r="AK1024" s="79"/>
      <c r="AL1024" s="63"/>
      <c r="AM1024" s="1068"/>
      <c r="AN1024" s="64"/>
      <c r="AO1024" s="624"/>
      <c r="AP1024" s="23"/>
      <c r="AQ1024" s="23"/>
      <c r="AR1024" s="23"/>
      <c r="AS1024" s="23"/>
      <c r="AT1024" s="23"/>
      <c r="AU1024" s="23"/>
      <c r="AV1024" s="23"/>
    </row>
    <row r="1025" spans="1:48" ht="25.15" hidden="1" customHeight="1" thickBot="1">
      <c r="A1025" s="106"/>
      <c r="B1025" s="93"/>
      <c r="C1025" s="94"/>
      <c r="D1025" s="95" t="s">
        <v>111</v>
      </c>
      <c r="E1025" s="1109">
        <f>IF(E1024="O/H",E1021,0+E1021)</f>
        <v>0</v>
      </c>
      <c r="F1025" s="1110">
        <f t="shared" ref="F1025:AI1025" si="1845">IF(F1024="O/H",F1021,+E1025+F1021)</f>
        <v>0</v>
      </c>
      <c r="G1025" s="1212">
        <f t="shared" si="1845"/>
        <v>0</v>
      </c>
      <c r="H1025" s="1110">
        <f t="shared" si="1845"/>
        <v>0</v>
      </c>
      <c r="I1025" s="1110">
        <f t="shared" si="1845"/>
        <v>0</v>
      </c>
      <c r="J1025" s="1212">
        <f t="shared" si="1845"/>
        <v>0</v>
      </c>
      <c r="K1025" s="1212">
        <f t="shared" si="1845"/>
        <v>0</v>
      </c>
      <c r="L1025" s="1110">
        <f t="shared" si="1845"/>
        <v>0</v>
      </c>
      <c r="M1025" s="1110">
        <f t="shared" si="1845"/>
        <v>0</v>
      </c>
      <c r="N1025" s="1110">
        <f t="shared" si="1845"/>
        <v>0</v>
      </c>
      <c r="O1025" s="1110">
        <f t="shared" si="1845"/>
        <v>0</v>
      </c>
      <c r="P1025" s="1110">
        <f t="shared" si="1845"/>
        <v>0</v>
      </c>
      <c r="Q1025" s="1212">
        <f t="shared" si="1845"/>
        <v>0</v>
      </c>
      <c r="R1025" s="1212">
        <f t="shared" si="1845"/>
        <v>0</v>
      </c>
      <c r="S1025" s="1110">
        <f t="shared" si="1845"/>
        <v>0</v>
      </c>
      <c r="T1025" s="1110">
        <f t="shared" si="1845"/>
        <v>0</v>
      </c>
      <c r="U1025" s="1110">
        <f t="shared" si="1845"/>
        <v>0</v>
      </c>
      <c r="V1025" s="1110">
        <f t="shared" si="1845"/>
        <v>0</v>
      </c>
      <c r="W1025" s="1110">
        <f t="shared" si="1845"/>
        <v>0</v>
      </c>
      <c r="X1025" s="1212">
        <f t="shared" si="1845"/>
        <v>0</v>
      </c>
      <c r="Y1025" s="1212">
        <f t="shared" si="1845"/>
        <v>0</v>
      </c>
      <c r="Z1025" s="1110">
        <f t="shared" si="1845"/>
        <v>0</v>
      </c>
      <c r="AA1025" s="1110">
        <f t="shared" si="1845"/>
        <v>0</v>
      </c>
      <c r="AB1025" s="1110">
        <f t="shared" si="1845"/>
        <v>0</v>
      </c>
      <c r="AC1025" s="1110">
        <f t="shared" si="1845"/>
        <v>0</v>
      </c>
      <c r="AD1025" s="1110">
        <f t="shared" si="1845"/>
        <v>0</v>
      </c>
      <c r="AE1025" s="1212">
        <f t="shared" si="1845"/>
        <v>0</v>
      </c>
      <c r="AF1025" s="1212">
        <f t="shared" si="1845"/>
        <v>0</v>
      </c>
      <c r="AG1025" s="1110">
        <f t="shared" si="1845"/>
        <v>0</v>
      </c>
      <c r="AH1025" s="1110">
        <f t="shared" si="1845"/>
        <v>0</v>
      </c>
      <c r="AI1025" s="1340">
        <f t="shared" si="1845"/>
        <v>0</v>
      </c>
      <c r="AJ1025" s="96"/>
      <c r="AK1025" s="96"/>
      <c r="AL1025" s="97"/>
      <c r="AM1025" s="1071"/>
      <c r="AN1025" s="98"/>
      <c r="AO1025" s="625"/>
      <c r="AP1025" s="23"/>
      <c r="AQ1025" s="23"/>
      <c r="AR1025" s="23"/>
      <c r="AS1025" s="23"/>
      <c r="AT1025" s="23"/>
      <c r="AU1025" s="23"/>
      <c r="AV1025" s="23"/>
    </row>
    <row r="1026" spans="1:48" ht="25.15" hidden="1" customHeight="1" thickTop="1">
      <c r="A1026" s="99"/>
      <c r="B1026" s="26" t="s">
        <v>138</v>
      </c>
      <c r="C1026" s="27"/>
      <c r="D1026" s="28" t="s">
        <v>82</v>
      </c>
      <c r="E1026" s="1111"/>
      <c r="F1026" s="1111"/>
      <c r="G1026" s="1201"/>
      <c r="H1026" s="1111"/>
      <c r="I1026" s="1111"/>
      <c r="J1026" s="1201"/>
      <c r="K1026" s="1201"/>
      <c r="L1026" s="1111"/>
      <c r="M1026" s="1111"/>
      <c r="N1026" s="1111"/>
      <c r="O1026" s="1111"/>
      <c r="P1026" s="1111"/>
      <c r="Q1026" s="1201"/>
      <c r="R1026" s="1201"/>
      <c r="S1026" s="1111"/>
      <c r="T1026" s="1111"/>
      <c r="U1026" s="1111"/>
      <c r="V1026" s="1111"/>
      <c r="W1026" s="1111"/>
      <c r="X1026" s="1201"/>
      <c r="Y1026" s="1201"/>
      <c r="Z1026" s="1111"/>
      <c r="AA1026" s="1111"/>
      <c r="AB1026" s="1111"/>
      <c r="AC1026" s="1111"/>
      <c r="AD1026" s="1111"/>
      <c r="AE1026" s="1201"/>
      <c r="AF1026" s="1201"/>
      <c r="AG1026" s="1111"/>
      <c r="AH1026" s="1111"/>
      <c r="AI1026" s="1111"/>
      <c r="AJ1026" s="100">
        <f>SUM(Table75[[#This Row],[June''2026]:[Column27]])</f>
        <v>0</v>
      </c>
      <c r="AK1026" s="100">
        <f t="shared" si="1768"/>
        <v>0</v>
      </c>
      <c r="AL1026" s="101">
        <f>+AJ1026*AN1026</f>
        <v>0</v>
      </c>
      <c r="AM1026" s="1072">
        <f t="shared" si="1765"/>
        <v>0</v>
      </c>
      <c r="AN1026" s="102"/>
      <c r="AO1026" s="622" t="e">
        <f>Table5[[#This Row],[Total]]*B1030/1000</f>
        <v>#VALUE!</v>
      </c>
      <c r="AP1026" s="32" t="s">
        <v>193</v>
      </c>
      <c r="AQ1026" s="33" t="s">
        <v>84</v>
      </c>
      <c r="AR1026" s="33" t="s">
        <v>85</v>
      </c>
      <c r="AS1026" s="33" t="s">
        <v>86</v>
      </c>
      <c r="AT1026" s="33" t="s">
        <v>87</v>
      </c>
      <c r="AU1026" s="33" t="s">
        <v>88</v>
      </c>
      <c r="AV1026" s="34" t="s">
        <v>68</v>
      </c>
    </row>
    <row r="1027" spans="1:48" ht="25.15" hidden="1" customHeight="1">
      <c r="A1027" s="103"/>
      <c r="B1027" s="35" t="s">
        <v>139</v>
      </c>
      <c r="C1027" s="36"/>
      <c r="D1027" s="37" t="s">
        <v>90</v>
      </c>
      <c r="E1027" s="1373">
        <f>IF(E1026="",0,+ E1026/E1033)</f>
        <v>0</v>
      </c>
      <c r="F1027" s="1096">
        <f t="shared" ref="F1027:AI1027" si="1846">IF(F1026="",0, E1027+F1026/F1033)</f>
        <v>0</v>
      </c>
      <c r="G1027" s="1207">
        <f t="shared" si="1846"/>
        <v>0</v>
      </c>
      <c r="H1027" s="1096">
        <f t="shared" si="1846"/>
        <v>0</v>
      </c>
      <c r="I1027" s="1096">
        <f t="shared" si="1846"/>
        <v>0</v>
      </c>
      <c r="J1027" s="1207">
        <f t="shared" si="1846"/>
        <v>0</v>
      </c>
      <c r="K1027" s="1207">
        <f t="shared" si="1846"/>
        <v>0</v>
      </c>
      <c r="L1027" s="1096">
        <f t="shared" si="1846"/>
        <v>0</v>
      </c>
      <c r="M1027" s="1096">
        <f t="shared" si="1846"/>
        <v>0</v>
      </c>
      <c r="N1027" s="1096">
        <f t="shared" si="1846"/>
        <v>0</v>
      </c>
      <c r="O1027" s="1096">
        <f t="shared" si="1846"/>
        <v>0</v>
      </c>
      <c r="P1027" s="1096">
        <f t="shared" si="1846"/>
        <v>0</v>
      </c>
      <c r="Q1027" s="1207">
        <f t="shared" si="1846"/>
        <v>0</v>
      </c>
      <c r="R1027" s="1207">
        <f t="shared" si="1846"/>
        <v>0</v>
      </c>
      <c r="S1027" s="1096">
        <f t="shared" si="1846"/>
        <v>0</v>
      </c>
      <c r="T1027" s="1096">
        <f t="shared" si="1846"/>
        <v>0</v>
      </c>
      <c r="U1027" s="1096">
        <f t="shared" si="1846"/>
        <v>0</v>
      </c>
      <c r="V1027" s="1096">
        <f t="shared" si="1846"/>
        <v>0</v>
      </c>
      <c r="W1027" s="1096">
        <f t="shared" si="1846"/>
        <v>0</v>
      </c>
      <c r="X1027" s="1207">
        <f t="shared" si="1846"/>
        <v>0</v>
      </c>
      <c r="Y1027" s="1207">
        <f t="shared" si="1846"/>
        <v>0</v>
      </c>
      <c r="Z1027" s="1096">
        <f t="shared" si="1846"/>
        <v>0</v>
      </c>
      <c r="AA1027" s="1096">
        <f t="shared" si="1846"/>
        <v>0</v>
      </c>
      <c r="AB1027" s="1096">
        <f t="shared" si="1846"/>
        <v>0</v>
      </c>
      <c r="AC1027" s="1096">
        <f t="shared" si="1846"/>
        <v>0</v>
      </c>
      <c r="AD1027" s="1096">
        <f t="shared" si="1846"/>
        <v>0</v>
      </c>
      <c r="AE1027" s="1207">
        <f t="shared" si="1846"/>
        <v>0</v>
      </c>
      <c r="AF1027" s="1207">
        <f t="shared" si="1846"/>
        <v>0</v>
      </c>
      <c r="AG1027" s="1096">
        <f t="shared" si="1846"/>
        <v>0</v>
      </c>
      <c r="AH1027" s="1096">
        <f t="shared" si="1846"/>
        <v>0</v>
      </c>
      <c r="AI1027" s="1324">
        <f t="shared" si="1846"/>
        <v>0</v>
      </c>
      <c r="AJ1027" s="38"/>
      <c r="AK1027" s="29"/>
      <c r="AL1027" s="30"/>
      <c r="AM1027" s="694">
        <f t="shared" si="1765"/>
        <v>0</v>
      </c>
      <c r="AN1027" s="31"/>
      <c r="AO1027" s="630"/>
      <c r="AP1027" s="39" t="s">
        <v>91</v>
      </c>
      <c r="AQ1027" s="40">
        <f>SUM(E1026:I1026)</f>
        <v>0</v>
      </c>
      <c r="AR1027" s="41">
        <f>SUM(J1026:P1026)</f>
        <v>0</v>
      </c>
      <c r="AS1027" s="41">
        <f>SUM(Q1026:W1026)</f>
        <v>0</v>
      </c>
      <c r="AT1027" s="41">
        <f>SUM(X1026:AD1026)</f>
        <v>0</v>
      </c>
      <c r="AU1027" s="41">
        <f>SUM(AE1026:AI1026)</f>
        <v>0</v>
      </c>
      <c r="AV1027" s="34">
        <f t="shared" ref="AV1027:AV1032" si="1847">SUM(AQ1027:AU1027)</f>
        <v>0</v>
      </c>
    </row>
    <row r="1028" spans="1:48" ht="25.15" hidden="1" customHeight="1">
      <c r="A1028" s="103"/>
      <c r="B1028" s="26" t="s">
        <v>92</v>
      </c>
      <c r="C1028" s="42"/>
      <c r="D1028" s="43" t="s">
        <v>93</v>
      </c>
      <c r="E1028" s="1325"/>
      <c r="F1028" s="1089"/>
      <c r="G1028" s="44"/>
      <c r="H1028" s="1089"/>
      <c r="I1028" s="1089"/>
      <c r="J1028" s="44"/>
      <c r="K1028" s="44"/>
      <c r="L1028" s="1089"/>
      <c r="M1028" s="1089"/>
      <c r="N1028" s="1089"/>
      <c r="O1028" s="1089"/>
      <c r="P1028" s="1089"/>
      <c r="Q1028" s="44"/>
      <c r="R1028" s="44"/>
      <c r="S1028" s="1089"/>
      <c r="T1028" s="1089"/>
      <c r="U1028" s="1089"/>
      <c r="V1028" s="1089"/>
      <c r="W1028" s="1089"/>
      <c r="X1028" s="44"/>
      <c r="Y1028" s="44"/>
      <c r="Z1028" s="1089"/>
      <c r="AA1028" s="1089"/>
      <c r="AB1028" s="1089"/>
      <c r="AC1028" s="1089"/>
      <c r="AD1028" s="1089"/>
      <c r="AE1028" s="44"/>
      <c r="AF1028" s="44"/>
      <c r="AG1028" s="1089"/>
      <c r="AH1028" s="1089"/>
      <c r="AI1028" s="1326"/>
      <c r="AJ1028" s="45">
        <f>SUM(E1028:AI1028)</f>
        <v>0</v>
      </c>
      <c r="AK1028" s="45"/>
      <c r="AL1028" s="46">
        <f>+AJ1028*AN1026</f>
        <v>0</v>
      </c>
      <c r="AM1028" s="1066">
        <f t="shared" si="1765"/>
        <v>0</v>
      </c>
      <c r="AN1028" s="31"/>
      <c r="AO1028" s="632">
        <f>(AJ1028+AJ1030+AJ1031+AJ1032)*B1030/1000</f>
        <v>0</v>
      </c>
      <c r="AP1028" s="47" t="s">
        <v>94</v>
      </c>
      <c r="AQ1028" s="48">
        <f>SUM(E1028:I1028)</f>
        <v>0</v>
      </c>
      <c r="AR1028" s="49">
        <f>SUM(J1028:P1028)</f>
        <v>0</v>
      </c>
      <c r="AS1028" s="49">
        <f>SUM(Q1028:W1028)</f>
        <v>0</v>
      </c>
      <c r="AT1028" s="49">
        <f>SUM(X1028:AD1028)</f>
        <v>0</v>
      </c>
      <c r="AU1028" s="49">
        <f>SUM(AE1028:AI1028)</f>
        <v>0</v>
      </c>
      <c r="AV1028" s="50">
        <f t="shared" si="1847"/>
        <v>0</v>
      </c>
    </row>
    <row r="1029" spans="1:48" ht="25.15" hidden="1" customHeight="1">
      <c r="A1029" s="103"/>
      <c r="B1029" s="51"/>
      <c r="C1029" s="52" t="s">
        <v>95</v>
      </c>
      <c r="D1029" s="53" t="s">
        <v>96</v>
      </c>
      <c r="E1029" s="1327">
        <f t="shared" ref="E1029:AJ1029" si="1848">+E1028-E1026</f>
        <v>0</v>
      </c>
      <c r="F1029" s="1097">
        <f t="shared" si="1848"/>
        <v>0</v>
      </c>
      <c r="G1029" s="1205">
        <f t="shared" si="1848"/>
        <v>0</v>
      </c>
      <c r="H1029" s="1097">
        <f t="shared" si="1848"/>
        <v>0</v>
      </c>
      <c r="I1029" s="1097">
        <f t="shared" si="1848"/>
        <v>0</v>
      </c>
      <c r="J1029" s="1205">
        <f t="shared" si="1848"/>
        <v>0</v>
      </c>
      <c r="K1029" s="1205">
        <f t="shared" si="1848"/>
        <v>0</v>
      </c>
      <c r="L1029" s="1097">
        <f t="shared" si="1848"/>
        <v>0</v>
      </c>
      <c r="M1029" s="1097">
        <f t="shared" si="1848"/>
        <v>0</v>
      </c>
      <c r="N1029" s="1097">
        <f t="shared" si="1848"/>
        <v>0</v>
      </c>
      <c r="O1029" s="1097">
        <f t="shared" si="1848"/>
        <v>0</v>
      </c>
      <c r="P1029" s="1097">
        <f t="shared" si="1848"/>
        <v>0</v>
      </c>
      <c r="Q1029" s="1205">
        <f t="shared" si="1848"/>
        <v>0</v>
      </c>
      <c r="R1029" s="1205">
        <f t="shared" si="1848"/>
        <v>0</v>
      </c>
      <c r="S1029" s="1097">
        <f t="shared" si="1848"/>
        <v>0</v>
      </c>
      <c r="T1029" s="1097">
        <f t="shared" si="1848"/>
        <v>0</v>
      </c>
      <c r="U1029" s="1097">
        <f t="shared" si="1848"/>
        <v>0</v>
      </c>
      <c r="V1029" s="1097">
        <f t="shared" si="1848"/>
        <v>0</v>
      </c>
      <c r="W1029" s="1097">
        <f t="shared" si="1848"/>
        <v>0</v>
      </c>
      <c r="X1029" s="1205">
        <f t="shared" si="1848"/>
        <v>0</v>
      </c>
      <c r="Y1029" s="1205">
        <f t="shared" si="1848"/>
        <v>0</v>
      </c>
      <c r="Z1029" s="1097">
        <f t="shared" si="1848"/>
        <v>0</v>
      </c>
      <c r="AA1029" s="1097">
        <f t="shared" si="1848"/>
        <v>0</v>
      </c>
      <c r="AB1029" s="1097">
        <f t="shared" si="1848"/>
        <v>0</v>
      </c>
      <c r="AC1029" s="1097">
        <f t="shared" si="1848"/>
        <v>0</v>
      </c>
      <c r="AD1029" s="1097">
        <f t="shared" si="1848"/>
        <v>0</v>
      </c>
      <c r="AE1029" s="1205">
        <f t="shared" si="1848"/>
        <v>0</v>
      </c>
      <c r="AF1029" s="1205">
        <f t="shared" si="1848"/>
        <v>0</v>
      </c>
      <c r="AG1029" s="1097">
        <f t="shared" si="1848"/>
        <v>0</v>
      </c>
      <c r="AH1029" s="1097">
        <f t="shared" si="1848"/>
        <v>0</v>
      </c>
      <c r="AI1029" s="1328">
        <f t="shared" si="1848"/>
        <v>0</v>
      </c>
      <c r="AJ1029" s="54">
        <f t="shared" si="1848"/>
        <v>0</v>
      </c>
      <c r="AK1029" s="54"/>
      <c r="AL1029" s="55">
        <f>+AJ1029*AN1026</f>
        <v>0</v>
      </c>
      <c r="AM1029" s="1067">
        <f t="shared" si="1765"/>
        <v>0</v>
      </c>
      <c r="AN1029" s="31" t="s">
        <v>97</v>
      </c>
      <c r="AO1029" s="622"/>
      <c r="AP1029" s="39" t="s">
        <v>98</v>
      </c>
      <c r="AQ1029" s="56">
        <f>AQ1028-AQ1027</f>
        <v>0</v>
      </c>
      <c r="AR1029" s="70">
        <f>AR1028-AR1027</f>
        <v>0</v>
      </c>
      <c r="AS1029" s="70">
        <f>AS1028-AS1027</f>
        <v>0</v>
      </c>
      <c r="AT1029" s="70">
        <f>AT1028-AT1027</f>
        <v>0</v>
      </c>
      <c r="AU1029" s="70">
        <f>AU1028-AU1027</f>
        <v>0</v>
      </c>
      <c r="AV1029" s="57">
        <f t="shared" si="1847"/>
        <v>0</v>
      </c>
    </row>
    <row r="1030" spans="1:48" ht="25.15" hidden="1" customHeight="1">
      <c r="A1030" s="58"/>
      <c r="B1030" s="59"/>
      <c r="C1030" s="60" t="s">
        <v>100</v>
      </c>
      <c r="D1030" s="61" t="s">
        <v>101</v>
      </c>
      <c r="E1030" s="1329"/>
      <c r="F1030" s="1099"/>
      <c r="G1030" s="1208"/>
      <c r="H1030" s="1099"/>
      <c r="I1030" s="1099"/>
      <c r="J1030" s="1208"/>
      <c r="K1030" s="1208"/>
      <c r="L1030" s="1099"/>
      <c r="M1030" s="1099"/>
      <c r="N1030" s="1099"/>
      <c r="O1030" s="1099"/>
      <c r="P1030" s="1099"/>
      <c r="Q1030" s="1208"/>
      <c r="R1030" s="1208"/>
      <c r="S1030" s="1099"/>
      <c r="T1030" s="1099"/>
      <c r="U1030" s="1099"/>
      <c r="V1030" s="1099"/>
      <c r="W1030" s="1099"/>
      <c r="X1030" s="1208"/>
      <c r="Y1030" s="1208"/>
      <c r="Z1030" s="1099"/>
      <c r="AA1030" s="1099"/>
      <c r="AB1030" s="1099"/>
      <c r="AC1030" s="1099"/>
      <c r="AD1030" s="1099"/>
      <c r="AE1030" s="1208"/>
      <c r="AF1030" s="1208"/>
      <c r="AG1030" s="1099"/>
      <c r="AH1030" s="1099"/>
      <c r="AI1030" s="1330"/>
      <c r="AJ1030" s="62">
        <f>SUM(E1030:AI1030)</f>
        <v>0</v>
      </c>
      <c r="AK1030" s="62"/>
      <c r="AL1030" s="63">
        <f>+AJ1030*AN1026</f>
        <v>0</v>
      </c>
      <c r="AM1030" s="1068">
        <f t="shared" si="1765"/>
        <v>0</v>
      </c>
      <c r="AN1030" s="64" t="e">
        <f>+AJ1030/AJ1028*100</f>
        <v>#DIV/0!</v>
      </c>
      <c r="AO1030" s="635" t="e">
        <f>AO1028/AO1026</f>
        <v>#VALUE!</v>
      </c>
      <c r="AP1030" s="39" t="s">
        <v>102</v>
      </c>
      <c r="AQ1030" s="56">
        <f>SUM(E1030:I1030)</f>
        <v>0</v>
      </c>
      <c r="AR1030" s="70">
        <f>SUM(J1030:P1030)</f>
        <v>0</v>
      </c>
      <c r="AS1030" s="70">
        <f>SUM(Q1030:W1030)</f>
        <v>0</v>
      </c>
      <c r="AT1030" s="70">
        <f>SUM(X1030:AD1030)</f>
        <v>0</v>
      </c>
      <c r="AU1030" s="70">
        <f>SUM(AE1030:AI1030)</f>
        <v>0</v>
      </c>
      <c r="AV1030" s="57">
        <f t="shared" si="1847"/>
        <v>0</v>
      </c>
    </row>
    <row r="1031" spans="1:48" ht="25.15" hidden="1" customHeight="1">
      <c r="A1031" s="58" t="s">
        <v>202</v>
      </c>
      <c r="B1031" s="65"/>
      <c r="C1031" s="66"/>
      <c r="D1031" s="67" t="s">
        <v>103</v>
      </c>
      <c r="E1031" s="1331"/>
      <c r="F1031" s="1101"/>
      <c r="G1031" s="1209"/>
      <c r="H1031" s="1101"/>
      <c r="I1031" s="1101"/>
      <c r="J1031" s="1209"/>
      <c r="K1031" s="1209"/>
      <c r="L1031" s="1101"/>
      <c r="M1031" s="1101"/>
      <c r="N1031" s="1101"/>
      <c r="O1031" s="1101"/>
      <c r="P1031" s="1101"/>
      <c r="Q1031" s="1209"/>
      <c r="R1031" s="1209"/>
      <c r="S1031" s="1101"/>
      <c r="T1031" s="1101"/>
      <c r="U1031" s="1101"/>
      <c r="V1031" s="1101"/>
      <c r="W1031" s="1101"/>
      <c r="X1031" s="1209"/>
      <c r="Y1031" s="1209"/>
      <c r="Z1031" s="1101"/>
      <c r="AA1031" s="1101"/>
      <c r="AB1031" s="1101"/>
      <c r="AC1031" s="1101"/>
      <c r="AD1031" s="1101"/>
      <c r="AE1031" s="1209"/>
      <c r="AF1031" s="1209"/>
      <c r="AG1031" s="1101"/>
      <c r="AH1031" s="1101"/>
      <c r="AI1031" s="1332"/>
      <c r="AJ1031" s="68">
        <f>SUM(E1031:AI1031)</f>
        <v>0</v>
      </c>
      <c r="AK1031" s="68"/>
      <c r="AL1031" s="69">
        <f>+AJ1031*AN1026</f>
        <v>0</v>
      </c>
      <c r="AM1031" s="1069">
        <f t="shared" ref="AM1031:AM1094" si="1849">AL1033</f>
        <v>0</v>
      </c>
      <c r="AN1031" s="31"/>
      <c r="AO1031" s="622"/>
      <c r="AP1031" s="39" t="s">
        <v>19</v>
      </c>
      <c r="AQ1031" s="56">
        <f>AQ1030*AN1026</f>
        <v>0</v>
      </c>
      <c r="AR1031" s="56">
        <f>AR1030*AN1026</f>
        <v>0</v>
      </c>
      <c r="AS1031" s="56">
        <f>AS1030*AN1026</f>
        <v>0</v>
      </c>
      <c r="AT1031" s="56">
        <f>AT1030*AN1026</f>
        <v>0</v>
      </c>
      <c r="AU1031" s="56">
        <f>AU1030*AN1026</f>
        <v>0</v>
      </c>
      <c r="AV1031" s="57">
        <f t="shared" si="1847"/>
        <v>0</v>
      </c>
    </row>
    <row r="1032" spans="1:48" ht="25.15" hidden="1" customHeight="1">
      <c r="A1032" s="103"/>
      <c r="B1032" s="65"/>
      <c r="C1032" s="72" t="s">
        <v>104</v>
      </c>
      <c r="D1032" s="73" t="s">
        <v>105</v>
      </c>
      <c r="E1032" s="1378"/>
      <c r="F1032" s="1103"/>
      <c r="G1032" s="1210"/>
      <c r="H1032" s="1103"/>
      <c r="I1032" s="1103"/>
      <c r="J1032" s="1210"/>
      <c r="K1032" s="1210"/>
      <c r="L1032" s="1103"/>
      <c r="M1032" s="1103"/>
      <c r="N1032" s="1103"/>
      <c r="O1032" s="1103"/>
      <c r="P1032" s="1103"/>
      <c r="Q1032" s="1210"/>
      <c r="R1032" s="1210"/>
      <c r="S1032" s="1103"/>
      <c r="T1032" s="1103"/>
      <c r="U1032" s="1103"/>
      <c r="V1032" s="1103"/>
      <c r="W1032" s="1103"/>
      <c r="X1032" s="1210"/>
      <c r="Y1032" s="1210"/>
      <c r="Z1032" s="1103"/>
      <c r="AA1032" s="1103"/>
      <c r="AB1032" s="1103"/>
      <c r="AC1032" s="1103"/>
      <c r="AD1032" s="1103"/>
      <c r="AE1032" s="1210"/>
      <c r="AF1032" s="1210"/>
      <c r="AG1032" s="1103"/>
      <c r="AH1032" s="1103"/>
      <c r="AI1032" s="1352"/>
      <c r="AJ1032" s="74">
        <f>SUM(E1032:AI1032)</f>
        <v>0</v>
      </c>
      <c r="AK1032" s="74"/>
      <c r="AL1032" s="75">
        <f>+AJ1032*AN1026</f>
        <v>0</v>
      </c>
      <c r="AM1032" s="1070">
        <f t="shared" si="1849"/>
        <v>0</v>
      </c>
      <c r="AN1032" s="76"/>
      <c r="AO1032" s="636"/>
      <c r="AP1032" s="47" t="s">
        <v>106</v>
      </c>
      <c r="AQ1032" s="48">
        <f>AQ1028*AN1026</f>
        <v>0</v>
      </c>
      <c r="AR1032" s="48">
        <f>AR1028*AN1026</f>
        <v>0</v>
      </c>
      <c r="AS1032" s="48">
        <f>AS1028*AN1026</f>
        <v>0</v>
      </c>
      <c r="AT1032" s="48">
        <f>AT1028*AN1026</f>
        <v>0</v>
      </c>
      <c r="AU1032" s="48">
        <f>AU1028*AN1026</f>
        <v>0</v>
      </c>
      <c r="AV1032" s="50">
        <f t="shared" si="1847"/>
        <v>0</v>
      </c>
    </row>
    <row r="1033" spans="1:48" ht="25.15" hidden="1" customHeight="1">
      <c r="A1033" s="103"/>
      <c r="B1033" s="65"/>
      <c r="C1033" s="77">
        <v>300000</v>
      </c>
      <c r="D1033" s="78" t="s">
        <v>107</v>
      </c>
      <c r="E1033" s="1327">
        <v>1</v>
      </c>
      <c r="F1033" s="1097">
        <v>1</v>
      </c>
      <c r="G1033" s="1205">
        <v>1</v>
      </c>
      <c r="H1033" s="1097">
        <v>1</v>
      </c>
      <c r="I1033" s="1097">
        <v>1</v>
      </c>
      <c r="J1033" s="1205">
        <v>1</v>
      </c>
      <c r="K1033" s="1205">
        <v>1</v>
      </c>
      <c r="L1033" s="1097">
        <v>1</v>
      </c>
      <c r="M1033" s="1097">
        <v>1</v>
      </c>
      <c r="N1033" s="1097">
        <v>1</v>
      </c>
      <c r="O1033" s="1097">
        <v>1</v>
      </c>
      <c r="P1033" s="1097">
        <v>1</v>
      </c>
      <c r="Q1033" s="1205">
        <v>1</v>
      </c>
      <c r="R1033" s="1205">
        <v>1</v>
      </c>
      <c r="S1033" s="1097">
        <v>1</v>
      </c>
      <c r="T1033" s="1097">
        <v>1</v>
      </c>
      <c r="U1033" s="1097">
        <v>1</v>
      </c>
      <c r="V1033" s="1097">
        <v>1</v>
      </c>
      <c r="W1033" s="1097">
        <v>1</v>
      </c>
      <c r="X1033" s="1205">
        <v>1</v>
      </c>
      <c r="Y1033" s="1205">
        <v>1</v>
      </c>
      <c r="Z1033" s="1097">
        <v>1</v>
      </c>
      <c r="AA1033" s="1097">
        <v>1</v>
      </c>
      <c r="AB1033" s="1097">
        <v>1</v>
      </c>
      <c r="AC1033" s="1097">
        <v>1</v>
      </c>
      <c r="AD1033" s="1097">
        <v>1</v>
      </c>
      <c r="AE1033" s="1205">
        <v>1</v>
      </c>
      <c r="AF1033" s="1205">
        <v>1</v>
      </c>
      <c r="AG1033" s="1097">
        <v>1</v>
      </c>
      <c r="AH1033" s="1097">
        <v>1</v>
      </c>
      <c r="AI1033" s="1328">
        <v>1</v>
      </c>
      <c r="AJ1033" s="79"/>
      <c r="AK1033" s="79"/>
      <c r="AL1033" s="55"/>
      <c r="AM1033" s="1067">
        <f t="shared" si="1849"/>
        <v>0</v>
      </c>
      <c r="AN1033" s="31"/>
      <c r="AO1033" s="622"/>
      <c r="AP1033" s="23"/>
      <c r="AQ1033" s="23"/>
      <c r="AR1033" s="23"/>
      <c r="AS1033" s="23"/>
      <c r="AT1033" s="23"/>
      <c r="AU1033" s="23"/>
      <c r="AV1033" s="23"/>
    </row>
    <row r="1034" spans="1:48" ht="25.15" hidden="1" customHeight="1">
      <c r="A1034" s="103"/>
      <c r="B1034" s="65"/>
      <c r="C1034" s="80" t="s">
        <v>108</v>
      </c>
      <c r="D1034" s="81" t="s">
        <v>109</v>
      </c>
      <c r="E1034" s="1374">
        <f>SUM(E1028+E1030+E1031+E1032)/E1033</f>
        <v>0</v>
      </c>
      <c r="F1034" s="1104">
        <f>SUM(F1028+F1030+F1031+F1032)/F1033</f>
        <v>0</v>
      </c>
      <c r="G1034" s="1211">
        <f>SUM(G1028+G1030+G1031+G1032)/G1033</f>
        <v>0</v>
      </c>
      <c r="H1034" s="1104">
        <f t="shared" ref="H1034:AH1034" si="1850">SUM(H1028+H1030+H1031+H1032)/H1033</f>
        <v>0</v>
      </c>
      <c r="I1034" s="1104">
        <f t="shared" si="1850"/>
        <v>0</v>
      </c>
      <c r="J1034" s="1211">
        <f t="shared" si="1850"/>
        <v>0</v>
      </c>
      <c r="K1034" s="1211">
        <f t="shared" si="1850"/>
        <v>0</v>
      </c>
      <c r="L1034" s="1104">
        <f t="shared" si="1850"/>
        <v>0</v>
      </c>
      <c r="M1034" s="1104">
        <f t="shared" si="1850"/>
        <v>0</v>
      </c>
      <c r="N1034" s="1104">
        <f t="shared" si="1850"/>
        <v>0</v>
      </c>
      <c r="O1034" s="1104">
        <f t="shared" si="1850"/>
        <v>0</v>
      </c>
      <c r="P1034" s="1104">
        <f t="shared" si="1850"/>
        <v>0</v>
      </c>
      <c r="Q1034" s="1211">
        <f t="shared" si="1850"/>
        <v>0</v>
      </c>
      <c r="R1034" s="1211">
        <f t="shared" si="1850"/>
        <v>0</v>
      </c>
      <c r="S1034" s="1104">
        <f t="shared" si="1850"/>
        <v>0</v>
      </c>
      <c r="T1034" s="1104">
        <f t="shared" si="1850"/>
        <v>0</v>
      </c>
      <c r="U1034" s="1104">
        <f t="shared" si="1850"/>
        <v>0</v>
      </c>
      <c r="V1034" s="1104">
        <f t="shared" si="1850"/>
        <v>0</v>
      </c>
      <c r="W1034" s="1104">
        <f t="shared" si="1850"/>
        <v>0</v>
      </c>
      <c r="X1034" s="1211">
        <f t="shared" si="1850"/>
        <v>0</v>
      </c>
      <c r="Y1034" s="1211">
        <f t="shared" si="1850"/>
        <v>0</v>
      </c>
      <c r="Z1034" s="1104">
        <f t="shared" si="1850"/>
        <v>0</v>
      </c>
      <c r="AA1034" s="1104">
        <f t="shared" si="1850"/>
        <v>0</v>
      </c>
      <c r="AB1034" s="1104">
        <f t="shared" si="1850"/>
        <v>0</v>
      </c>
      <c r="AC1034" s="1104">
        <f t="shared" si="1850"/>
        <v>0</v>
      </c>
      <c r="AD1034" s="1104">
        <f t="shared" si="1850"/>
        <v>0</v>
      </c>
      <c r="AE1034" s="1211">
        <f t="shared" si="1850"/>
        <v>0</v>
      </c>
      <c r="AF1034" s="1211">
        <f t="shared" si="1850"/>
        <v>0</v>
      </c>
      <c r="AG1034" s="1104">
        <f t="shared" si="1850"/>
        <v>0</v>
      </c>
      <c r="AH1034" s="1104">
        <f t="shared" si="1850"/>
        <v>0</v>
      </c>
      <c r="AI1034" s="1335">
        <f>SUM(AI1028+AI1030+AI1031)/AI1033</f>
        <v>0</v>
      </c>
      <c r="AJ1034" s="104">
        <f>SUM(E1034:AI1034)</f>
        <v>0</v>
      </c>
      <c r="AK1034" s="104"/>
      <c r="AL1034" s="83"/>
      <c r="AM1034" s="1068">
        <f t="shared" si="1849"/>
        <v>0</v>
      </c>
      <c r="AN1034" s="31"/>
      <c r="AO1034" s="622"/>
      <c r="AP1034" s="23"/>
      <c r="AQ1034" s="23"/>
      <c r="AR1034" s="23"/>
      <c r="AS1034" s="23"/>
      <c r="AT1034" s="23"/>
      <c r="AU1034" s="23"/>
      <c r="AV1034" s="23"/>
    </row>
    <row r="1035" spans="1:48" ht="25.15" hidden="1" customHeight="1">
      <c r="A1035" s="103"/>
      <c r="B1035" s="59"/>
      <c r="C1035" s="84">
        <f>+C1033*0.8</f>
        <v>240000</v>
      </c>
      <c r="D1035" s="85" t="s">
        <v>110</v>
      </c>
      <c r="E1035" s="1105"/>
      <c r="F1035" s="1106"/>
      <c r="G1035" s="1211"/>
      <c r="H1035" s="1104"/>
      <c r="I1035" s="1104"/>
      <c r="J1035" s="1211"/>
      <c r="K1035" s="1211"/>
      <c r="L1035" s="1104"/>
      <c r="M1035" s="1104"/>
      <c r="N1035" s="1104"/>
      <c r="O1035" s="1107"/>
      <c r="P1035" s="1104"/>
      <c r="Q1035" s="1211"/>
      <c r="R1035" s="1211"/>
      <c r="S1035" s="1104"/>
      <c r="T1035" s="1104"/>
      <c r="U1035" s="1104"/>
      <c r="V1035" s="1104"/>
      <c r="W1035" s="1104"/>
      <c r="X1035" s="1211"/>
      <c r="Y1035" s="1211"/>
      <c r="Z1035" s="1104"/>
      <c r="AA1035" s="1104"/>
      <c r="AB1035" s="1104"/>
      <c r="AC1035" s="1104"/>
      <c r="AD1035" s="1104"/>
      <c r="AE1035" s="1211"/>
      <c r="AF1035" s="1211"/>
      <c r="AG1035" s="1104"/>
      <c r="AH1035" s="1104"/>
      <c r="AI1035" s="1353"/>
      <c r="AJ1035" s="86"/>
      <c r="AK1035" s="86"/>
      <c r="AL1035" s="690"/>
      <c r="AM1035" s="694">
        <f t="shared" si="1849"/>
        <v>0</v>
      </c>
      <c r="AN1035" s="31"/>
      <c r="AO1035" s="622"/>
      <c r="AP1035" s="23"/>
      <c r="AQ1035" s="23"/>
      <c r="AR1035" s="23"/>
      <c r="AS1035" s="23"/>
      <c r="AT1035" s="23"/>
      <c r="AU1035" s="23"/>
      <c r="AV1035" s="23"/>
    </row>
    <row r="1036" spans="1:48" ht="25.15" hidden="1" customHeight="1">
      <c r="A1036" s="103"/>
      <c r="B1036" s="105"/>
      <c r="C1036" s="77"/>
      <c r="D1036" s="88" t="s">
        <v>111</v>
      </c>
      <c r="E1036" s="1108">
        <f>IF(E1035="O/H",E1034,0+E1034)</f>
        <v>0</v>
      </c>
      <c r="F1036" s="1089">
        <f t="shared" ref="F1036:AI1036" si="1851">IF(F1035="O/H",F1034,+E1036+F1034)</f>
        <v>0</v>
      </c>
      <c r="G1036" s="44">
        <f t="shared" si="1851"/>
        <v>0</v>
      </c>
      <c r="H1036" s="1089">
        <f t="shared" si="1851"/>
        <v>0</v>
      </c>
      <c r="I1036" s="1089">
        <f t="shared" si="1851"/>
        <v>0</v>
      </c>
      <c r="J1036" s="44">
        <f t="shared" si="1851"/>
        <v>0</v>
      </c>
      <c r="K1036" s="44">
        <f t="shared" si="1851"/>
        <v>0</v>
      </c>
      <c r="L1036" s="1089">
        <f t="shared" si="1851"/>
        <v>0</v>
      </c>
      <c r="M1036" s="1089">
        <f t="shared" si="1851"/>
        <v>0</v>
      </c>
      <c r="N1036" s="1089">
        <f t="shared" si="1851"/>
        <v>0</v>
      </c>
      <c r="O1036" s="1089">
        <f t="shared" si="1851"/>
        <v>0</v>
      </c>
      <c r="P1036" s="1089">
        <f t="shared" si="1851"/>
        <v>0</v>
      </c>
      <c r="Q1036" s="44">
        <f t="shared" si="1851"/>
        <v>0</v>
      </c>
      <c r="R1036" s="44">
        <f t="shared" si="1851"/>
        <v>0</v>
      </c>
      <c r="S1036" s="1089">
        <f t="shared" si="1851"/>
        <v>0</v>
      </c>
      <c r="T1036" s="1089">
        <f t="shared" si="1851"/>
        <v>0</v>
      </c>
      <c r="U1036" s="1089">
        <f t="shared" si="1851"/>
        <v>0</v>
      </c>
      <c r="V1036" s="1089">
        <f t="shared" si="1851"/>
        <v>0</v>
      </c>
      <c r="W1036" s="1089">
        <f t="shared" si="1851"/>
        <v>0</v>
      </c>
      <c r="X1036" s="44">
        <f t="shared" si="1851"/>
        <v>0</v>
      </c>
      <c r="Y1036" s="44">
        <f t="shared" si="1851"/>
        <v>0</v>
      </c>
      <c r="Z1036" s="1089">
        <f t="shared" si="1851"/>
        <v>0</v>
      </c>
      <c r="AA1036" s="1089">
        <f t="shared" si="1851"/>
        <v>0</v>
      </c>
      <c r="AB1036" s="1089">
        <f t="shared" si="1851"/>
        <v>0</v>
      </c>
      <c r="AC1036" s="1089">
        <f t="shared" si="1851"/>
        <v>0</v>
      </c>
      <c r="AD1036" s="1089">
        <f t="shared" si="1851"/>
        <v>0</v>
      </c>
      <c r="AE1036" s="44">
        <f t="shared" si="1851"/>
        <v>0</v>
      </c>
      <c r="AF1036" s="44">
        <f t="shared" si="1851"/>
        <v>0</v>
      </c>
      <c r="AG1036" s="1089">
        <f t="shared" si="1851"/>
        <v>0</v>
      </c>
      <c r="AH1036" s="1089">
        <f t="shared" si="1851"/>
        <v>0</v>
      </c>
      <c r="AI1036" s="1326">
        <f t="shared" si="1851"/>
        <v>0</v>
      </c>
      <c r="AJ1036" s="79"/>
      <c r="AK1036" s="86"/>
      <c r="AL1036" s="689"/>
      <c r="AM1036" s="694">
        <f t="shared" si="1849"/>
        <v>0</v>
      </c>
      <c r="AN1036" s="31"/>
      <c r="AO1036" s="622"/>
      <c r="AP1036" s="23"/>
      <c r="AQ1036" s="23"/>
      <c r="AR1036" s="23"/>
      <c r="AS1036" s="23"/>
      <c r="AT1036" s="23"/>
      <c r="AU1036" s="23"/>
      <c r="AV1036" s="23"/>
    </row>
    <row r="1037" spans="1:48" s="23" customFormat="1" ht="20.65" hidden="1" customHeight="1">
      <c r="A1037" s="274"/>
      <c r="B1037" s="312"/>
      <c r="C1037" s="308"/>
      <c r="D1037" s="795" t="s">
        <v>112</v>
      </c>
      <c r="E1037" s="1108" t="b">
        <f>IF(AND(ISNUMBER(E1028)),314508+E1034)</f>
        <v>0</v>
      </c>
      <c r="F1037" s="1089" t="str">
        <f>IF(AND(ISNUMBER(F1028)),E1037+F1034,"")</f>
        <v/>
      </c>
      <c r="G1037" s="44" t="str">
        <f t="shared" ref="G1037" si="1852">IF(AND(ISNUMBER(G1028)),F1037+G1034,"")</f>
        <v/>
      </c>
      <c r="H1037" s="1089" t="str">
        <f t="shared" ref="H1037" si="1853">IF(AND(ISNUMBER(H1028)),G1037+H1034,"")</f>
        <v/>
      </c>
      <c r="I1037" s="1089" t="str">
        <f>IF(AND(ISNUMBER(I1028)),H1037+I1034,"")</f>
        <v/>
      </c>
      <c r="J1037" s="44" t="str">
        <f>IF(AND(ISNUMBER(J1028)),I1037+J1034,"")</f>
        <v/>
      </c>
      <c r="K1037" s="44" t="str">
        <f>IF(AND(ISNUMBER(K1028)),J1037+K1034,"")</f>
        <v/>
      </c>
      <c r="L1037" s="1089" t="str">
        <f t="shared" ref="L1037" si="1854">IF(AND(ISNUMBER(L1028)),K1037+L1034,"")</f>
        <v/>
      </c>
      <c r="M1037" s="1089" t="str">
        <f t="shared" ref="M1037" si="1855">IF(AND(ISNUMBER(M1028)),L1037+M1034,"")</f>
        <v/>
      </c>
      <c r="N1037" s="1089" t="str">
        <f t="shared" ref="N1037" si="1856">IF(AND(ISNUMBER(N1028)),M1037+N1034,"")</f>
        <v/>
      </c>
      <c r="O1037" s="1089" t="str">
        <f t="shared" ref="O1037" si="1857">IF(AND(ISNUMBER(O1028)),N1037+O1034,"")</f>
        <v/>
      </c>
      <c r="P1037" s="1089" t="str">
        <f t="shared" ref="P1037" si="1858">IF(AND(ISNUMBER(P1028)),O1037+P1034,"")</f>
        <v/>
      </c>
      <c r="Q1037" s="44" t="str">
        <f t="shared" ref="Q1037" si="1859">IF(AND(ISNUMBER(Q1028)),P1037+Q1034,"")</f>
        <v/>
      </c>
      <c r="R1037" s="44" t="str">
        <f t="shared" ref="R1037" si="1860">IF(AND(ISNUMBER(R1028)),Q1037+R1034,"")</f>
        <v/>
      </c>
      <c r="S1037" s="1089" t="str">
        <f t="shared" ref="S1037" si="1861">IF(AND(ISNUMBER(S1028)),R1037+S1034,"")</f>
        <v/>
      </c>
      <c r="T1037" s="1089" t="str">
        <f t="shared" ref="T1037" si="1862">IF(AND(ISNUMBER(T1028)),S1037+T1034,"")</f>
        <v/>
      </c>
      <c r="U1037" s="1089" t="str">
        <f t="shared" ref="U1037" si="1863">IF(AND(ISNUMBER(U1028)),T1037+U1034,"")</f>
        <v/>
      </c>
      <c r="V1037" s="1089" t="str">
        <f t="shared" ref="V1037" si="1864">IF(AND(ISNUMBER(V1028)),U1037+V1034,"")</f>
        <v/>
      </c>
      <c r="W1037" s="1089" t="str">
        <f t="shared" ref="W1037" si="1865">IF(AND(ISNUMBER(W1028)),V1037+W1034,"")</f>
        <v/>
      </c>
      <c r="X1037" s="44" t="str">
        <f t="shared" ref="X1037" si="1866">IF(AND(ISNUMBER(X1028)),W1037+X1034,"")</f>
        <v/>
      </c>
      <c r="Y1037" s="44" t="str">
        <f t="shared" ref="Y1037" si="1867">IF(AND(ISNUMBER(Y1028)),X1037+Y1034,"")</f>
        <v/>
      </c>
      <c r="Z1037" s="1089" t="str">
        <f t="shared" ref="Z1037" si="1868">IF(AND(ISNUMBER(Z1028)),Y1037+Z1034,"")</f>
        <v/>
      </c>
      <c r="AA1037" s="1089" t="str">
        <f t="shared" ref="AA1037" si="1869">IF(AND(ISNUMBER(AA1028)),Z1037+AA1034,"")</f>
        <v/>
      </c>
      <c r="AB1037" s="1089" t="str">
        <f t="shared" ref="AB1037" si="1870">IF(AND(ISNUMBER(AB1028)),AA1037+AB1034,"")</f>
        <v/>
      </c>
      <c r="AC1037" s="1089" t="str">
        <f t="shared" ref="AC1037" si="1871">IF(AND(ISNUMBER(AC1028)),AB1037+AC1034,"")</f>
        <v/>
      </c>
      <c r="AD1037" s="1089" t="str">
        <f t="shared" ref="AD1037" si="1872">IF(AND(ISNUMBER(AD1028)),AC1037+AD1034,"")</f>
        <v/>
      </c>
      <c r="AE1037" s="44" t="str">
        <f t="shared" ref="AE1037" si="1873">IF(AND(ISNUMBER(AE1028)),AD1037+AE1034,"")</f>
        <v/>
      </c>
      <c r="AF1037" s="44" t="str">
        <f t="shared" ref="AF1037" si="1874">IF(AND(ISNUMBER(AF1028)),AE1037+AF1034,"")</f>
        <v/>
      </c>
      <c r="AG1037" s="1089" t="str">
        <f t="shared" ref="AG1037" si="1875">IF(AND(ISNUMBER(AG1028)),AF1037+AG1034,"")</f>
        <v/>
      </c>
      <c r="AH1037" s="1089" t="str">
        <f t="shared" ref="AH1037" si="1876">IF(AND(ISNUMBER(AH1028)),AG1037+AH1034,"")</f>
        <v/>
      </c>
      <c r="AI1037" s="1089" t="str">
        <f t="shared" ref="AI1037" si="1877">IF(AND(ISNUMBER(AI1028)),AH1037+AI1034,"")</f>
        <v/>
      </c>
      <c r="AJ1037" s="793"/>
      <c r="AK1037" s="793"/>
      <c r="AL1037" s="909"/>
      <c r="AM1037" s="890">
        <f t="shared" si="1849"/>
        <v>0</v>
      </c>
      <c r="AN1037" s="76"/>
      <c r="AO1037" s="624"/>
      <c r="AP1037" s="285"/>
      <c r="AQ1037" s="285"/>
      <c r="AR1037" s="285"/>
      <c r="AS1037" s="285"/>
      <c r="AT1037" s="286"/>
      <c r="AU1037" s="285"/>
      <c r="AV1037" s="287"/>
    </row>
    <row r="1038" spans="1:48" ht="25.15" hidden="1" customHeight="1">
      <c r="A1038" s="103"/>
      <c r="B1038" s="89"/>
      <c r="C1038" s="80"/>
      <c r="D1038" s="90" t="s">
        <v>104</v>
      </c>
      <c r="E1038" s="1108"/>
      <c r="F1038" s="1089"/>
      <c r="G1038" s="44"/>
      <c r="H1038" s="1089"/>
      <c r="I1038" s="1089"/>
      <c r="J1038" s="44"/>
      <c r="K1038" s="44"/>
      <c r="L1038" s="1089"/>
      <c r="M1038" s="1089"/>
      <c r="N1038" s="1089"/>
      <c r="O1038" s="1089"/>
      <c r="P1038" s="1089"/>
      <c r="Q1038" s="44"/>
      <c r="R1038" s="44"/>
      <c r="S1038" s="1089"/>
      <c r="T1038" s="1089"/>
      <c r="U1038" s="1089"/>
      <c r="V1038" s="1089"/>
      <c r="W1038" s="1089"/>
      <c r="X1038" s="44"/>
      <c r="Y1038" s="44"/>
      <c r="Z1038" s="1089"/>
      <c r="AA1038" s="1089"/>
      <c r="AB1038" s="1089"/>
      <c r="AC1038" s="1089"/>
      <c r="AD1038" s="1089"/>
      <c r="AE1038" s="44"/>
      <c r="AF1038" s="44"/>
      <c r="AG1038" s="1089"/>
      <c r="AH1038" s="1089"/>
      <c r="AI1038" s="1326"/>
      <c r="AJ1038" s="79"/>
      <c r="AK1038" s="79"/>
      <c r="AL1038" s="63"/>
      <c r="AM1038" s="1068">
        <f t="shared" si="1849"/>
        <v>0</v>
      </c>
      <c r="AN1038" s="64"/>
      <c r="AO1038" s="624"/>
      <c r="AP1038" s="23"/>
      <c r="AQ1038" s="23"/>
      <c r="AR1038" s="23"/>
      <c r="AS1038" s="23"/>
      <c r="AT1038" s="23"/>
      <c r="AU1038" s="23"/>
      <c r="AV1038" s="23"/>
    </row>
    <row r="1039" spans="1:48" ht="25.15" hidden="1" customHeight="1" thickBot="1">
      <c r="A1039" s="106"/>
      <c r="B1039" s="93"/>
      <c r="C1039" s="94"/>
      <c r="D1039" s="95" t="s">
        <v>111</v>
      </c>
      <c r="E1039" s="1109">
        <f>IF(E1038="O/H",E1034,55890+E1034)</f>
        <v>55890</v>
      </c>
      <c r="F1039" s="1110">
        <f t="shared" ref="F1039:AI1039" si="1878">IF(F1038="O/H",F1034,+E1039+F1034)</f>
        <v>55890</v>
      </c>
      <c r="G1039" s="1212">
        <f t="shared" si="1878"/>
        <v>55890</v>
      </c>
      <c r="H1039" s="1110">
        <f t="shared" si="1878"/>
        <v>55890</v>
      </c>
      <c r="I1039" s="1110">
        <f t="shared" si="1878"/>
        <v>55890</v>
      </c>
      <c r="J1039" s="1212">
        <f t="shared" si="1878"/>
        <v>55890</v>
      </c>
      <c r="K1039" s="1212">
        <f t="shared" si="1878"/>
        <v>55890</v>
      </c>
      <c r="L1039" s="1110">
        <f t="shared" si="1878"/>
        <v>55890</v>
      </c>
      <c r="M1039" s="1110">
        <f t="shared" si="1878"/>
        <v>55890</v>
      </c>
      <c r="N1039" s="1110">
        <f t="shared" si="1878"/>
        <v>55890</v>
      </c>
      <c r="O1039" s="1110">
        <f t="shared" si="1878"/>
        <v>55890</v>
      </c>
      <c r="P1039" s="1110">
        <f t="shared" si="1878"/>
        <v>55890</v>
      </c>
      <c r="Q1039" s="1212">
        <f t="shared" si="1878"/>
        <v>55890</v>
      </c>
      <c r="R1039" s="1212">
        <f t="shared" si="1878"/>
        <v>55890</v>
      </c>
      <c r="S1039" s="1110">
        <f t="shared" si="1878"/>
        <v>55890</v>
      </c>
      <c r="T1039" s="1110">
        <f t="shared" si="1878"/>
        <v>55890</v>
      </c>
      <c r="U1039" s="1110">
        <f t="shared" si="1878"/>
        <v>55890</v>
      </c>
      <c r="V1039" s="1110">
        <f t="shared" si="1878"/>
        <v>55890</v>
      </c>
      <c r="W1039" s="1110">
        <f t="shared" si="1878"/>
        <v>55890</v>
      </c>
      <c r="X1039" s="1212">
        <f t="shared" si="1878"/>
        <v>55890</v>
      </c>
      <c r="Y1039" s="1212">
        <f t="shared" si="1878"/>
        <v>55890</v>
      </c>
      <c r="Z1039" s="1110">
        <f t="shared" si="1878"/>
        <v>55890</v>
      </c>
      <c r="AA1039" s="1110">
        <f t="shared" si="1878"/>
        <v>55890</v>
      </c>
      <c r="AB1039" s="1110">
        <f t="shared" si="1878"/>
        <v>55890</v>
      </c>
      <c r="AC1039" s="1110">
        <f t="shared" si="1878"/>
        <v>55890</v>
      </c>
      <c r="AD1039" s="1110">
        <f t="shared" si="1878"/>
        <v>55890</v>
      </c>
      <c r="AE1039" s="1212">
        <f t="shared" si="1878"/>
        <v>55890</v>
      </c>
      <c r="AF1039" s="1212">
        <f t="shared" si="1878"/>
        <v>55890</v>
      </c>
      <c r="AG1039" s="1110">
        <f t="shared" si="1878"/>
        <v>55890</v>
      </c>
      <c r="AH1039" s="1110">
        <f t="shared" si="1878"/>
        <v>55890</v>
      </c>
      <c r="AI1039" s="1340">
        <f t="shared" si="1878"/>
        <v>55890</v>
      </c>
      <c r="AJ1039" s="96"/>
      <c r="AK1039" s="96"/>
      <c r="AL1039" s="97"/>
      <c r="AM1039" s="1071">
        <f t="shared" si="1849"/>
        <v>0</v>
      </c>
      <c r="AN1039" s="98"/>
      <c r="AO1039" s="625"/>
      <c r="AP1039" s="23"/>
      <c r="AQ1039" s="23"/>
      <c r="AR1039" s="23"/>
      <c r="AS1039" s="23"/>
      <c r="AT1039" s="23"/>
      <c r="AU1039" s="23"/>
      <c r="AV1039" s="23"/>
    </row>
    <row r="1040" spans="1:48" ht="25.15" hidden="1" customHeight="1" thickTop="1">
      <c r="A1040" s="99"/>
      <c r="B1040" s="26" t="s">
        <v>140</v>
      </c>
      <c r="C1040" s="27"/>
      <c r="D1040" s="28" t="s">
        <v>82</v>
      </c>
      <c r="E1040" s="1111"/>
      <c r="F1040" s="1111"/>
      <c r="G1040" s="1201"/>
      <c r="H1040" s="1111"/>
      <c r="I1040" s="1111"/>
      <c r="J1040" s="1201"/>
      <c r="K1040" s="1201"/>
      <c r="L1040" s="1111"/>
      <c r="M1040" s="1111"/>
      <c r="N1040" s="1111"/>
      <c r="O1040" s="1111"/>
      <c r="P1040" s="1111"/>
      <c r="Q1040" s="1201"/>
      <c r="R1040" s="1201"/>
      <c r="S1040" s="1111"/>
      <c r="T1040" s="1111"/>
      <c r="U1040" s="1111"/>
      <c r="V1040" s="1111"/>
      <c r="W1040" s="1111"/>
      <c r="X1040" s="1201"/>
      <c r="Y1040" s="1201"/>
      <c r="Z1040" s="1111"/>
      <c r="AA1040" s="1111"/>
      <c r="AB1040" s="1111"/>
      <c r="AC1040" s="1111"/>
      <c r="AD1040" s="1111"/>
      <c r="AE1040" s="1201"/>
      <c r="AF1040" s="1201"/>
      <c r="AG1040" s="1111"/>
      <c r="AH1040" s="1111"/>
      <c r="AI1040" s="1111"/>
      <c r="AJ1040" s="100">
        <f>SUM(Table75[[#This Row],[June''2026]:[Column27]])</f>
        <v>0</v>
      </c>
      <c r="AK1040" s="100">
        <f t="shared" ref="AK1040:AK1082" si="1879">AJ1042</f>
        <v>0</v>
      </c>
      <c r="AL1040" s="101">
        <f>+AJ1040*AN1040</f>
        <v>0</v>
      </c>
      <c r="AM1040" s="1072">
        <f t="shared" si="1849"/>
        <v>0</v>
      </c>
      <c r="AN1040" s="102"/>
      <c r="AO1040" s="622" t="e">
        <f>Table5[[#This Row],[Total]]*B1044/1000</f>
        <v>#VALUE!</v>
      </c>
      <c r="AP1040" s="32" t="s">
        <v>193</v>
      </c>
      <c r="AQ1040" s="33" t="s">
        <v>84</v>
      </c>
      <c r="AR1040" s="33" t="s">
        <v>85</v>
      </c>
      <c r="AS1040" s="33" t="s">
        <v>86</v>
      </c>
      <c r="AT1040" s="33" t="s">
        <v>87</v>
      </c>
      <c r="AU1040" s="33" t="s">
        <v>88</v>
      </c>
      <c r="AV1040" s="34" t="s">
        <v>68</v>
      </c>
    </row>
    <row r="1041" spans="1:48" ht="25.15" hidden="1" customHeight="1">
      <c r="A1041" s="103"/>
      <c r="B1041" s="35" t="s">
        <v>141</v>
      </c>
      <c r="C1041" s="36"/>
      <c r="D1041" s="37" t="s">
        <v>90</v>
      </c>
      <c r="E1041" s="1373">
        <f>IF(E1040="",0,+ E1040/E1047)</f>
        <v>0</v>
      </c>
      <c r="F1041" s="1096">
        <f t="shared" ref="F1041:AI1041" si="1880">IF(F1040="",0, E1041+F1040/F1047)</f>
        <v>0</v>
      </c>
      <c r="G1041" s="1207">
        <f t="shared" si="1880"/>
        <v>0</v>
      </c>
      <c r="H1041" s="1096">
        <f t="shared" si="1880"/>
        <v>0</v>
      </c>
      <c r="I1041" s="1096">
        <f t="shared" si="1880"/>
        <v>0</v>
      </c>
      <c r="J1041" s="1207">
        <f t="shared" si="1880"/>
        <v>0</v>
      </c>
      <c r="K1041" s="1207">
        <f t="shared" si="1880"/>
        <v>0</v>
      </c>
      <c r="L1041" s="1096">
        <f t="shared" si="1880"/>
        <v>0</v>
      </c>
      <c r="M1041" s="1096">
        <f t="shared" si="1880"/>
        <v>0</v>
      </c>
      <c r="N1041" s="1096">
        <f t="shared" si="1880"/>
        <v>0</v>
      </c>
      <c r="O1041" s="1096">
        <f t="shared" si="1880"/>
        <v>0</v>
      </c>
      <c r="P1041" s="1096">
        <f t="shared" si="1880"/>
        <v>0</v>
      </c>
      <c r="Q1041" s="1207">
        <f t="shared" si="1880"/>
        <v>0</v>
      </c>
      <c r="R1041" s="1207">
        <f t="shared" si="1880"/>
        <v>0</v>
      </c>
      <c r="S1041" s="1096">
        <f t="shared" si="1880"/>
        <v>0</v>
      </c>
      <c r="T1041" s="1096">
        <f t="shared" si="1880"/>
        <v>0</v>
      </c>
      <c r="U1041" s="1096">
        <f t="shared" si="1880"/>
        <v>0</v>
      </c>
      <c r="V1041" s="1096">
        <f t="shared" si="1880"/>
        <v>0</v>
      </c>
      <c r="W1041" s="1096">
        <f t="shared" si="1880"/>
        <v>0</v>
      </c>
      <c r="X1041" s="1207">
        <f t="shared" si="1880"/>
        <v>0</v>
      </c>
      <c r="Y1041" s="1207">
        <f t="shared" si="1880"/>
        <v>0</v>
      </c>
      <c r="Z1041" s="1096">
        <f t="shared" si="1880"/>
        <v>0</v>
      </c>
      <c r="AA1041" s="1096">
        <f t="shared" si="1880"/>
        <v>0</v>
      </c>
      <c r="AB1041" s="1096">
        <f t="shared" si="1880"/>
        <v>0</v>
      </c>
      <c r="AC1041" s="1096">
        <f t="shared" si="1880"/>
        <v>0</v>
      </c>
      <c r="AD1041" s="1096">
        <f t="shared" si="1880"/>
        <v>0</v>
      </c>
      <c r="AE1041" s="1207">
        <f t="shared" si="1880"/>
        <v>0</v>
      </c>
      <c r="AF1041" s="1207">
        <f t="shared" si="1880"/>
        <v>0</v>
      </c>
      <c r="AG1041" s="1096">
        <f t="shared" si="1880"/>
        <v>0</v>
      </c>
      <c r="AH1041" s="1096">
        <f t="shared" si="1880"/>
        <v>0</v>
      </c>
      <c r="AI1041" s="1324">
        <f t="shared" si="1880"/>
        <v>0</v>
      </c>
      <c r="AJ1041" s="38"/>
      <c r="AK1041" s="29"/>
      <c r="AL1041" s="30"/>
      <c r="AM1041" s="694">
        <f t="shared" si="1849"/>
        <v>0</v>
      </c>
      <c r="AN1041" s="31"/>
      <c r="AO1041" s="630"/>
      <c r="AP1041" s="39" t="s">
        <v>91</v>
      </c>
      <c r="AQ1041" s="40">
        <f>SUM(E1040:I1040)</f>
        <v>0</v>
      </c>
      <c r="AR1041" s="41">
        <f>SUM(J1040:P1040)</f>
        <v>0</v>
      </c>
      <c r="AS1041" s="41">
        <f>SUM(Q1040:W1040)</f>
        <v>0</v>
      </c>
      <c r="AT1041" s="41">
        <f>SUM(X1040:AD1040)</f>
        <v>0</v>
      </c>
      <c r="AU1041" s="41">
        <f>SUM(AE1040:AI1040)</f>
        <v>0</v>
      </c>
      <c r="AV1041" s="34">
        <f t="shared" ref="AV1041:AV1046" si="1881">SUM(AQ1041:AU1041)</f>
        <v>0</v>
      </c>
    </row>
    <row r="1042" spans="1:48" ht="25.15" hidden="1" customHeight="1">
      <c r="A1042" s="103"/>
      <c r="B1042" s="26" t="s">
        <v>92</v>
      </c>
      <c r="C1042" s="42"/>
      <c r="D1042" s="43" t="s">
        <v>93</v>
      </c>
      <c r="E1042" s="1325"/>
      <c r="F1042" s="1089"/>
      <c r="G1042" s="44"/>
      <c r="H1042" s="1089"/>
      <c r="I1042" s="1089"/>
      <c r="J1042" s="44"/>
      <c r="K1042" s="44"/>
      <c r="L1042" s="1089"/>
      <c r="M1042" s="1089"/>
      <c r="N1042" s="1089"/>
      <c r="O1042" s="1089"/>
      <c r="P1042" s="1089"/>
      <c r="Q1042" s="44"/>
      <c r="R1042" s="44"/>
      <c r="S1042" s="1089"/>
      <c r="T1042" s="1089"/>
      <c r="U1042" s="1089"/>
      <c r="V1042" s="1089"/>
      <c r="W1042" s="1089"/>
      <c r="X1042" s="44"/>
      <c r="Y1042" s="44"/>
      <c r="Z1042" s="1089"/>
      <c r="AA1042" s="1089"/>
      <c r="AB1042" s="1089"/>
      <c r="AC1042" s="1089"/>
      <c r="AD1042" s="1089"/>
      <c r="AE1042" s="44"/>
      <c r="AF1042" s="44"/>
      <c r="AG1042" s="1089"/>
      <c r="AH1042" s="1089"/>
      <c r="AI1042" s="1326"/>
      <c r="AJ1042" s="45">
        <f>SUM(E1042:AI1042)</f>
        <v>0</v>
      </c>
      <c r="AK1042" s="45"/>
      <c r="AL1042" s="46">
        <f>+AJ1042*AN1040</f>
        <v>0</v>
      </c>
      <c r="AM1042" s="1066">
        <f t="shared" si="1849"/>
        <v>0</v>
      </c>
      <c r="AN1042" s="31"/>
      <c r="AO1042" s="632">
        <f>(AJ1042+AJ1044+AJ1045+AJ1046)*B1044/1000</f>
        <v>0</v>
      </c>
      <c r="AP1042" s="47" t="s">
        <v>94</v>
      </c>
      <c r="AQ1042" s="48">
        <f>SUM(E1042:I1042)</f>
        <v>0</v>
      </c>
      <c r="AR1042" s="49">
        <f>SUM(J1042:P1042)</f>
        <v>0</v>
      </c>
      <c r="AS1042" s="49">
        <f>SUM(Q1042:W1042)</f>
        <v>0</v>
      </c>
      <c r="AT1042" s="49">
        <f>SUM(X1042:AD1042)</f>
        <v>0</v>
      </c>
      <c r="AU1042" s="49">
        <f>SUM(AE1042:AI1042)</f>
        <v>0</v>
      </c>
      <c r="AV1042" s="50">
        <f t="shared" si="1881"/>
        <v>0</v>
      </c>
    </row>
    <row r="1043" spans="1:48" ht="25.15" hidden="1" customHeight="1">
      <c r="A1043" s="103"/>
      <c r="B1043" s="51"/>
      <c r="C1043" s="52" t="s">
        <v>95</v>
      </c>
      <c r="D1043" s="53" t="s">
        <v>96</v>
      </c>
      <c r="E1043" s="1327">
        <f t="shared" ref="E1043:AJ1043" si="1882">+E1042-E1040</f>
        <v>0</v>
      </c>
      <c r="F1043" s="1097">
        <f t="shared" si="1882"/>
        <v>0</v>
      </c>
      <c r="G1043" s="1205">
        <f t="shared" si="1882"/>
        <v>0</v>
      </c>
      <c r="H1043" s="1097">
        <f t="shared" si="1882"/>
        <v>0</v>
      </c>
      <c r="I1043" s="1097">
        <f t="shared" si="1882"/>
        <v>0</v>
      </c>
      <c r="J1043" s="1205">
        <f t="shared" si="1882"/>
        <v>0</v>
      </c>
      <c r="K1043" s="1205">
        <f t="shared" si="1882"/>
        <v>0</v>
      </c>
      <c r="L1043" s="1097">
        <f t="shared" si="1882"/>
        <v>0</v>
      </c>
      <c r="M1043" s="1097">
        <f t="shared" si="1882"/>
        <v>0</v>
      </c>
      <c r="N1043" s="1097">
        <f t="shared" si="1882"/>
        <v>0</v>
      </c>
      <c r="O1043" s="1097">
        <f t="shared" si="1882"/>
        <v>0</v>
      </c>
      <c r="P1043" s="1097">
        <f t="shared" si="1882"/>
        <v>0</v>
      </c>
      <c r="Q1043" s="1205">
        <f t="shared" si="1882"/>
        <v>0</v>
      </c>
      <c r="R1043" s="1205">
        <f t="shared" si="1882"/>
        <v>0</v>
      </c>
      <c r="S1043" s="1097">
        <f t="shared" si="1882"/>
        <v>0</v>
      </c>
      <c r="T1043" s="1097">
        <f t="shared" si="1882"/>
        <v>0</v>
      </c>
      <c r="U1043" s="1097">
        <f t="shared" si="1882"/>
        <v>0</v>
      </c>
      <c r="V1043" s="1097">
        <f t="shared" si="1882"/>
        <v>0</v>
      </c>
      <c r="W1043" s="1097">
        <f t="shared" si="1882"/>
        <v>0</v>
      </c>
      <c r="X1043" s="1205">
        <f t="shared" si="1882"/>
        <v>0</v>
      </c>
      <c r="Y1043" s="1205">
        <f t="shared" si="1882"/>
        <v>0</v>
      </c>
      <c r="Z1043" s="1097">
        <f t="shared" si="1882"/>
        <v>0</v>
      </c>
      <c r="AA1043" s="1097">
        <f t="shared" si="1882"/>
        <v>0</v>
      </c>
      <c r="AB1043" s="1097">
        <f t="shared" si="1882"/>
        <v>0</v>
      </c>
      <c r="AC1043" s="1097">
        <f t="shared" si="1882"/>
        <v>0</v>
      </c>
      <c r="AD1043" s="1097">
        <f t="shared" si="1882"/>
        <v>0</v>
      </c>
      <c r="AE1043" s="1205">
        <f t="shared" si="1882"/>
        <v>0</v>
      </c>
      <c r="AF1043" s="1205">
        <f t="shared" si="1882"/>
        <v>0</v>
      </c>
      <c r="AG1043" s="1097">
        <f t="shared" si="1882"/>
        <v>0</v>
      </c>
      <c r="AH1043" s="1097">
        <f t="shared" si="1882"/>
        <v>0</v>
      </c>
      <c r="AI1043" s="1328">
        <f t="shared" si="1882"/>
        <v>0</v>
      </c>
      <c r="AJ1043" s="54">
        <f t="shared" si="1882"/>
        <v>0</v>
      </c>
      <c r="AK1043" s="54"/>
      <c r="AL1043" s="55">
        <f>+AJ1043*AN1040</f>
        <v>0</v>
      </c>
      <c r="AM1043" s="1067">
        <f t="shared" si="1849"/>
        <v>0</v>
      </c>
      <c r="AN1043" s="31" t="s">
        <v>97</v>
      </c>
      <c r="AO1043" s="622"/>
      <c r="AP1043" s="39" t="s">
        <v>98</v>
      </c>
      <c r="AQ1043" s="56">
        <f>AQ1042-AQ1041</f>
        <v>0</v>
      </c>
      <c r="AR1043" s="70">
        <f>AR1042-AR1041</f>
        <v>0</v>
      </c>
      <c r="AS1043" s="70">
        <f>AS1042-AS1041</f>
        <v>0</v>
      </c>
      <c r="AT1043" s="70">
        <f>AT1042-AT1041</f>
        <v>0</v>
      </c>
      <c r="AU1043" s="70">
        <f>AU1042-AU1041</f>
        <v>0</v>
      </c>
      <c r="AV1043" s="57">
        <f t="shared" si="1881"/>
        <v>0</v>
      </c>
    </row>
    <row r="1044" spans="1:48" ht="25.15" hidden="1" customHeight="1">
      <c r="A1044" s="58"/>
      <c r="B1044" s="59"/>
      <c r="C1044" s="60" t="s">
        <v>100</v>
      </c>
      <c r="D1044" s="61" t="s">
        <v>101</v>
      </c>
      <c r="E1044" s="1329"/>
      <c r="F1044" s="1099"/>
      <c r="G1044" s="1208"/>
      <c r="H1044" s="1099"/>
      <c r="I1044" s="1099"/>
      <c r="J1044" s="1208"/>
      <c r="K1044" s="1208"/>
      <c r="L1044" s="1099"/>
      <c r="M1044" s="1099"/>
      <c r="N1044" s="1099"/>
      <c r="O1044" s="1099"/>
      <c r="P1044" s="1099"/>
      <c r="Q1044" s="1208"/>
      <c r="R1044" s="1208"/>
      <c r="S1044" s="1099"/>
      <c r="T1044" s="1099"/>
      <c r="U1044" s="1099"/>
      <c r="V1044" s="1099"/>
      <c r="W1044" s="1099"/>
      <c r="X1044" s="1208"/>
      <c r="Y1044" s="1208"/>
      <c r="Z1044" s="1099"/>
      <c r="AA1044" s="1099"/>
      <c r="AB1044" s="1099"/>
      <c r="AC1044" s="1099"/>
      <c r="AD1044" s="1099"/>
      <c r="AE1044" s="1208"/>
      <c r="AF1044" s="1208"/>
      <c r="AG1044" s="1099"/>
      <c r="AH1044" s="1099"/>
      <c r="AI1044" s="1330"/>
      <c r="AJ1044" s="62">
        <f>SUM(E1044:AI1044)</f>
        <v>0</v>
      </c>
      <c r="AK1044" s="62"/>
      <c r="AL1044" s="63">
        <f>+AJ1044*AN1040</f>
        <v>0</v>
      </c>
      <c r="AM1044" s="1068">
        <f t="shared" si="1849"/>
        <v>0</v>
      </c>
      <c r="AN1044" s="64" t="e">
        <f>+AJ1044/AJ1042*100</f>
        <v>#DIV/0!</v>
      </c>
      <c r="AO1044" s="635" t="e">
        <f>AO1042/AO1040</f>
        <v>#VALUE!</v>
      </c>
      <c r="AP1044" s="39" t="s">
        <v>102</v>
      </c>
      <c r="AQ1044" s="56">
        <f>SUM(E1044:I1044)</f>
        <v>0</v>
      </c>
      <c r="AR1044" s="70">
        <f>SUM(J1044:P1044)</f>
        <v>0</v>
      </c>
      <c r="AS1044" s="70">
        <f>SUM(Q1044:W1044)</f>
        <v>0</v>
      </c>
      <c r="AT1044" s="70">
        <f>SUM(X1044:AD1044)</f>
        <v>0</v>
      </c>
      <c r="AU1044" s="70">
        <f>SUM(AE1044:AI1044)</f>
        <v>0</v>
      </c>
      <c r="AV1044" s="57">
        <f t="shared" si="1881"/>
        <v>0</v>
      </c>
    </row>
    <row r="1045" spans="1:48" ht="25.15" hidden="1" customHeight="1">
      <c r="A1045" s="58" t="s">
        <v>202</v>
      </c>
      <c r="B1045" s="65"/>
      <c r="C1045" s="66"/>
      <c r="D1045" s="67" t="s">
        <v>103</v>
      </c>
      <c r="E1045" s="1331"/>
      <c r="F1045" s="1101"/>
      <c r="G1045" s="1209"/>
      <c r="H1045" s="1101"/>
      <c r="I1045" s="1101"/>
      <c r="J1045" s="1209"/>
      <c r="K1045" s="1209"/>
      <c r="L1045" s="1101"/>
      <c r="M1045" s="1101"/>
      <c r="N1045" s="1101"/>
      <c r="O1045" s="1101"/>
      <c r="P1045" s="1101"/>
      <c r="Q1045" s="1209"/>
      <c r="R1045" s="1209"/>
      <c r="S1045" s="1101"/>
      <c r="T1045" s="1101"/>
      <c r="U1045" s="1101"/>
      <c r="V1045" s="1101"/>
      <c r="W1045" s="1101"/>
      <c r="X1045" s="1209"/>
      <c r="Y1045" s="1209"/>
      <c r="Z1045" s="1101"/>
      <c r="AA1045" s="1101"/>
      <c r="AB1045" s="1101"/>
      <c r="AC1045" s="1101"/>
      <c r="AD1045" s="1101"/>
      <c r="AE1045" s="1209"/>
      <c r="AF1045" s="1209"/>
      <c r="AG1045" s="1101"/>
      <c r="AH1045" s="1101"/>
      <c r="AI1045" s="1332"/>
      <c r="AJ1045" s="68">
        <f>SUM(E1045:AI1045)</f>
        <v>0</v>
      </c>
      <c r="AK1045" s="68"/>
      <c r="AL1045" s="69">
        <f>+AJ1045*AN1040</f>
        <v>0</v>
      </c>
      <c r="AM1045" s="1069">
        <f t="shared" si="1849"/>
        <v>0</v>
      </c>
      <c r="AN1045" s="31"/>
      <c r="AO1045" s="622"/>
      <c r="AP1045" s="39" t="s">
        <v>19</v>
      </c>
      <c r="AQ1045" s="56">
        <f>AQ1044*AN1040</f>
        <v>0</v>
      </c>
      <c r="AR1045" s="56">
        <f>AR1044*AN1040</f>
        <v>0</v>
      </c>
      <c r="AS1045" s="56">
        <f>AS1044*AN1040</f>
        <v>0</v>
      </c>
      <c r="AT1045" s="56">
        <f>AT1044*AN1040</f>
        <v>0</v>
      </c>
      <c r="AU1045" s="56">
        <f>AU1044*AN1040</f>
        <v>0</v>
      </c>
      <c r="AV1045" s="57">
        <f t="shared" si="1881"/>
        <v>0</v>
      </c>
    </row>
    <row r="1046" spans="1:48" ht="25.15" hidden="1" customHeight="1">
      <c r="A1046" s="103"/>
      <c r="B1046" s="65"/>
      <c r="C1046" s="72" t="s">
        <v>104</v>
      </c>
      <c r="D1046" s="73" t="s">
        <v>105</v>
      </c>
      <c r="E1046" s="1378"/>
      <c r="F1046" s="1103"/>
      <c r="G1046" s="1210"/>
      <c r="H1046" s="1103"/>
      <c r="I1046" s="1103"/>
      <c r="J1046" s="1210"/>
      <c r="K1046" s="1210"/>
      <c r="L1046" s="1103"/>
      <c r="M1046" s="1103"/>
      <c r="N1046" s="1103"/>
      <c r="O1046" s="1103"/>
      <c r="P1046" s="1103"/>
      <c r="Q1046" s="1210"/>
      <c r="R1046" s="1210"/>
      <c r="S1046" s="1103"/>
      <c r="T1046" s="1103"/>
      <c r="U1046" s="1103"/>
      <c r="V1046" s="1103"/>
      <c r="W1046" s="1103"/>
      <c r="X1046" s="1210"/>
      <c r="Y1046" s="1210"/>
      <c r="Z1046" s="1103"/>
      <c r="AA1046" s="1103"/>
      <c r="AB1046" s="1103"/>
      <c r="AC1046" s="1103"/>
      <c r="AD1046" s="1103"/>
      <c r="AE1046" s="1210"/>
      <c r="AF1046" s="1210"/>
      <c r="AG1046" s="1103"/>
      <c r="AH1046" s="1103"/>
      <c r="AI1046" s="1352"/>
      <c r="AJ1046" s="74">
        <f>SUM(E1046:AI1046)</f>
        <v>0</v>
      </c>
      <c r="AK1046" s="74"/>
      <c r="AL1046" s="75">
        <f>+AJ1046*AN1040</f>
        <v>0</v>
      </c>
      <c r="AM1046" s="1070">
        <f t="shared" si="1849"/>
        <v>0</v>
      </c>
      <c r="AN1046" s="76"/>
      <c r="AO1046" s="636"/>
      <c r="AP1046" s="47" t="s">
        <v>106</v>
      </c>
      <c r="AQ1046" s="48">
        <f>AQ1042*AN1040</f>
        <v>0</v>
      </c>
      <c r="AR1046" s="48">
        <f>AR1042*AN1040</f>
        <v>0</v>
      </c>
      <c r="AS1046" s="48">
        <f>AS1042*AN1040</f>
        <v>0</v>
      </c>
      <c r="AT1046" s="48">
        <f>AT1042*AN1040</f>
        <v>0</v>
      </c>
      <c r="AU1046" s="48">
        <f>AU1042*AN1040</f>
        <v>0</v>
      </c>
      <c r="AV1046" s="50">
        <f t="shared" si="1881"/>
        <v>0</v>
      </c>
    </row>
    <row r="1047" spans="1:48" ht="25.15" hidden="1" customHeight="1">
      <c r="A1047" s="103"/>
      <c r="B1047" s="65"/>
      <c r="C1047" s="77">
        <v>300000</v>
      </c>
      <c r="D1047" s="78" t="s">
        <v>107</v>
      </c>
      <c r="E1047" s="1327">
        <v>1</v>
      </c>
      <c r="F1047" s="1097">
        <v>1</v>
      </c>
      <c r="G1047" s="1205">
        <v>1</v>
      </c>
      <c r="H1047" s="1097">
        <v>1</v>
      </c>
      <c r="I1047" s="1097">
        <v>1</v>
      </c>
      <c r="J1047" s="1205">
        <v>1</v>
      </c>
      <c r="K1047" s="1205">
        <v>1</v>
      </c>
      <c r="L1047" s="1097">
        <v>1</v>
      </c>
      <c r="M1047" s="1097">
        <v>1</v>
      </c>
      <c r="N1047" s="1097">
        <v>1</v>
      </c>
      <c r="O1047" s="1097">
        <v>1</v>
      </c>
      <c r="P1047" s="1097">
        <v>1</v>
      </c>
      <c r="Q1047" s="1205">
        <v>1</v>
      </c>
      <c r="R1047" s="1205">
        <v>1</v>
      </c>
      <c r="S1047" s="1097">
        <v>1</v>
      </c>
      <c r="T1047" s="1097">
        <v>1</v>
      </c>
      <c r="U1047" s="1097">
        <v>1</v>
      </c>
      <c r="V1047" s="1097">
        <v>1</v>
      </c>
      <c r="W1047" s="1097">
        <v>1</v>
      </c>
      <c r="X1047" s="1205">
        <v>1</v>
      </c>
      <c r="Y1047" s="1205">
        <v>1</v>
      </c>
      <c r="Z1047" s="1097">
        <v>1</v>
      </c>
      <c r="AA1047" s="1097">
        <v>1</v>
      </c>
      <c r="AB1047" s="1097">
        <v>1</v>
      </c>
      <c r="AC1047" s="1097">
        <v>1</v>
      </c>
      <c r="AD1047" s="1097">
        <v>1</v>
      </c>
      <c r="AE1047" s="1205">
        <v>1</v>
      </c>
      <c r="AF1047" s="1205">
        <v>1</v>
      </c>
      <c r="AG1047" s="1097">
        <v>1</v>
      </c>
      <c r="AH1047" s="1097">
        <v>1</v>
      </c>
      <c r="AI1047" s="1328">
        <v>1</v>
      </c>
      <c r="AJ1047" s="79"/>
      <c r="AK1047" s="79"/>
      <c r="AL1047" s="55"/>
      <c r="AM1047" s="1067">
        <f t="shared" si="1849"/>
        <v>0</v>
      </c>
      <c r="AN1047" s="31"/>
      <c r="AO1047" s="622"/>
      <c r="AP1047" s="23"/>
      <c r="AQ1047" s="23"/>
      <c r="AR1047" s="23"/>
      <c r="AS1047" s="23"/>
      <c r="AT1047" s="23"/>
      <c r="AU1047" s="23"/>
      <c r="AV1047" s="23"/>
    </row>
    <row r="1048" spans="1:48" ht="25.15" hidden="1" customHeight="1">
      <c r="A1048" s="103"/>
      <c r="B1048" s="65"/>
      <c r="C1048" s="80" t="s">
        <v>108</v>
      </c>
      <c r="D1048" s="81" t="s">
        <v>109</v>
      </c>
      <c r="E1048" s="1374">
        <f>SUM(E1042+E1044+E1045+E1046)/E1047</f>
        <v>0</v>
      </c>
      <c r="F1048" s="1104">
        <f>SUM(F1042+F1044+F1045+F1046)/F1047</f>
        <v>0</v>
      </c>
      <c r="G1048" s="1211">
        <f>SUM(G1042+G1044+G1045+G1046)/G1047</f>
        <v>0</v>
      </c>
      <c r="H1048" s="1104">
        <f t="shared" ref="H1048:AH1048" si="1883">SUM(H1042+H1044+H1045+H1046)/H1047</f>
        <v>0</v>
      </c>
      <c r="I1048" s="1104">
        <f t="shared" si="1883"/>
        <v>0</v>
      </c>
      <c r="J1048" s="1211">
        <f t="shared" si="1883"/>
        <v>0</v>
      </c>
      <c r="K1048" s="1211">
        <f t="shared" si="1883"/>
        <v>0</v>
      </c>
      <c r="L1048" s="1104">
        <f t="shared" si="1883"/>
        <v>0</v>
      </c>
      <c r="M1048" s="1104">
        <f t="shared" si="1883"/>
        <v>0</v>
      </c>
      <c r="N1048" s="1104">
        <f t="shared" si="1883"/>
        <v>0</v>
      </c>
      <c r="O1048" s="1104">
        <f t="shared" si="1883"/>
        <v>0</v>
      </c>
      <c r="P1048" s="1104">
        <f t="shared" si="1883"/>
        <v>0</v>
      </c>
      <c r="Q1048" s="1211">
        <f t="shared" si="1883"/>
        <v>0</v>
      </c>
      <c r="R1048" s="1211">
        <f t="shared" si="1883"/>
        <v>0</v>
      </c>
      <c r="S1048" s="1104">
        <f t="shared" si="1883"/>
        <v>0</v>
      </c>
      <c r="T1048" s="1104">
        <f t="shared" si="1883"/>
        <v>0</v>
      </c>
      <c r="U1048" s="1104">
        <f t="shared" si="1883"/>
        <v>0</v>
      </c>
      <c r="V1048" s="1104">
        <f t="shared" si="1883"/>
        <v>0</v>
      </c>
      <c r="W1048" s="1104">
        <f t="shared" si="1883"/>
        <v>0</v>
      </c>
      <c r="X1048" s="1211">
        <f t="shared" si="1883"/>
        <v>0</v>
      </c>
      <c r="Y1048" s="1211">
        <f t="shared" si="1883"/>
        <v>0</v>
      </c>
      <c r="Z1048" s="1104">
        <f t="shared" si="1883"/>
        <v>0</v>
      </c>
      <c r="AA1048" s="1104">
        <f t="shared" si="1883"/>
        <v>0</v>
      </c>
      <c r="AB1048" s="1104">
        <f t="shared" si="1883"/>
        <v>0</v>
      </c>
      <c r="AC1048" s="1104">
        <f t="shared" si="1883"/>
        <v>0</v>
      </c>
      <c r="AD1048" s="1104">
        <f t="shared" si="1883"/>
        <v>0</v>
      </c>
      <c r="AE1048" s="1211">
        <f t="shared" si="1883"/>
        <v>0</v>
      </c>
      <c r="AF1048" s="1211">
        <f t="shared" si="1883"/>
        <v>0</v>
      </c>
      <c r="AG1048" s="1104">
        <f t="shared" si="1883"/>
        <v>0</v>
      </c>
      <c r="AH1048" s="1104">
        <f t="shared" si="1883"/>
        <v>0</v>
      </c>
      <c r="AI1048" s="1335">
        <f>SUM(AI1042+AI1044+AI1045)/AI1047</f>
        <v>0</v>
      </c>
      <c r="AJ1048" s="104">
        <f>SUM(E1048:AI1048)</f>
        <v>0</v>
      </c>
      <c r="AK1048" s="104"/>
      <c r="AL1048" s="83"/>
      <c r="AM1048" s="1068">
        <f t="shared" si="1849"/>
        <v>0</v>
      </c>
      <c r="AN1048" s="31"/>
      <c r="AO1048" s="622"/>
      <c r="AP1048" s="23"/>
      <c r="AQ1048" s="23"/>
      <c r="AR1048" s="23"/>
      <c r="AS1048" s="23"/>
      <c r="AT1048" s="23"/>
      <c r="AU1048" s="23"/>
      <c r="AV1048" s="23"/>
    </row>
    <row r="1049" spans="1:48" ht="25.15" hidden="1" customHeight="1">
      <c r="A1049" s="103"/>
      <c r="B1049" s="59"/>
      <c r="C1049" s="84">
        <f>+C1047*0.8</f>
        <v>240000</v>
      </c>
      <c r="D1049" s="85" t="s">
        <v>110</v>
      </c>
      <c r="E1049" s="1105"/>
      <c r="F1049" s="1106"/>
      <c r="G1049" s="1211"/>
      <c r="H1049" s="1104"/>
      <c r="I1049" s="1104"/>
      <c r="J1049" s="1211"/>
      <c r="K1049" s="1211"/>
      <c r="L1049" s="1104"/>
      <c r="M1049" s="1104"/>
      <c r="N1049" s="1104"/>
      <c r="O1049" s="1107"/>
      <c r="P1049" s="1104"/>
      <c r="Q1049" s="1211"/>
      <c r="R1049" s="1211"/>
      <c r="S1049" s="1104"/>
      <c r="T1049" s="1104"/>
      <c r="U1049" s="1104"/>
      <c r="V1049" s="1104"/>
      <c r="W1049" s="1104"/>
      <c r="X1049" s="1211"/>
      <c r="Y1049" s="1211"/>
      <c r="Z1049" s="1104"/>
      <c r="AA1049" s="1104"/>
      <c r="AB1049" s="1104"/>
      <c r="AC1049" s="1104"/>
      <c r="AD1049" s="1104"/>
      <c r="AE1049" s="1211"/>
      <c r="AF1049" s="1211"/>
      <c r="AG1049" s="1104"/>
      <c r="AH1049" s="1104"/>
      <c r="AI1049" s="1353"/>
      <c r="AJ1049" s="86"/>
      <c r="AK1049" s="86"/>
      <c r="AL1049" s="690"/>
      <c r="AM1049" s="694">
        <f t="shared" si="1849"/>
        <v>0</v>
      </c>
      <c r="AN1049" s="31"/>
      <c r="AO1049" s="622"/>
      <c r="AP1049" s="23"/>
      <c r="AQ1049" s="23"/>
      <c r="AR1049" s="23"/>
      <c r="AS1049" s="23"/>
      <c r="AT1049" s="23"/>
      <c r="AU1049" s="23"/>
      <c r="AV1049" s="23"/>
    </row>
    <row r="1050" spans="1:48" ht="25.15" hidden="1" customHeight="1">
      <c r="A1050" s="103"/>
      <c r="B1050" s="105"/>
      <c r="C1050" s="77"/>
      <c r="D1050" s="88" t="s">
        <v>111</v>
      </c>
      <c r="E1050" s="1108">
        <f>IF(E1049="O/H",E1048,0+E1048)</f>
        <v>0</v>
      </c>
      <c r="F1050" s="1089">
        <f t="shared" ref="F1050:AI1050" si="1884">IF(F1049="O/H",F1048,+E1050+F1048)</f>
        <v>0</v>
      </c>
      <c r="G1050" s="44">
        <f t="shared" si="1884"/>
        <v>0</v>
      </c>
      <c r="H1050" s="1089">
        <f t="shared" si="1884"/>
        <v>0</v>
      </c>
      <c r="I1050" s="1089">
        <f t="shared" si="1884"/>
        <v>0</v>
      </c>
      <c r="J1050" s="44">
        <f t="shared" si="1884"/>
        <v>0</v>
      </c>
      <c r="K1050" s="44">
        <f t="shared" si="1884"/>
        <v>0</v>
      </c>
      <c r="L1050" s="1089">
        <f t="shared" si="1884"/>
        <v>0</v>
      </c>
      <c r="M1050" s="1089">
        <f t="shared" si="1884"/>
        <v>0</v>
      </c>
      <c r="N1050" s="1089">
        <f t="shared" si="1884"/>
        <v>0</v>
      </c>
      <c r="O1050" s="1089">
        <f t="shared" si="1884"/>
        <v>0</v>
      </c>
      <c r="P1050" s="1089">
        <f t="shared" si="1884"/>
        <v>0</v>
      </c>
      <c r="Q1050" s="44">
        <f t="shared" si="1884"/>
        <v>0</v>
      </c>
      <c r="R1050" s="44">
        <f t="shared" si="1884"/>
        <v>0</v>
      </c>
      <c r="S1050" s="1089">
        <f t="shared" si="1884"/>
        <v>0</v>
      </c>
      <c r="T1050" s="1089">
        <f t="shared" si="1884"/>
        <v>0</v>
      </c>
      <c r="U1050" s="1089">
        <f t="shared" si="1884"/>
        <v>0</v>
      </c>
      <c r="V1050" s="1089">
        <f t="shared" si="1884"/>
        <v>0</v>
      </c>
      <c r="W1050" s="1089">
        <f t="shared" si="1884"/>
        <v>0</v>
      </c>
      <c r="X1050" s="44">
        <f t="shared" si="1884"/>
        <v>0</v>
      </c>
      <c r="Y1050" s="44">
        <f t="shared" si="1884"/>
        <v>0</v>
      </c>
      <c r="Z1050" s="1089">
        <f t="shared" si="1884"/>
        <v>0</v>
      </c>
      <c r="AA1050" s="1089">
        <f t="shared" si="1884"/>
        <v>0</v>
      </c>
      <c r="AB1050" s="1089">
        <f t="shared" si="1884"/>
        <v>0</v>
      </c>
      <c r="AC1050" s="1089">
        <f t="shared" si="1884"/>
        <v>0</v>
      </c>
      <c r="AD1050" s="1089">
        <f t="shared" si="1884"/>
        <v>0</v>
      </c>
      <c r="AE1050" s="44">
        <f t="shared" si="1884"/>
        <v>0</v>
      </c>
      <c r="AF1050" s="44">
        <f t="shared" si="1884"/>
        <v>0</v>
      </c>
      <c r="AG1050" s="1089">
        <f t="shared" si="1884"/>
        <v>0</v>
      </c>
      <c r="AH1050" s="1089">
        <f t="shared" si="1884"/>
        <v>0</v>
      </c>
      <c r="AI1050" s="1326">
        <f t="shared" si="1884"/>
        <v>0</v>
      </c>
      <c r="AJ1050" s="79"/>
      <c r="AK1050" s="86"/>
      <c r="AL1050" s="689"/>
      <c r="AM1050" s="694">
        <f t="shared" si="1849"/>
        <v>0</v>
      </c>
      <c r="AN1050" s="31"/>
      <c r="AO1050" s="622"/>
      <c r="AP1050" s="23"/>
      <c r="AQ1050" s="23"/>
      <c r="AR1050" s="23"/>
      <c r="AS1050" s="23"/>
      <c r="AT1050" s="23"/>
      <c r="AU1050" s="23"/>
      <c r="AV1050" s="23"/>
    </row>
    <row r="1051" spans="1:48" s="23" customFormat="1" ht="20.65" hidden="1" customHeight="1">
      <c r="A1051" s="274"/>
      <c r="B1051" s="312"/>
      <c r="C1051" s="308"/>
      <c r="D1051" s="795" t="s">
        <v>112</v>
      </c>
      <c r="E1051" s="1108" t="b">
        <f>IF(AND(ISNUMBER(E1042)),314508+E1048)</f>
        <v>0</v>
      </c>
      <c r="F1051" s="1089" t="str">
        <f>IF(AND(ISNUMBER(F1042)),E1051+F1048,"")</f>
        <v/>
      </c>
      <c r="G1051" s="44" t="str">
        <f t="shared" ref="G1051" si="1885">IF(AND(ISNUMBER(G1042)),F1051+G1048,"")</f>
        <v/>
      </c>
      <c r="H1051" s="1089" t="str">
        <f t="shared" ref="H1051" si="1886">IF(AND(ISNUMBER(H1042)),G1051+H1048,"")</f>
        <v/>
      </c>
      <c r="I1051" s="1089" t="str">
        <f>IF(AND(ISNUMBER(I1042)),H1051+I1048,"")</f>
        <v/>
      </c>
      <c r="J1051" s="44" t="str">
        <f>IF(AND(ISNUMBER(J1042)),I1051+J1048,"")</f>
        <v/>
      </c>
      <c r="K1051" s="44" t="str">
        <f>IF(AND(ISNUMBER(K1042)),J1051+K1048,"")</f>
        <v/>
      </c>
      <c r="L1051" s="1089" t="str">
        <f t="shared" ref="L1051" si="1887">IF(AND(ISNUMBER(L1042)),K1051+L1048,"")</f>
        <v/>
      </c>
      <c r="M1051" s="1089" t="str">
        <f t="shared" ref="M1051" si="1888">IF(AND(ISNUMBER(M1042)),L1051+M1048,"")</f>
        <v/>
      </c>
      <c r="N1051" s="1089" t="str">
        <f t="shared" ref="N1051" si="1889">IF(AND(ISNUMBER(N1042)),M1051+N1048,"")</f>
        <v/>
      </c>
      <c r="O1051" s="1089" t="str">
        <f t="shared" ref="O1051" si="1890">IF(AND(ISNUMBER(O1042)),N1051+O1048,"")</f>
        <v/>
      </c>
      <c r="P1051" s="1089" t="str">
        <f t="shared" ref="P1051" si="1891">IF(AND(ISNUMBER(P1042)),O1051+P1048,"")</f>
        <v/>
      </c>
      <c r="Q1051" s="44" t="str">
        <f t="shared" ref="Q1051" si="1892">IF(AND(ISNUMBER(Q1042)),P1051+Q1048,"")</f>
        <v/>
      </c>
      <c r="R1051" s="44" t="str">
        <f t="shared" ref="R1051" si="1893">IF(AND(ISNUMBER(R1042)),Q1051+R1048,"")</f>
        <v/>
      </c>
      <c r="S1051" s="1089" t="str">
        <f t="shared" ref="S1051" si="1894">IF(AND(ISNUMBER(S1042)),R1051+S1048,"")</f>
        <v/>
      </c>
      <c r="T1051" s="1089" t="str">
        <f t="shared" ref="T1051" si="1895">IF(AND(ISNUMBER(T1042)),S1051+T1048,"")</f>
        <v/>
      </c>
      <c r="U1051" s="1089" t="str">
        <f t="shared" ref="U1051" si="1896">IF(AND(ISNUMBER(U1042)),T1051+U1048,"")</f>
        <v/>
      </c>
      <c r="V1051" s="1089" t="str">
        <f t="shared" ref="V1051" si="1897">IF(AND(ISNUMBER(V1042)),U1051+V1048,"")</f>
        <v/>
      </c>
      <c r="W1051" s="1089" t="str">
        <f t="shared" ref="W1051" si="1898">IF(AND(ISNUMBER(W1042)),V1051+W1048,"")</f>
        <v/>
      </c>
      <c r="X1051" s="44" t="str">
        <f t="shared" ref="X1051" si="1899">IF(AND(ISNUMBER(X1042)),W1051+X1048,"")</f>
        <v/>
      </c>
      <c r="Y1051" s="44" t="str">
        <f t="shared" ref="Y1051" si="1900">IF(AND(ISNUMBER(Y1042)),X1051+Y1048,"")</f>
        <v/>
      </c>
      <c r="Z1051" s="1089" t="str">
        <f t="shared" ref="Z1051" si="1901">IF(AND(ISNUMBER(Z1042)),Y1051+Z1048,"")</f>
        <v/>
      </c>
      <c r="AA1051" s="1089" t="str">
        <f t="shared" ref="AA1051" si="1902">IF(AND(ISNUMBER(AA1042)),Z1051+AA1048,"")</f>
        <v/>
      </c>
      <c r="AB1051" s="1089" t="str">
        <f t="shared" ref="AB1051" si="1903">IF(AND(ISNUMBER(AB1042)),AA1051+AB1048,"")</f>
        <v/>
      </c>
      <c r="AC1051" s="1089" t="str">
        <f t="shared" ref="AC1051" si="1904">IF(AND(ISNUMBER(AC1042)),AB1051+AC1048,"")</f>
        <v/>
      </c>
      <c r="AD1051" s="1089" t="str">
        <f t="shared" ref="AD1051" si="1905">IF(AND(ISNUMBER(AD1042)),AC1051+AD1048,"")</f>
        <v/>
      </c>
      <c r="AE1051" s="44" t="str">
        <f t="shared" ref="AE1051" si="1906">IF(AND(ISNUMBER(AE1042)),AD1051+AE1048,"")</f>
        <v/>
      </c>
      <c r="AF1051" s="44" t="str">
        <f t="shared" ref="AF1051" si="1907">IF(AND(ISNUMBER(AF1042)),AE1051+AF1048,"")</f>
        <v/>
      </c>
      <c r="AG1051" s="1089" t="str">
        <f t="shared" ref="AG1051" si="1908">IF(AND(ISNUMBER(AG1042)),AF1051+AG1048,"")</f>
        <v/>
      </c>
      <c r="AH1051" s="1089" t="str">
        <f t="shared" ref="AH1051" si="1909">IF(AND(ISNUMBER(AH1042)),AG1051+AH1048,"")</f>
        <v/>
      </c>
      <c r="AI1051" s="1089" t="str">
        <f t="shared" ref="AI1051" si="1910">IF(AND(ISNUMBER(AI1042)),AH1051+AI1048,"")</f>
        <v/>
      </c>
      <c r="AJ1051" s="793"/>
      <c r="AK1051" s="793"/>
      <c r="AL1051" s="909"/>
      <c r="AM1051" s="890">
        <f t="shared" si="1849"/>
        <v>0</v>
      </c>
      <c r="AN1051" s="76"/>
      <c r="AO1051" s="624"/>
      <c r="AP1051" s="285"/>
      <c r="AQ1051" s="285"/>
      <c r="AR1051" s="285"/>
      <c r="AS1051" s="285"/>
      <c r="AT1051" s="286"/>
      <c r="AU1051" s="285"/>
      <c r="AV1051" s="287"/>
    </row>
    <row r="1052" spans="1:48" ht="25.15" hidden="1" customHeight="1">
      <c r="A1052" s="103"/>
      <c r="B1052" s="89"/>
      <c r="C1052" s="80"/>
      <c r="D1052" s="90" t="s">
        <v>104</v>
      </c>
      <c r="E1052" s="1108"/>
      <c r="F1052" s="1089"/>
      <c r="G1052" s="44"/>
      <c r="H1052" s="1089"/>
      <c r="I1052" s="1089"/>
      <c r="J1052" s="44"/>
      <c r="K1052" s="44"/>
      <c r="L1052" s="1089"/>
      <c r="M1052" s="1089"/>
      <c r="N1052" s="1089"/>
      <c r="O1052" s="1089"/>
      <c r="P1052" s="1089"/>
      <c r="Q1052" s="44"/>
      <c r="R1052" s="44"/>
      <c r="S1052" s="1089"/>
      <c r="T1052" s="1089"/>
      <c r="U1052" s="1089"/>
      <c r="V1052" s="1089"/>
      <c r="W1052" s="1089"/>
      <c r="X1052" s="44"/>
      <c r="Y1052" s="44"/>
      <c r="Z1052" s="1089"/>
      <c r="AA1052" s="1089"/>
      <c r="AB1052" s="1089"/>
      <c r="AC1052" s="1089"/>
      <c r="AD1052" s="1089"/>
      <c r="AE1052" s="44"/>
      <c r="AF1052" s="44"/>
      <c r="AG1052" s="1089"/>
      <c r="AH1052" s="1089"/>
      <c r="AI1052" s="1326"/>
      <c r="AJ1052" s="79"/>
      <c r="AK1052" s="79"/>
      <c r="AL1052" s="63"/>
      <c r="AM1052" s="1068">
        <f t="shared" si="1849"/>
        <v>0</v>
      </c>
      <c r="AN1052" s="64"/>
      <c r="AO1052" s="624"/>
      <c r="AP1052" s="23"/>
      <c r="AQ1052" s="23"/>
      <c r="AR1052" s="23"/>
      <c r="AS1052" s="23"/>
      <c r="AT1052" s="23"/>
      <c r="AU1052" s="23"/>
      <c r="AV1052" s="23"/>
    </row>
    <row r="1053" spans="1:48" ht="25.15" hidden="1" customHeight="1" thickBot="1">
      <c r="A1053" s="106"/>
      <c r="B1053" s="93"/>
      <c r="C1053" s="94"/>
      <c r="D1053" s="95" t="s">
        <v>111</v>
      </c>
      <c r="E1053" s="1109">
        <f>IF(E1052="O/H",E1048,55890+E1048)</f>
        <v>55890</v>
      </c>
      <c r="F1053" s="1110">
        <f t="shared" ref="F1053:AI1053" si="1911">IF(F1052="O/H",F1048,+E1053+F1048)</f>
        <v>55890</v>
      </c>
      <c r="G1053" s="1212">
        <f t="shared" si="1911"/>
        <v>55890</v>
      </c>
      <c r="H1053" s="1110">
        <f t="shared" si="1911"/>
        <v>55890</v>
      </c>
      <c r="I1053" s="1110">
        <f t="shared" si="1911"/>
        <v>55890</v>
      </c>
      <c r="J1053" s="1212">
        <f t="shared" si="1911"/>
        <v>55890</v>
      </c>
      <c r="K1053" s="1212">
        <f t="shared" si="1911"/>
        <v>55890</v>
      </c>
      <c r="L1053" s="1110">
        <f t="shared" si="1911"/>
        <v>55890</v>
      </c>
      <c r="M1053" s="1110">
        <f t="shared" si="1911"/>
        <v>55890</v>
      </c>
      <c r="N1053" s="1110">
        <f t="shared" si="1911"/>
        <v>55890</v>
      </c>
      <c r="O1053" s="1110">
        <f t="shared" si="1911"/>
        <v>55890</v>
      </c>
      <c r="P1053" s="1110">
        <f t="shared" si="1911"/>
        <v>55890</v>
      </c>
      <c r="Q1053" s="1212">
        <f t="shared" si="1911"/>
        <v>55890</v>
      </c>
      <c r="R1053" s="1212">
        <f t="shared" si="1911"/>
        <v>55890</v>
      </c>
      <c r="S1053" s="1110">
        <f t="shared" si="1911"/>
        <v>55890</v>
      </c>
      <c r="T1053" s="1110">
        <f t="shared" si="1911"/>
        <v>55890</v>
      </c>
      <c r="U1053" s="1110">
        <f t="shared" si="1911"/>
        <v>55890</v>
      </c>
      <c r="V1053" s="1110">
        <f t="shared" si="1911"/>
        <v>55890</v>
      </c>
      <c r="W1053" s="1110">
        <f t="shared" si="1911"/>
        <v>55890</v>
      </c>
      <c r="X1053" s="1212">
        <f t="shared" si="1911"/>
        <v>55890</v>
      </c>
      <c r="Y1053" s="1212">
        <f t="shared" si="1911"/>
        <v>55890</v>
      </c>
      <c r="Z1053" s="1110">
        <f t="shared" si="1911"/>
        <v>55890</v>
      </c>
      <c r="AA1053" s="1110">
        <f t="shared" si="1911"/>
        <v>55890</v>
      </c>
      <c r="AB1053" s="1110">
        <f t="shared" si="1911"/>
        <v>55890</v>
      </c>
      <c r="AC1053" s="1110">
        <f t="shared" si="1911"/>
        <v>55890</v>
      </c>
      <c r="AD1053" s="1110">
        <f t="shared" si="1911"/>
        <v>55890</v>
      </c>
      <c r="AE1053" s="1212">
        <f t="shared" si="1911"/>
        <v>55890</v>
      </c>
      <c r="AF1053" s="1212">
        <f t="shared" si="1911"/>
        <v>55890</v>
      </c>
      <c r="AG1053" s="1110">
        <f t="shared" si="1911"/>
        <v>55890</v>
      </c>
      <c r="AH1053" s="1110">
        <f t="shared" si="1911"/>
        <v>55890</v>
      </c>
      <c r="AI1053" s="1340">
        <f t="shared" si="1911"/>
        <v>55890</v>
      </c>
      <c r="AJ1053" s="96"/>
      <c r="AK1053" s="96"/>
      <c r="AL1053" s="97"/>
      <c r="AM1053" s="1071">
        <f t="shared" si="1849"/>
        <v>0</v>
      </c>
      <c r="AN1053" s="98"/>
      <c r="AO1053" s="625"/>
      <c r="AP1053" s="23"/>
      <c r="AQ1053" s="23"/>
      <c r="AR1053" s="23"/>
      <c r="AS1053" s="23"/>
      <c r="AT1053" s="23"/>
      <c r="AU1053" s="23"/>
      <c r="AV1053" s="23"/>
    </row>
    <row r="1054" spans="1:48" ht="25.15" hidden="1" customHeight="1" thickTop="1">
      <c r="A1054" s="99"/>
      <c r="B1054" s="26" t="s">
        <v>142</v>
      </c>
      <c r="C1054" s="27"/>
      <c r="D1054" s="28" t="s">
        <v>82</v>
      </c>
      <c r="E1054" s="1111"/>
      <c r="F1054" s="1111"/>
      <c r="G1054" s="1201"/>
      <c r="H1054" s="1111"/>
      <c r="I1054" s="1111"/>
      <c r="J1054" s="1201"/>
      <c r="K1054" s="1201"/>
      <c r="L1054" s="1111"/>
      <c r="M1054" s="1111"/>
      <c r="N1054" s="1111"/>
      <c r="O1054" s="1111"/>
      <c r="P1054" s="1111"/>
      <c r="Q1054" s="1201"/>
      <c r="R1054" s="1201"/>
      <c r="S1054" s="1111"/>
      <c r="T1054" s="1111"/>
      <c r="U1054" s="1111"/>
      <c r="V1054" s="1111"/>
      <c r="W1054" s="1111"/>
      <c r="X1054" s="1201"/>
      <c r="Y1054" s="1201"/>
      <c r="Z1054" s="1111"/>
      <c r="AA1054" s="1111"/>
      <c r="AB1054" s="1111"/>
      <c r="AC1054" s="1111"/>
      <c r="AD1054" s="1111"/>
      <c r="AE1054" s="1201"/>
      <c r="AF1054" s="1201"/>
      <c r="AG1054" s="1111"/>
      <c r="AH1054" s="1111"/>
      <c r="AI1054" s="1111"/>
      <c r="AJ1054" s="100">
        <f>SUM(Table75[[#This Row],[June''2026]:[Column27]])</f>
        <v>0</v>
      </c>
      <c r="AK1054" s="100"/>
      <c r="AL1054" s="101">
        <f>+AJ1054*AN1054</f>
        <v>0</v>
      </c>
      <c r="AM1054" s="1072">
        <f t="shared" si="1849"/>
        <v>0</v>
      </c>
      <c r="AN1054" s="102"/>
      <c r="AO1054" s="622" t="e">
        <f>Table5[[#This Row],[Total]]*B1058/1000</f>
        <v>#VALUE!</v>
      </c>
      <c r="AP1054" s="32" t="s">
        <v>193</v>
      </c>
      <c r="AQ1054" s="33" t="s">
        <v>84</v>
      </c>
      <c r="AR1054" s="33" t="s">
        <v>85</v>
      </c>
      <c r="AS1054" s="33" t="s">
        <v>86</v>
      </c>
      <c r="AT1054" s="33" t="s">
        <v>87</v>
      </c>
      <c r="AU1054" s="33" t="s">
        <v>88</v>
      </c>
      <c r="AV1054" s="34" t="s">
        <v>68</v>
      </c>
    </row>
    <row r="1055" spans="1:48" ht="25.15" hidden="1" customHeight="1">
      <c r="A1055" s="103"/>
      <c r="B1055" s="35" t="s">
        <v>143</v>
      </c>
      <c r="C1055" s="36"/>
      <c r="D1055" s="37" t="s">
        <v>90</v>
      </c>
      <c r="E1055" s="1373">
        <f>IF(E1054="",0,+ E1054/E1061)</f>
        <v>0</v>
      </c>
      <c r="F1055" s="1096">
        <f t="shared" ref="F1055:AI1055" si="1912">IF(F1054="",0, E1055+F1054/F1061)</f>
        <v>0</v>
      </c>
      <c r="G1055" s="1207">
        <f t="shared" si="1912"/>
        <v>0</v>
      </c>
      <c r="H1055" s="1096">
        <f t="shared" si="1912"/>
        <v>0</v>
      </c>
      <c r="I1055" s="1096">
        <f t="shared" si="1912"/>
        <v>0</v>
      </c>
      <c r="J1055" s="1207">
        <f t="shared" si="1912"/>
        <v>0</v>
      </c>
      <c r="K1055" s="1207">
        <f t="shared" si="1912"/>
        <v>0</v>
      </c>
      <c r="L1055" s="1096">
        <f t="shared" si="1912"/>
        <v>0</v>
      </c>
      <c r="M1055" s="1096">
        <f t="shared" si="1912"/>
        <v>0</v>
      </c>
      <c r="N1055" s="1096">
        <f t="shared" si="1912"/>
        <v>0</v>
      </c>
      <c r="O1055" s="1096">
        <f t="shared" si="1912"/>
        <v>0</v>
      </c>
      <c r="P1055" s="1096">
        <f t="shared" si="1912"/>
        <v>0</v>
      </c>
      <c r="Q1055" s="1207">
        <f t="shared" si="1912"/>
        <v>0</v>
      </c>
      <c r="R1055" s="1207">
        <f t="shared" si="1912"/>
        <v>0</v>
      </c>
      <c r="S1055" s="1096">
        <f t="shared" si="1912"/>
        <v>0</v>
      </c>
      <c r="T1055" s="1096">
        <f t="shared" si="1912"/>
        <v>0</v>
      </c>
      <c r="U1055" s="1096">
        <f t="shared" si="1912"/>
        <v>0</v>
      </c>
      <c r="V1055" s="1096">
        <f t="shared" si="1912"/>
        <v>0</v>
      </c>
      <c r="W1055" s="1096">
        <f t="shared" si="1912"/>
        <v>0</v>
      </c>
      <c r="X1055" s="1207">
        <f t="shared" si="1912"/>
        <v>0</v>
      </c>
      <c r="Y1055" s="1207">
        <f t="shared" si="1912"/>
        <v>0</v>
      </c>
      <c r="Z1055" s="1096">
        <f t="shared" si="1912"/>
        <v>0</v>
      </c>
      <c r="AA1055" s="1096">
        <f t="shared" si="1912"/>
        <v>0</v>
      </c>
      <c r="AB1055" s="1096">
        <f t="shared" si="1912"/>
        <v>0</v>
      </c>
      <c r="AC1055" s="1096">
        <f t="shared" si="1912"/>
        <v>0</v>
      </c>
      <c r="AD1055" s="1096">
        <f t="shared" si="1912"/>
        <v>0</v>
      </c>
      <c r="AE1055" s="1207">
        <f t="shared" si="1912"/>
        <v>0</v>
      </c>
      <c r="AF1055" s="1207">
        <f t="shared" si="1912"/>
        <v>0</v>
      </c>
      <c r="AG1055" s="1096">
        <f t="shared" si="1912"/>
        <v>0</v>
      </c>
      <c r="AH1055" s="1096">
        <f t="shared" si="1912"/>
        <v>0</v>
      </c>
      <c r="AI1055" s="1324">
        <f t="shared" si="1912"/>
        <v>0</v>
      </c>
      <c r="AJ1055" s="38"/>
      <c r="AK1055" s="29"/>
      <c r="AL1055" s="30"/>
      <c r="AM1055" s="694">
        <f t="shared" si="1849"/>
        <v>0</v>
      </c>
      <c r="AN1055" s="31"/>
      <c r="AO1055" s="630"/>
      <c r="AP1055" s="39" t="s">
        <v>91</v>
      </c>
      <c r="AQ1055" s="40">
        <f>SUM(E1054:I1054)</f>
        <v>0</v>
      </c>
      <c r="AR1055" s="41">
        <f>SUM(J1054:P1054)</f>
        <v>0</v>
      </c>
      <c r="AS1055" s="41">
        <f>SUM(Q1054:W1054)</f>
        <v>0</v>
      </c>
      <c r="AT1055" s="41">
        <f>SUM(X1054:AD1054)</f>
        <v>0</v>
      </c>
      <c r="AU1055" s="41">
        <f>SUM(AE1054:AI1054)</f>
        <v>0</v>
      </c>
      <c r="AV1055" s="34">
        <f t="shared" ref="AV1055:AV1060" si="1913">SUM(AQ1055:AU1055)</f>
        <v>0</v>
      </c>
    </row>
    <row r="1056" spans="1:48" ht="25.15" hidden="1" customHeight="1">
      <c r="A1056" s="103"/>
      <c r="B1056" s="26" t="s">
        <v>92</v>
      </c>
      <c r="C1056" s="42"/>
      <c r="D1056" s="43" t="s">
        <v>93</v>
      </c>
      <c r="E1056" s="1325"/>
      <c r="F1056" s="1089"/>
      <c r="G1056" s="44"/>
      <c r="H1056" s="1089"/>
      <c r="I1056" s="1089"/>
      <c r="J1056" s="44"/>
      <c r="K1056" s="44"/>
      <c r="L1056" s="1089"/>
      <c r="M1056" s="1089"/>
      <c r="N1056" s="1089"/>
      <c r="O1056" s="1089"/>
      <c r="P1056" s="1089"/>
      <c r="Q1056" s="44"/>
      <c r="R1056" s="44"/>
      <c r="S1056" s="1089"/>
      <c r="T1056" s="1089"/>
      <c r="U1056" s="1089"/>
      <c r="V1056" s="1089"/>
      <c r="W1056" s="1089"/>
      <c r="X1056" s="44"/>
      <c r="Y1056" s="44"/>
      <c r="Z1056" s="1089"/>
      <c r="AA1056" s="1089"/>
      <c r="AB1056" s="1089"/>
      <c r="AC1056" s="1089"/>
      <c r="AD1056" s="1089"/>
      <c r="AE1056" s="44"/>
      <c r="AF1056" s="44"/>
      <c r="AG1056" s="1089"/>
      <c r="AH1056" s="1089"/>
      <c r="AI1056" s="1326"/>
      <c r="AJ1056" s="45">
        <f>SUM(E1056:AI1056)</f>
        <v>0</v>
      </c>
      <c r="AK1056" s="45"/>
      <c r="AL1056" s="46">
        <f>+AJ1056*AN1054</f>
        <v>0</v>
      </c>
      <c r="AM1056" s="1066">
        <f t="shared" si="1849"/>
        <v>0</v>
      </c>
      <c r="AN1056" s="31"/>
      <c r="AO1056" s="632">
        <f>(AJ1056+AJ1058+AJ1059+AJ1060)*B1058/1000</f>
        <v>0</v>
      </c>
      <c r="AP1056" s="47" t="s">
        <v>94</v>
      </c>
      <c r="AQ1056" s="48">
        <f>SUM(E1056:I1056)</f>
        <v>0</v>
      </c>
      <c r="AR1056" s="49">
        <f>SUM(J1056:P1056)</f>
        <v>0</v>
      </c>
      <c r="AS1056" s="49">
        <f>SUM(Q1056:W1056)</f>
        <v>0</v>
      </c>
      <c r="AT1056" s="49">
        <f>SUM(X1056:AD1056)</f>
        <v>0</v>
      </c>
      <c r="AU1056" s="49">
        <f>SUM(AE1056:AI1056)</f>
        <v>0</v>
      </c>
      <c r="AV1056" s="50">
        <f t="shared" si="1913"/>
        <v>0</v>
      </c>
    </row>
    <row r="1057" spans="1:48" ht="25.15" hidden="1" customHeight="1">
      <c r="A1057" s="103"/>
      <c r="B1057" s="51"/>
      <c r="C1057" s="52" t="s">
        <v>95</v>
      </c>
      <c r="D1057" s="53" t="s">
        <v>96</v>
      </c>
      <c r="E1057" s="1327">
        <f t="shared" ref="E1057:AJ1057" si="1914">+E1056-E1054</f>
        <v>0</v>
      </c>
      <c r="F1057" s="1097">
        <f t="shared" si="1914"/>
        <v>0</v>
      </c>
      <c r="G1057" s="1205">
        <f t="shared" si="1914"/>
        <v>0</v>
      </c>
      <c r="H1057" s="1097">
        <f t="shared" si="1914"/>
        <v>0</v>
      </c>
      <c r="I1057" s="1097">
        <f t="shared" si="1914"/>
        <v>0</v>
      </c>
      <c r="J1057" s="1205">
        <f t="shared" si="1914"/>
        <v>0</v>
      </c>
      <c r="K1057" s="1205">
        <f t="shared" si="1914"/>
        <v>0</v>
      </c>
      <c r="L1057" s="1097">
        <f t="shared" si="1914"/>
        <v>0</v>
      </c>
      <c r="M1057" s="1097">
        <f t="shared" si="1914"/>
        <v>0</v>
      </c>
      <c r="N1057" s="1097">
        <f t="shared" si="1914"/>
        <v>0</v>
      </c>
      <c r="O1057" s="1097">
        <f t="shared" si="1914"/>
        <v>0</v>
      </c>
      <c r="P1057" s="1097">
        <f t="shared" si="1914"/>
        <v>0</v>
      </c>
      <c r="Q1057" s="1205">
        <f t="shared" si="1914"/>
        <v>0</v>
      </c>
      <c r="R1057" s="1205">
        <f t="shared" si="1914"/>
        <v>0</v>
      </c>
      <c r="S1057" s="1097">
        <f t="shared" si="1914"/>
        <v>0</v>
      </c>
      <c r="T1057" s="1097">
        <f t="shared" si="1914"/>
        <v>0</v>
      </c>
      <c r="U1057" s="1097">
        <f t="shared" si="1914"/>
        <v>0</v>
      </c>
      <c r="V1057" s="1097">
        <f t="shared" si="1914"/>
        <v>0</v>
      </c>
      <c r="W1057" s="1097">
        <f t="shared" si="1914"/>
        <v>0</v>
      </c>
      <c r="X1057" s="1205">
        <f t="shared" si="1914"/>
        <v>0</v>
      </c>
      <c r="Y1057" s="1205">
        <f t="shared" si="1914"/>
        <v>0</v>
      </c>
      <c r="Z1057" s="1097">
        <f t="shared" si="1914"/>
        <v>0</v>
      </c>
      <c r="AA1057" s="1097">
        <f t="shared" si="1914"/>
        <v>0</v>
      </c>
      <c r="AB1057" s="1097">
        <f t="shared" si="1914"/>
        <v>0</v>
      </c>
      <c r="AC1057" s="1097">
        <f t="shared" si="1914"/>
        <v>0</v>
      </c>
      <c r="AD1057" s="1097">
        <f t="shared" si="1914"/>
        <v>0</v>
      </c>
      <c r="AE1057" s="1205">
        <f t="shared" si="1914"/>
        <v>0</v>
      </c>
      <c r="AF1057" s="1205">
        <f t="shared" si="1914"/>
        <v>0</v>
      </c>
      <c r="AG1057" s="1097">
        <f t="shared" si="1914"/>
        <v>0</v>
      </c>
      <c r="AH1057" s="1097">
        <f t="shared" si="1914"/>
        <v>0</v>
      </c>
      <c r="AI1057" s="1328">
        <f t="shared" si="1914"/>
        <v>0</v>
      </c>
      <c r="AJ1057" s="54">
        <f t="shared" si="1914"/>
        <v>0</v>
      </c>
      <c r="AK1057" s="54"/>
      <c r="AL1057" s="55">
        <f>+AJ1057*AN1054</f>
        <v>0</v>
      </c>
      <c r="AM1057" s="1067">
        <f t="shared" si="1849"/>
        <v>0</v>
      </c>
      <c r="AN1057" s="31" t="s">
        <v>97</v>
      </c>
      <c r="AO1057" s="622"/>
      <c r="AP1057" s="39" t="s">
        <v>98</v>
      </c>
      <c r="AQ1057" s="56">
        <f>AQ1056-AQ1055</f>
        <v>0</v>
      </c>
      <c r="AR1057" s="70">
        <f>AR1056-AR1055</f>
        <v>0</v>
      </c>
      <c r="AS1057" s="70">
        <f>AS1056-AS1055</f>
        <v>0</v>
      </c>
      <c r="AT1057" s="70">
        <f>AT1056-AT1055</f>
        <v>0</v>
      </c>
      <c r="AU1057" s="70">
        <f>AU1056-AU1055</f>
        <v>0</v>
      </c>
      <c r="AV1057" s="57">
        <f t="shared" si="1913"/>
        <v>0</v>
      </c>
    </row>
    <row r="1058" spans="1:48" ht="25.15" hidden="1" customHeight="1">
      <c r="A1058" s="58"/>
      <c r="B1058" s="59"/>
      <c r="C1058" s="60" t="s">
        <v>100</v>
      </c>
      <c r="D1058" s="61" t="s">
        <v>101</v>
      </c>
      <c r="E1058" s="1329"/>
      <c r="F1058" s="1099"/>
      <c r="G1058" s="1208"/>
      <c r="H1058" s="1099"/>
      <c r="I1058" s="1099"/>
      <c r="J1058" s="1208"/>
      <c r="K1058" s="1208"/>
      <c r="L1058" s="1099"/>
      <c r="M1058" s="1099"/>
      <c r="N1058" s="1099"/>
      <c r="O1058" s="1099"/>
      <c r="P1058" s="1099"/>
      <c r="Q1058" s="1208"/>
      <c r="R1058" s="1208"/>
      <c r="S1058" s="1099"/>
      <c r="T1058" s="1099"/>
      <c r="U1058" s="1099"/>
      <c r="V1058" s="1099"/>
      <c r="W1058" s="1099"/>
      <c r="X1058" s="1208"/>
      <c r="Y1058" s="1208"/>
      <c r="Z1058" s="1099"/>
      <c r="AA1058" s="1099"/>
      <c r="AB1058" s="1099"/>
      <c r="AC1058" s="1099"/>
      <c r="AD1058" s="1099"/>
      <c r="AE1058" s="1208"/>
      <c r="AF1058" s="1208"/>
      <c r="AG1058" s="1099"/>
      <c r="AH1058" s="1099"/>
      <c r="AI1058" s="1330"/>
      <c r="AJ1058" s="62">
        <f>SUM(E1058:AI1058)</f>
        <v>0</v>
      </c>
      <c r="AK1058" s="62"/>
      <c r="AL1058" s="63">
        <f>+AJ1058*AN1054</f>
        <v>0</v>
      </c>
      <c r="AM1058" s="1068">
        <f t="shared" si="1849"/>
        <v>0</v>
      </c>
      <c r="AN1058" s="64" t="e">
        <f>+AJ1058/AJ1056*100</f>
        <v>#DIV/0!</v>
      </c>
      <c r="AO1058" s="635" t="e">
        <f>AO1056/AO1054</f>
        <v>#VALUE!</v>
      </c>
      <c r="AP1058" s="39" t="s">
        <v>102</v>
      </c>
      <c r="AQ1058" s="56">
        <f>SUM(E1058:I1058)</f>
        <v>0</v>
      </c>
      <c r="AR1058" s="70">
        <f>SUM(J1058:P1058)</f>
        <v>0</v>
      </c>
      <c r="AS1058" s="70">
        <f>SUM(Q1058:W1058)</f>
        <v>0</v>
      </c>
      <c r="AT1058" s="70">
        <f>SUM(X1058:AD1058)</f>
        <v>0</v>
      </c>
      <c r="AU1058" s="70">
        <f>SUM(AE1058:AI1058)</f>
        <v>0</v>
      </c>
      <c r="AV1058" s="57">
        <f t="shared" si="1913"/>
        <v>0</v>
      </c>
    </row>
    <row r="1059" spans="1:48" ht="25.15" hidden="1" customHeight="1">
      <c r="A1059" s="58" t="s">
        <v>202</v>
      </c>
      <c r="B1059" s="65"/>
      <c r="C1059" s="66"/>
      <c r="D1059" s="67" t="s">
        <v>103</v>
      </c>
      <c r="E1059" s="1331"/>
      <c r="F1059" s="1101"/>
      <c r="G1059" s="1209"/>
      <c r="H1059" s="1101"/>
      <c r="I1059" s="1101"/>
      <c r="J1059" s="1209"/>
      <c r="K1059" s="1209"/>
      <c r="L1059" s="1101"/>
      <c r="M1059" s="1101"/>
      <c r="N1059" s="1101"/>
      <c r="O1059" s="1101"/>
      <c r="P1059" s="1101"/>
      <c r="Q1059" s="1209"/>
      <c r="R1059" s="1209"/>
      <c r="S1059" s="1101"/>
      <c r="T1059" s="1101"/>
      <c r="U1059" s="1101"/>
      <c r="V1059" s="1101"/>
      <c r="W1059" s="1101"/>
      <c r="X1059" s="1209"/>
      <c r="Y1059" s="1209"/>
      <c r="Z1059" s="1101"/>
      <c r="AA1059" s="1101"/>
      <c r="AB1059" s="1101"/>
      <c r="AC1059" s="1101"/>
      <c r="AD1059" s="1101"/>
      <c r="AE1059" s="1209"/>
      <c r="AF1059" s="1209"/>
      <c r="AG1059" s="1101"/>
      <c r="AH1059" s="1101"/>
      <c r="AI1059" s="1332"/>
      <c r="AJ1059" s="68">
        <f>SUM(E1059:AI1059)</f>
        <v>0</v>
      </c>
      <c r="AK1059" s="68"/>
      <c r="AL1059" s="69">
        <f>+AJ1059*AN1054</f>
        <v>0</v>
      </c>
      <c r="AM1059" s="1069">
        <f t="shared" si="1849"/>
        <v>0</v>
      </c>
      <c r="AN1059" s="31"/>
      <c r="AO1059" s="622"/>
      <c r="AP1059" s="39" t="s">
        <v>19</v>
      </c>
      <c r="AQ1059" s="56">
        <f>AQ1058*AN1054</f>
        <v>0</v>
      </c>
      <c r="AR1059" s="56">
        <f>AR1058*AN1054</f>
        <v>0</v>
      </c>
      <c r="AS1059" s="56">
        <f>AS1058*AN1054</f>
        <v>0</v>
      </c>
      <c r="AT1059" s="56">
        <f>AT1058*AN1054</f>
        <v>0</v>
      </c>
      <c r="AU1059" s="56">
        <f>AU1058*AN1054</f>
        <v>0</v>
      </c>
      <c r="AV1059" s="57">
        <f t="shared" si="1913"/>
        <v>0</v>
      </c>
    </row>
    <row r="1060" spans="1:48" ht="25.15" hidden="1" customHeight="1">
      <c r="A1060" s="103"/>
      <c r="B1060" s="65"/>
      <c r="C1060" s="72" t="s">
        <v>104</v>
      </c>
      <c r="D1060" s="73" t="s">
        <v>105</v>
      </c>
      <c r="E1060" s="1378"/>
      <c r="F1060" s="1103"/>
      <c r="G1060" s="1210"/>
      <c r="H1060" s="1103"/>
      <c r="I1060" s="1103"/>
      <c r="J1060" s="1210"/>
      <c r="K1060" s="1210"/>
      <c r="L1060" s="1103"/>
      <c r="M1060" s="1103"/>
      <c r="N1060" s="1103"/>
      <c r="O1060" s="1103"/>
      <c r="P1060" s="1103"/>
      <c r="Q1060" s="1210"/>
      <c r="R1060" s="1210"/>
      <c r="S1060" s="1103"/>
      <c r="T1060" s="1103"/>
      <c r="U1060" s="1103"/>
      <c r="V1060" s="1103"/>
      <c r="W1060" s="1103"/>
      <c r="X1060" s="1210"/>
      <c r="Y1060" s="1210"/>
      <c r="Z1060" s="1103"/>
      <c r="AA1060" s="1103"/>
      <c r="AB1060" s="1103"/>
      <c r="AC1060" s="1103"/>
      <c r="AD1060" s="1103"/>
      <c r="AE1060" s="1210"/>
      <c r="AF1060" s="1210"/>
      <c r="AG1060" s="1103"/>
      <c r="AH1060" s="1103"/>
      <c r="AI1060" s="1352"/>
      <c r="AJ1060" s="74">
        <f>SUM(E1060:AI1060)</f>
        <v>0</v>
      </c>
      <c r="AK1060" s="74"/>
      <c r="AL1060" s="75">
        <f>+AJ1060*AN1054</f>
        <v>0</v>
      </c>
      <c r="AM1060" s="1070">
        <f t="shared" si="1849"/>
        <v>0</v>
      </c>
      <c r="AN1060" s="76"/>
      <c r="AO1060" s="636"/>
      <c r="AP1060" s="47" t="s">
        <v>106</v>
      </c>
      <c r="AQ1060" s="48">
        <f>AQ1056*AN1054</f>
        <v>0</v>
      </c>
      <c r="AR1060" s="48">
        <f>AR1056*AN1054</f>
        <v>0</v>
      </c>
      <c r="AS1060" s="48">
        <f>AS1056*AN1054</f>
        <v>0</v>
      </c>
      <c r="AT1060" s="48">
        <f>AT1056*AN1054</f>
        <v>0</v>
      </c>
      <c r="AU1060" s="48">
        <f>AU1056*AN1054</f>
        <v>0</v>
      </c>
      <c r="AV1060" s="50">
        <f t="shared" si="1913"/>
        <v>0</v>
      </c>
    </row>
    <row r="1061" spans="1:48" ht="25.15" hidden="1" customHeight="1">
      <c r="A1061" s="103"/>
      <c r="B1061" s="65"/>
      <c r="C1061" s="77">
        <v>300000</v>
      </c>
      <c r="D1061" s="78" t="s">
        <v>107</v>
      </c>
      <c r="E1061" s="1327">
        <v>1</v>
      </c>
      <c r="F1061" s="1097">
        <v>1</v>
      </c>
      <c r="G1061" s="1205">
        <v>1</v>
      </c>
      <c r="H1061" s="1097">
        <v>1</v>
      </c>
      <c r="I1061" s="1097">
        <v>1</v>
      </c>
      <c r="J1061" s="1205">
        <v>1</v>
      </c>
      <c r="K1061" s="1205">
        <v>1</v>
      </c>
      <c r="L1061" s="1097">
        <v>1</v>
      </c>
      <c r="M1061" s="1097">
        <v>1</v>
      </c>
      <c r="N1061" s="1097">
        <v>1</v>
      </c>
      <c r="O1061" s="1097">
        <v>1</v>
      </c>
      <c r="P1061" s="1097">
        <v>1</v>
      </c>
      <c r="Q1061" s="1205">
        <v>1</v>
      </c>
      <c r="R1061" s="1205">
        <v>1</v>
      </c>
      <c r="S1061" s="1097">
        <v>1</v>
      </c>
      <c r="T1061" s="1097">
        <v>1</v>
      </c>
      <c r="U1061" s="1097">
        <v>1</v>
      </c>
      <c r="V1061" s="1097">
        <v>1</v>
      </c>
      <c r="W1061" s="1097">
        <v>1</v>
      </c>
      <c r="X1061" s="1205">
        <v>1</v>
      </c>
      <c r="Y1061" s="1205">
        <v>1</v>
      </c>
      <c r="Z1061" s="1097">
        <v>1</v>
      </c>
      <c r="AA1061" s="1097">
        <v>1</v>
      </c>
      <c r="AB1061" s="1097">
        <v>1</v>
      </c>
      <c r="AC1061" s="1097">
        <v>1</v>
      </c>
      <c r="AD1061" s="1097">
        <v>1</v>
      </c>
      <c r="AE1061" s="1205">
        <v>1</v>
      </c>
      <c r="AF1061" s="1205">
        <v>1</v>
      </c>
      <c r="AG1061" s="1097">
        <v>1</v>
      </c>
      <c r="AH1061" s="1097">
        <v>1</v>
      </c>
      <c r="AI1061" s="1328">
        <v>1</v>
      </c>
      <c r="AJ1061" s="79"/>
      <c r="AK1061" s="79"/>
      <c r="AL1061" s="55"/>
      <c r="AM1061" s="1067">
        <f t="shared" si="1849"/>
        <v>0</v>
      </c>
      <c r="AN1061" s="31"/>
      <c r="AO1061" s="622"/>
      <c r="AP1061" s="23"/>
      <c r="AQ1061" s="23"/>
      <c r="AR1061" s="23"/>
      <c r="AS1061" s="23"/>
      <c r="AT1061" s="23"/>
      <c r="AU1061" s="23"/>
      <c r="AV1061" s="23"/>
    </row>
    <row r="1062" spans="1:48" ht="25.15" hidden="1" customHeight="1">
      <c r="A1062" s="103"/>
      <c r="B1062" s="65"/>
      <c r="C1062" s="80" t="s">
        <v>108</v>
      </c>
      <c r="D1062" s="81" t="s">
        <v>109</v>
      </c>
      <c r="E1062" s="1374">
        <f>SUM(E1056+E1058+E1059+E1060)/E1061</f>
        <v>0</v>
      </c>
      <c r="F1062" s="1104">
        <f>SUM(F1056+F1058+F1059+F1060)/F1061</f>
        <v>0</v>
      </c>
      <c r="G1062" s="1211">
        <f>SUM(G1056+G1058+G1059+G1060)/G1061</f>
        <v>0</v>
      </c>
      <c r="H1062" s="1104">
        <f t="shared" ref="H1062:AH1062" si="1915">SUM(H1056+H1058+H1059+H1060)/H1061</f>
        <v>0</v>
      </c>
      <c r="I1062" s="1104">
        <f t="shared" si="1915"/>
        <v>0</v>
      </c>
      <c r="J1062" s="1211">
        <f t="shared" si="1915"/>
        <v>0</v>
      </c>
      <c r="K1062" s="1211">
        <f t="shared" si="1915"/>
        <v>0</v>
      </c>
      <c r="L1062" s="1104">
        <f t="shared" si="1915"/>
        <v>0</v>
      </c>
      <c r="M1062" s="1104">
        <f t="shared" si="1915"/>
        <v>0</v>
      </c>
      <c r="N1062" s="1104">
        <f t="shared" si="1915"/>
        <v>0</v>
      </c>
      <c r="O1062" s="1104">
        <f t="shared" si="1915"/>
        <v>0</v>
      </c>
      <c r="P1062" s="1104">
        <f t="shared" si="1915"/>
        <v>0</v>
      </c>
      <c r="Q1062" s="1211">
        <f t="shared" si="1915"/>
        <v>0</v>
      </c>
      <c r="R1062" s="1211">
        <f t="shared" si="1915"/>
        <v>0</v>
      </c>
      <c r="S1062" s="1104">
        <f t="shared" si="1915"/>
        <v>0</v>
      </c>
      <c r="T1062" s="1104">
        <f t="shared" si="1915"/>
        <v>0</v>
      </c>
      <c r="U1062" s="1104">
        <f t="shared" si="1915"/>
        <v>0</v>
      </c>
      <c r="V1062" s="1104">
        <f t="shared" si="1915"/>
        <v>0</v>
      </c>
      <c r="W1062" s="1104">
        <f t="shared" si="1915"/>
        <v>0</v>
      </c>
      <c r="X1062" s="1211">
        <f t="shared" si="1915"/>
        <v>0</v>
      </c>
      <c r="Y1062" s="1211">
        <f t="shared" si="1915"/>
        <v>0</v>
      </c>
      <c r="Z1062" s="1104">
        <f t="shared" si="1915"/>
        <v>0</v>
      </c>
      <c r="AA1062" s="1104">
        <f t="shared" si="1915"/>
        <v>0</v>
      </c>
      <c r="AB1062" s="1104">
        <f t="shared" si="1915"/>
        <v>0</v>
      </c>
      <c r="AC1062" s="1104">
        <f t="shared" si="1915"/>
        <v>0</v>
      </c>
      <c r="AD1062" s="1104">
        <f t="shared" si="1915"/>
        <v>0</v>
      </c>
      <c r="AE1062" s="1211">
        <f t="shared" si="1915"/>
        <v>0</v>
      </c>
      <c r="AF1062" s="1211">
        <f t="shared" si="1915"/>
        <v>0</v>
      </c>
      <c r="AG1062" s="1104">
        <f t="shared" si="1915"/>
        <v>0</v>
      </c>
      <c r="AH1062" s="1104">
        <f t="shared" si="1915"/>
        <v>0</v>
      </c>
      <c r="AI1062" s="1335">
        <f>SUM(AI1056+AI1058+AI1059)/AI1061</f>
        <v>0</v>
      </c>
      <c r="AJ1062" s="104">
        <f>SUM(E1062:AI1062)</f>
        <v>0</v>
      </c>
      <c r="AK1062" s="104"/>
      <c r="AL1062" s="83"/>
      <c r="AM1062" s="1068">
        <f t="shared" si="1849"/>
        <v>0</v>
      </c>
      <c r="AN1062" s="31"/>
      <c r="AO1062" s="622"/>
      <c r="AP1062" s="23"/>
      <c r="AQ1062" s="23"/>
      <c r="AR1062" s="23"/>
      <c r="AS1062" s="23"/>
      <c r="AT1062" s="23"/>
      <c r="AU1062" s="23"/>
      <c r="AV1062" s="23"/>
    </row>
    <row r="1063" spans="1:48" ht="25.15" hidden="1" customHeight="1">
      <c r="A1063" s="103"/>
      <c r="B1063" s="59"/>
      <c r="C1063" s="84">
        <f>+C1061*0.8</f>
        <v>240000</v>
      </c>
      <c r="D1063" s="85" t="s">
        <v>110</v>
      </c>
      <c r="E1063" s="1105"/>
      <c r="F1063" s="1106"/>
      <c r="G1063" s="1211"/>
      <c r="H1063" s="1104"/>
      <c r="I1063" s="1104"/>
      <c r="J1063" s="1211"/>
      <c r="K1063" s="1211"/>
      <c r="L1063" s="1104"/>
      <c r="M1063" s="1104"/>
      <c r="N1063" s="1104"/>
      <c r="O1063" s="1107"/>
      <c r="P1063" s="1104"/>
      <c r="Q1063" s="1211"/>
      <c r="R1063" s="1211"/>
      <c r="S1063" s="1104"/>
      <c r="T1063" s="1104"/>
      <c r="U1063" s="1104"/>
      <c r="V1063" s="1104"/>
      <c r="W1063" s="1104"/>
      <c r="X1063" s="1211"/>
      <c r="Y1063" s="1211"/>
      <c r="Z1063" s="1104"/>
      <c r="AA1063" s="1104"/>
      <c r="AB1063" s="1104"/>
      <c r="AC1063" s="1104"/>
      <c r="AD1063" s="1104"/>
      <c r="AE1063" s="1211"/>
      <c r="AF1063" s="1211"/>
      <c r="AG1063" s="1104"/>
      <c r="AH1063" s="1104"/>
      <c r="AI1063" s="1353"/>
      <c r="AJ1063" s="86"/>
      <c r="AK1063" s="86"/>
      <c r="AL1063" s="690"/>
      <c r="AM1063" s="694">
        <f t="shared" si="1849"/>
        <v>0</v>
      </c>
      <c r="AN1063" s="31"/>
      <c r="AO1063" s="622"/>
      <c r="AP1063" s="23"/>
      <c r="AQ1063" s="23"/>
      <c r="AR1063" s="23"/>
      <c r="AS1063" s="23"/>
      <c r="AT1063" s="23"/>
      <c r="AU1063" s="23"/>
      <c r="AV1063" s="23"/>
    </row>
    <row r="1064" spans="1:48" ht="25.15" hidden="1" customHeight="1">
      <c r="A1064" s="103"/>
      <c r="B1064" s="105"/>
      <c r="C1064" s="77"/>
      <c r="D1064" s="88" t="s">
        <v>111</v>
      </c>
      <c r="E1064" s="1108">
        <f>IF(E1063="O/H",E1062,0+E1062)</f>
        <v>0</v>
      </c>
      <c r="F1064" s="1089">
        <f t="shared" ref="F1064:AI1064" si="1916">IF(F1063="O/H",F1062,+E1064+F1062)</f>
        <v>0</v>
      </c>
      <c r="G1064" s="44">
        <f t="shared" si="1916"/>
        <v>0</v>
      </c>
      <c r="H1064" s="1089">
        <f t="shared" si="1916"/>
        <v>0</v>
      </c>
      <c r="I1064" s="1089">
        <f t="shared" si="1916"/>
        <v>0</v>
      </c>
      <c r="J1064" s="44">
        <f t="shared" si="1916"/>
        <v>0</v>
      </c>
      <c r="K1064" s="44">
        <f t="shared" si="1916"/>
        <v>0</v>
      </c>
      <c r="L1064" s="1089">
        <f t="shared" si="1916"/>
        <v>0</v>
      </c>
      <c r="M1064" s="1089">
        <f t="shared" si="1916"/>
        <v>0</v>
      </c>
      <c r="N1064" s="1089">
        <f t="shared" si="1916"/>
        <v>0</v>
      </c>
      <c r="O1064" s="1089">
        <f t="shared" si="1916"/>
        <v>0</v>
      </c>
      <c r="P1064" s="1089">
        <f t="shared" si="1916"/>
        <v>0</v>
      </c>
      <c r="Q1064" s="44">
        <f t="shared" si="1916"/>
        <v>0</v>
      </c>
      <c r="R1064" s="44">
        <f t="shared" si="1916"/>
        <v>0</v>
      </c>
      <c r="S1064" s="1089">
        <f t="shared" si="1916"/>
        <v>0</v>
      </c>
      <c r="T1064" s="1089">
        <f t="shared" si="1916"/>
        <v>0</v>
      </c>
      <c r="U1064" s="1089">
        <f t="shared" si="1916"/>
        <v>0</v>
      </c>
      <c r="V1064" s="1089">
        <f t="shared" si="1916"/>
        <v>0</v>
      </c>
      <c r="W1064" s="1089">
        <f t="shared" si="1916"/>
        <v>0</v>
      </c>
      <c r="X1064" s="44">
        <f t="shared" si="1916"/>
        <v>0</v>
      </c>
      <c r="Y1064" s="44">
        <f t="shared" si="1916"/>
        <v>0</v>
      </c>
      <c r="Z1064" s="1089">
        <f t="shared" si="1916"/>
        <v>0</v>
      </c>
      <c r="AA1064" s="1089">
        <f t="shared" si="1916"/>
        <v>0</v>
      </c>
      <c r="AB1064" s="1089">
        <f t="shared" si="1916"/>
        <v>0</v>
      </c>
      <c r="AC1064" s="1089">
        <f t="shared" si="1916"/>
        <v>0</v>
      </c>
      <c r="AD1064" s="1089">
        <f t="shared" si="1916"/>
        <v>0</v>
      </c>
      <c r="AE1064" s="44">
        <f t="shared" si="1916"/>
        <v>0</v>
      </c>
      <c r="AF1064" s="44">
        <f t="shared" si="1916"/>
        <v>0</v>
      </c>
      <c r="AG1064" s="1089">
        <f t="shared" si="1916"/>
        <v>0</v>
      </c>
      <c r="AH1064" s="1089">
        <f t="shared" si="1916"/>
        <v>0</v>
      </c>
      <c r="AI1064" s="1326">
        <f t="shared" si="1916"/>
        <v>0</v>
      </c>
      <c r="AJ1064" s="79"/>
      <c r="AK1064" s="86"/>
      <c r="AL1064" s="689"/>
      <c r="AM1064" s="694">
        <f t="shared" si="1849"/>
        <v>0</v>
      </c>
      <c r="AN1064" s="31"/>
      <c r="AO1064" s="622"/>
      <c r="AP1064" s="23"/>
      <c r="AQ1064" s="23"/>
      <c r="AR1064" s="23"/>
      <c r="AS1064" s="23"/>
      <c r="AT1064" s="23"/>
      <c r="AU1064" s="23"/>
      <c r="AV1064" s="23"/>
    </row>
    <row r="1065" spans="1:48" ht="25.15" hidden="1" customHeight="1">
      <c r="A1065" s="103"/>
      <c r="B1065" s="89"/>
      <c r="C1065" s="80"/>
      <c r="D1065" s="90" t="s">
        <v>104</v>
      </c>
      <c r="E1065" s="1108"/>
      <c r="F1065" s="1089"/>
      <c r="G1065" s="44"/>
      <c r="H1065" s="1089"/>
      <c r="I1065" s="1089"/>
      <c r="J1065" s="44"/>
      <c r="K1065" s="44"/>
      <c r="L1065" s="1089"/>
      <c r="M1065" s="1089"/>
      <c r="N1065" s="1089"/>
      <c r="O1065" s="1089"/>
      <c r="P1065" s="1089"/>
      <c r="Q1065" s="44"/>
      <c r="R1065" s="44"/>
      <c r="S1065" s="1089"/>
      <c r="T1065" s="1089"/>
      <c r="U1065" s="1089"/>
      <c r="V1065" s="1089"/>
      <c r="W1065" s="1089"/>
      <c r="X1065" s="44"/>
      <c r="Y1065" s="44"/>
      <c r="Z1065" s="1089"/>
      <c r="AA1065" s="1089"/>
      <c r="AB1065" s="1089"/>
      <c r="AC1065" s="1089"/>
      <c r="AD1065" s="1089"/>
      <c r="AE1065" s="44"/>
      <c r="AF1065" s="44"/>
      <c r="AG1065" s="1089"/>
      <c r="AH1065" s="1089"/>
      <c r="AI1065" s="1326"/>
      <c r="AJ1065" s="79"/>
      <c r="AK1065" s="79"/>
      <c r="AL1065" s="63"/>
      <c r="AM1065" s="1068">
        <f t="shared" si="1849"/>
        <v>0</v>
      </c>
      <c r="AN1065" s="64"/>
      <c r="AO1065" s="624"/>
      <c r="AP1065" s="23"/>
      <c r="AQ1065" s="23"/>
      <c r="AR1065" s="23"/>
      <c r="AS1065" s="23"/>
      <c r="AT1065" s="23"/>
      <c r="AU1065" s="23"/>
      <c r="AV1065" s="23"/>
    </row>
    <row r="1066" spans="1:48" ht="25.15" hidden="1" customHeight="1" thickBot="1">
      <c r="A1066" s="106"/>
      <c r="B1066" s="93"/>
      <c r="C1066" s="94"/>
      <c r="D1066" s="95" t="s">
        <v>111</v>
      </c>
      <c r="E1066" s="1109">
        <f>IF(E1065="O/H",E1062,55890+E1062)</f>
        <v>55890</v>
      </c>
      <c r="F1066" s="1110">
        <f t="shared" ref="F1066:AI1066" si="1917">IF(F1065="O/H",F1062,+E1066+F1062)</f>
        <v>55890</v>
      </c>
      <c r="G1066" s="1212">
        <f t="shared" si="1917"/>
        <v>55890</v>
      </c>
      <c r="H1066" s="1110">
        <f t="shared" si="1917"/>
        <v>55890</v>
      </c>
      <c r="I1066" s="1110">
        <f t="shared" si="1917"/>
        <v>55890</v>
      </c>
      <c r="J1066" s="1212">
        <f t="shared" si="1917"/>
        <v>55890</v>
      </c>
      <c r="K1066" s="1212">
        <f t="shared" si="1917"/>
        <v>55890</v>
      </c>
      <c r="L1066" s="1110">
        <f t="shared" si="1917"/>
        <v>55890</v>
      </c>
      <c r="M1066" s="1110">
        <f t="shared" si="1917"/>
        <v>55890</v>
      </c>
      <c r="N1066" s="1110">
        <f t="shared" si="1917"/>
        <v>55890</v>
      </c>
      <c r="O1066" s="1110">
        <f t="shared" si="1917"/>
        <v>55890</v>
      </c>
      <c r="P1066" s="1110">
        <f t="shared" si="1917"/>
        <v>55890</v>
      </c>
      <c r="Q1066" s="1212">
        <f t="shared" si="1917"/>
        <v>55890</v>
      </c>
      <c r="R1066" s="1212">
        <f t="shared" si="1917"/>
        <v>55890</v>
      </c>
      <c r="S1066" s="1110">
        <f t="shared" si="1917"/>
        <v>55890</v>
      </c>
      <c r="T1066" s="1110">
        <f t="shared" si="1917"/>
        <v>55890</v>
      </c>
      <c r="U1066" s="1110">
        <f t="shared" si="1917"/>
        <v>55890</v>
      </c>
      <c r="V1066" s="1110">
        <f t="shared" si="1917"/>
        <v>55890</v>
      </c>
      <c r="W1066" s="1110">
        <f t="shared" si="1917"/>
        <v>55890</v>
      </c>
      <c r="X1066" s="1212">
        <f t="shared" si="1917"/>
        <v>55890</v>
      </c>
      <c r="Y1066" s="1212">
        <f t="shared" si="1917"/>
        <v>55890</v>
      </c>
      <c r="Z1066" s="1110">
        <f t="shared" si="1917"/>
        <v>55890</v>
      </c>
      <c r="AA1066" s="1110">
        <f t="shared" si="1917"/>
        <v>55890</v>
      </c>
      <c r="AB1066" s="1110">
        <f t="shared" si="1917"/>
        <v>55890</v>
      </c>
      <c r="AC1066" s="1110">
        <f t="shared" si="1917"/>
        <v>55890</v>
      </c>
      <c r="AD1066" s="1110">
        <f t="shared" si="1917"/>
        <v>55890</v>
      </c>
      <c r="AE1066" s="1212">
        <f t="shared" si="1917"/>
        <v>55890</v>
      </c>
      <c r="AF1066" s="1212">
        <f t="shared" si="1917"/>
        <v>55890</v>
      </c>
      <c r="AG1066" s="1110">
        <f t="shared" si="1917"/>
        <v>55890</v>
      </c>
      <c r="AH1066" s="1110">
        <f t="shared" si="1917"/>
        <v>55890</v>
      </c>
      <c r="AI1066" s="1340">
        <f t="shared" si="1917"/>
        <v>55890</v>
      </c>
      <c r="AJ1066" s="96"/>
      <c r="AK1066" s="96"/>
      <c r="AL1066" s="97"/>
      <c r="AM1066" s="1071">
        <f t="shared" si="1849"/>
        <v>0</v>
      </c>
      <c r="AN1066" s="98"/>
      <c r="AO1066" s="625"/>
      <c r="AP1066" s="23"/>
      <c r="AQ1066" s="23"/>
      <c r="AR1066" s="23"/>
      <c r="AS1066" s="23"/>
      <c r="AT1066" s="23"/>
      <c r="AU1066" s="23"/>
      <c r="AV1066" s="23"/>
    </row>
    <row r="1067" spans="1:48" ht="25.15" customHeight="1" thickTop="1">
      <c r="A1067" s="99"/>
      <c r="B1067" s="26" t="s">
        <v>223</v>
      </c>
      <c r="C1067" s="27"/>
      <c r="D1067" s="28" t="s">
        <v>82</v>
      </c>
      <c r="E1067" s="1111">
        <v>0</v>
      </c>
      <c r="F1067" s="1111">
        <v>0</v>
      </c>
      <c r="G1067" s="1201">
        <v>0</v>
      </c>
      <c r="H1067" s="1111">
        <v>0</v>
      </c>
      <c r="I1067" s="1111">
        <v>0</v>
      </c>
      <c r="J1067" s="1201">
        <v>0</v>
      </c>
      <c r="K1067" s="1201">
        <v>0</v>
      </c>
      <c r="L1067" s="1111">
        <v>200</v>
      </c>
      <c r="M1067" s="1111">
        <v>540</v>
      </c>
      <c r="N1067" s="1111">
        <v>700</v>
      </c>
      <c r="O1067" s="1111">
        <v>560</v>
      </c>
      <c r="P1067" s="1111">
        <v>0</v>
      </c>
      <c r="Q1067" s="1201">
        <v>0</v>
      </c>
      <c r="R1067" s="1201">
        <v>0</v>
      </c>
      <c r="S1067" s="1111">
        <v>0</v>
      </c>
      <c r="T1067" s="1111">
        <v>0</v>
      </c>
      <c r="U1067" s="1111">
        <v>0</v>
      </c>
      <c r="V1067" s="1111">
        <v>0</v>
      </c>
      <c r="W1067" s="1111">
        <v>0</v>
      </c>
      <c r="X1067" s="1201">
        <v>0</v>
      </c>
      <c r="Y1067" s="1201">
        <v>0</v>
      </c>
      <c r="Z1067" s="1111">
        <v>0</v>
      </c>
      <c r="AA1067" s="1111">
        <v>0</v>
      </c>
      <c r="AB1067" s="1111">
        <v>0</v>
      </c>
      <c r="AC1067" s="1111">
        <v>0</v>
      </c>
      <c r="AD1067" s="1111">
        <v>0</v>
      </c>
      <c r="AE1067" s="1201">
        <v>0</v>
      </c>
      <c r="AF1067" s="1201">
        <v>0</v>
      </c>
      <c r="AG1067" s="1111">
        <v>0</v>
      </c>
      <c r="AH1067" s="1111">
        <v>0</v>
      </c>
      <c r="AI1067" s="1111"/>
      <c r="AJ1067" s="100">
        <f>SUM(Table75[[#This Row],[June''2026]:[Column27]])</f>
        <v>2000</v>
      </c>
      <c r="AK1067" s="100">
        <f t="shared" si="1879"/>
        <v>2160</v>
      </c>
      <c r="AL1067" s="101">
        <f>+AJ1067*AN1067</f>
        <v>0</v>
      </c>
      <c r="AM1067" s="1072">
        <f t="shared" si="1849"/>
        <v>0</v>
      </c>
      <c r="AN1067" s="102"/>
      <c r="AO1067" s="622" t="e">
        <f>Table5[[#This Row],[Total]]*B1071/1000</f>
        <v>#VALUE!</v>
      </c>
      <c r="AP1067" s="32" t="s">
        <v>193</v>
      </c>
      <c r="AQ1067" s="33" t="s">
        <v>84</v>
      </c>
      <c r="AR1067" s="33" t="s">
        <v>85</v>
      </c>
      <c r="AS1067" s="33" t="s">
        <v>86</v>
      </c>
      <c r="AT1067" s="33" t="s">
        <v>87</v>
      </c>
      <c r="AU1067" s="33" t="s">
        <v>88</v>
      </c>
      <c r="AV1067" s="34" t="s">
        <v>68</v>
      </c>
    </row>
    <row r="1068" spans="1:48" ht="25.15" customHeight="1">
      <c r="A1068" s="103"/>
      <c r="B1068" s="35"/>
      <c r="C1068" s="36"/>
      <c r="D1068" s="37" t="s">
        <v>90</v>
      </c>
      <c r="E1068" s="1373">
        <f>IF(E1067="",0,+ E1067/E1074)</f>
        <v>0</v>
      </c>
      <c r="F1068" s="1096">
        <f t="shared" ref="F1068:AI1068" si="1918">IF(F1067="",0, E1068+F1067/F1074)</f>
        <v>0</v>
      </c>
      <c r="G1068" s="1207">
        <f t="shared" si="1918"/>
        <v>0</v>
      </c>
      <c r="H1068" s="1096">
        <f t="shared" si="1918"/>
        <v>0</v>
      </c>
      <c r="I1068" s="1096">
        <f t="shared" si="1918"/>
        <v>0</v>
      </c>
      <c r="J1068" s="1207">
        <f t="shared" si="1918"/>
        <v>0</v>
      </c>
      <c r="K1068" s="1207">
        <f t="shared" si="1918"/>
        <v>0</v>
      </c>
      <c r="L1068" s="1096">
        <f t="shared" si="1918"/>
        <v>200</v>
      </c>
      <c r="M1068" s="1096">
        <f t="shared" si="1918"/>
        <v>740</v>
      </c>
      <c r="N1068" s="1096">
        <f t="shared" si="1918"/>
        <v>1440</v>
      </c>
      <c r="O1068" s="1096">
        <f t="shared" si="1918"/>
        <v>2000</v>
      </c>
      <c r="P1068" s="1096">
        <f t="shared" si="1918"/>
        <v>2000</v>
      </c>
      <c r="Q1068" s="1207">
        <f t="shared" si="1918"/>
        <v>2000</v>
      </c>
      <c r="R1068" s="1207">
        <f t="shared" si="1918"/>
        <v>2000</v>
      </c>
      <c r="S1068" s="1096">
        <f t="shared" si="1918"/>
        <v>2000</v>
      </c>
      <c r="T1068" s="1096">
        <f t="shared" si="1918"/>
        <v>2000</v>
      </c>
      <c r="U1068" s="1096">
        <f t="shared" si="1918"/>
        <v>2000</v>
      </c>
      <c r="V1068" s="1096">
        <f t="shared" si="1918"/>
        <v>2000</v>
      </c>
      <c r="W1068" s="1096">
        <f t="shared" si="1918"/>
        <v>2000</v>
      </c>
      <c r="X1068" s="1207">
        <f t="shared" si="1918"/>
        <v>2000</v>
      </c>
      <c r="Y1068" s="1207">
        <f t="shared" si="1918"/>
        <v>2000</v>
      </c>
      <c r="Z1068" s="1096">
        <f t="shared" si="1918"/>
        <v>2000</v>
      </c>
      <c r="AA1068" s="1096">
        <f t="shared" si="1918"/>
        <v>2000</v>
      </c>
      <c r="AB1068" s="1096">
        <f t="shared" si="1918"/>
        <v>2000</v>
      </c>
      <c r="AC1068" s="1096">
        <f t="shared" si="1918"/>
        <v>2000</v>
      </c>
      <c r="AD1068" s="1096">
        <f t="shared" si="1918"/>
        <v>2000</v>
      </c>
      <c r="AE1068" s="1207">
        <f t="shared" si="1918"/>
        <v>2000</v>
      </c>
      <c r="AF1068" s="1207">
        <f t="shared" si="1918"/>
        <v>2000</v>
      </c>
      <c r="AG1068" s="1096">
        <f t="shared" si="1918"/>
        <v>2000</v>
      </c>
      <c r="AH1068" s="1096">
        <f t="shared" si="1918"/>
        <v>2000</v>
      </c>
      <c r="AI1068" s="1324">
        <f t="shared" si="1918"/>
        <v>0</v>
      </c>
      <c r="AJ1068" s="38"/>
      <c r="AK1068" s="29"/>
      <c r="AL1068" s="30"/>
      <c r="AM1068" s="694">
        <f t="shared" si="1849"/>
        <v>0</v>
      </c>
      <c r="AN1068" s="31"/>
      <c r="AO1068" s="630"/>
      <c r="AP1068" s="39" t="s">
        <v>91</v>
      </c>
      <c r="AQ1068" s="40">
        <f>SUM(E1067:H1067)</f>
        <v>0</v>
      </c>
      <c r="AR1068" s="41">
        <f>SUM(I1067:O1067)</f>
        <v>2000</v>
      </c>
      <c r="AS1068" s="41">
        <f>SUM(P1067:V1067)</f>
        <v>0</v>
      </c>
      <c r="AT1068" s="41">
        <f>SUM(W1067:AC1067)</f>
        <v>0</v>
      </c>
      <c r="AU1068" s="41">
        <f>SUM(AD1067:AI1067)</f>
        <v>0</v>
      </c>
      <c r="AV1068" s="34">
        <f t="shared" ref="AV1068:AV1073" si="1919">SUM(AQ1068:AU1068)</f>
        <v>2000</v>
      </c>
    </row>
    <row r="1069" spans="1:48" ht="25.15" customHeight="1">
      <c r="A1069" s="103"/>
      <c r="B1069" s="26" t="s">
        <v>92</v>
      </c>
      <c r="C1069" s="42"/>
      <c r="D1069" s="43" t="s">
        <v>93</v>
      </c>
      <c r="E1069" s="1325">
        <v>0</v>
      </c>
      <c r="F1069" s="1089">
        <v>0</v>
      </c>
      <c r="G1069" s="44">
        <v>0</v>
      </c>
      <c r="H1069" s="1089">
        <v>0</v>
      </c>
      <c r="I1069" s="1089">
        <v>0</v>
      </c>
      <c r="J1069" s="44">
        <v>0</v>
      </c>
      <c r="K1069" s="44">
        <v>0</v>
      </c>
      <c r="L1069" s="1089">
        <v>0</v>
      </c>
      <c r="M1069" s="1089">
        <v>0</v>
      </c>
      <c r="N1069" s="1089">
        <v>540</v>
      </c>
      <c r="O1069" s="1089">
        <v>840</v>
      </c>
      <c r="P1069" s="1089">
        <v>780</v>
      </c>
      <c r="Q1069" s="44">
        <v>0</v>
      </c>
      <c r="R1069" s="44">
        <v>0</v>
      </c>
      <c r="S1069" s="1089">
        <v>0</v>
      </c>
      <c r="T1069" s="1089">
        <v>0</v>
      </c>
      <c r="U1069" s="1089">
        <v>0</v>
      </c>
      <c r="V1069" s="1089">
        <v>0</v>
      </c>
      <c r="W1069" s="1089">
        <v>0</v>
      </c>
      <c r="X1069" s="44">
        <v>0</v>
      </c>
      <c r="Y1069" s="44">
        <v>0</v>
      </c>
      <c r="Z1069" s="1089">
        <v>0</v>
      </c>
      <c r="AA1069" s="1089">
        <v>0</v>
      </c>
      <c r="AB1069" s="1089"/>
      <c r="AC1069" s="1089"/>
      <c r="AD1069" s="1089"/>
      <c r="AE1069" s="44"/>
      <c r="AF1069" s="44"/>
      <c r="AG1069" s="1089"/>
      <c r="AH1069" s="1089"/>
      <c r="AI1069" s="1326"/>
      <c r="AJ1069" s="45">
        <f>SUM(E1069:AI1069)</f>
        <v>2160</v>
      </c>
      <c r="AK1069" s="45"/>
      <c r="AL1069" s="46">
        <f>+AJ1069*AN1067</f>
        <v>0</v>
      </c>
      <c r="AM1069" s="1066">
        <f t="shared" si="1849"/>
        <v>0</v>
      </c>
      <c r="AN1069" s="31"/>
      <c r="AO1069" s="632">
        <f>(AJ1069+AJ1071+AJ1072+AJ1073)*B1071/1000</f>
        <v>0</v>
      </c>
      <c r="AP1069" s="47" t="s">
        <v>94</v>
      </c>
      <c r="AQ1069" s="48">
        <f>SUM(E1069:H1069)</f>
        <v>0</v>
      </c>
      <c r="AR1069" s="49">
        <f>SUM(I1069:O1069)</f>
        <v>1380</v>
      </c>
      <c r="AS1069" s="49">
        <f>SUM(P1069:V1069)</f>
        <v>780</v>
      </c>
      <c r="AT1069" s="49">
        <f>SUM(W1069:AC1069)</f>
        <v>0</v>
      </c>
      <c r="AU1069" s="49">
        <f>SUM(AD1069:AI1069)</f>
        <v>0</v>
      </c>
      <c r="AV1069" s="50">
        <f t="shared" si="1919"/>
        <v>2160</v>
      </c>
    </row>
    <row r="1070" spans="1:48" ht="25.15" customHeight="1">
      <c r="A1070" s="103"/>
      <c r="B1070" s="51"/>
      <c r="C1070" s="52" t="s">
        <v>95</v>
      </c>
      <c r="D1070" s="53" t="s">
        <v>96</v>
      </c>
      <c r="E1070" s="1327">
        <f t="shared" ref="E1070:AJ1070" si="1920">+E1069-E1067</f>
        <v>0</v>
      </c>
      <c r="F1070" s="1097">
        <f t="shared" si="1920"/>
        <v>0</v>
      </c>
      <c r="G1070" s="1205">
        <f t="shared" si="1920"/>
        <v>0</v>
      </c>
      <c r="H1070" s="1097">
        <f t="shared" si="1920"/>
        <v>0</v>
      </c>
      <c r="I1070" s="1097">
        <f t="shared" si="1920"/>
        <v>0</v>
      </c>
      <c r="J1070" s="1205">
        <f t="shared" si="1920"/>
        <v>0</v>
      </c>
      <c r="K1070" s="1205">
        <f t="shared" si="1920"/>
        <v>0</v>
      </c>
      <c r="L1070" s="1097">
        <f t="shared" si="1920"/>
        <v>-200</v>
      </c>
      <c r="M1070" s="1097">
        <f t="shared" si="1920"/>
        <v>-540</v>
      </c>
      <c r="N1070" s="1097">
        <f t="shared" si="1920"/>
        <v>-160</v>
      </c>
      <c r="O1070" s="1097">
        <f t="shared" si="1920"/>
        <v>280</v>
      </c>
      <c r="P1070" s="1097">
        <f t="shared" si="1920"/>
        <v>780</v>
      </c>
      <c r="Q1070" s="1205">
        <f t="shared" si="1920"/>
        <v>0</v>
      </c>
      <c r="R1070" s="1205">
        <f t="shared" si="1920"/>
        <v>0</v>
      </c>
      <c r="S1070" s="1097">
        <f t="shared" si="1920"/>
        <v>0</v>
      </c>
      <c r="T1070" s="1097">
        <f t="shared" si="1920"/>
        <v>0</v>
      </c>
      <c r="U1070" s="1097">
        <f t="shared" si="1920"/>
        <v>0</v>
      </c>
      <c r="V1070" s="1097">
        <f t="shared" si="1920"/>
        <v>0</v>
      </c>
      <c r="W1070" s="1097">
        <f t="shared" si="1920"/>
        <v>0</v>
      </c>
      <c r="X1070" s="1205">
        <f t="shared" si="1920"/>
        <v>0</v>
      </c>
      <c r="Y1070" s="1205">
        <f t="shared" si="1920"/>
        <v>0</v>
      </c>
      <c r="Z1070" s="1097">
        <f t="shared" si="1920"/>
        <v>0</v>
      </c>
      <c r="AA1070" s="1097">
        <f t="shared" si="1920"/>
        <v>0</v>
      </c>
      <c r="AB1070" s="1097">
        <f t="shared" si="1920"/>
        <v>0</v>
      </c>
      <c r="AC1070" s="1097">
        <f t="shared" si="1920"/>
        <v>0</v>
      </c>
      <c r="AD1070" s="1097">
        <f t="shared" si="1920"/>
        <v>0</v>
      </c>
      <c r="AE1070" s="1205">
        <f t="shared" si="1920"/>
        <v>0</v>
      </c>
      <c r="AF1070" s="1205">
        <f t="shared" si="1920"/>
        <v>0</v>
      </c>
      <c r="AG1070" s="1097">
        <f t="shared" si="1920"/>
        <v>0</v>
      </c>
      <c r="AH1070" s="1097">
        <f t="shared" si="1920"/>
        <v>0</v>
      </c>
      <c r="AI1070" s="1328">
        <f t="shared" si="1920"/>
        <v>0</v>
      </c>
      <c r="AJ1070" s="54">
        <f t="shared" si="1920"/>
        <v>160</v>
      </c>
      <c r="AK1070" s="54"/>
      <c r="AL1070" s="55">
        <f>+AJ1070*AN1067</f>
        <v>0</v>
      </c>
      <c r="AM1070" s="1067">
        <f t="shared" si="1849"/>
        <v>0</v>
      </c>
      <c r="AN1070" s="31" t="s">
        <v>97</v>
      </c>
      <c r="AO1070" s="622"/>
      <c r="AP1070" s="39" t="s">
        <v>98</v>
      </c>
      <c r="AQ1070" s="56">
        <f>AQ1069-AQ1068</f>
        <v>0</v>
      </c>
      <c r="AR1070" s="70">
        <f>AR1069-AR1068</f>
        <v>-620</v>
      </c>
      <c r="AS1070" s="70">
        <f>AS1069-AS1068</f>
        <v>780</v>
      </c>
      <c r="AT1070" s="70">
        <f>AT1069-AT1068</f>
        <v>0</v>
      </c>
      <c r="AU1070" s="70">
        <f>AU1069-AU1068</f>
        <v>0</v>
      </c>
      <c r="AV1070" s="57">
        <f t="shared" si="1919"/>
        <v>160</v>
      </c>
    </row>
    <row r="1071" spans="1:48" ht="25.15" customHeight="1">
      <c r="A1071" s="58"/>
      <c r="B1071" s="59"/>
      <c r="C1071" s="60" t="s">
        <v>100</v>
      </c>
      <c r="D1071" s="61" t="s">
        <v>101</v>
      </c>
      <c r="E1071" s="1329">
        <v>0</v>
      </c>
      <c r="F1071" s="1099">
        <v>0</v>
      </c>
      <c r="G1071" s="1208">
        <v>0</v>
      </c>
      <c r="H1071" s="1099">
        <v>0</v>
      </c>
      <c r="I1071" s="1099">
        <v>0</v>
      </c>
      <c r="J1071" s="1208">
        <v>0</v>
      </c>
      <c r="K1071" s="1208">
        <v>0</v>
      </c>
      <c r="L1071" s="1099">
        <v>10</v>
      </c>
      <c r="M1071" s="1099">
        <v>100</v>
      </c>
      <c r="N1071" s="1099">
        <v>30</v>
      </c>
      <c r="O1071" s="1099">
        <v>30</v>
      </c>
      <c r="P1071" s="1099">
        <v>30</v>
      </c>
      <c r="Q1071" s="1208">
        <v>0</v>
      </c>
      <c r="R1071" s="1208">
        <v>0</v>
      </c>
      <c r="S1071" s="1099">
        <v>0</v>
      </c>
      <c r="T1071" s="1099">
        <v>0</v>
      </c>
      <c r="U1071" s="1099">
        <v>0</v>
      </c>
      <c r="V1071" s="1099">
        <v>0</v>
      </c>
      <c r="W1071" s="1099">
        <v>0</v>
      </c>
      <c r="X1071" s="1208">
        <v>0</v>
      </c>
      <c r="Y1071" s="1208">
        <v>0</v>
      </c>
      <c r="Z1071" s="1099">
        <v>0</v>
      </c>
      <c r="AA1071" s="1099">
        <v>0</v>
      </c>
      <c r="AB1071" s="1099"/>
      <c r="AC1071" s="1099"/>
      <c r="AD1071" s="1099"/>
      <c r="AE1071" s="1208"/>
      <c r="AF1071" s="1208"/>
      <c r="AG1071" s="1099"/>
      <c r="AH1071" s="1099"/>
      <c r="AI1071" s="1330"/>
      <c r="AJ1071" s="62">
        <f>SUM(E1071:AI1071)</f>
        <v>200</v>
      </c>
      <c r="AK1071" s="62"/>
      <c r="AL1071" s="63">
        <f>+AJ1071*AN1067</f>
        <v>0</v>
      </c>
      <c r="AM1071" s="1068">
        <f t="shared" si="1849"/>
        <v>0</v>
      </c>
      <c r="AN1071" s="64">
        <f>+AJ1071/AJ1069*100</f>
        <v>9.2592592592592595</v>
      </c>
      <c r="AO1071" s="635" t="e">
        <f>AO1069/AO1067</f>
        <v>#VALUE!</v>
      </c>
      <c r="AP1071" s="39" t="s">
        <v>102</v>
      </c>
      <c r="AQ1071" s="56">
        <f>SUM(E1071:H1071)</f>
        <v>0</v>
      </c>
      <c r="AR1071" s="70">
        <f>SUM(I1071:O1071)</f>
        <v>170</v>
      </c>
      <c r="AS1071" s="70">
        <f>SUM(P1071:V1071)</f>
        <v>30</v>
      </c>
      <c r="AT1071" s="70">
        <f>SUM(W1071:AC1071)</f>
        <v>0</v>
      </c>
      <c r="AU1071" s="70">
        <f>SUM(AD1071:AI1071)</f>
        <v>0</v>
      </c>
      <c r="AV1071" s="57">
        <f t="shared" si="1919"/>
        <v>200</v>
      </c>
    </row>
    <row r="1072" spans="1:48" ht="25.15" customHeight="1">
      <c r="A1072" s="58" t="s">
        <v>202</v>
      </c>
      <c r="B1072" s="65"/>
      <c r="C1072" s="66"/>
      <c r="D1072" s="67" t="s">
        <v>103</v>
      </c>
      <c r="E1072" s="1331">
        <v>0</v>
      </c>
      <c r="F1072" s="1101">
        <v>0</v>
      </c>
      <c r="G1072" s="1209">
        <v>0</v>
      </c>
      <c r="H1072" s="1101">
        <v>0</v>
      </c>
      <c r="I1072" s="1101">
        <v>0</v>
      </c>
      <c r="J1072" s="1209">
        <v>0</v>
      </c>
      <c r="K1072" s="1209">
        <v>0</v>
      </c>
      <c r="L1072" s="1101">
        <v>0</v>
      </c>
      <c r="M1072" s="1101">
        <v>0</v>
      </c>
      <c r="N1072" s="1101">
        <v>0</v>
      </c>
      <c r="O1072" s="1101">
        <v>0</v>
      </c>
      <c r="P1072" s="1101">
        <v>0</v>
      </c>
      <c r="Q1072" s="1209">
        <v>0</v>
      </c>
      <c r="R1072" s="1209">
        <v>0</v>
      </c>
      <c r="S1072" s="1101">
        <v>0</v>
      </c>
      <c r="T1072" s="1101">
        <v>0</v>
      </c>
      <c r="U1072" s="1101">
        <v>0</v>
      </c>
      <c r="V1072" s="1101">
        <v>0</v>
      </c>
      <c r="W1072" s="1101">
        <v>0</v>
      </c>
      <c r="X1072" s="1209">
        <v>0</v>
      </c>
      <c r="Y1072" s="1209">
        <v>0</v>
      </c>
      <c r="Z1072" s="1101">
        <v>0</v>
      </c>
      <c r="AA1072" s="1101">
        <v>0</v>
      </c>
      <c r="AB1072" s="1101"/>
      <c r="AC1072" s="1101"/>
      <c r="AD1072" s="1101"/>
      <c r="AE1072" s="1209"/>
      <c r="AF1072" s="1209"/>
      <c r="AG1072" s="1101"/>
      <c r="AH1072" s="1101"/>
      <c r="AI1072" s="1332"/>
      <c r="AJ1072" s="68">
        <f>SUM(E1072:AI1072)</f>
        <v>0</v>
      </c>
      <c r="AK1072" s="68"/>
      <c r="AL1072" s="69">
        <f>+AJ1072*AN1067</f>
        <v>0</v>
      </c>
      <c r="AM1072" s="1069">
        <f t="shared" si="1849"/>
        <v>0</v>
      </c>
      <c r="AN1072" s="31"/>
      <c r="AO1072" s="622"/>
      <c r="AP1072" s="39" t="s">
        <v>19</v>
      </c>
      <c r="AQ1072" s="56">
        <f>AQ1071*AN1067</f>
        <v>0</v>
      </c>
      <c r="AR1072" s="56">
        <f>AR1071*AN1067</f>
        <v>0</v>
      </c>
      <c r="AS1072" s="56">
        <f>AS1071*AN1067</f>
        <v>0</v>
      </c>
      <c r="AT1072" s="56">
        <f>AT1071*AN1067</f>
        <v>0</v>
      </c>
      <c r="AU1072" s="56">
        <f>AU1071*AN1067</f>
        <v>0</v>
      </c>
      <c r="AV1072" s="57">
        <f t="shared" si="1919"/>
        <v>0</v>
      </c>
    </row>
    <row r="1073" spans="1:48" ht="25.15" customHeight="1">
      <c r="A1073" s="103"/>
      <c r="B1073" s="65"/>
      <c r="C1073" s="72" t="s">
        <v>104</v>
      </c>
      <c r="D1073" s="73" t="s">
        <v>105</v>
      </c>
      <c r="E1073" s="1378">
        <v>0</v>
      </c>
      <c r="F1073" s="1103">
        <v>0</v>
      </c>
      <c r="G1073" s="1210">
        <v>0</v>
      </c>
      <c r="H1073" s="1103">
        <v>0</v>
      </c>
      <c r="I1073" s="1103">
        <v>0</v>
      </c>
      <c r="J1073" s="1210">
        <v>0</v>
      </c>
      <c r="K1073" s="1210">
        <v>0</v>
      </c>
      <c r="L1073" s="1103">
        <v>0</v>
      </c>
      <c r="M1073" s="1103">
        <v>0</v>
      </c>
      <c r="N1073" s="1103">
        <v>0</v>
      </c>
      <c r="O1073" s="1103">
        <v>0</v>
      </c>
      <c r="P1073" s="1103">
        <v>0</v>
      </c>
      <c r="Q1073" s="1210">
        <v>0</v>
      </c>
      <c r="R1073" s="1210">
        <v>0</v>
      </c>
      <c r="S1073" s="1103">
        <v>0</v>
      </c>
      <c r="T1073" s="1103">
        <v>0</v>
      </c>
      <c r="U1073" s="1103">
        <v>0</v>
      </c>
      <c r="V1073" s="1103">
        <v>0</v>
      </c>
      <c r="W1073" s="1103">
        <v>0</v>
      </c>
      <c r="X1073" s="1210">
        <v>0</v>
      </c>
      <c r="Y1073" s="1210">
        <v>0</v>
      </c>
      <c r="Z1073" s="1103">
        <v>0</v>
      </c>
      <c r="AA1073" s="1103">
        <v>0</v>
      </c>
      <c r="AB1073" s="1103"/>
      <c r="AC1073" s="1103"/>
      <c r="AD1073" s="1103"/>
      <c r="AE1073" s="1210"/>
      <c r="AF1073" s="1210"/>
      <c r="AG1073" s="1103"/>
      <c r="AH1073" s="1103"/>
      <c r="AI1073" s="1352"/>
      <c r="AJ1073" s="74">
        <f>SUM(E1073:AI1073)</f>
        <v>0</v>
      </c>
      <c r="AK1073" s="74"/>
      <c r="AL1073" s="75">
        <f>+AJ1073*AN1067</f>
        <v>0</v>
      </c>
      <c r="AM1073" s="1070">
        <f t="shared" si="1849"/>
        <v>0</v>
      </c>
      <c r="AN1073" s="76"/>
      <c r="AO1073" s="636"/>
      <c r="AP1073" s="47" t="s">
        <v>106</v>
      </c>
      <c r="AQ1073" s="48">
        <f>AQ1069*AN1067</f>
        <v>0</v>
      </c>
      <c r="AR1073" s="48">
        <f>AR1069*AN1067</f>
        <v>0</v>
      </c>
      <c r="AS1073" s="48">
        <f>AS1069*AN1067</f>
        <v>0</v>
      </c>
      <c r="AT1073" s="48">
        <f>AT1069*AN1067</f>
        <v>0</v>
      </c>
      <c r="AU1073" s="48">
        <f>AU1069*AN1067</f>
        <v>0</v>
      </c>
      <c r="AV1073" s="50">
        <f t="shared" si="1919"/>
        <v>0</v>
      </c>
    </row>
    <row r="1074" spans="1:48" ht="25.15" customHeight="1">
      <c r="A1074" s="103"/>
      <c r="B1074" s="65"/>
      <c r="C1074" s="77">
        <v>300000</v>
      </c>
      <c r="D1074" s="78" t="s">
        <v>107</v>
      </c>
      <c r="E1074" s="1327">
        <v>1</v>
      </c>
      <c r="F1074" s="1097">
        <v>1</v>
      </c>
      <c r="G1074" s="1205">
        <v>1</v>
      </c>
      <c r="H1074" s="1097">
        <v>1</v>
      </c>
      <c r="I1074" s="1097">
        <v>1</v>
      </c>
      <c r="J1074" s="1205">
        <v>1</v>
      </c>
      <c r="K1074" s="1205">
        <v>1</v>
      </c>
      <c r="L1074" s="1097">
        <v>1</v>
      </c>
      <c r="M1074" s="1097">
        <v>1</v>
      </c>
      <c r="N1074" s="1097">
        <v>1</v>
      </c>
      <c r="O1074" s="1097">
        <v>1</v>
      </c>
      <c r="P1074" s="1097">
        <v>1</v>
      </c>
      <c r="Q1074" s="1205">
        <v>1</v>
      </c>
      <c r="R1074" s="1205">
        <v>1</v>
      </c>
      <c r="S1074" s="1097">
        <v>1</v>
      </c>
      <c r="T1074" s="1097">
        <v>1</v>
      </c>
      <c r="U1074" s="1097">
        <v>1</v>
      </c>
      <c r="V1074" s="1097">
        <v>1</v>
      </c>
      <c r="W1074" s="1097">
        <v>1</v>
      </c>
      <c r="X1074" s="1205">
        <v>1</v>
      </c>
      <c r="Y1074" s="1205">
        <v>1</v>
      </c>
      <c r="Z1074" s="1097">
        <v>1</v>
      </c>
      <c r="AA1074" s="1097">
        <v>1</v>
      </c>
      <c r="AB1074" s="1097">
        <v>1</v>
      </c>
      <c r="AC1074" s="1097">
        <v>1</v>
      </c>
      <c r="AD1074" s="1097">
        <v>1</v>
      </c>
      <c r="AE1074" s="1205">
        <v>1</v>
      </c>
      <c r="AF1074" s="1205">
        <v>1</v>
      </c>
      <c r="AG1074" s="1097">
        <v>1</v>
      </c>
      <c r="AH1074" s="1097">
        <v>1</v>
      </c>
      <c r="AI1074" s="1328">
        <v>1</v>
      </c>
      <c r="AJ1074" s="79"/>
      <c r="AK1074" s="79"/>
      <c r="AL1074" s="55"/>
      <c r="AM1074" s="1067">
        <f t="shared" si="1849"/>
        <v>0</v>
      </c>
      <c r="AN1074" s="31"/>
      <c r="AO1074" s="622"/>
      <c r="AP1074" s="23"/>
      <c r="AQ1074" s="23"/>
      <c r="AR1074" s="23"/>
      <c r="AS1074" s="23"/>
      <c r="AT1074" s="23"/>
      <c r="AU1074" s="23"/>
      <c r="AV1074" s="23"/>
    </row>
    <row r="1075" spans="1:48" ht="25.15" customHeight="1">
      <c r="A1075" s="103"/>
      <c r="B1075" s="65"/>
      <c r="C1075" s="80" t="s">
        <v>108</v>
      </c>
      <c r="D1075" s="81" t="s">
        <v>109</v>
      </c>
      <c r="E1075" s="1374">
        <f>SUM(E1069+E1071+E1072+E1073)/E1074</f>
        <v>0</v>
      </c>
      <c r="F1075" s="1104">
        <f>SUM(F1069+F1071+F1072+F1073)/F1074</f>
        <v>0</v>
      </c>
      <c r="G1075" s="1211">
        <f>SUM(G1069+G1071+G1072+G1073)/G1074</f>
        <v>0</v>
      </c>
      <c r="H1075" s="1104">
        <f t="shared" ref="H1075:AH1075" si="1921">SUM(H1069+H1071+H1072+H1073)/H1074</f>
        <v>0</v>
      </c>
      <c r="I1075" s="1104">
        <f t="shared" si="1921"/>
        <v>0</v>
      </c>
      <c r="J1075" s="1211">
        <f t="shared" si="1921"/>
        <v>0</v>
      </c>
      <c r="K1075" s="1211">
        <f t="shared" si="1921"/>
        <v>0</v>
      </c>
      <c r="L1075" s="1104">
        <f t="shared" si="1921"/>
        <v>10</v>
      </c>
      <c r="M1075" s="1104">
        <f t="shared" si="1921"/>
        <v>100</v>
      </c>
      <c r="N1075" s="1104">
        <f t="shared" si="1921"/>
        <v>570</v>
      </c>
      <c r="O1075" s="1104">
        <f t="shared" si="1921"/>
        <v>870</v>
      </c>
      <c r="P1075" s="1104">
        <f t="shared" si="1921"/>
        <v>810</v>
      </c>
      <c r="Q1075" s="1211">
        <f t="shared" si="1921"/>
        <v>0</v>
      </c>
      <c r="R1075" s="1211">
        <f t="shared" si="1921"/>
        <v>0</v>
      </c>
      <c r="S1075" s="1104">
        <f t="shared" si="1921"/>
        <v>0</v>
      </c>
      <c r="T1075" s="1104">
        <f t="shared" si="1921"/>
        <v>0</v>
      </c>
      <c r="U1075" s="1104">
        <f t="shared" si="1921"/>
        <v>0</v>
      </c>
      <c r="V1075" s="1104">
        <f t="shared" si="1921"/>
        <v>0</v>
      </c>
      <c r="W1075" s="1104">
        <f t="shared" si="1921"/>
        <v>0</v>
      </c>
      <c r="X1075" s="1211">
        <f t="shared" si="1921"/>
        <v>0</v>
      </c>
      <c r="Y1075" s="1211">
        <f t="shared" si="1921"/>
        <v>0</v>
      </c>
      <c r="Z1075" s="1104">
        <f t="shared" si="1921"/>
        <v>0</v>
      </c>
      <c r="AA1075" s="1104">
        <f t="shared" si="1921"/>
        <v>0</v>
      </c>
      <c r="AB1075" s="1104">
        <f t="shared" si="1921"/>
        <v>0</v>
      </c>
      <c r="AC1075" s="1104">
        <f t="shared" si="1921"/>
        <v>0</v>
      </c>
      <c r="AD1075" s="1104">
        <f t="shared" si="1921"/>
        <v>0</v>
      </c>
      <c r="AE1075" s="1211">
        <f t="shared" si="1921"/>
        <v>0</v>
      </c>
      <c r="AF1075" s="1211">
        <f t="shared" si="1921"/>
        <v>0</v>
      </c>
      <c r="AG1075" s="1104">
        <f t="shared" si="1921"/>
        <v>0</v>
      </c>
      <c r="AH1075" s="1104">
        <f t="shared" si="1921"/>
        <v>0</v>
      </c>
      <c r="AI1075" s="1335">
        <f>SUM(AI1069+AI1071+AI1072)/AI1074</f>
        <v>0</v>
      </c>
      <c r="AJ1075" s="104">
        <f>SUM(E1075:AI1075)</f>
        <v>2360</v>
      </c>
      <c r="AK1075" s="104"/>
      <c r="AL1075" s="83"/>
      <c r="AM1075" s="1068">
        <f t="shared" si="1849"/>
        <v>0</v>
      </c>
      <c r="AN1075" s="31"/>
      <c r="AO1075" s="622"/>
      <c r="AP1075" s="23"/>
      <c r="AQ1075" s="23"/>
      <c r="AR1075" s="23"/>
      <c r="AS1075" s="23"/>
      <c r="AT1075" s="23"/>
      <c r="AU1075" s="23"/>
      <c r="AV1075" s="23"/>
    </row>
    <row r="1076" spans="1:48" ht="25.15" customHeight="1">
      <c r="A1076" s="103"/>
      <c r="B1076" s="59"/>
      <c r="C1076" s="84">
        <f>+C1074*0.8</f>
        <v>240000</v>
      </c>
      <c r="D1076" s="85" t="s">
        <v>110</v>
      </c>
      <c r="E1076" s="1105"/>
      <c r="F1076" s="1106"/>
      <c r="G1076" s="1211"/>
      <c r="H1076" s="1104"/>
      <c r="I1076" s="1104"/>
      <c r="J1076" s="1211"/>
      <c r="K1076" s="1211"/>
      <c r="L1076" s="1104"/>
      <c r="M1076" s="1104"/>
      <c r="N1076" s="1104"/>
      <c r="O1076" s="1107"/>
      <c r="P1076" s="1104"/>
      <c r="Q1076" s="1211"/>
      <c r="R1076" s="1211"/>
      <c r="S1076" s="1104"/>
      <c r="T1076" s="1104"/>
      <c r="U1076" s="1104"/>
      <c r="V1076" s="1104"/>
      <c r="W1076" s="1104"/>
      <c r="X1076" s="1211"/>
      <c r="Y1076" s="1211"/>
      <c r="Z1076" s="1104"/>
      <c r="AA1076" s="1104"/>
      <c r="AB1076" s="1104"/>
      <c r="AC1076" s="1104"/>
      <c r="AD1076" s="1104"/>
      <c r="AE1076" s="1211"/>
      <c r="AF1076" s="1211"/>
      <c r="AG1076" s="1104"/>
      <c r="AH1076" s="1104"/>
      <c r="AI1076" s="1353"/>
      <c r="AJ1076" s="86"/>
      <c r="AK1076" s="86"/>
      <c r="AL1076" s="690"/>
      <c r="AM1076" s="694">
        <f t="shared" si="1849"/>
        <v>0</v>
      </c>
      <c r="AN1076" s="31"/>
      <c r="AO1076" s="622"/>
      <c r="AP1076" s="23"/>
      <c r="AQ1076" s="23"/>
      <c r="AR1076" s="23"/>
      <c r="AS1076" s="23"/>
      <c r="AT1076" s="23"/>
      <c r="AU1076" s="23"/>
      <c r="AV1076" s="23"/>
    </row>
    <row r="1077" spans="1:48" ht="25.15" customHeight="1">
      <c r="A1077" s="103"/>
      <c r="B1077" s="105"/>
      <c r="C1077" s="77"/>
      <c r="D1077" s="88" t="s">
        <v>111</v>
      </c>
      <c r="E1077" s="1108">
        <f>IF(E1076="O/H",E1075,0+E1075)</f>
        <v>0</v>
      </c>
      <c r="F1077" s="1089">
        <f t="shared" ref="F1077:AI1077" si="1922">IF(F1076="O/H",F1075,+E1077+F1075)</f>
        <v>0</v>
      </c>
      <c r="G1077" s="44">
        <f t="shared" si="1922"/>
        <v>0</v>
      </c>
      <c r="H1077" s="1089">
        <f t="shared" si="1922"/>
        <v>0</v>
      </c>
      <c r="I1077" s="1089">
        <f t="shared" si="1922"/>
        <v>0</v>
      </c>
      <c r="J1077" s="44">
        <f t="shared" si="1922"/>
        <v>0</v>
      </c>
      <c r="K1077" s="44">
        <f t="shared" si="1922"/>
        <v>0</v>
      </c>
      <c r="L1077" s="1089">
        <f t="shared" si="1922"/>
        <v>10</v>
      </c>
      <c r="M1077" s="1089">
        <f t="shared" si="1922"/>
        <v>110</v>
      </c>
      <c r="N1077" s="1089">
        <f t="shared" si="1922"/>
        <v>680</v>
      </c>
      <c r="O1077" s="1089">
        <f t="shared" si="1922"/>
        <v>1550</v>
      </c>
      <c r="P1077" s="1089">
        <f t="shared" si="1922"/>
        <v>2360</v>
      </c>
      <c r="Q1077" s="44">
        <f t="shared" si="1922"/>
        <v>2360</v>
      </c>
      <c r="R1077" s="44">
        <f t="shared" si="1922"/>
        <v>2360</v>
      </c>
      <c r="S1077" s="1089">
        <f t="shared" si="1922"/>
        <v>2360</v>
      </c>
      <c r="T1077" s="1089">
        <f t="shared" si="1922"/>
        <v>2360</v>
      </c>
      <c r="U1077" s="1089">
        <f t="shared" si="1922"/>
        <v>2360</v>
      </c>
      <c r="V1077" s="1089">
        <f t="shared" si="1922"/>
        <v>2360</v>
      </c>
      <c r="W1077" s="1089">
        <f t="shared" si="1922"/>
        <v>2360</v>
      </c>
      <c r="X1077" s="44">
        <f t="shared" si="1922"/>
        <v>2360</v>
      </c>
      <c r="Y1077" s="44">
        <f t="shared" si="1922"/>
        <v>2360</v>
      </c>
      <c r="Z1077" s="1089">
        <f t="shared" si="1922"/>
        <v>2360</v>
      </c>
      <c r="AA1077" s="1089">
        <f t="shared" si="1922"/>
        <v>2360</v>
      </c>
      <c r="AB1077" s="1089">
        <f t="shared" si="1922"/>
        <v>2360</v>
      </c>
      <c r="AC1077" s="1089">
        <f t="shared" si="1922"/>
        <v>2360</v>
      </c>
      <c r="AD1077" s="1089">
        <f t="shared" si="1922"/>
        <v>2360</v>
      </c>
      <c r="AE1077" s="44">
        <f t="shared" si="1922"/>
        <v>2360</v>
      </c>
      <c r="AF1077" s="44">
        <f t="shared" si="1922"/>
        <v>2360</v>
      </c>
      <c r="AG1077" s="1089">
        <f t="shared" si="1922"/>
        <v>2360</v>
      </c>
      <c r="AH1077" s="1089">
        <f t="shared" si="1922"/>
        <v>2360</v>
      </c>
      <c r="AI1077" s="1326">
        <f t="shared" si="1922"/>
        <v>2360</v>
      </c>
      <c r="AJ1077" s="79"/>
      <c r="AK1077" s="86"/>
      <c r="AL1077" s="689"/>
      <c r="AM1077" s="694">
        <f t="shared" si="1849"/>
        <v>0</v>
      </c>
      <c r="AN1077" s="31"/>
      <c r="AO1077" s="622"/>
      <c r="AP1077" s="23"/>
      <c r="AQ1077" s="23"/>
      <c r="AR1077" s="23"/>
      <c r="AS1077" s="23"/>
      <c r="AT1077" s="23"/>
      <c r="AU1077" s="23"/>
      <c r="AV1077" s="23"/>
    </row>
    <row r="1078" spans="1:48" s="23" customFormat="1" ht="20.65" customHeight="1">
      <c r="A1078" s="274"/>
      <c r="B1078" s="312"/>
      <c r="C1078" s="308"/>
      <c r="D1078" s="795" t="s">
        <v>112</v>
      </c>
      <c r="E1078" s="1108">
        <f>IF(AND(ISNUMBER(E1069)),0+E1075)</f>
        <v>0</v>
      </c>
      <c r="F1078" s="1089">
        <f>IF(AND(ISNUMBER(F1069)),E1078+F1075,"")</f>
        <v>0</v>
      </c>
      <c r="G1078" s="44">
        <f t="shared" ref="G1078" si="1923">IF(AND(ISNUMBER(G1069)),F1078+G1075,"")</f>
        <v>0</v>
      </c>
      <c r="H1078" s="1089">
        <f t="shared" ref="H1078" si="1924">IF(AND(ISNUMBER(H1069)),G1078+H1075,"")</f>
        <v>0</v>
      </c>
      <c r="I1078" s="1089">
        <f>IF(AND(ISNUMBER(I1069)),H1078+I1075,"")</f>
        <v>0</v>
      </c>
      <c r="J1078" s="44">
        <f>IF(AND(ISNUMBER(J1069)),I1078+J1075,"")</f>
        <v>0</v>
      </c>
      <c r="K1078" s="44">
        <f>IF(AND(ISNUMBER(K1069)),J1078+K1075,"")</f>
        <v>0</v>
      </c>
      <c r="L1078" s="1089">
        <f t="shared" ref="L1078" si="1925">IF(AND(ISNUMBER(L1069)),K1078+L1075,"")</f>
        <v>10</v>
      </c>
      <c r="M1078" s="1089">
        <f t="shared" ref="M1078" si="1926">IF(AND(ISNUMBER(M1069)),L1078+M1075,"")</f>
        <v>110</v>
      </c>
      <c r="N1078" s="1089">
        <f t="shared" ref="N1078" si="1927">IF(AND(ISNUMBER(N1069)),M1078+N1075,"")</f>
        <v>680</v>
      </c>
      <c r="O1078" s="1089">
        <f t="shared" ref="O1078" si="1928">IF(AND(ISNUMBER(O1069)),N1078+O1075,"")</f>
        <v>1550</v>
      </c>
      <c r="P1078" s="1089">
        <f t="shared" ref="P1078" si="1929">IF(AND(ISNUMBER(P1069)),O1078+P1075,"")</f>
        <v>2360</v>
      </c>
      <c r="Q1078" s="44">
        <f t="shared" ref="Q1078" si="1930">IF(AND(ISNUMBER(Q1069)),P1078+Q1075,"")</f>
        <v>2360</v>
      </c>
      <c r="R1078" s="44">
        <f t="shared" ref="R1078" si="1931">IF(AND(ISNUMBER(R1069)),Q1078+R1075,"")</f>
        <v>2360</v>
      </c>
      <c r="S1078" s="1089">
        <f t="shared" ref="S1078" si="1932">IF(AND(ISNUMBER(S1069)),R1078+S1075,"")</f>
        <v>2360</v>
      </c>
      <c r="T1078" s="1089">
        <f t="shared" ref="T1078" si="1933">IF(AND(ISNUMBER(T1069)),S1078+T1075,"")</f>
        <v>2360</v>
      </c>
      <c r="U1078" s="1089">
        <f t="shared" ref="U1078" si="1934">IF(AND(ISNUMBER(U1069)),T1078+U1075,"")</f>
        <v>2360</v>
      </c>
      <c r="V1078" s="1089">
        <f t="shared" ref="V1078" si="1935">IF(AND(ISNUMBER(V1069)),U1078+V1075,"")</f>
        <v>2360</v>
      </c>
      <c r="W1078" s="1089">
        <f t="shared" ref="W1078" si="1936">IF(AND(ISNUMBER(W1069)),V1078+W1075,"")</f>
        <v>2360</v>
      </c>
      <c r="X1078" s="44">
        <f t="shared" ref="X1078" si="1937">IF(AND(ISNUMBER(X1069)),W1078+X1075,"")</f>
        <v>2360</v>
      </c>
      <c r="Y1078" s="44">
        <f t="shared" ref="Y1078" si="1938">IF(AND(ISNUMBER(Y1069)),X1078+Y1075,"")</f>
        <v>2360</v>
      </c>
      <c r="Z1078" s="1089">
        <f t="shared" ref="Z1078" si="1939">IF(AND(ISNUMBER(Z1069)),Y1078+Z1075,"")</f>
        <v>2360</v>
      </c>
      <c r="AA1078" s="1089">
        <f t="shared" ref="AA1078" si="1940">IF(AND(ISNUMBER(AA1069)),Z1078+AA1075,"")</f>
        <v>2360</v>
      </c>
      <c r="AB1078" s="1089" t="str">
        <f t="shared" ref="AB1078" si="1941">IF(AND(ISNUMBER(AB1069)),AA1078+AB1075,"")</f>
        <v/>
      </c>
      <c r="AC1078" s="1089" t="str">
        <f t="shared" ref="AC1078" si="1942">IF(AND(ISNUMBER(AC1069)),AB1078+AC1075,"")</f>
        <v/>
      </c>
      <c r="AD1078" s="1089" t="str">
        <f t="shared" ref="AD1078" si="1943">IF(AND(ISNUMBER(AD1069)),AC1078+AD1075,"")</f>
        <v/>
      </c>
      <c r="AE1078" s="44" t="str">
        <f t="shared" ref="AE1078" si="1944">IF(AND(ISNUMBER(AE1069)),AD1078+AE1075,"")</f>
        <v/>
      </c>
      <c r="AF1078" s="44" t="str">
        <f t="shared" ref="AF1078" si="1945">IF(AND(ISNUMBER(AF1069)),AE1078+AF1075,"")</f>
        <v/>
      </c>
      <c r="AG1078" s="1089" t="str">
        <f t="shared" ref="AG1078" si="1946">IF(AND(ISNUMBER(AG1069)),AF1078+AG1075,"")</f>
        <v/>
      </c>
      <c r="AH1078" s="1089" t="str">
        <f t="shared" ref="AH1078" si="1947">IF(AND(ISNUMBER(AH1069)),AG1078+AH1075,"")</f>
        <v/>
      </c>
      <c r="AI1078" s="1089" t="str">
        <f t="shared" ref="AI1078" si="1948">IF(AND(ISNUMBER(AI1069)),AH1078+AI1075,"")</f>
        <v/>
      </c>
      <c r="AJ1078" s="793"/>
      <c r="AK1078" s="793"/>
      <c r="AL1078" s="909"/>
      <c r="AM1078" s="890">
        <f t="shared" si="1849"/>
        <v>0</v>
      </c>
      <c r="AN1078" s="76"/>
      <c r="AO1078" s="624"/>
      <c r="AP1078" s="285"/>
      <c r="AQ1078" s="285"/>
      <c r="AR1078" s="285"/>
      <c r="AS1078" s="285"/>
      <c r="AT1078" s="286"/>
      <c r="AU1078" s="285"/>
      <c r="AV1078" s="287"/>
    </row>
    <row r="1079" spans="1:48" ht="25.15" customHeight="1">
      <c r="A1079" s="103"/>
      <c r="B1079" s="89"/>
      <c r="C1079" s="80"/>
      <c r="D1079" s="90" t="s">
        <v>104</v>
      </c>
      <c r="E1079" s="1108"/>
      <c r="F1079" s="1089"/>
      <c r="G1079" s="44"/>
      <c r="H1079" s="1089"/>
      <c r="I1079" s="1089"/>
      <c r="J1079" s="44"/>
      <c r="K1079" s="44"/>
      <c r="L1079" s="1089"/>
      <c r="M1079" s="1089"/>
      <c r="N1079" s="1089"/>
      <c r="O1079" s="1089"/>
      <c r="P1079" s="1089"/>
      <c r="Q1079" s="44"/>
      <c r="R1079" s="44"/>
      <c r="S1079" s="1089"/>
      <c r="T1079" s="1089"/>
      <c r="U1079" s="1089"/>
      <c r="V1079" s="1089"/>
      <c r="W1079" s="1089"/>
      <c r="X1079" s="44"/>
      <c r="Y1079" s="44"/>
      <c r="Z1079" s="1089"/>
      <c r="AA1079" s="1089"/>
      <c r="AB1079" s="1089"/>
      <c r="AC1079" s="1089"/>
      <c r="AD1079" s="1089"/>
      <c r="AE1079" s="44"/>
      <c r="AF1079" s="44"/>
      <c r="AG1079" s="1089"/>
      <c r="AH1079" s="1089"/>
      <c r="AI1079" s="1326"/>
      <c r="AJ1079" s="79"/>
      <c r="AK1079" s="79"/>
      <c r="AL1079" s="63"/>
      <c r="AM1079" s="1068">
        <f t="shared" si="1849"/>
        <v>0</v>
      </c>
      <c r="AN1079" s="64"/>
      <c r="AO1079" s="624"/>
      <c r="AP1079" s="23"/>
      <c r="AQ1079" s="23"/>
      <c r="AR1079" s="23"/>
      <c r="AS1079" s="23"/>
      <c r="AT1079" s="23"/>
      <c r="AU1079" s="23"/>
      <c r="AV1079" s="23"/>
    </row>
    <row r="1080" spans="1:48" ht="25.15" customHeight="1" thickBot="1">
      <c r="A1080" s="106"/>
      <c r="B1080" s="93"/>
      <c r="C1080" s="94"/>
      <c r="D1080" s="95" t="s">
        <v>111</v>
      </c>
      <c r="E1080" s="1109">
        <f>IF(E1079="O/H",E1075,0+E1075)</f>
        <v>0</v>
      </c>
      <c r="F1080" s="1110">
        <f t="shared" ref="F1080:AI1080" si="1949">IF(F1079="O/H",F1075,+E1080+F1075)</f>
        <v>0</v>
      </c>
      <c r="G1080" s="1212">
        <f t="shared" si="1949"/>
        <v>0</v>
      </c>
      <c r="H1080" s="1110">
        <f t="shared" si="1949"/>
        <v>0</v>
      </c>
      <c r="I1080" s="1110">
        <f t="shared" si="1949"/>
        <v>0</v>
      </c>
      <c r="J1080" s="1212">
        <f t="shared" si="1949"/>
        <v>0</v>
      </c>
      <c r="K1080" s="1212">
        <f t="shared" si="1949"/>
        <v>0</v>
      </c>
      <c r="L1080" s="1110">
        <f t="shared" si="1949"/>
        <v>10</v>
      </c>
      <c r="M1080" s="1110">
        <f t="shared" si="1949"/>
        <v>110</v>
      </c>
      <c r="N1080" s="1110">
        <f t="shared" si="1949"/>
        <v>680</v>
      </c>
      <c r="O1080" s="1110">
        <f t="shared" si="1949"/>
        <v>1550</v>
      </c>
      <c r="P1080" s="1110">
        <f t="shared" si="1949"/>
        <v>2360</v>
      </c>
      <c r="Q1080" s="1212">
        <f t="shared" si="1949"/>
        <v>2360</v>
      </c>
      <c r="R1080" s="1212">
        <f t="shared" si="1949"/>
        <v>2360</v>
      </c>
      <c r="S1080" s="1110">
        <f t="shared" si="1949"/>
        <v>2360</v>
      </c>
      <c r="T1080" s="1110">
        <f t="shared" si="1949"/>
        <v>2360</v>
      </c>
      <c r="U1080" s="1110">
        <f t="shared" si="1949"/>
        <v>2360</v>
      </c>
      <c r="V1080" s="1110">
        <f t="shared" si="1949"/>
        <v>2360</v>
      </c>
      <c r="W1080" s="1110">
        <f t="shared" si="1949"/>
        <v>2360</v>
      </c>
      <c r="X1080" s="1212">
        <f t="shared" si="1949"/>
        <v>2360</v>
      </c>
      <c r="Y1080" s="1212">
        <f t="shared" si="1949"/>
        <v>2360</v>
      </c>
      <c r="Z1080" s="1110">
        <f t="shared" si="1949"/>
        <v>2360</v>
      </c>
      <c r="AA1080" s="1110">
        <f t="shared" si="1949"/>
        <v>2360</v>
      </c>
      <c r="AB1080" s="1110">
        <f t="shared" si="1949"/>
        <v>2360</v>
      </c>
      <c r="AC1080" s="1110">
        <f t="shared" si="1949"/>
        <v>2360</v>
      </c>
      <c r="AD1080" s="1110">
        <f t="shared" si="1949"/>
        <v>2360</v>
      </c>
      <c r="AE1080" s="1212">
        <f t="shared" si="1949"/>
        <v>2360</v>
      </c>
      <c r="AF1080" s="1212">
        <f t="shared" si="1949"/>
        <v>2360</v>
      </c>
      <c r="AG1080" s="1110">
        <f t="shared" si="1949"/>
        <v>2360</v>
      </c>
      <c r="AH1080" s="1110">
        <f t="shared" si="1949"/>
        <v>2360</v>
      </c>
      <c r="AI1080" s="1340">
        <f t="shared" si="1949"/>
        <v>2360</v>
      </c>
      <c r="AJ1080" s="96"/>
      <c r="AK1080" s="96"/>
      <c r="AL1080" s="97"/>
      <c r="AM1080" s="1071">
        <f t="shared" si="1849"/>
        <v>0</v>
      </c>
      <c r="AN1080" s="98"/>
      <c r="AO1080" s="625"/>
      <c r="AP1080" s="23"/>
      <c r="AQ1080" s="23"/>
      <c r="AR1080" s="23"/>
      <c r="AS1080" s="23"/>
      <c r="AT1080" s="23"/>
      <c r="AU1080" s="23"/>
      <c r="AV1080" s="23"/>
    </row>
    <row r="1081" spans="1:48" ht="25.15" customHeight="1" thickTop="1">
      <c r="A1081" s="99"/>
      <c r="B1081" s="26" t="s">
        <v>224</v>
      </c>
      <c r="C1081" s="27"/>
      <c r="D1081" s="28" t="s">
        <v>82</v>
      </c>
      <c r="E1081" s="1111"/>
      <c r="F1081" s="1111"/>
      <c r="G1081" s="1201"/>
      <c r="H1081" s="1111"/>
      <c r="I1081" s="1111"/>
      <c r="J1081" s="1201"/>
      <c r="K1081" s="1201"/>
      <c r="L1081" s="1111"/>
      <c r="M1081" s="1111"/>
      <c r="N1081" s="1111"/>
      <c r="O1081" s="1111"/>
      <c r="P1081" s="1111"/>
      <c r="Q1081" s="1201"/>
      <c r="R1081" s="1201"/>
      <c r="S1081" s="1111"/>
      <c r="T1081" s="1111"/>
      <c r="U1081" s="1111"/>
      <c r="V1081" s="1111"/>
      <c r="W1081" s="1111"/>
      <c r="X1081" s="1201"/>
      <c r="Y1081" s="1201"/>
      <c r="Z1081" s="1111"/>
      <c r="AA1081" s="1111"/>
      <c r="AB1081" s="1111"/>
      <c r="AC1081" s="1111"/>
      <c r="AD1081" s="1111"/>
      <c r="AE1081" s="1201"/>
      <c r="AF1081" s="1201"/>
      <c r="AG1081" s="1111"/>
      <c r="AH1081" s="1111"/>
      <c r="AI1081" s="1111"/>
      <c r="AJ1081" s="100">
        <f>SUM(Table75[[#This Row],[June''2026]:[Column27]])</f>
        <v>0</v>
      </c>
      <c r="AK1081" s="100">
        <f t="shared" si="1879"/>
        <v>2000</v>
      </c>
      <c r="AL1081" s="101">
        <f>+AJ1081*AN1081</f>
        <v>0</v>
      </c>
      <c r="AM1081" s="1072">
        <f t="shared" si="1849"/>
        <v>0</v>
      </c>
      <c r="AN1081" s="102"/>
      <c r="AO1081" s="622" t="e">
        <f>Table5[[#This Row],[Total]]*B1085/1000</f>
        <v>#VALUE!</v>
      </c>
      <c r="AP1081" s="32" t="s">
        <v>193</v>
      </c>
      <c r="AQ1081" s="33" t="s">
        <v>84</v>
      </c>
      <c r="AR1081" s="33" t="s">
        <v>85</v>
      </c>
      <c r="AS1081" s="33" t="s">
        <v>86</v>
      </c>
      <c r="AT1081" s="33" t="s">
        <v>87</v>
      </c>
      <c r="AU1081" s="33" t="s">
        <v>88</v>
      </c>
      <c r="AV1081" s="34" t="s">
        <v>68</v>
      </c>
    </row>
    <row r="1082" spans="1:48" ht="25.15" customHeight="1">
      <c r="A1082" s="103"/>
      <c r="B1082" s="35"/>
      <c r="C1082" s="36"/>
      <c r="D1082" s="37" t="s">
        <v>90</v>
      </c>
      <c r="E1082" s="1373">
        <f>IF(E1081="",0,+ E1081/E1088)</f>
        <v>0</v>
      </c>
      <c r="F1082" s="1096">
        <f t="shared" ref="F1082:AI1082" si="1950">IF(F1081="",0, E1082+F1081/F1088)</f>
        <v>0</v>
      </c>
      <c r="G1082" s="1207">
        <f t="shared" si="1950"/>
        <v>0</v>
      </c>
      <c r="H1082" s="1096">
        <f t="shared" si="1950"/>
        <v>0</v>
      </c>
      <c r="I1082" s="1096">
        <f t="shared" si="1950"/>
        <v>0</v>
      </c>
      <c r="J1082" s="1207">
        <f t="shared" si="1950"/>
        <v>0</v>
      </c>
      <c r="K1082" s="1207">
        <f t="shared" si="1950"/>
        <v>0</v>
      </c>
      <c r="L1082" s="1096">
        <f t="shared" si="1950"/>
        <v>0</v>
      </c>
      <c r="M1082" s="1096">
        <f t="shared" si="1950"/>
        <v>0</v>
      </c>
      <c r="N1082" s="1096">
        <f t="shared" si="1950"/>
        <v>0</v>
      </c>
      <c r="O1082" s="1096">
        <f t="shared" si="1950"/>
        <v>0</v>
      </c>
      <c r="P1082" s="1096">
        <f t="shared" si="1950"/>
        <v>0</v>
      </c>
      <c r="Q1082" s="1207">
        <f t="shared" si="1950"/>
        <v>0</v>
      </c>
      <c r="R1082" s="1207">
        <f t="shared" si="1950"/>
        <v>0</v>
      </c>
      <c r="S1082" s="1096">
        <f t="shared" si="1950"/>
        <v>0</v>
      </c>
      <c r="T1082" s="1096">
        <f t="shared" si="1950"/>
        <v>0</v>
      </c>
      <c r="U1082" s="1096">
        <f t="shared" si="1950"/>
        <v>0</v>
      </c>
      <c r="V1082" s="1096">
        <f t="shared" si="1950"/>
        <v>0</v>
      </c>
      <c r="W1082" s="1096">
        <f t="shared" si="1950"/>
        <v>0</v>
      </c>
      <c r="X1082" s="1207">
        <f t="shared" si="1950"/>
        <v>0</v>
      </c>
      <c r="Y1082" s="1207">
        <f t="shared" si="1950"/>
        <v>0</v>
      </c>
      <c r="Z1082" s="1096">
        <f t="shared" si="1950"/>
        <v>0</v>
      </c>
      <c r="AA1082" s="1096">
        <f t="shared" si="1950"/>
        <v>0</v>
      </c>
      <c r="AB1082" s="1096">
        <f t="shared" si="1950"/>
        <v>0</v>
      </c>
      <c r="AC1082" s="1096">
        <f t="shared" si="1950"/>
        <v>0</v>
      </c>
      <c r="AD1082" s="1096">
        <f t="shared" si="1950"/>
        <v>0</v>
      </c>
      <c r="AE1082" s="1207">
        <f t="shared" si="1950"/>
        <v>0</v>
      </c>
      <c r="AF1082" s="1207">
        <f t="shared" si="1950"/>
        <v>0</v>
      </c>
      <c r="AG1082" s="1096">
        <f t="shared" si="1950"/>
        <v>0</v>
      </c>
      <c r="AH1082" s="1096">
        <f t="shared" si="1950"/>
        <v>0</v>
      </c>
      <c r="AI1082" s="1324">
        <f t="shared" si="1950"/>
        <v>0</v>
      </c>
      <c r="AJ1082" s="38"/>
      <c r="AK1082" s="29">
        <f t="shared" si="1879"/>
        <v>2000</v>
      </c>
      <c r="AL1082" s="30"/>
      <c r="AM1082" s="694">
        <f t="shared" si="1849"/>
        <v>0</v>
      </c>
      <c r="AN1082" s="31"/>
      <c r="AO1082" s="630"/>
      <c r="AP1082" s="39" t="s">
        <v>91</v>
      </c>
      <c r="AQ1082" s="40">
        <f>SUM(E1081:H1081)</f>
        <v>0</v>
      </c>
      <c r="AR1082" s="41">
        <f>SUM(I1081:O1081)</f>
        <v>0</v>
      </c>
      <c r="AS1082" s="41">
        <f>SUM(P1081:V1081)</f>
        <v>0</v>
      </c>
      <c r="AT1082" s="41">
        <f>SUM(W1081:AC1081)</f>
        <v>0</v>
      </c>
      <c r="AU1082" s="41">
        <f>SUM(AD1081:AI1081)</f>
        <v>0</v>
      </c>
      <c r="AV1082" s="34">
        <f t="shared" ref="AV1082:AV1087" si="1951">SUM(AQ1082:AU1082)</f>
        <v>0</v>
      </c>
    </row>
    <row r="1083" spans="1:48" ht="25.15" customHeight="1">
      <c r="A1083" s="103"/>
      <c r="B1083" s="26" t="s">
        <v>92</v>
      </c>
      <c r="C1083" s="42"/>
      <c r="D1083" s="43" t="s">
        <v>93</v>
      </c>
      <c r="E1083" s="1325">
        <v>0</v>
      </c>
      <c r="F1083" s="1089">
        <v>0</v>
      </c>
      <c r="G1083" s="44">
        <v>0</v>
      </c>
      <c r="H1083" s="1089">
        <v>0</v>
      </c>
      <c r="I1083" s="1089">
        <v>0</v>
      </c>
      <c r="J1083" s="44">
        <v>0</v>
      </c>
      <c r="K1083" s="44">
        <v>0</v>
      </c>
      <c r="L1083" s="1089">
        <v>0</v>
      </c>
      <c r="M1083" s="1089">
        <v>0</v>
      </c>
      <c r="N1083" s="1089">
        <v>0</v>
      </c>
      <c r="O1083" s="1089">
        <v>1000</v>
      </c>
      <c r="P1083" s="1089">
        <v>1000</v>
      </c>
      <c r="Q1083" s="44">
        <v>0</v>
      </c>
      <c r="R1083" s="44">
        <v>0</v>
      </c>
      <c r="S1083" s="1089">
        <v>0</v>
      </c>
      <c r="T1083" s="1089">
        <v>0</v>
      </c>
      <c r="U1083" s="1089">
        <v>0</v>
      </c>
      <c r="V1083" s="1089">
        <v>0</v>
      </c>
      <c r="W1083" s="1089">
        <v>0</v>
      </c>
      <c r="X1083" s="44">
        <v>0</v>
      </c>
      <c r="Y1083" s="44">
        <v>0</v>
      </c>
      <c r="Z1083" s="1089">
        <v>0</v>
      </c>
      <c r="AA1083" s="1089">
        <v>0</v>
      </c>
      <c r="AB1083" s="1089"/>
      <c r="AC1083" s="1089"/>
      <c r="AD1083" s="1089"/>
      <c r="AE1083" s="44"/>
      <c r="AF1083" s="44"/>
      <c r="AG1083" s="1089"/>
      <c r="AH1083" s="1089"/>
      <c r="AI1083" s="1326"/>
      <c r="AJ1083" s="45">
        <f>SUM(E1083:AI1083)</f>
        <v>2000</v>
      </c>
      <c r="AK1083" s="45"/>
      <c r="AL1083" s="46">
        <f>+AJ1083*AN1081</f>
        <v>0</v>
      </c>
      <c r="AM1083" s="1066">
        <f t="shared" si="1849"/>
        <v>0</v>
      </c>
      <c r="AN1083" s="31"/>
      <c r="AO1083" s="632">
        <f>(AJ1083+AJ1085+AJ1086+AJ1087)*B1085/1000</f>
        <v>0</v>
      </c>
      <c r="AP1083" s="47" t="s">
        <v>94</v>
      </c>
      <c r="AQ1083" s="48">
        <f>SUM(E1083:H1083)</f>
        <v>0</v>
      </c>
      <c r="AR1083" s="49">
        <f>SUM(I1083:O1083)</f>
        <v>1000</v>
      </c>
      <c r="AS1083" s="49">
        <f>SUM(P1083:V1083)</f>
        <v>1000</v>
      </c>
      <c r="AT1083" s="49">
        <f>SUM(W1083:AC1083)</f>
        <v>0</v>
      </c>
      <c r="AU1083" s="49">
        <f>SUM(AD1083:AI1083)</f>
        <v>0</v>
      </c>
      <c r="AV1083" s="50">
        <f t="shared" si="1951"/>
        <v>2000</v>
      </c>
    </row>
    <row r="1084" spans="1:48" ht="25.15" customHeight="1">
      <c r="A1084" s="103"/>
      <c r="B1084" s="51"/>
      <c r="C1084" s="52" t="s">
        <v>95</v>
      </c>
      <c r="D1084" s="53" t="s">
        <v>96</v>
      </c>
      <c r="E1084" s="1327">
        <f t="shared" ref="E1084:AJ1084" si="1952">+E1083-E1081</f>
        <v>0</v>
      </c>
      <c r="F1084" s="1097">
        <f t="shared" si="1952"/>
        <v>0</v>
      </c>
      <c r="G1084" s="1205">
        <f t="shared" si="1952"/>
        <v>0</v>
      </c>
      <c r="H1084" s="1097">
        <f t="shared" si="1952"/>
        <v>0</v>
      </c>
      <c r="I1084" s="1097">
        <f t="shared" si="1952"/>
        <v>0</v>
      </c>
      <c r="J1084" s="1205">
        <f t="shared" si="1952"/>
        <v>0</v>
      </c>
      <c r="K1084" s="1205">
        <f t="shared" si="1952"/>
        <v>0</v>
      </c>
      <c r="L1084" s="1097">
        <f t="shared" si="1952"/>
        <v>0</v>
      </c>
      <c r="M1084" s="1097">
        <f t="shared" si="1952"/>
        <v>0</v>
      </c>
      <c r="N1084" s="1097">
        <f t="shared" si="1952"/>
        <v>0</v>
      </c>
      <c r="O1084" s="1097">
        <f t="shared" si="1952"/>
        <v>1000</v>
      </c>
      <c r="P1084" s="1097">
        <f t="shared" si="1952"/>
        <v>1000</v>
      </c>
      <c r="Q1084" s="1205">
        <f t="shared" si="1952"/>
        <v>0</v>
      </c>
      <c r="R1084" s="1205">
        <f t="shared" si="1952"/>
        <v>0</v>
      </c>
      <c r="S1084" s="1097">
        <f t="shared" si="1952"/>
        <v>0</v>
      </c>
      <c r="T1084" s="1097">
        <f t="shared" si="1952"/>
        <v>0</v>
      </c>
      <c r="U1084" s="1097">
        <f t="shared" si="1952"/>
        <v>0</v>
      </c>
      <c r="V1084" s="1097">
        <f t="shared" si="1952"/>
        <v>0</v>
      </c>
      <c r="W1084" s="1097">
        <f t="shared" si="1952"/>
        <v>0</v>
      </c>
      <c r="X1084" s="1205">
        <f t="shared" si="1952"/>
        <v>0</v>
      </c>
      <c r="Y1084" s="1205">
        <f t="shared" si="1952"/>
        <v>0</v>
      </c>
      <c r="Z1084" s="1097">
        <f t="shared" si="1952"/>
        <v>0</v>
      </c>
      <c r="AA1084" s="1097">
        <f t="shared" si="1952"/>
        <v>0</v>
      </c>
      <c r="AB1084" s="1097">
        <f t="shared" si="1952"/>
        <v>0</v>
      </c>
      <c r="AC1084" s="1097">
        <f t="shared" si="1952"/>
        <v>0</v>
      </c>
      <c r="AD1084" s="1097">
        <f t="shared" si="1952"/>
        <v>0</v>
      </c>
      <c r="AE1084" s="1205">
        <f t="shared" si="1952"/>
        <v>0</v>
      </c>
      <c r="AF1084" s="1205">
        <f t="shared" si="1952"/>
        <v>0</v>
      </c>
      <c r="AG1084" s="1097">
        <f t="shared" si="1952"/>
        <v>0</v>
      </c>
      <c r="AH1084" s="1097">
        <f t="shared" si="1952"/>
        <v>0</v>
      </c>
      <c r="AI1084" s="1328">
        <f t="shared" si="1952"/>
        <v>0</v>
      </c>
      <c r="AJ1084" s="54">
        <f t="shared" si="1952"/>
        <v>2000</v>
      </c>
      <c r="AK1084" s="54"/>
      <c r="AL1084" s="55">
        <f>+AJ1084*AN1081</f>
        <v>0</v>
      </c>
      <c r="AM1084" s="1067">
        <f t="shared" si="1849"/>
        <v>0</v>
      </c>
      <c r="AN1084" s="31" t="s">
        <v>97</v>
      </c>
      <c r="AO1084" s="622"/>
      <c r="AP1084" s="39" t="s">
        <v>98</v>
      </c>
      <c r="AQ1084" s="56">
        <f>AQ1083-AQ1082</f>
        <v>0</v>
      </c>
      <c r="AR1084" s="70">
        <f>AR1083-AR1082</f>
        <v>1000</v>
      </c>
      <c r="AS1084" s="70">
        <f>AS1083-AS1082</f>
        <v>1000</v>
      </c>
      <c r="AT1084" s="70">
        <f>AT1083-AT1082</f>
        <v>0</v>
      </c>
      <c r="AU1084" s="70">
        <f>AU1083-AU1082</f>
        <v>0</v>
      </c>
      <c r="AV1084" s="57">
        <f t="shared" si="1951"/>
        <v>2000</v>
      </c>
    </row>
    <row r="1085" spans="1:48" ht="25.15" customHeight="1">
      <c r="A1085" s="58"/>
      <c r="B1085" s="59"/>
      <c r="C1085" s="60" t="s">
        <v>100</v>
      </c>
      <c r="D1085" s="61" t="s">
        <v>101</v>
      </c>
      <c r="E1085" s="1329">
        <v>0</v>
      </c>
      <c r="F1085" s="1099">
        <v>0</v>
      </c>
      <c r="G1085" s="1208">
        <v>0</v>
      </c>
      <c r="H1085" s="1099">
        <v>0</v>
      </c>
      <c r="I1085" s="1099">
        <v>0</v>
      </c>
      <c r="J1085" s="1208">
        <v>0</v>
      </c>
      <c r="K1085" s="1208">
        <v>0</v>
      </c>
      <c r="L1085" s="1099">
        <v>0</v>
      </c>
      <c r="M1085" s="1099">
        <v>0</v>
      </c>
      <c r="N1085" s="1099">
        <v>0</v>
      </c>
      <c r="O1085" s="1099">
        <v>0</v>
      </c>
      <c r="P1085" s="1099">
        <v>0</v>
      </c>
      <c r="Q1085" s="1208">
        <v>0</v>
      </c>
      <c r="R1085" s="1208">
        <v>0</v>
      </c>
      <c r="S1085" s="1099">
        <v>0</v>
      </c>
      <c r="T1085" s="1099">
        <v>0</v>
      </c>
      <c r="U1085" s="1099">
        <v>0</v>
      </c>
      <c r="V1085" s="1099">
        <v>0</v>
      </c>
      <c r="W1085" s="1099">
        <v>0</v>
      </c>
      <c r="X1085" s="1208">
        <v>0</v>
      </c>
      <c r="Y1085" s="1208">
        <v>0</v>
      </c>
      <c r="Z1085" s="1099">
        <v>0</v>
      </c>
      <c r="AA1085" s="1099">
        <v>0</v>
      </c>
      <c r="AB1085" s="1099"/>
      <c r="AC1085" s="1099"/>
      <c r="AD1085" s="1099"/>
      <c r="AE1085" s="1208"/>
      <c r="AF1085" s="1208"/>
      <c r="AG1085" s="1099"/>
      <c r="AH1085" s="1099"/>
      <c r="AI1085" s="1330"/>
      <c r="AJ1085" s="62">
        <f>SUM(E1085:AI1085)</f>
        <v>0</v>
      </c>
      <c r="AK1085" s="62"/>
      <c r="AL1085" s="63">
        <f>+AJ1085*AN1081</f>
        <v>0</v>
      </c>
      <c r="AM1085" s="1068">
        <f t="shared" si="1849"/>
        <v>0</v>
      </c>
      <c r="AN1085" s="64">
        <f>+AJ1085/AJ1083*100</f>
        <v>0</v>
      </c>
      <c r="AO1085" s="635" t="e">
        <f>AO1083/AO1081</f>
        <v>#VALUE!</v>
      </c>
      <c r="AP1085" s="39" t="s">
        <v>102</v>
      </c>
      <c r="AQ1085" s="56">
        <f>SUM(E1085:H1085)</f>
        <v>0</v>
      </c>
      <c r="AR1085" s="70">
        <f>SUM(I1085:O1085)</f>
        <v>0</v>
      </c>
      <c r="AS1085" s="70">
        <f>SUM(P1085:V1085)</f>
        <v>0</v>
      </c>
      <c r="AT1085" s="70">
        <f>SUM(W1085:AC1085)</f>
        <v>0</v>
      </c>
      <c r="AU1085" s="70">
        <f>SUM(AD1085:AI1085)</f>
        <v>0</v>
      </c>
      <c r="AV1085" s="57">
        <f t="shared" si="1951"/>
        <v>0</v>
      </c>
    </row>
    <row r="1086" spans="1:48" ht="25.15" customHeight="1">
      <c r="A1086" s="58" t="s">
        <v>202</v>
      </c>
      <c r="B1086" s="65"/>
      <c r="C1086" s="66"/>
      <c r="D1086" s="67" t="s">
        <v>103</v>
      </c>
      <c r="E1086" s="1331">
        <v>0</v>
      </c>
      <c r="F1086" s="1101">
        <v>0</v>
      </c>
      <c r="G1086" s="1209">
        <v>0</v>
      </c>
      <c r="H1086" s="1101">
        <v>0</v>
      </c>
      <c r="I1086" s="1101">
        <v>0</v>
      </c>
      <c r="J1086" s="1209">
        <v>0</v>
      </c>
      <c r="K1086" s="1209">
        <v>0</v>
      </c>
      <c r="L1086" s="1101">
        <v>0</v>
      </c>
      <c r="M1086" s="1101">
        <v>0</v>
      </c>
      <c r="N1086" s="1101">
        <v>0</v>
      </c>
      <c r="O1086" s="1101">
        <v>0</v>
      </c>
      <c r="P1086" s="1101">
        <v>0</v>
      </c>
      <c r="Q1086" s="1209">
        <v>0</v>
      </c>
      <c r="R1086" s="1209">
        <v>0</v>
      </c>
      <c r="S1086" s="1101">
        <v>0</v>
      </c>
      <c r="T1086" s="1101">
        <v>0</v>
      </c>
      <c r="U1086" s="1101">
        <v>0</v>
      </c>
      <c r="V1086" s="1101">
        <v>0</v>
      </c>
      <c r="W1086" s="1101">
        <v>0</v>
      </c>
      <c r="X1086" s="1209">
        <v>0</v>
      </c>
      <c r="Y1086" s="1209">
        <v>0</v>
      </c>
      <c r="Z1086" s="1101">
        <v>0</v>
      </c>
      <c r="AA1086" s="1101">
        <v>0</v>
      </c>
      <c r="AB1086" s="1101"/>
      <c r="AC1086" s="1101"/>
      <c r="AD1086" s="1101"/>
      <c r="AE1086" s="1209"/>
      <c r="AF1086" s="1209"/>
      <c r="AG1086" s="1101"/>
      <c r="AH1086" s="1101"/>
      <c r="AI1086" s="1332"/>
      <c r="AJ1086" s="68">
        <f>SUM(E1086:AI1086)</f>
        <v>0</v>
      </c>
      <c r="AK1086" s="68"/>
      <c r="AL1086" s="69">
        <f>+AJ1086*AN1081</f>
        <v>0</v>
      </c>
      <c r="AM1086" s="1069">
        <f t="shared" si="1849"/>
        <v>0</v>
      </c>
      <c r="AN1086" s="31"/>
      <c r="AO1086" s="622"/>
      <c r="AP1086" s="39" t="s">
        <v>19</v>
      </c>
      <c r="AQ1086" s="56">
        <f>AQ1085*AN1081</f>
        <v>0</v>
      </c>
      <c r="AR1086" s="56">
        <f>AR1085*AN1081</f>
        <v>0</v>
      </c>
      <c r="AS1086" s="56">
        <f>AS1085*AN1081</f>
        <v>0</v>
      </c>
      <c r="AT1086" s="56">
        <f>AT1085*AN1081</f>
        <v>0</v>
      </c>
      <c r="AU1086" s="56">
        <f>AU1085*AN1081</f>
        <v>0</v>
      </c>
      <c r="AV1086" s="57">
        <f t="shared" si="1951"/>
        <v>0</v>
      </c>
    </row>
    <row r="1087" spans="1:48" ht="25.15" customHeight="1">
      <c r="A1087" s="103"/>
      <c r="B1087" s="65"/>
      <c r="C1087" s="72" t="s">
        <v>104</v>
      </c>
      <c r="D1087" s="73" t="s">
        <v>105</v>
      </c>
      <c r="E1087" s="1378">
        <v>0</v>
      </c>
      <c r="F1087" s="1103">
        <v>0</v>
      </c>
      <c r="G1087" s="1210">
        <v>0</v>
      </c>
      <c r="H1087" s="1103">
        <v>0</v>
      </c>
      <c r="I1087" s="1103">
        <v>0</v>
      </c>
      <c r="J1087" s="1210">
        <v>0</v>
      </c>
      <c r="K1087" s="1210">
        <v>0</v>
      </c>
      <c r="L1087" s="1103">
        <v>0</v>
      </c>
      <c r="M1087" s="1103">
        <v>0</v>
      </c>
      <c r="N1087" s="1103">
        <v>0</v>
      </c>
      <c r="O1087" s="1103">
        <v>0</v>
      </c>
      <c r="P1087" s="1103">
        <v>0</v>
      </c>
      <c r="Q1087" s="1210">
        <v>0</v>
      </c>
      <c r="R1087" s="1210">
        <v>0</v>
      </c>
      <c r="S1087" s="1103">
        <v>0</v>
      </c>
      <c r="T1087" s="1103">
        <v>0</v>
      </c>
      <c r="U1087" s="1103">
        <v>0</v>
      </c>
      <c r="V1087" s="1103">
        <v>0</v>
      </c>
      <c r="W1087" s="1103">
        <v>0</v>
      </c>
      <c r="X1087" s="1210">
        <v>0</v>
      </c>
      <c r="Y1087" s="1210">
        <v>0</v>
      </c>
      <c r="Z1087" s="1103">
        <v>0</v>
      </c>
      <c r="AA1087" s="1103">
        <v>0</v>
      </c>
      <c r="AB1087" s="1103"/>
      <c r="AC1087" s="1103"/>
      <c r="AD1087" s="1103"/>
      <c r="AE1087" s="1210"/>
      <c r="AF1087" s="1210"/>
      <c r="AG1087" s="1103"/>
      <c r="AH1087" s="1103"/>
      <c r="AI1087" s="1352"/>
      <c r="AJ1087" s="74">
        <f>SUM(E1087:AI1087)</f>
        <v>0</v>
      </c>
      <c r="AK1087" s="74"/>
      <c r="AL1087" s="75">
        <f>+AJ1087*AN1081</f>
        <v>0</v>
      </c>
      <c r="AM1087" s="1070">
        <f t="shared" si="1849"/>
        <v>0</v>
      </c>
      <c r="AN1087" s="76"/>
      <c r="AO1087" s="636"/>
      <c r="AP1087" s="47" t="s">
        <v>106</v>
      </c>
      <c r="AQ1087" s="48">
        <f>AQ1083*AN1081</f>
        <v>0</v>
      </c>
      <c r="AR1087" s="48">
        <f>AR1083*AN1081</f>
        <v>0</v>
      </c>
      <c r="AS1087" s="48">
        <f>AS1083*AN1081</f>
        <v>0</v>
      </c>
      <c r="AT1087" s="48">
        <f>AT1083*AN1081</f>
        <v>0</v>
      </c>
      <c r="AU1087" s="48">
        <f>AU1083*AN1081</f>
        <v>0</v>
      </c>
      <c r="AV1087" s="50">
        <f t="shared" si="1951"/>
        <v>0</v>
      </c>
    </row>
    <row r="1088" spans="1:48" ht="25.15" customHeight="1">
      <c r="A1088" s="103"/>
      <c r="B1088" s="65"/>
      <c r="C1088" s="77">
        <v>300000</v>
      </c>
      <c r="D1088" s="78" t="s">
        <v>107</v>
      </c>
      <c r="E1088" s="1327">
        <v>1</v>
      </c>
      <c r="F1088" s="1097">
        <v>1</v>
      </c>
      <c r="G1088" s="1205">
        <v>1</v>
      </c>
      <c r="H1088" s="1097">
        <v>1</v>
      </c>
      <c r="I1088" s="1097">
        <v>1</v>
      </c>
      <c r="J1088" s="1205">
        <v>1</v>
      </c>
      <c r="K1088" s="1205">
        <v>1</v>
      </c>
      <c r="L1088" s="1097">
        <v>1</v>
      </c>
      <c r="M1088" s="1097">
        <v>1</v>
      </c>
      <c r="N1088" s="1097">
        <v>1</v>
      </c>
      <c r="O1088" s="1097">
        <v>1</v>
      </c>
      <c r="P1088" s="1097">
        <v>1</v>
      </c>
      <c r="Q1088" s="1205">
        <v>1</v>
      </c>
      <c r="R1088" s="1205">
        <v>1</v>
      </c>
      <c r="S1088" s="1097">
        <v>1</v>
      </c>
      <c r="T1088" s="1097">
        <v>1</v>
      </c>
      <c r="U1088" s="1097">
        <v>1</v>
      </c>
      <c r="V1088" s="1097">
        <v>1</v>
      </c>
      <c r="W1088" s="1097">
        <v>1</v>
      </c>
      <c r="X1088" s="1205">
        <v>1</v>
      </c>
      <c r="Y1088" s="1205">
        <v>1</v>
      </c>
      <c r="Z1088" s="1097">
        <v>1</v>
      </c>
      <c r="AA1088" s="1097">
        <v>1</v>
      </c>
      <c r="AB1088" s="1097">
        <v>1</v>
      </c>
      <c r="AC1088" s="1097">
        <v>1</v>
      </c>
      <c r="AD1088" s="1097">
        <v>1</v>
      </c>
      <c r="AE1088" s="1205">
        <v>1</v>
      </c>
      <c r="AF1088" s="1205">
        <v>1</v>
      </c>
      <c r="AG1088" s="1097">
        <v>1</v>
      </c>
      <c r="AH1088" s="1097">
        <v>1</v>
      </c>
      <c r="AI1088" s="1328">
        <v>1</v>
      </c>
      <c r="AJ1088" s="79"/>
      <c r="AK1088" s="79"/>
      <c r="AL1088" s="55"/>
      <c r="AM1088" s="1067">
        <f t="shared" si="1849"/>
        <v>0</v>
      </c>
      <c r="AN1088" s="31"/>
      <c r="AO1088" s="622"/>
      <c r="AP1088" s="23"/>
      <c r="AQ1088" s="23"/>
      <c r="AR1088" s="23"/>
      <c r="AS1088" s="23"/>
      <c r="AT1088" s="23"/>
      <c r="AU1088" s="23"/>
      <c r="AV1088" s="23"/>
    </row>
    <row r="1089" spans="1:48" ht="25.15" customHeight="1">
      <c r="A1089" s="103"/>
      <c r="B1089" s="65"/>
      <c r="C1089" s="80" t="s">
        <v>108</v>
      </c>
      <c r="D1089" s="81" t="s">
        <v>109</v>
      </c>
      <c r="E1089" s="1374">
        <f>SUM(E1083+E1085+E1086+E1087)/E1088</f>
        <v>0</v>
      </c>
      <c r="F1089" s="1104">
        <f>SUM(F1083+F1085+F1086+F1087)/F1088</f>
        <v>0</v>
      </c>
      <c r="G1089" s="1211">
        <f>SUM(G1083+G1085+G1086+G1087)/G1088</f>
        <v>0</v>
      </c>
      <c r="H1089" s="1104">
        <f t="shared" ref="H1089:AH1089" si="1953">SUM(H1083+H1085+H1086+H1087)/H1088</f>
        <v>0</v>
      </c>
      <c r="I1089" s="1104">
        <f t="shared" si="1953"/>
        <v>0</v>
      </c>
      <c r="J1089" s="1211">
        <f t="shared" si="1953"/>
        <v>0</v>
      </c>
      <c r="K1089" s="1211">
        <f t="shared" si="1953"/>
        <v>0</v>
      </c>
      <c r="L1089" s="1104">
        <f t="shared" si="1953"/>
        <v>0</v>
      </c>
      <c r="M1089" s="1104">
        <f t="shared" si="1953"/>
        <v>0</v>
      </c>
      <c r="N1089" s="1104">
        <f t="shared" si="1953"/>
        <v>0</v>
      </c>
      <c r="O1089" s="1104">
        <f t="shared" si="1953"/>
        <v>1000</v>
      </c>
      <c r="P1089" s="1104">
        <f t="shared" si="1953"/>
        <v>1000</v>
      </c>
      <c r="Q1089" s="1211">
        <f t="shared" si="1953"/>
        <v>0</v>
      </c>
      <c r="R1089" s="1211">
        <f t="shared" si="1953"/>
        <v>0</v>
      </c>
      <c r="S1089" s="1104">
        <f t="shared" si="1953"/>
        <v>0</v>
      </c>
      <c r="T1089" s="1104">
        <f t="shared" si="1953"/>
        <v>0</v>
      </c>
      <c r="U1089" s="1104">
        <f t="shared" si="1953"/>
        <v>0</v>
      </c>
      <c r="V1089" s="1104">
        <f t="shared" si="1953"/>
        <v>0</v>
      </c>
      <c r="W1089" s="1104">
        <f t="shared" si="1953"/>
        <v>0</v>
      </c>
      <c r="X1089" s="1211">
        <f t="shared" si="1953"/>
        <v>0</v>
      </c>
      <c r="Y1089" s="1211">
        <f t="shared" si="1953"/>
        <v>0</v>
      </c>
      <c r="Z1089" s="1104">
        <f t="shared" si="1953"/>
        <v>0</v>
      </c>
      <c r="AA1089" s="1104">
        <f t="shared" si="1953"/>
        <v>0</v>
      </c>
      <c r="AB1089" s="1104">
        <f t="shared" si="1953"/>
        <v>0</v>
      </c>
      <c r="AC1089" s="1104">
        <f t="shared" si="1953"/>
        <v>0</v>
      </c>
      <c r="AD1089" s="1104">
        <f t="shared" si="1953"/>
        <v>0</v>
      </c>
      <c r="AE1089" s="1211">
        <f t="shared" si="1953"/>
        <v>0</v>
      </c>
      <c r="AF1089" s="1211">
        <f t="shared" si="1953"/>
        <v>0</v>
      </c>
      <c r="AG1089" s="1104">
        <f t="shared" si="1953"/>
        <v>0</v>
      </c>
      <c r="AH1089" s="1104">
        <f t="shared" si="1953"/>
        <v>0</v>
      </c>
      <c r="AI1089" s="1335">
        <f>SUM(AI1083+AI1085+AI1086)/AI1088</f>
        <v>0</v>
      </c>
      <c r="AJ1089" s="104">
        <f>SUM(E1089:AI1089)</f>
        <v>2000</v>
      </c>
      <c r="AK1089" s="104"/>
      <c r="AL1089" s="83"/>
      <c r="AM1089" s="1068">
        <f t="shared" si="1849"/>
        <v>0</v>
      </c>
      <c r="AN1089" s="31"/>
      <c r="AO1089" s="622"/>
      <c r="AP1089" s="23"/>
      <c r="AQ1089" s="23"/>
      <c r="AR1089" s="23"/>
      <c r="AS1089" s="23"/>
      <c r="AT1089" s="23"/>
      <c r="AU1089" s="23"/>
      <c r="AV1089" s="23"/>
    </row>
    <row r="1090" spans="1:48" ht="25.15" customHeight="1">
      <c r="A1090" s="103"/>
      <c r="B1090" s="59"/>
      <c r="C1090" s="84">
        <f>+C1088*0.8</f>
        <v>240000</v>
      </c>
      <c r="D1090" s="85" t="s">
        <v>110</v>
      </c>
      <c r="E1090" s="1105"/>
      <c r="F1090" s="1106"/>
      <c r="G1090" s="1211"/>
      <c r="H1090" s="1104"/>
      <c r="I1090" s="1104"/>
      <c r="J1090" s="1211"/>
      <c r="K1090" s="1211"/>
      <c r="L1090" s="1104"/>
      <c r="M1090" s="1104"/>
      <c r="N1090" s="1104"/>
      <c r="O1090" s="1107"/>
      <c r="P1090" s="1104"/>
      <c r="Q1090" s="1211"/>
      <c r="R1090" s="1211"/>
      <c r="S1090" s="1104"/>
      <c r="T1090" s="1104"/>
      <c r="U1090" s="1104"/>
      <c r="V1090" s="1104"/>
      <c r="W1090" s="1104"/>
      <c r="X1090" s="1211"/>
      <c r="Y1090" s="1211"/>
      <c r="Z1090" s="1104"/>
      <c r="AA1090" s="1104"/>
      <c r="AB1090" s="1104"/>
      <c r="AC1090" s="1104"/>
      <c r="AD1090" s="1104"/>
      <c r="AE1090" s="1211"/>
      <c r="AF1090" s="1211"/>
      <c r="AG1090" s="1104"/>
      <c r="AH1090" s="1104"/>
      <c r="AI1090" s="1353"/>
      <c r="AJ1090" s="86"/>
      <c r="AK1090" s="86"/>
      <c r="AL1090" s="690"/>
      <c r="AM1090" s="694">
        <f t="shared" si="1849"/>
        <v>0</v>
      </c>
      <c r="AN1090" s="31"/>
      <c r="AO1090" s="622"/>
      <c r="AP1090" s="23"/>
      <c r="AQ1090" s="23"/>
      <c r="AR1090" s="23"/>
      <c r="AS1090" s="23"/>
      <c r="AT1090" s="23"/>
      <c r="AU1090" s="23"/>
      <c r="AV1090" s="23"/>
    </row>
    <row r="1091" spans="1:48" ht="25.15" customHeight="1">
      <c r="A1091" s="103"/>
      <c r="B1091" s="105"/>
      <c r="C1091" s="77"/>
      <c r="D1091" s="88" t="s">
        <v>111</v>
      </c>
      <c r="E1091" s="1108">
        <f>IF(E1090="O/H",E1089,0+E1089)</f>
        <v>0</v>
      </c>
      <c r="F1091" s="1089">
        <f t="shared" ref="F1091:AI1091" si="1954">IF(F1090="O/H",F1089,+E1091+F1089)</f>
        <v>0</v>
      </c>
      <c r="G1091" s="44">
        <f t="shared" si="1954"/>
        <v>0</v>
      </c>
      <c r="H1091" s="1089">
        <f t="shared" si="1954"/>
        <v>0</v>
      </c>
      <c r="I1091" s="1089">
        <f t="shared" si="1954"/>
        <v>0</v>
      </c>
      <c r="J1091" s="44">
        <f t="shared" si="1954"/>
        <v>0</v>
      </c>
      <c r="K1091" s="44">
        <f t="shared" si="1954"/>
        <v>0</v>
      </c>
      <c r="L1091" s="1089">
        <f t="shared" si="1954"/>
        <v>0</v>
      </c>
      <c r="M1091" s="1089">
        <f t="shared" si="1954"/>
        <v>0</v>
      </c>
      <c r="N1091" s="1089">
        <f t="shared" si="1954"/>
        <v>0</v>
      </c>
      <c r="O1091" s="1089">
        <f t="shared" si="1954"/>
        <v>1000</v>
      </c>
      <c r="P1091" s="1089">
        <f t="shared" si="1954"/>
        <v>2000</v>
      </c>
      <c r="Q1091" s="44">
        <f t="shared" si="1954"/>
        <v>2000</v>
      </c>
      <c r="R1091" s="44">
        <f t="shared" si="1954"/>
        <v>2000</v>
      </c>
      <c r="S1091" s="1089">
        <f t="shared" si="1954"/>
        <v>2000</v>
      </c>
      <c r="T1091" s="1089">
        <f t="shared" si="1954"/>
        <v>2000</v>
      </c>
      <c r="U1091" s="1089">
        <f t="shared" si="1954"/>
        <v>2000</v>
      </c>
      <c r="V1091" s="1089">
        <f t="shared" si="1954"/>
        <v>2000</v>
      </c>
      <c r="W1091" s="1089">
        <f t="shared" si="1954"/>
        <v>2000</v>
      </c>
      <c r="X1091" s="44">
        <f t="shared" si="1954"/>
        <v>2000</v>
      </c>
      <c r="Y1091" s="44">
        <f t="shared" si="1954"/>
        <v>2000</v>
      </c>
      <c r="Z1091" s="1089">
        <f t="shared" si="1954"/>
        <v>2000</v>
      </c>
      <c r="AA1091" s="1089">
        <f t="shared" si="1954"/>
        <v>2000</v>
      </c>
      <c r="AB1091" s="1089">
        <f t="shared" si="1954"/>
        <v>2000</v>
      </c>
      <c r="AC1091" s="1089">
        <f t="shared" si="1954"/>
        <v>2000</v>
      </c>
      <c r="AD1091" s="1089">
        <f t="shared" si="1954"/>
        <v>2000</v>
      </c>
      <c r="AE1091" s="44">
        <f t="shared" si="1954"/>
        <v>2000</v>
      </c>
      <c r="AF1091" s="44">
        <f t="shared" si="1954"/>
        <v>2000</v>
      </c>
      <c r="AG1091" s="1089">
        <f t="shared" si="1954"/>
        <v>2000</v>
      </c>
      <c r="AH1091" s="1089">
        <f t="shared" si="1954"/>
        <v>2000</v>
      </c>
      <c r="AI1091" s="1326">
        <f t="shared" si="1954"/>
        <v>2000</v>
      </c>
      <c r="AJ1091" s="79"/>
      <c r="AK1091" s="86"/>
      <c r="AL1091" s="689"/>
      <c r="AM1091" s="694">
        <f t="shared" si="1849"/>
        <v>0</v>
      </c>
      <c r="AN1091" s="31"/>
      <c r="AO1091" s="622"/>
      <c r="AP1091" s="23"/>
      <c r="AQ1091" s="23"/>
      <c r="AR1091" s="23"/>
      <c r="AS1091" s="23"/>
      <c r="AT1091" s="23"/>
      <c r="AU1091" s="23"/>
      <c r="AV1091" s="23"/>
    </row>
    <row r="1092" spans="1:48" s="23" customFormat="1" ht="20.65" customHeight="1">
      <c r="A1092" s="274"/>
      <c r="B1092" s="312"/>
      <c r="C1092" s="308"/>
      <c r="D1092" s="795" t="s">
        <v>112</v>
      </c>
      <c r="E1092" s="1108">
        <f>IF(AND(ISNUMBER(E1083)),0+E1089)</f>
        <v>0</v>
      </c>
      <c r="F1092" s="1089">
        <f>IF(AND(ISNUMBER(F1083)),E1092+F1089,"")</f>
        <v>0</v>
      </c>
      <c r="G1092" s="44">
        <f t="shared" ref="G1092" si="1955">IF(AND(ISNUMBER(G1083)),F1092+G1089,"")</f>
        <v>0</v>
      </c>
      <c r="H1092" s="1089">
        <f t="shared" ref="H1092" si="1956">IF(AND(ISNUMBER(H1083)),G1092+H1089,"")</f>
        <v>0</v>
      </c>
      <c r="I1092" s="1089">
        <f>IF(AND(ISNUMBER(I1083)),H1092+I1089,"")</f>
        <v>0</v>
      </c>
      <c r="J1092" s="44">
        <f>IF(AND(ISNUMBER(J1083)),I1092+J1089,"")</f>
        <v>0</v>
      </c>
      <c r="K1092" s="44">
        <f>IF(AND(ISNUMBER(K1083)),J1092+K1089,"")</f>
        <v>0</v>
      </c>
      <c r="L1092" s="1089">
        <f t="shared" ref="L1092" si="1957">IF(AND(ISNUMBER(L1083)),K1092+L1089,"")</f>
        <v>0</v>
      </c>
      <c r="M1092" s="1089">
        <f t="shared" ref="M1092" si="1958">IF(AND(ISNUMBER(M1083)),L1092+M1089,"")</f>
        <v>0</v>
      </c>
      <c r="N1092" s="1089">
        <f t="shared" ref="N1092" si="1959">IF(AND(ISNUMBER(N1083)),M1092+N1089,"")</f>
        <v>0</v>
      </c>
      <c r="O1092" s="1089">
        <f t="shared" ref="O1092" si="1960">IF(AND(ISNUMBER(O1083)),N1092+O1089,"")</f>
        <v>1000</v>
      </c>
      <c r="P1092" s="1089">
        <f t="shared" ref="P1092" si="1961">IF(AND(ISNUMBER(P1083)),O1092+P1089,"")</f>
        <v>2000</v>
      </c>
      <c r="Q1092" s="44">
        <f t="shared" ref="Q1092" si="1962">IF(AND(ISNUMBER(Q1083)),P1092+Q1089,"")</f>
        <v>2000</v>
      </c>
      <c r="R1092" s="44">
        <f t="shared" ref="R1092" si="1963">IF(AND(ISNUMBER(R1083)),Q1092+R1089,"")</f>
        <v>2000</v>
      </c>
      <c r="S1092" s="1089">
        <f t="shared" ref="S1092" si="1964">IF(AND(ISNUMBER(S1083)),R1092+S1089,"")</f>
        <v>2000</v>
      </c>
      <c r="T1092" s="1089">
        <f t="shared" ref="T1092" si="1965">IF(AND(ISNUMBER(T1083)),S1092+T1089,"")</f>
        <v>2000</v>
      </c>
      <c r="U1092" s="1089">
        <f t="shared" ref="U1092" si="1966">IF(AND(ISNUMBER(U1083)),T1092+U1089,"")</f>
        <v>2000</v>
      </c>
      <c r="V1092" s="1089">
        <f t="shared" ref="V1092" si="1967">IF(AND(ISNUMBER(V1083)),U1092+V1089,"")</f>
        <v>2000</v>
      </c>
      <c r="W1092" s="1089">
        <f t="shared" ref="W1092" si="1968">IF(AND(ISNUMBER(W1083)),V1092+W1089,"")</f>
        <v>2000</v>
      </c>
      <c r="X1092" s="44">
        <f t="shared" ref="X1092" si="1969">IF(AND(ISNUMBER(X1083)),W1092+X1089,"")</f>
        <v>2000</v>
      </c>
      <c r="Y1092" s="44">
        <f t="shared" ref="Y1092" si="1970">IF(AND(ISNUMBER(Y1083)),X1092+Y1089,"")</f>
        <v>2000</v>
      </c>
      <c r="Z1092" s="1089">
        <f t="shared" ref="Z1092" si="1971">IF(AND(ISNUMBER(Z1083)),Y1092+Z1089,"")</f>
        <v>2000</v>
      </c>
      <c r="AA1092" s="1089">
        <f t="shared" ref="AA1092" si="1972">IF(AND(ISNUMBER(AA1083)),Z1092+AA1089,"")</f>
        <v>2000</v>
      </c>
      <c r="AB1092" s="1089" t="str">
        <f t="shared" ref="AB1092" si="1973">IF(AND(ISNUMBER(AB1083)),AA1092+AB1089,"")</f>
        <v/>
      </c>
      <c r="AC1092" s="1089" t="str">
        <f t="shared" ref="AC1092" si="1974">IF(AND(ISNUMBER(AC1083)),AB1092+AC1089,"")</f>
        <v/>
      </c>
      <c r="AD1092" s="1089" t="str">
        <f t="shared" ref="AD1092" si="1975">IF(AND(ISNUMBER(AD1083)),AC1092+AD1089,"")</f>
        <v/>
      </c>
      <c r="AE1092" s="44" t="str">
        <f t="shared" ref="AE1092" si="1976">IF(AND(ISNUMBER(AE1083)),AD1092+AE1089,"")</f>
        <v/>
      </c>
      <c r="AF1092" s="44" t="str">
        <f t="shared" ref="AF1092" si="1977">IF(AND(ISNUMBER(AF1083)),AE1092+AF1089,"")</f>
        <v/>
      </c>
      <c r="AG1092" s="1089" t="str">
        <f t="shared" ref="AG1092" si="1978">IF(AND(ISNUMBER(AG1083)),AF1092+AG1089,"")</f>
        <v/>
      </c>
      <c r="AH1092" s="1089" t="str">
        <f t="shared" ref="AH1092" si="1979">IF(AND(ISNUMBER(AH1083)),AG1092+AH1089,"")</f>
        <v/>
      </c>
      <c r="AI1092" s="1089" t="str">
        <f t="shared" ref="AI1092" si="1980">IF(AND(ISNUMBER(AI1083)),AH1092+AI1089,"")</f>
        <v/>
      </c>
      <c r="AJ1092" s="793"/>
      <c r="AK1092" s="793"/>
      <c r="AL1092" s="909"/>
      <c r="AM1092" s="890">
        <f t="shared" si="1849"/>
        <v>0</v>
      </c>
      <c r="AN1092" s="76"/>
      <c r="AO1092" s="624"/>
      <c r="AP1092" s="285"/>
      <c r="AQ1092" s="285"/>
      <c r="AR1092" s="285"/>
      <c r="AS1092" s="285"/>
      <c r="AT1092" s="286"/>
      <c r="AU1092" s="285"/>
      <c r="AV1092" s="287"/>
    </row>
    <row r="1093" spans="1:48" ht="25.15" customHeight="1">
      <c r="A1093" s="103"/>
      <c r="B1093" s="89"/>
      <c r="C1093" s="80"/>
      <c r="D1093" s="90" t="s">
        <v>104</v>
      </c>
      <c r="E1093" s="1108"/>
      <c r="F1093" s="1089"/>
      <c r="G1093" s="44"/>
      <c r="H1093" s="1089"/>
      <c r="I1093" s="1089"/>
      <c r="J1093" s="44"/>
      <c r="K1093" s="44"/>
      <c r="L1093" s="1089"/>
      <c r="M1093" s="1089"/>
      <c r="N1093" s="1089"/>
      <c r="O1093" s="1089"/>
      <c r="P1093" s="1089"/>
      <c r="Q1093" s="44"/>
      <c r="R1093" s="44"/>
      <c r="S1093" s="1089"/>
      <c r="T1093" s="1089"/>
      <c r="U1093" s="1089"/>
      <c r="V1093" s="1089"/>
      <c r="W1093" s="1089"/>
      <c r="X1093" s="44"/>
      <c r="Y1093" s="44"/>
      <c r="Z1093" s="1089"/>
      <c r="AA1093" s="1089"/>
      <c r="AB1093" s="1089"/>
      <c r="AC1093" s="1089"/>
      <c r="AD1093" s="1089"/>
      <c r="AE1093" s="44"/>
      <c r="AF1093" s="44"/>
      <c r="AG1093" s="1089"/>
      <c r="AH1093" s="1089"/>
      <c r="AI1093" s="1326"/>
      <c r="AJ1093" s="79"/>
      <c r="AK1093" s="79"/>
      <c r="AL1093" s="63"/>
      <c r="AM1093" s="1068">
        <f t="shared" si="1849"/>
        <v>0</v>
      </c>
      <c r="AN1093" s="64"/>
      <c r="AO1093" s="624"/>
      <c r="AP1093" s="23"/>
      <c r="AQ1093" s="23"/>
      <c r="AR1093" s="23"/>
      <c r="AS1093" s="23"/>
      <c r="AT1093" s="23"/>
      <c r="AU1093" s="23"/>
      <c r="AV1093" s="23"/>
    </row>
    <row r="1094" spans="1:48" ht="25.15" customHeight="1" thickBot="1">
      <c r="A1094" s="106"/>
      <c r="B1094" s="93"/>
      <c r="C1094" s="94"/>
      <c r="D1094" s="95" t="s">
        <v>111</v>
      </c>
      <c r="E1094" s="1109">
        <f>IF(E1093="O/H",E1089,0+E1089)</f>
        <v>0</v>
      </c>
      <c r="F1094" s="1110">
        <f t="shared" ref="F1094:AI1094" si="1981">IF(F1093="O/H",F1089,+E1094+F1089)</f>
        <v>0</v>
      </c>
      <c r="G1094" s="1212">
        <f t="shared" si="1981"/>
        <v>0</v>
      </c>
      <c r="H1094" s="1110">
        <f t="shared" si="1981"/>
        <v>0</v>
      </c>
      <c r="I1094" s="1110">
        <f t="shared" si="1981"/>
        <v>0</v>
      </c>
      <c r="J1094" s="1212">
        <f t="shared" si="1981"/>
        <v>0</v>
      </c>
      <c r="K1094" s="1212">
        <f t="shared" si="1981"/>
        <v>0</v>
      </c>
      <c r="L1094" s="1110">
        <f t="shared" si="1981"/>
        <v>0</v>
      </c>
      <c r="M1094" s="1110">
        <f t="shared" si="1981"/>
        <v>0</v>
      </c>
      <c r="N1094" s="1110">
        <f t="shared" si="1981"/>
        <v>0</v>
      </c>
      <c r="O1094" s="1110">
        <f t="shared" si="1981"/>
        <v>1000</v>
      </c>
      <c r="P1094" s="1110">
        <f t="shared" si="1981"/>
        <v>2000</v>
      </c>
      <c r="Q1094" s="1212">
        <f t="shared" si="1981"/>
        <v>2000</v>
      </c>
      <c r="R1094" s="1212">
        <f t="shared" si="1981"/>
        <v>2000</v>
      </c>
      <c r="S1094" s="1110">
        <f t="shared" si="1981"/>
        <v>2000</v>
      </c>
      <c r="T1094" s="1110">
        <f t="shared" si="1981"/>
        <v>2000</v>
      </c>
      <c r="U1094" s="1110">
        <f t="shared" si="1981"/>
        <v>2000</v>
      </c>
      <c r="V1094" s="1110">
        <f t="shared" si="1981"/>
        <v>2000</v>
      </c>
      <c r="W1094" s="1110">
        <f t="shared" si="1981"/>
        <v>2000</v>
      </c>
      <c r="X1094" s="1212">
        <f t="shared" si="1981"/>
        <v>2000</v>
      </c>
      <c r="Y1094" s="1212">
        <f t="shared" si="1981"/>
        <v>2000</v>
      </c>
      <c r="Z1094" s="1110">
        <f t="shared" si="1981"/>
        <v>2000</v>
      </c>
      <c r="AA1094" s="1110">
        <f t="shared" si="1981"/>
        <v>2000</v>
      </c>
      <c r="AB1094" s="1110">
        <f t="shared" si="1981"/>
        <v>2000</v>
      </c>
      <c r="AC1094" s="1110">
        <f t="shared" si="1981"/>
        <v>2000</v>
      </c>
      <c r="AD1094" s="1110">
        <f t="shared" si="1981"/>
        <v>2000</v>
      </c>
      <c r="AE1094" s="1212">
        <f t="shared" si="1981"/>
        <v>2000</v>
      </c>
      <c r="AF1094" s="1212">
        <f t="shared" si="1981"/>
        <v>2000</v>
      </c>
      <c r="AG1094" s="1110">
        <f t="shared" si="1981"/>
        <v>2000</v>
      </c>
      <c r="AH1094" s="1110">
        <f t="shared" si="1981"/>
        <v>2000</v>
      </c>
      <c r="AI1094" s="1340">
        <f t="shared" si="1981"/>
        <v>2000</v>
      </c>
      <c r="AJ1094" s="96"/>
      <c r="AK1094" s="96"/>
      <c r="AL1094" s="97"/>
      <c r="AM1094" s="1071">
        <f t="shared" si="1849"/>
        <v>0</v>
      </c>
      <c r="AN1094" s="98"/>
      <c r="AO1094" s="625"/>
      <c r="AP1094" s="23"/>
      <c r="AQ1094" s="23"/>
      <c r="AR1094" s="23"/>
      <c r="AS1094" s="23"/>
      <c r="AT1094" s="23"/>
      <c r="AU1094" s="23"/>
      <c r="AV1094" s="23"/>
    </row>
    <row r="1095" spans="1:48" ht="25.15" hidden="1" customHeight="1" thickTop="1">
      <c r="A1095" s="99"/>
      <c r="B1095" s="26" t="s">
        <v>225</v>
      </c>
      <c r="C1095" s="27"/>
      <c r="D1095" s="28" t="s">
        <v>82</v>
      </c>
      <c r="E1095" s="1111"/>
      <c r="F1095" s="1111"/>
      <c r="G1095" s="1201"/>
      <c r="H1095" s="1111"/>
      <c r="I1095" s="1111"/>
      <c r="J1095" s="1201"/>
      <c r="K1095" s="1201"/>
      <c r="L1095" s="1111"/>
      <c r="M1095" s="1111"/>
      <c r="N1095" s="1111"/>
      <c r="O1095" s="1111"/>
      <c r="P1095" s="1111"/>
      <c r="Q1095" s="1201"/>
      <c r="R1095" s="1201"/>
      <c r="S1095" s="1111"/>
      <c r="T1095" s="1111"/>
      <c r="U1095" s="1111"/>
      <c r="V1095" s="1111"/>
      <c r="W1095" s="1111"/>
      <c r="X1095" s="1201"/>
      <c r="Y1095" s="1201"/>
      <c r="Z1095" s="1111"/>
      <c r="AA1095" s="1111"/>
      <c r="AB1095" s="1111"/>
      <c r="AC1095" s="1111"/>
      <c r="AD1095" s="1111"/>
      <c r="AE1095" s="1201"/>
      <c r="AF1095" s="1201"/>
      <c r="AG1095" s="1111"/>
      <c r="AH1095" s="1111"/>
      <c r="AI1095" s="1111"/>
      <c r="AJ1095" s="100">
        <f>SUM(Table75[[#This Row],[June''2026]:[Column27]])</f>
        <v>0</v>
      </c>
      <c r="AK1095" s="100">
        <f t="shared" ref="AK1095:AK1150" si="1982">AJ1097</f>
        <v>0</v>
      </c>
      <c r="AL1095" s="101">
        <f>+AJ1095*AN1095</f>
        <v>0</v>
      </c>
      <c r="AM1095" s="1072">
        <f t="shared" ref="AM1095:AM1158" si="1983">AL1097</f>
        <v>0</v>
      </c>
      <c r="AN1095" s="102"/>
      <c r="AO1095" s="622" t="e">
        <f>Table5[[#This Row],[Total]]*B1099/1000</f>
        <v>#VALUE!</v>
      </c>
      <c r="AP1095" s="32" t="s">
        <v>193</v>
      </c>
      <c r="AQ1095" s="33" t="s">
        <v>84</v>
      </c>
      <c r="AR1095" s="33" t="s">
        <v>85</v>
      </c>
      <c r="AS1095" s="33" t="s">
        <v>86</v>
      </c>
      <c r="AT1095" s="33" t="s">
        <v>87</v>
      </c>
      <c r="AU1095" s="33" t="s">
        <v>88</v>
      </c>
      <c r="AV1095" s="34" t="s">
        <v>68</v>
      </c>
    </row>
    <row r="1096" spans="1:48" ht="25.15" hidden="1" customHeight="1">
      <c r="A1096" s="103"/>
      <c r="B1096" s="35" t="s">
        <v>226</v>
      </c>
      <c r="C1096" s="36"/>
      <c r="D1096" s="37" t="s">
        <v>90</v>
      </c>
      <c r="E1096" s="1373">
        <f>IF(E1095="",0,+ E1095/E1102)</f>
        <v>0</v>
      </c>
      <c r="F1096" s="1096">
        <f t="shared" ref="F1096:AI1096" si="1984">IF(F1095="",0, E1096+F1095/F1102)</f>
        <v>0</v>
      </c>
      <c r="G1096" s="1207">
        <f t="shared" si="1984"/>
        <v>0</v>
      </c>
      <c r="H1096" s="1096">
        <f t="shared" si="1984"/>
        <v>0</v>
      </c>
      <c r="I1096" s="1096">
        <f t="shared" si="1984"/>
        <v>0</v>
      </c>
      <c r="J1096" s="1207">
        <f t="shared" si="1984"/>
        <v>0</v>
      </c>
      <c r="K1096" s="1207">
        <f t="shared" si="1984"/>
        <v>0</v>
      </c>
      <c r="L1096" s="1096">
        <f t="shared" si="1984"/>
        <v>0</v>
      </c>
      <c r="M1096" s="1096">
        <f t="shared" si="1984"/>
        <v>0</v>
      </c>
      <c r="N1096" s="1096">
        <f t="shared" si="1984"/>
        <v>0</v>
      </c>
      <c r="O1096" s="1096">
        <f t="shared" si="1984"/>
        <v>0</v>
      </c>
      <c r="P1096" s="1096">
        <f t="shared" si="1984"/>
        <v>0</v>
      </c>
      <c r="Q1096" s="1207">
        <f t="shared" si="1984"/>
        <v>0</v>
      </c>
      <c r="R1096" s="1207">
        <f t="shared" si="1984"/>
        <v>0</v>
      </c>
      <c r="S1096" s="1096">
        <f t="shared" si="1984"/>
        <v>0</v>
      </c>
      <c r="T1096" s="1096">
        <f t="shared" si="1984"/>
        <v>0</v>
      </c>
      <c r="U1096" s="1096">
        <f t="shared" si="1984"/>
        <v>0</v>
      </c>
      <c r="V1096" s="1096">
        <f t="shared" si="1984"/>
        <v>0</v>
      </c>
      <c r="W1096" s="1096">
        <f t="shared" si="1984"/>
        <v>0</v>
      </c>
      <c r="X1096" s="1207">
        <f t="shared" si="1984"/>
        <v>0</v>
      </c>
      <c r="Y1096" s="1207">
        <f t="shared" si="1984"/>
        <v>0</v>
      </c>
      <c r="Z1096" s="1096">
        <f t="shared" si="1984"/>
        <v>0</v>
      </c>
      <c r="AA1096" s="1096">
        <f t="shared" si="1984"/>
        <v>0</v>
      </c>
      <c r="AB1096" s="1096">
        <f t="shared" si="1984"/>
        <v>0</v>
      </c>
      <c r="AC1096" s="1096">
        <f t="shared" si="1984"/>
        <v>0</v>
      </c>
      <c r="AD1096" s="1096">
        <f t="shared" si="1984"/>
        <v>0</v>
      </c>
      <c r="AE1096" s="1207">
        <f t="shared" si="1984"/>
        <v>0</v>
      </c>
      <c r="AF1096" s="1207">
        <f t="shared" si="1984"/>
        <v>0</v>
      </c>
      <c r="AG1096" s="1096">
        <f t="shared" si="1984"/>
        <v>0</v>
      </c>
      <c r="AH1096" s="1096">
        <f t="shared" si="1984"/>
        <v>0</v>
      </c>
      <c r="AI1096" s="1324">
        <f t="shared" si="1984"/>
        <v>0</v>
      </c>
      <c r="AJ1096" s="38"/>
      <c r="AK1096" s="29"/>
      <c r="AL1096" s="30"/>
      <c r="AM1096" s="694">
        <f t="shared" si="1983"/>
        <v>0</v>
      </c>
      <c r="AN1096" s="31"/>
      <c r="AO1096" s="630"/>
      <c r="AP1096" s="39" t="s">
        <v>91</v>
      </c>
      <c r="AQ1096" s="40">
        <f>SUM(E1095:I1095)</f>
        <v>0</v>
      </c>
      <c r="AR1096" s="41">
        <f>SUM(J1095:P1095)</f>
        <v>0</v>
      </c>
      <c r="AS1096" s="41">
        <f>SUM(Q1095:W1095)</f>
        <v>0</v>
      </c>
      <c r="AT1096" s="41">
        <f>SUM(X1095:AD1095)</f>
        <v>0</v>
      </c>
      <c r="AU1096" s="41">
        <f>SUM(AE1095:AI1095)</f>
        <v>0</v>
      </c>
      <c r="AV1096" s="34">
        <f t="shared" ref="AV1096:AV1101" si="1985">SUM(AQ1096:AU1096)</f>
        <v>0</v>
      </c>
    </row>
    <row r="1097" spans="1:48" ht="25.15" hidden="1" customHeight="1">
      <c r="A1097" s="103"/>
      <c r="B1097" s="26" t="s">
        <v>92</v>
      </c>
      <c r="C1097" s="42"/>
      <c r="D1097" s="43" t="s">
        <v>93</v>
      </c>
      <c r="E1097" s="1325"/>
      <c r="F1097" s="1089"/>
      <c r="G1097" s="44"/>
      <c r="H1097" s="1089"/>
      <c r="I1097" s="1089"/>
      <c r="J1097" s="44"/>
      <c r="K1097" s="44"/>
      <c r="L1097" s="1089"/>
      <c r="M1097" s="1089"/>
      <c r="N1097" s="1089"/>
      <c r="O1097" s="1089"/>
      <c r="P1097" s="1089"/>
      <c r="Q1097" s="44"/>
      <c r="R1097" s="44"/>
      <c r="S1097" s="1089"/>
      <c r="T1097" s="1089"/>
      <c r="U1097" s="1089"/>
      <c r="V1097" s="1089"/>
      <c r="W1097" s="1089"/>
      <c r="X1097" s="44"/>
      <c r="Y1097" s="44"/>
      <c r="Z1097" s="1089"/>
      <c r="AA1097" s="1089"/>
      <c r="AB1097" s="1089"/>
      <c r="AC1097" s="1089"/>
      <c r="AD1097" s="1089"/>
      <c r="AE1097" s="44"/>
      <c r="AF1097" s="44"/>
      <c r="AG1097" s="1089"/>
      <c r="AH1097" s="1089"/>
      <c r="AI1097" s="1326"/>
      <c r="AJ1097" s="45">
        <f>SUM(E1097:AI1097)</f>
        <v>0</v>
      </c>
      <c r="AK1097" s="45"/>
      <c r="AL1097" s="46">
        <f>+AJ1097*AN1095</f>
        <v>0</v>
      </c>
      <c r="AM1097" s="1066">
        <f t="shared" si="1983"/>
        <v>0</v>
      </c>
      <c r="AN1097" s="31"/>
      <c r="AO1097" s="632">
        <f>(AJ1097+AJ1099+AJ1100+AJ1101)*B1099/1000</f>
        <v>0</v>
      </c>
      <c r="AP1097" s="47" t="s">
        <v>94</v>
      </c>
      <c r="AQ1097" s="48">
        <f>SUM(E1097:I1097)</f>
        <v>0</v>
      </c>
      <c r="AR1097" s="49">
        <f>SUM(J1097:P1097)</f>
        <v>0</v>
      </c>
      <c r="AS1097" s="49">
        <f>SUM(Q1097:W1097)</f>
        <v>0</v>
      </c>
      <c r="AT1097" s="49">
        <f>SUM(X1097:AD1097)</f>
        <v>0</v>
      </c>
      <c r="AU1097" s="49">
        <f>SUM(AE1097:AI1097)</f>
        <v>0</v>
      </c>
      <c r="AV1097" s="50">
        <f t="shared" si="1985"/>
        <v>0</v>
      </c>
    </row>
    <row r="1098" spans="1:48" ht="25.15" hidden="1" customHeight="1">
      <c r="A1098" s="103"/>
      <c r="B1098" s="51"/>
      <c r="C1098" s="52" t="s">
        <v>95</v>
      </c>
      <c r="D1098" s="53" t="s">
        <v>96</v>
      </c>
      <c r="E1098" s="1327">
        <f t="shared" ref="E1098:AJ1098" si="1986">+E1097-E1095</f>
        <v>0</v>
      </c>
      <c r="F1098" s="1097">
        <f t="shared" si="1986"/>
        <v>0</v>
      </c>
      <c r="G1098" s="1205">
        <f t="shared" si="1986"/>
        <v>0</v>
      </c>
      <c r="H1098" s="1097">
        <f t="shared" si="1986"/>
        <v>0</v>
      </c>
      <c r="I1098" s="1097">
        <f t="shared" si="1986"/>
        <v>0</v>
      </c>
      <c r="J1098" s="1205">
        <f t="shared" si="1986"/>
        <v>0</v>
      </c>
      <c r="K1098" s="1205">
        <f t="shared" si="1986"/>
        <v>0</v>
      </c>
      <c r="L1098" s="1097">
        <f t="shared" si="1986"/>
        <v>0</v>
      </c>
      <c r="M1098" s="1097">
        <f t="shared" si="1986"/>
        <v>0</v>
      </c>
      <c r="N1098" s="1097">
        <f t="shared" si="1986"/>
        <v>0</v>
      </c>
      <c r="O1098" s="1097">
        <f t="shared" si="1986"/>
        <v>0</v>
      </c>
      <c r="P1098" s="1097">
        <f t="shared" si="1986"/>
        <v>0</v>
      </c>
      <c r="Q1098" s="1205">
        <f t="shared" si="1986"/>
        <v>0</v>
      </c>
      <c r="R1098" s="1205">
        <f t="shared" si="1986"/>
        <v>0</v>
      </c>
      <c r="S1098" s="1097">
        <f t="shared" si="1986"/>
        <v>0</v>
      </c>
      <c r="T1098" s="1097">
        <f t="shared" si="1986"/>
        <v>0</v>
      </c>
      <c r="U1098" s="1097">
        <f t="shared" si="1986"/>
        <v>0</v>
      </c>
      <c r="V1098" s="1097">
        <f t="shared" si="1986"/>
        <v>0</v>
      </c>
      <c r="W1098" s="1097">
        <f t="shared" si="1986"/>
        <v>0</v>
      </c>
      <c r="X1098" s="1205">
        <f t="shared" si="1986"/>
        <v>0</v>
      </c>
      <c r="Y1098" s="1205">
        <f t="shared" si="1986"/>
        <v>0</v>
      </c>
      <c r="Z1098" s="1097">
        <f t="shared" si="1986"/>
        <v>0</v>
      </c>
      <c r="AA1098" s="1097">
        <f t="shared" si="1986"/>
        <v>0</v>
      </c>
      <c r="AB1098" s="1097">
        <f t="shared" si="1986"/>
        <v>0</v>
      </c>
      <c r="AC1098" s="1097">
        <f t="shared" si="1986"/>
        <v>0</v>
      </c>
      <c r="AD1098" s="1097">
        <f t="shared" si="1986"/>
        <v>0</v>
      </c>
      <c r="AE1098" s="1205">
        <f t="shared" si="1986"/>
        <v>0</v>
      </c>
      <c r="AF1098" s="1205">
        <f t="shared" si="1986"/>
        <v>0</v>
      </c>
      <c r="AG1098" s="1097">
        <f t="shared" si="1986"/>
        <v>0</v>
      </c>
      <c r="AH1098" s="1097">
        <f t="shared" si="1986"/>
        <v>0</v>
      </c>
      <c r="AI1098" s="1328">
        <f t="shared" si="1986"/>
        <v>0</v>
      </c>
      <c r="AJ1098" s="54">
        <f t="shared" si="1986"/>
        <v>0</v>
      </c>
      <c r="AK1098" s="54"/>
      <c r="AL1098" s="55">
        <f>+AJ1098*AN1095</f>
        <v>0</v>
      </c>
      <c r="AM1098" s="1067">
        <f t="shared" si="1983"/>
        <v>0</v>
      </c>
      <c r="AN1098" s="31" t="s">
        <v>97</v>
      </c>
      <c r="AO1098" s="622"/>
      <c r="AP1098" s="39" t="s">
        <v>98</v>
      </c>
      <c r="AQ1098" s="56">
        <f>AQ1097-AQ1096</f>
        <v>0</v>
      </c>
      <c r="AR1098" s="70">
        <f>AR1097-AR1096</f>
        <v>0</v>
      </c>
      <c r="AS1098" s="70">
        <f>AS1097-AS1096</f>
        <v>0</v>
      </c>
      <c r="AT1098" s="70">
        <f>AT1097-AT1096</f>
        <v>0</v>
      </c>
      <c r="AU1098" s="70">
        <f>AU1097-AU1096</f>
        <v>0</v>
      </c>
      <c r="AV1098" s="57">
        <f t="shared" si="1985"/>
        <v>0</v>
      </c>
    </row>
    <row r="1099" spans="1:48" ht="25.15" hidden="1" customHeight="1">
      <c r="A1099" s="58"/>
      <c r="B1099" s="59"/>
      <c r="C1099" s="60" t="s">
        <v>100</v>
      </c>
      <c r="D1099" s="61" t="s">
        <v>101</v>
      </c>
      <c r="E1099" s="1329"/>
      <c r="F1099" s="1099"/>
      <c r="G1099" s="1208"/>
      <c r="H1099" s="1099"/>
      <c r="I1099" s="1099"/>
      <c r="J1099" s="1208"/>
      <c r="K1099" s="1208"/>
      <c r="L1099" s="1099"/>
      <c r="M1099" s="1099"/>
      <c r="N1099" s="1099"/>
      <c r="O1099" s="1099"/>
      <c r="P1099" s="1099"/>
      <c r="Q1099" s="1208"/>
      <c r="R1099" s="1208"/>
      <c r="S1099" s="1099"/>
      <c r="T1099" s="1099"/>
      <c r="U1099" s="1099"/>
      <c r="V1099" s="1099"/>
      <c r="W1099" s="1099"/>
      <c r="X1099" s="1208"/>
      <c r="Y1099" s="1208"/>
      <c r="Z1099" s="1099"/>
      <c r="AA1099" s="1099"/>
      <c r="AB1099" s="1099"/>
      <c r="AC1099" s="1099"/>
      <c r="AD1099" s="1099"/>
      <c r="AE1099" s="1208"/>
      <c r="AF1099" s="1208"/>
      <c r="AG1099" s="1099"/>
      <c r="AH1099" s="1099"/>
      <c r="AI1099" s="1330"/>
      <c r="AJ1099" s="62">
        <f>SUM(E1099:AI1099)</f>
        <v>0</v>
      </c>
      <c r="AK1099" s="62"/>
      <c r="AL1099" s="63">
        <f>+AJ1099*AN1095</f>
        <v>0</v>
      </c>
      <c r="AM1099" s="1068">
        <f t="shared" si="1983"/>
        <v>0</v>
      </c>
      <c r="AN1099" s="64" t="e">
        <f>+AJ1099/AJ1097*100</f>
        <v>#DIV/0!</v>
      </c>
      <c r="AO1099" s="635" t="e">
        <f>AO1097/AO1095</f>
        <v>#VALUE!</v>
      </c>
      <c r="AP1099" s="39" t="s">
        <v>102</v>
      </c>
      <c r="AQ1099" s="56">
        <f>SUM(E1099:I1099)</f>
        <v>0</v>
      </c>
      <c r="AR1099" s="70">
        <f>SUM(J1099:P1099)</f>
        <v>0</v>
      </c>
      <c r="AS1099" s="70">
        <f>SUM(Q1099:W1099)</f>
        <v>0</v>
      </c>
      <c r="AT1099" s="70">
        <f>SUM(X1099:AD1099)</f>
        <v>0</v>
      </c>
      <c r="AU1099" s="70">
        <f>SUM(AE1099:AI1099)</f>
        <v>0</v>
      </c>
      <c r="AV1099" s="57">
        <f t="shared" si="1985"/>
        <v>0</v>
      </c>
    </row>
    <row r="1100" spans="1:48" ht="25.15" hidden="1" customHeight="1">
      <c r="A1100" s="58" t="s">
        <v>202</v>
      </c>
      <c r="B1100" s="65"/>
      <c r="C1100" s="66"/>
      <c r="D1100" s="67" t="s">
        <v>103</v>
      </c>
      <c r="E1100" s="1331"/>
      <c r="F1100" s="1101"/>
      <c r="G1100" s="1209"/>
      <c r="H1100" s="1101"/>
      <c r="I1100" s="1101"/>
      <c r="J1100" s="1209"/>
      <c r="K1100" s="1209"/>
      <c r="L1100" s="1101"/>
      <c r="M1100" s="1101"/>
      <c r="N1100" s="1101"/>
      <c r="O1100" s="1101"/>
      <c r="P1100" s="1101"/>
      <c r="Q1100" s="1209"/>
      <c r="R1100" s="1209"/>
      <c r="S1100" s="1101"/>
      <c r="T1100" s="1101"/>
      <c r="U1100" s="1101"/>
      <c r="V1100" s="1101"/>
      <c r="W1100" s="1101"/>
      <c r="X1100" s="1209"/>
      <c r="Y1100" s="1209"/>
      <c r="Z1100" s="1101"/>
      <c r="AA1100" s="1101"/>
      <c r="AB1100" s="1101"/>
      <c r="AC1100" s="1101"/>
      <c r="AD1100" s="1101"/>
      <c r="AE1100" s="1209"/>
      <c r="AF1100" s="1209"/>
      <c r="AG1100" s="1101"/>
      <c r="AH1100" s="1101"/>
      <c r="AI1100" s="1332"/>
      <c r="AJ1100" s="68">
        <f>SUM(E1100:AI1100)</f>
        <v>0</v>
      </c>
      <c r="AK1100" s="68"/>
      <c r="AL1100" s="69">
        <f>+AJ1100*AN1095</f>
        <v>0</v>
      </c>
      <c r="AM1100" s="1069">
        <f t="shared" si="1983"/>
        <v>0</v>
      </c>
      <c r="AN1100" s="31"/>
      <c r="AO1100" s="622"/>
      <c r="AP1100" s="39" t="s">
        <v>19</v>
      </c>
      <c r="AQ1100" s="56">
        <f>AQ1099*AN1095</f>
        <v>0</v>
      </c>
      <c r="AR1100" s="56">
        <f>AR1099*AN1095</f>
        <v>0</v>
      </c>
      <c r="AS1100" s="56">
        <f>AS1099*AN1095</f>
        <v>0</v>
      </c>
      <c r="AT1100" s="56">
        <f>AT1099*AN1095</f>
        <v>0</v>
      </c>
      <c r="AU1100" s="56">
        <f>AU1099*AN1095</f>
        <v>0</v>
      </c>
      <c r="AV1100" s="57">
        <f t="shared" si="1985"/>
        <v>0</v>
      </c>
    </row>
    <row r="1101" spans="1:48" ht="25.15" hidden="1" customHeight="1">
      <c r="A1101" s="103"/>
      <c r="B1101" s="65"/>
      <c r="C1101" s="72" t="s">
        <v>104</v>
      </c>
      <c r="D1101" s="73" t="s">
        <v>105</v>
      </c>
      <c r="E1101" s="1378"/>
      <c r="F1101" s="1103"/>
      <c r="G1101" s="1210"/>
      <c r="H1101" s="1103"/>
      <c r="I1101" s="1103"/>
      <c r="J1101" s="1210"/>
      <c r="K1101" s="1210"/>
      <c r="L1101" s="1103"/>
      <c r="M1101" s="1103"/>
      <c r="N1101" s="1103"/>
      <c r="O1101" s="1103"/>
      <c r="P1101" s="1103"/>
      <c r="Q1101" s="1210"/>
      <c r="R1101" s="1210"/>
      <c r="S1101" s="1103"/>
      <c r="T1101" s="1103"/>
      <c r="U1101" s="1103"/>
      <c r="V1101" s="1103"/>
      <c r="W1101" s="1103"/>
      <c r="X1101" s="1210"/>
      <c r="Y1101" s="1210"/>
      <c r="Z1101" s="1103"/>
      <c r="AA1101" s="1103"/>
      <c r="AB1101" s="1103"/>
      <c r="AC1101" s="1103"/>
      <c r="AD1101" s="1103"/>
      <c r="AE1101" s="1210"/>
      <c r="AF1101" s="1210"/>
      <c r="AG1101" s="1103"/>
      <c r="AH1101" s="1103"/>
      <c r="AI1101" s="1352"/>
      <c r="AJ1101" s="74">
        <f>SUM(E1101:AI1101)</f>
        <v>0</v>
      </c>
      <c r="AK1101" s="74"/>
      <c r="AL1101" s="75">
        <f>+AJ1101*AN1095</f>
        <v>0</v>
      </c>
      <c r="AM1101" s="1070">
        <f t="shared" si="1983"/>
        <v>0</v>
      </c>
      <c r="AN1101" s="76"/>
      <c r="AO1101" s="636"/>
      <c r="AP1101" s="47" t="s">
        <v>106</v>
      </c>
      <c r="AQ1101" s="48">
        <f>AQ1097*AN1095</f>
        <v>0</v>
      </c>
      <c r="AR1101" s="48">
        <f>AR1097*AN1095</f>
        <v>0</v>
      </c>
      <c r="AS1101" s="48">
        <f>AS1097*AN1095</f>
        <v>0</v>
      </c>
      <c r="AT1101" s="48">
        <f>AT1097*AN1095</f>
        <v>0</v>
      </c>
      <c r="AU1101" s="48">
        <f>AU1097*AN1095</f>
        <v>0</v>
      </c>
      <c r="AV1101" s="50">
        <f t="shared" si="1985"/>
        <v>0</v>
      </c>
    </row>
    <row r="1102" spans="1:48" ht="25.15" hidden="1" customHeight="1">
      <c r="A1102" s="103"/>
      <c r="B1102" s="65"/>
      <c r="C1102" s="77">
        <v>300000</v>
      </c>
      <c r="D1102" s="78" t="s">
        <v>107</v>
      </c>
      <c r="E1102" s="1327">
        <v>1</v>
      </c>
      <c r="F1102" s="1097">
        <v>1</v>
      </c>
      <c r="G1102" s="1205">
        <v>1</v>
      </c>
      <c r="H1102" s="1097">
        <v>1</v>
      </c>
      <c r="I1102" s="1097">
        <v>1</v>
      </c>
      <c r="J1102" s="1205">
        <v>1</v>
      </c>
      <c r="K1102" s="1205">
        <v>1</v>
      </c>
      <c r="L1102" s="1097">
        <v>1</v>
      </c>
      <c r="M1102" s="1097">
        <v>1</v>
      </c>
      <c r="N1102" s="1097">
        <v>1</v>
      </c>
      <c r="O1102" s="1097">
        <v>1</v>
      </c>
      <c r="P1102" s="1097">
        <v>1</v>
      </c>
      <c r="Q1102" s="1205">
        <v>1</v>
      </c>
      <c r="R1102" s="1205">
        <v>1</v>
      </c>
      <c r="S1102" s="1097">
        <v>1</v>
      </c>
      <c r="T1102" s="1097">
        <v>1</v>
      </c>
      <c r="U1102" s="1097">
        <v>1</v>
      </c>
      <c r="V1102" s="1097">
        <v>1</v>
      </c>
      <c r="W1102" s="1097">
        <v>1</v>
      </c>
      <c r="X1102" s="1205">
        <v>1</v>
      </c>
      <c r="Y1102" s="1205">
        <v>1</v>
      </c>
      <c r="Z1102" s="1097">
        <v>1</v>
      </c>
      <c r="AA1102" s="1097">
        <v>1</v>
      </c>
      <c r="AB1102" s="1097">
        <v>1</v>
      </c>
      <c r="AC1102" s="1097">
        <v>1</v>
      </c>
      <c r="AD1102" s="1097">
        <v>1</v>
      </c>
      <c r="AE1102" s="1205">
        <v>1</v>
      </c>
      <c r="AF1102" s="1205">
        <v>1</v>
      </c>
      <c r="AG1102" s="1097">
        <v>1</v>
      </c>
      <c r="AH1102" s="1097">
        <v>1</v>
      </c>
      <c r="AI1102" s="1328">
        <v>1</v>
      </c>
      <c r="AJ1102" s="79"/>
      <c r="AK1102" s="79"/>
      <c r="AL1102" s="55"/>
      <c r="AM1102" s="1067">
        <f t="shared" si="1983"/>
        <v>0</v>
      </c>
      <c r="AN1102" s="31"/>
      <c r="AO1102" s="622"/>
      <c r="AP1102" s="23"/>
      <c r="AQ1102" s="23"/>
      <c r="AR1102" s="23"/>
      <c r="AS1102" s="23"/>
      <c r="AT1102" s="23"/>
      <c r="AU1102" s="23"/>
      <c r="AV1102" s="23"/>
    </row>
    <row r="1103" spans="1:48" ht="25.15" hidden="1" customHeight="1">
      <c r="A1103" s="103"/>
      <c r="B1103" s="65"/>
      <c r="C1103" s="80" t="s">
        <v>108</v>
      </c>
      <c r="D1103" s="81" t="s">
        <v>109</v>
      </c>
      <c r="E1103" s="1374">
        <f>SUM(E1097+E1099+E1100+E1101)/E1102</f>
        <v>0</v>
      </c>
      <c r="F1103" s="1104">
        <f>SUM(F1097+F1099+F1100+F1101)/F1102</f>
        <v>0</v>
      </c>
      <c r="G1103" s="1211">
        <f>SUM(G1097+G1099+G1100+G1101)/G1102</f>
        <v>0</v>
      </c>
      <c r="H1103" s="1104">
        <f t="shared" ref="H1103:AH1103" si="1987">SUM(H1097+H1099+H1100+H1101)/H1102</f>
        <v>0</v>
      </c>
      <c r="I1103" s="1104">
        <f t="shared" si="1987"/>
        <v>0</v>
      </c>
      <c r="J1103" s="1211">
        <f t="shared" si="1987"/>
        <v>0</v>
      </c>
      <c r="K1103" s="1211">
        <f t="shared" si="1987"/>
        <v>0</v>
      </c>
      <c r="L1103" s="1104">
        <f t="shared" si="1987"/>
        <v>0</v>
      </c>
      <c r="M1103" s="1104">
        <f t="shared" si="1987"/>
        <v>0</v>
      </c>
      <c r="N1103" s="1104">
        <f t="shared" si="1987"/>
        <v>0</v>
      </c>
      <c r="O1103" s="1104">
        <f t="shared" si="1987"/>
        <v>0</v>
      </c>
      <c r="P1103" s="1104">
        <f t="shared" si="1987"/>
        <v>0</v>
      </c>
      <c r="Q1103" s="1211">
        <f t="shared" si="1987"/>
        <v>0</v>
      </c>
      <c r="R1103" s="1211">
        <f t="shared" si="1987"/>
        <v>0</v>
      </c>
      <c r="S1103" s="1104">
        <f t="shared" si="1987"/>
        <v>0</v>
      </c>
      <c r="T1103" s="1104">
        <f t="shared" si="1987"/>
        <v>0</v>
      </c>
      <c r="U1103" s="1104">
        <f t="shared" si="1987"/>
        <v>0</v>
      </c>
      <c r="V1103" s="1104">
        <f t="shared" si="1987"/>
        <v>0</v>
      </c>
      <c r="W1103" s="1104">
        <f t="shared" si="1987"/>
        <v>0</v>
      </c>
      <c r="X1103" s="1211">
        <f t="shared" si="1987"/>
        <v>0</v>
      </c>
      <c r="Y1103" s="1211">
        <f t="shared" si="1987"/>
        <v>0</v>
      </c>
      <c r="Z1103" s="1104">
        <f t="shared" si="1987"/>
        <v>0</v>
      </c>
      <c r="AA1103" s="1104">
        <f t="shared" si="1987"/>
        <v>0</v>
      </c>
      <c r="AB1103" s="1104">
        <f t="shared" si="1987"/>
        <v>0</v>
      </c>
      <c r="AC1103" s="1104">
        <f t="shared" si="1987"/>
        <v>0</v>
      </c>
      <c r="AD1103" s="1104">
        <f t="shared" si="1987"/>
        <v>0</v>
      </c>
      <c r="AE1103" s="1211">
        <f t="shared" si="1987"/>
        <v>0</v>
      </c>
      <c r="AF1103" s="1211">
        <f t="shared" si="1987"/>
        <v>0</v>
      </c>
      <c r="AG1103" s="1104">
        <f t="shared" si="1987"/>
        <v>0</v>
      </c>
      <c r="AH1103" s="1104">
        <f t="shared" si="1987"/>
        <v>0</v>
      </c>
      <c r="AI1103" s="1335">
        <f>SUM(AI1097+AI1099+AI1100)/AI1102</f>
        <v>0</v>
      </c>
      <c r="AJ1103" s="104">
        <f>SUM(E1103:AI1103)</f>
        <v>0</v>
      </c>
      <c r="AK1103" s="104"/>
      <c r="AL1103" s="83"/>
      <c r="AM1103" s="1068">
        <f t="shared" si="1983"/>
        <v>0</v>
      </c>
      <c r="AN1103" s="31"/>
      <c r="AO1103" s="622"/>
      <c r="AP1103" s="23"/>
      <c r="AQ1103" s="23"/>
      <c r="AR1103" s="23"/>
      <c r="AS1103" s="23"/>
      <c r="AT1103" s="23"/>
      <c r="AU1103" s="23"/>
      <c r="AV1103" s="23"/>
    </row>
    <row r="1104" spans="1:48" ht="25.15" hidden="1" customHeight="1">
      <c r="A1104" s="103"/>
      <c r="B1104" s="59"/>
      <c r="C1104" s="84">
        <f>+C1102*0.8</f>
        <v>240000</v>
      </c>
      <c r="D1104" s="85" t="s">
        <v>110</v>
      </c>
      <c r="E1104" s="1105"/>
      <c r="F1104" s="1106"/>
      <c r="G1104" s="1211"/>
      <c r="H1104" s="1104"/>
      <c r="I1104" s="1104"/>
      <c r="J1104" s="1211"/>
      <c r="K1104" s="1211"/>
      <c r="L1104" s="1104"/>
      <c r="M1104" s="1104"/>
      <c r="N1104" s="1104"/>
      <c r="O1104" s="1107"/>
      <c r="P1104" s="1104"/>
      <c r="Q1104" s="1211"/>
      <c r="R1104" s="1211"/>
      <c r="S1104" s="1104"/>
      <c r="T1104" s="1104"/>
      <c r="U1104" s="1104"/>
      <c r="V1104" s="1104"/>
      <c r="W1104" s="1104"/>
      <c r="X1104" s="1211"/>
      <c r="Y1104" s="1211"/>
      <c r="Z1104" s="1104"/>
      <c r="AA1104" s="1104"/>
      <c r="AB1104" s="1104"/>
      <c r="AC1104" s="1104"/>
      <c r="AD1104" s="1104"/>
      <c r="AE1104" s="1211"/>
      <c r="AF1104" s="1211"/>
      <c r="AG1104" s="1104"/>
      <c r="AH1104" s="1104"/>
      <c r="AI1104" s="1353"/>
      <c r="AJ1104" s="86"/>
      <c r="AK1104" s="86"/>
      <c r="AL1104" s="690"/>
      <c r="AM1104" s="694">
        <f t="shared" si="1983"/>
        <v>0</v>
      </c>
      <c r="AN1104" s="31"/>
      <c r="AO1104" s="622"/>
      <c r="AP1104" s="23"/>
      <c r="AQ1104" s="23"/>
      <c r="AR1104" s="23"/>
      <c r="AS1104" s="23"/>
      <c r="AT1104" s="23"/>
      <c r="AU1104" s="23"/>
      <c r="AV1104" s="23"/>
    </row>
    <row r="1105" spans="1:48" ht="25.15" hidden="1" customHeight="1">
      <c r="A1105" s="103"/>
      <c r="B1105" s="105"/>
      <c r="C1105" s="77"/>
      <c r="D1105" s="88" t="s">
        <v>111</v>
      </c>
      <c r="E1105" s="1108">
        <f>IF(E1104="O/H",E1103,0+E1103)</f>
        <v>0</v>
      </c>
      <c r="F1105" s="1089">
        <f t="shared" ref="F1105:AI1105" si="1988">IF(F1104="O/H",F1103,+E1105+F1103)</f>
        <v>0</v>
      </c>
      <c r="G1105" s="44">
        <f t="shared" si="1988"/>
        <v>0</v>
      </c>
      <c r="H1105" s="1089">
        <f t="shared" si="1988"/>
        <v>0</v>
      </c>
      <c r="I1105" s="1089">
        <f t="shared" si="1988"/>
        <v>0</v>
      </c>
      <c r="J1105" s="44">
        <f t="shared" si="1988"/>
        <v>0</v>
      </c>
      <c r="K1105" s="44">
        <f t="shared" si="1988"/>
        <v>0</v>
      </c>
      <c r="L1105" s="1089">
        <f t="shared" si="1988"/>
        <v>0</v>
      </c>
      <c r="M1105" s="1089">
        <f t="shared" si="1988"/>
        <v>0</v>
      </c>
      <c r="N1105" s="1089">
        <f t="shared" si="1988"/>
        <v>0</v>
      </c>
      <c r="O1105" s="1089">
        <f t="shared" si="1988"/>
        <v>0</v>
      </c>
      <c r="P1105" s="1089">
        <f t="shared" si="1988"/>
        <v>0</v>
      </c>
      <c r="Q1105" s="44">
        <f t="shared" si="1988"/>
        <v>0</v>
      </c>
      <c r="R1105" s="44">
        <f t="shared" si="1988"/>
        <v>0</v>
      </c>
      <c r="S1105" s="1089">
        <f t="shared" si="1988"/>
        <v>0</v>
      </c>
      <c r="T1105" s="1089">
        <f t="shared" si="1988"/>
        <v>0</v>
      </c>
      <c r="U1105" s="1089">
        <f t="shared" si="1988"/>
        <v>0</v>
      </c>
      <c r="V1105" s="1089">
        <f t="shared" si="1988"/>
        <v>0</v>
      </c>
      <c r="W1105" s="1089">
        <f t="shared" si="1988"/>
        <v>0</v>
      </c>
      <c r="X1105" s="44">
        <f t="shared" si="1988"/>
        <v>0</v>
      </c>
      <c r="Y1105" s="44">
        <f t="shared" si="1988"/>
        <v>0</v>
      </c>
      <c r="Z1105" s="1089">
        <f t="shared" si="1988"/>
        <v>0</v>
      </c>
      <c r="AA1105" s="1089">
        <f t="shared" si="1988"/>
        <v>0</v>
      </c>
      <c r="AB1105" s="1089">
        <f t="shared" si="1988"/>
        <v>0</v>
      </c>
      <c r="AC1105" s="1089">
        <f t="shared" si="1988"/>
        <v>0</v>
      </c>
      <c r="AD1105" s="1089">
        <f t="shared" si="1988"/>
        <v>0</v>
      </c>
      <c r="AE1105" s="44">
        <f t="shared" si="1988"/>
        <v>0</v>
      </c>
      <c r="AF1105" s="44">
        <f t="shared" si="1988"/>
        <v>0</v>
      </c>
      <c r="AG1105" s="1089">
        <f t="shared" si="1988"/>
        <v>0</v>
      </c>
      <c r="AH1105" s="1089">
        <f t="shared" si="1988"/>
        <v>0</v>
      </c>
      <c r="AI1105" s="1326">
        <f t="shared" si="1988"/>
        <v>0</v>
      </c>
      <c r="AJ1105" s="79"/>
      <c r="AK1105" s="86"/>
      <c r="AL1105" s="689"/>
      <c r="AM1105" s="694">
        <f t="shared" si="1983"/>
        <v>0</v>
      </c>
      <c r="AN1105" s="31"/>
      <c r="AO1105" s="622"/>
      <c r="AP1105" s="23"/>
      <c r="AQ1105" s="23"/>
      <c r="AR1105" s="23"/>
      <c r="AS1105" s="23"/>
      <c r="AT1105" s="23"/>
      <c r="AU1105" s="23"/>
      <c r="AV1105" s="23"/>
    </row>
    <row r="1106" spans="1:48" s="23" customFormat="1" ht="20.65" hidden="1" customHeight="1">
      <c r="A1106" s="274"/>
      <c r="B1106" s="312"/>
      <c r="C1106" s="308"/>
      <c r="D1106" s="795" t="s">
        <v>112</v>
      </c>
      <c r="E1106" s="1108" t="b">
        <f>IF(AND(ISNUMBER(E1097)),1361139+E1103)</f>
        <v>0</v>
      </c>
      <c r="F1106" s="1089" t="str">
        <f>IF(AND(ISNUMBER(F1097)),E1106+F1103,"")</f>
        <v/>
      </c>
      <c r="G1106" s="44" t="str">
        <f t="shared" ref="G1106" si="1989">IF(AND(ISNUMBER(G1097)),F1106+G1103,"")</f>
        <v/>
      </c>
      <c r="H1106" s="1089" t="str">
        <f t="shared" ref="H1106" si="1990">IF(AND(ISNUMBER(H1097)),G1106+H1103,"")</f>
        <v/>
      </c>
      <c r="I1106" s="1089" t="str">
        <f>IF(AND(ISNUMBER(I1097)),H1106+I1103,"")</f>
        <v/>
      </c>
      <c r="J1106" s="44" t="str">
        <f>IF(AND(ISNUMBER(J1097)),I1106+J1103,"")</f>
        <v/>
      </c>
      <c r="K1106" s="44" t="str">
        <f>IF(AND(ISNUMBER(K1097)),J1106+K1103,"")</f>
        <v/>
      </c>
      <c r="L1106" s="1089" t="str">
        <f t="shared" ref="L1106" si="1991">IF(AND(ISNUMBER(L1097)),K1106+L1103,"")</f>
        <v/>
      </c>
      <c r="M1106" s="1089" t="str">
        <f t="shared" ref="M1106" si="1992">IF(AND(ISNUMBER(M1097)),L1106+M1103,"")</f>
        <v/>
      </c>
      <c r="N1106" s="1089" t="str">
        <f t="shared" ref="N1106" si="1993">IF(AND(ISNUMBER(N1097)),M1106+N1103,"")</f>
        <v/>
      </c>
      <c r="O1106" s="1089" t="str">
        <f t="shared" ref="O1106" si="1994">IF(AND(ISNUMBER(O1097)),N1106+O1103,"")</f>
        <v/>
      </c>
      <c r="P1106" s="1089" t="str">
        <f t="shared" ref="P1106" si="1995">IF(AND(ISNUMBER(P1097)),O1106+P1103,"")</f>
        <v/>
      </c>
      <c r="Q1106" s="44" t="str">
        <f t="shared" ref="Q1106" si="1996">IF(AND(ISNUMBER(Q1097)),P1106+Q1103,"")</f>
        <v/>
      </c>
      <c r="R1106" s="44" t="str">
        <f t="shared" ref="R1106" si="1997">IF(AND(ISNUMBER(R1097)),Q1106+R1103,"")</f>
        <v/>
      </c>
      <c r="S1106" s="1089" t="str">
        <f t="shared" ref="S1106" si="1998">IF(AND(ISNUMBER(S1097)),R1106+S1103,"")</f>
        <v/>
      </c>
      <c r="T1106" s="1089" t="str">
        <f t="shared" ref="T1106" si="1999">IF(AND(ISNUMBER(T1097)),S1106+T1103,"")</f>
        <v/>
      </c>
      <c r="U1106" s="1089" t="str">
        <f t="shared" ref="U1106" si="2000">IF(AND(ISNUMBER(U1097)),T1106+U1103,"")</f>
        <v/>
      </c>
      <c r="V1106" s="1089" t="str">
        <f t="shared" ref="V1106" si="2001">IF(AND(ISNUMBER(V1097)),U1106+V1103,"")</f>
        <v/>
      </c>
      <c r="W1106" s="1089" t="str">
        <f t="shared" ref="W1106" si="2002">IF(AND(ISNUMBER(W1097)),V1106+W1103,"")</f>
        <v/>
      </c>
      <c r="X1106" s="44" t="str">
        <f t="shared" ref="X1106" si="2003">IF(AND(ISNUMBER(X1097)),W1106+X1103,"")</f>
        <v/>
      </c>
      <c r="Y1106" s="44" t="str">
        <f t="shared" ref="Y1106" si="2004">IF(AND(ISNUMBER(Y1097)),X1106+Y1103,"")</f>
        <v/>
      </c>
      <c r="Z1106" s="1089" t="str">
        <f t="shared" ref="Z1106" si="2005">IF(AND(ISNUMBER(Z1097)),Y1106+Z1103,"")</f>
        <v/>
      </c>
      <c r="AA1106" s="1089" t="str">
        <f t="shared" ref="AA1106" si="2006">IF(AND(ISNUMBER(AA1097)),Z1106+AA1103,"")</f>
        <v/>
      </c>
      <c r="AB1106" s="1089" t="str">
        <f t="shared" ref="AB1106" si="2007">IF(AND(ISNUMBER(AB1097)),AA1106+AB1103,"")</f>
        <v/>
      </c>
      <c r="AC1106" s="1089" t="str">
        <f t="shared" ref="AC1106" si="2008">IF(AND(ISNUMBER(AC1097)),AB1106+AC1103,"")</f>
        <v/>
      </c>
      <c r="AD1106" s="1089" t="str">
        <f t="shared" ref="AD1106" si="2009">IF(AND(ISNUMBER(AD1097)),AC1106+AD1103,"")</f>
        <v/>
      </c>
      <c r="AE1106" s="44" t="str">
        <f t="shared" ref="AE1106" si="2010">IF(AND(ISNUMBER(AE1097)),AD1106+AE1103,"")</f>
        <v/>
      </c>
      <c r="AF1106" s="44" t="str">
        <f t="shared" ref="AF1106" si="2011">IF(AND(ISNUMBER(AF1097)),AE1106+AF1103,"")</f>
        <v/>
      </c>
      <c r="AG1106" s="1089" t="str">
        <f t="shared" ref="AG1106" si="2012">IF(AND(ISNUMBER(AG1097)),AF1106+AG1103,"")</f>
        <v/>
      </c>
      <c r="AH1106" s="1089" t="str">
        <f t="shared" ref="AH1106" si="2013">IF(AND(ISNUMBER(AH1097)),AG1106+AH1103,"")</f>
        <v/>
      </c>
      <c r="AI1106" s="1089" t="str">
        <f t="shared" ref="AI1106" si="2014">IF(AND(ISNUMBER(AI1097)),AH1106+AI1103,"")</f>
        <v/>
      </c>
      <c r="AJ1106" s="793"/>
      <c r="AK1106" s="793"/>
      <c r="AL1106" s="909"/>
      <c r="AM1106" s="890">
        <f t="shared" si="1983"/>
        <v>0</v>
      </c>
      <c r="AN1106" s="76"/>
      <c r="AO1106" s="624"/>
      <c r="AP1106" s="285"/>
      <c r="AQ1106" s="285"/>
      <c r="AR1106" s="285"/>
      <c r="AS1106" s="285"/>
      <c r="AT1106" s="286"/>
      <c r="AU1106" s="285"/>
      <c r="AV1106" s="287"/>
    </row>
    <row r="1107" spans="1:48" ht="25.15" hidden="1" customHeight="1">
      <c r="A1107" s="103"/>
      <c r="B1107" s="89"/>
      <c r="C1107" s="80"/>
      <c r="D1107" s="90" t="s">
        <v>104</v>
      </c>
      <c r="E1107" s="1108"/>
      <c r="F1107" s="1089"/>
      <c r="G1107" s="44"/>
      <c r="H1107" s="1089"/>
      <c r="I1107" s="1089"/>
      <c r="J1107" s="44"/>
      <c r="K1107" s="44"/>
      <c r="L1107" s="1089"/>
      <c r="M1107" s="1089"/>
      <c r="N1107" s="1089"/>
      <c r="O1107" s="1089"/>
      <c r="P1107" s="1089"/>
      <c r="Q1107" s="44"/>
      <c r="R1107" s="44"/>
      <c r="S1107" s="1089"/>
      <c r="T1107" s="1089"/>
      <c r="U1107" s="1089"/>
      <c r="V1107" s="1089"/>
      <c r="W1107" s="1089"/>
      <c r="X1107" s="44"/>
      <c r="Y1107" s="44"/>
      <c r="Z1107" s="1089"/>
      <c r="AA1107" s="1089"/>
      <c r="AB1107" s="1089"/>
      <c r="AC1107" s="1089"/>
      <c r="AD1107" s="1089"/>
      <c r="AE1107" s="44"/>
      <c r="AF1107" s="44"/>
      <c r="AG1107" s="1089"/>
      <c r="AH1107" s="1089"/>
      <c r="AI1107" s="1326"/>
      <c r="AJ1107" s="79"/>
      <c r="AK1107" s="79"/>
      <c r="AL1107" s="63"/>
      <c r="AM1107" s="1068">
        <f t="shared" si="1983"/>
        <v>0</v>
      </c>
      <c r="AN1107" s="64"/>
      <c r="AO1107" s="624"/>
      <c r="AP1107" s="23"/>
      <c r="AQ1107" s="23"/>
      <c r="AR1107" s="23"/>
      <c r="AS1107" s="23"/>
      <c r="AT1107" s="23"/>
      <c r="AU1107" s="23"/>
      <c r="AV1107" s="23"/>
    </row>
    <row r="1108" spans="1:48" ht="25.15" hidden="1" customHeight="1" thickBot="1">
      <c r="A1108" s="106"/>
      <c r="B1108" s="93"/>
      <c r="C1108" s="94"/>
      <c r="D1108" s="95" t="s">
        <v>111</v>
      </c>
      <c r="E1108" s="1109">
        <f>IF(E1107="O/H",E1103,55890+E1103)</f>
        <v>55890</v>
      </c>
      <c r="F1108" s="1110">
        <f t="shared" ref="F1108:AI1108" si="2015">IF(F1107="O/H",F1103,+E1108+F1103)</f>
        <v>55890</v>
      </c>
      <c r="G1108" s="1212">
        <f t="shared" si="2015"/>
        <v>55890</v>
      </c>
      <c r="H1108" s="1110">
        <f t="shared" si="2015"/>
        <v>55890</v>
      </c>
      <c r="I1108" s="1110">
        <f t="shared" si="2015"/>
        <v>55890</v>
      </c>
      <c r="J1108" s="1212">
        <f t="shared" si="2015"/>
        <v>55890</v>
      </c>
      <c r="K1108" s="1212">
        <f t="shared" si="2015"/>
        <v>55890</v>
      </c>
      <c r="L1108" s="1110">
        <f t="shared" si="2015"/>
        <v>55890</v>
      </c>
      <c r="M1108" s="1110">
        <f t="shared" si="2015"/>
        <v>55890</v>
      </c>
      <c r="N1108" s="1110">
        <f t="shared" si="2015"/>
        <v>55890</v>
      </c>
      <c r="O1108" s="1110">
        <f t="shared" si="2015"/>
        <v>55890</v>
      </c>
      <c r="P1108" s="1110">
        <f t="shared" si="2015"/>
        <v>55890</v>
      </c>
      <c r="Q1108" s="1212">
        <f t="shared" si="2015"/>
        <v>55890</v>
      </c>
      <c r="R1108" s="1212">
        <f t="shared" si="2015"/>
        <v>55890</v>
      </c>
      <c r="S1108" s="1110">
        <f t="shared" si="2015"/>
        <v>55890</v>
      </c>
      <c r="T1108" s="1110">
        <f t="shared" si="2015"/>
        <v>55890</v>
      </c>
      <c r="U1108" s="1110">
        <f t="shared" si="2015"/>
        <v>55890</v>
      </c>
      <c r="V1108" s="1110">
        <f t="shared" si="2015"/>
        <v>55890</v>
      </c>
      <c r="W1108" s="1110">
        <f t="shared" si="2015"/>
        <v>55890</v>
      </c>
      <c r="X1108" s="1212">
        <f t="shared" si="2015"/>
        <v>55890</v>
      </c>
      <c r="Y1108" s="1212">
        <f t="shared" si="2015"/>
        <v>55890</v>
      </c>
      <c r="Z1108" s="1110">
        <f t="shared" si="2015"/>
        <v>55890</v>
      </c>
      <c r="AA1108" s="1110">
        <f t="shared" si="2015"/>
        <v>55890</v>
      </c>
      <c r="AB1108" s="1110">
        <f t="shared" si="2015"/>
        <v>55890</v>
      </c>
      <c r="AC1108" s="1110">
        <f t="shared" si="2015"/>
        <v>55890</v>
      </c>
      <c r="AD1108" s="1110">
        <f t="shared" si="2015"/>
        <v>55890</v>
      </c>
      <c r="AE1108" s="1212">
        <f t="shared" si="2015"/>
        <v>55890</v>
      </c>
      <c r="AF1108" s="1212">
        <f t="shared" si="2015"/>
        <v>55890</v>
      </c>
      <c r="AG1108" s="1110">
        <f t="shared" si="2015"/>
        <v>55890</v>
      </c>
      <c r="AH1108" s="1110">
        <f t="shared" si="2015"/>
        <v>55890</v>
      </c>
      <c r="AI1108" s="1340">
        <f t="shared" si="2015"/>
        <v>55890</v>
      </c>
      <c r="AJ1108" s="96"/>
      <c r="AK1108" s="96"/>
      <c r="AL1108" s="97"/>
      <c r="AM1108" s="1071">
        <f t="shared" si="1983"/>
        <v>0</v>
      </c>
      <c r="AN1108" s="98"/>
      <c r="AO1108" s="625"/>
      <c r="AP1108" s="23"/>
      <c r="AQ1108" s="23"/>
      <c r="AR1108" s="23"/>
      <c r="AS1108" s="23"/>
      <c r="AT1108" s="23"/>
      <c r="AU1108" s="23"/>
      <c r="AV1108" s="23"/>
    </row>
    <row r="1109" spans="1:48" ht="25.15" hidden="1" customHeight="1" thickTop="1">
      <c r="A1109" s="99"/>
      <c r="B1109" s="26" t="s">
        <v>227</v>
      </c>
      <c r="C1109" s="27"/>
      <c r="D1109" s="28" t="s">
        <v>82</v>
      </c>
      <c r="E1109" s="1111"/>
      <c r="F1109" s="1111"/>
      <c r="G1109" s="1201"/>
      <c r="H1109" s="1111"/>
      <c r="I1109" s="1111"/>
      <c r="J1109" s="1201"/>
      <c r="K1109" s="1201"/>
      <c r="L1109" s="1111"/>
      <c r="M1109" s="1111"/>
      <c r="N1109" s="1111"/>
      <c r="O1109" s="1111"/>
      <c r="P1109" s="1111"/>
      <c r="Q1109" s="1201"/>
      <c r="R1109" s="1201"/>
      <c r="S1109" s="1111"/>
      <c r="T1109" s="1111"/>
      <c r="U1109" s="1111"/>
      <c r="V1109" s="1111"/>
      <c r="W1109" s="1111"/>
      <c r="X1109" s="1201"/>
      <c r="Y1109" s="1201"/>
      <c r="Z1109" s="1111"/>
      <c r="AA1109" s="1111"/>
      <c r="AB1109" s="1111"/>
      <c r="AC1109" s="1111"/>
      <c r="AD1109" s="1111"/>
      <c r="AE1109" s="1201"/>
      <c r="AF1109" s="1201"/>
      <c r="AG1109" s="1111"/>
      <c r="AH1109" s="1111"/>
      <c r="AI1109" s="1111"/>
      <c r="AJ1109" s="100">
        <f>SUM(Table75[[#This Row],[June''2026]:[Column27]])</f>
        <v>0</v>
      </c>
      <c r="AK1109" s="100">
        <f t="shared" si="1982"/>
        <v>0</v>
      </c>
      <c r="AL1109" s="101">
        <f>+AJ1109*AN1109</f>
        <v>0</v>
      </c>
      <c r="AM1109" s="1072">
        <f t="shared" si="1983"/>
        <v>0</v>
      </c>
      <c r="AN1109" s="102"/>
      <c r="AO1109" s="622" t="e">
        <f>Table5[[#This Row],[Total]]*B1113/1000</f>
        <v>#VALUE!</v>
      </c>
      <c r="AP1109" s="32" t="s">
        <v>193</v>
      </c>
      <c r="AQ1109" s="33" t="s">
        <v>84</v>
      </c>
      <c r="AR1109" s="33" t="s">
        <v>85</v>
      </c>
      <c r="AS1109" s="33" t="s">
        <v>86</v>
      </c>
      <c r="AT1109" s="33" t="s">
        <v>87</v>
      </c>
      <c r="AU1109" s="33" t="s">
        <v>88</v>
      </c>
      <c r="AV1109" s="34" t="s">
        <v>68</v>
      </c>
    </row>
    <row r="1110" spans="1:48" ht="25.15" hidden="1" customHeight="1">
      <c r="A1110" s="103"/>
      <c r="B1110" s="35" t="s">
        <v>228</v>
      </c>
      <c r="C1110" s="36"/>
      <c r="D1110" s="37" t="s">
        <v>90</v>
      </c>
      <c r="E1110" s="1373">
        <f>IF(E1109="",0,+ E1109/E1116)</f>
        <v>0</v>
      </c>
      <c r="F1110" s="1096">
        <f t="shared" ref="F1110:AI1110" si="2016">IF(F1109="",0, E1110+F1109/F1116)</f>
        <v>0</v>
      </c>
      <c r="G1110" s="1207">
        <f t="shared" si="2016"/>
        <v>0</v>
      </c>
      <c r="H1110" s="1096">
        <f t="shared" si="2016"/>
        <v>0</v>
      </c>
      <c r="I1110" s="1096">
        <f t="shared" si="2016"/>
        <v>0</v>
      </c>
      <c r="J1110" s="1207">
        <f t="shared" si="2016"/>
        <v>0</v>
      </c>
      <c r="K1110" s="1207">
        <f t="shared" si="2016"/>
        <v>0</v>
      </c>
      <c r="L1110" s="1096">
        <f t="shared" si="2016"/>
        <v>0</v>
      </c>
      <c r="M1110" s="1096">
        <f t="shared" si="2016"/>
        <v>0</v>
      </c>
      <c r="N1110" s="1096">
        <f t="shared" si="2016"/>
        <v>0</v>
      </c>
      <c r="O1110" s="1096">
        <f t="shared" si="2016"/>
        <v>0</v>
      </c>
      <c r="P1110" s="1096">
        <f t="shared" si="2016"/>
        <v>0</v>
      </c>
      <c r="Q1110" s="1207">
        <f t="shared" si="2016"/>
        <v>0</v>
      </c>
      <c r="R1110" s="1207">
        <f t="shared" si="2016"/>
        <v>0</v>
      </c>
      <c r="S1110" s="1096">
        <f t="shared" si="2016"/>
        <v>0</v>
      </c>
      <c r="T1110" s="1096">
        <f t="shared" si="2016"/>
        <v>0</v>
      </c>
      <c r="U1110" s="1096">
        <f t="shared" si="2016"/>
        <v>0</v>
      </c>
      <c r="V1110" s="1096">
        <f t="shared" si="2016"/>
        <v>0</v>
      </c>
      <c r="W1110" s="1096">
        <f t="shared" si="2016"/>
        <v>0</v>
      </c>
      <c r="X1110" s="1207">
        <f t="shared" si="2016"/>
        <v>0</v>
      </c>
      <c r="Y1110" s="1207">
        <f t="shared" si="2016"/>
        <v>0</v>
      </c>
      <c r="Z1110" s="1096">
        <f t="shared" si="2016"/>
        <v>0</v>
      </c>
      <c r="AA1110" s="1096">
        <f t="shared" si="2016"/>
        <v>0</v>
      </c>
      <c r="AB1110" s="1096">
        <f t="shared" si="2016"/>
        <v>0</v>
      </c>
      <c r="AC1110" s="1096">
        <f t="shared" si="2016"/>
        <v>0</v>
      </c>
      <c r="AD1110" s="1096">
        <f t="shared" si="2016"/>
        <v>0</v>
      </c>
      <c r="AE1110" s="1207">
        <f t="shared" si="2016"/>
        <v>0</v>
      </c>
      <c r="AF1110" s="1207">
        <f t="shared" si="2016"/>
        <v>0</v>
      </c>
      <c r="AG1110" s="1096">
        <f t="shared" si="2016"/>
        <v>0</v>
      </c>
      <c r="AH1110" s="1096">
        <f t="shared" si="2016"/>
        <v>0</v>
      </c>
      <c r="AI1110" s="1324">
        <f t="shared" si="2016"/>
        <v>0</v>
      </c>
      <c r="AJ1110" s="38"/>
      <c r="AK1110" s="29"/>
      <c r="AL1110" s="30"/>
      <c r="AM1110" s="694">
        <f t="shared" si="1983"/>
        <v>0</v>
      </c>
      <c r="AN1110" s="31"/>
      <c r="AO1110" s="630"/>
      <c r="AP1110" s="39" t="s">
        <v>91</v>
      </c>
      <c r="AQ1110" s="40">
        <f>SUM(E1109:I1109)</f>
        <v>0</v>
      </c>
      <c r="AR1110" s="41">
        <f>SUM(J1109:P1109)</f>
        <v>0</v>
      </c>
      <c r="AS1110" s="41">
        <f>SUM(Q1109:W1109)</f>
        <v>0</v>
      </c>
      <c r="AT1110" s="41">
        <f>SUM(X1109:AD1109)</f>
        <v>0</v>
      </c>
      <c r="AU1110" s="41">
        <f>SUM(AE1109:AI1109)</f>
        <v>0</v>
      </c>
      <c r="AV1110" s="34">
        <f t="shared" ref="AV1110:AV1115" si="2017">SUM(AQ1110:AU1110)</f>
        <v>0</v>
      </c>
    </row>
    <row r="1111" spans="1:48" ht="25.15" hidden="1" customHeight="1">
      <c r="A1111" s="103"/>
      <c r="B1111" s="26" t="s">
        <v>92</v>
      </c>
      <c r="C1111" s="42"/>
      <c r="D1111" s="43" t="s">
        <v>93</v>
      </c>
      <c r="E1111" s="1108"/>
      <c r="F1111" s="1089"/>
      <c r="G1111" s="44"/>
      <c r="H1111" s="1089"/>
      <c r="I1111" s="1089"/>
      <c r="J1111" s="44"/>
      <c r="K1111" s="44"/>
      <c r="L1111" s="1089"/>
      <c r="M1111" s="1089"/>
      <c r="N1111" s="1089"/>
      <c r="O1111" s="1089"/>
      <c r="P1111" s="1089"/>
      <c r="Q1111" s="44"/>
      <c r="R1111" s="44"/>
      <c r="S1111" s="1089"/>
      <c r="T1111" s="1089"/>
      <c r="U1111" s="1089"/>
      <c r="V1111" s="1089"/>
      <c r="W1111" s="1089"/>
      <c r="X1111" s="44"/>
      <c r="Y1111" s="44"/>
      <c r="Z1111" s="1089"/>
      <c r="AA1111" s="1089"/>
      <c r="AB1111" s="1089"/>
      <c r="AC1111" s="1089"/>
      <c r="AD1111" s="1089"/>
      <c r="AE1111" s="44"/>
      <c r="AF1111" s="44"/>
      <c r="AG1111" s="1089"/>
      <c r="AH1111" s="1089"/>
      <c r="AI1111" s="1326"/>
      <c r="AJ1111" s="45">
        <f>SUM(E1111:AI1111)</f>
        <v>0</v>
      </c>
      <c r="AK1111" s="45"/>
      <c r="AL1111" s="46">
        <f>+AJ1111*AN1109</f>
        <v>0</v>
      </c>
      <c r="AM1111" s="1066">
        <f t="shared" si="1983"/>
        <v>0</v>
      </c>
      <c r="AN1111" s="31"/>
      <c r="AO1111" s="632">
        <f>(AJ1111+AJ1113+AJ1114+AJ1115)*B1113/1000</f>
        <v>0</v>
      </c>
      <c r="AP1111" s="47" t="s">
        <v>94</v>
      </c>
      <c r="AQ1111" s="48">
        <f>SUM(E1111:I1111)</f>
        <v>0</v>
      </c>
      <c r="AR1111" s="49">
        <f>SUM(J1111:P1111)</f>
        <v>0</v>
      </c>
      <c r="AS1111" s="49">
        <f>SUM(Q1111:W1111)</f>
        <v>0</v>
      </c>
      <c r="AT1111" s="49">
        <f>SUM(X1111:AD1111)</f>
        <v>0</v>
      </c>
      <c r="AU1111" s="49">
        <f>SUM(AE1111:AI1111)</f>
        <v>0</v>
      </c>
      <c r="AV1111" s="50">
        <f t="shared" si="2017"/>
        <v>0</v>
      </c>
    </row>
    <row r="1112" spans="1:48" ht="25.15" hidden="1" customHeight="1">
      <c r="A1112" s="103"/>
      <c r="B1112" s="51"/>
      <c r="C1112" s="52" t="s">
        <v>95</v>
      </c>
      <c r="D1112" s="53" t="s">
        <v>96</v>
      </c>
      <c r="E1112" s="1327">
        <f t="shared" ref="E1112:AJ1112" si="2018">+E1111-E1109</f>
        <v>0</v>
      </c>
      <c r="F1112" s="1097">
        <f t="shared" si="2018"/>
        <v>0</v>
      </c>
      <c r="G1112" s="1205">
        <f t="shared" si="2018"/>
        <v>0</v>
      </c>
      <c r="H1112" s="1097">
        <f t="shared" si="2018"/>
        <v>0</v>
      </c>
      <c r="I1112" s="1097">
        <f t="shared" si="2018"/>
        <v>0</v>
      </c>
      <c r="J1112" s="1205">
        <f t="shared" si="2018"/>
        <v>0</v>
      </c>
      <c r="K1112" s="1205">
        <f t="shared" si="2018"/>
        <v>0</v>
      </c>
      <c r="L1112" s="1097">
        <f t="shared" si="2018"/>
        <v>0</v>
      </c>
      <c r="M1112" s="1097">
        <f t="shared" si="2018"/>
        <v>0</v>
      </c>
      <c r="N1112" s="1097">
        <f t="shared" si="2018"/>
        <v>0</v>
      </c>
      <c r="O1112" s="1097">
        <f t="shared" si="2018"/>
        <v>0</v>
      </c>
      <c r="P1112" s="1097">
        <f t="shared" si="2018"/>
        <v>0</v>
      </c>
      <c r="Q1112" s="1205">
        <f t="shared" si="2018"/>
        <v>0</v>
      </c>
      <c r="R1112" s="1205">
        <f t="shared" si="2018"/>
        <v>0</v>
      </c>
      <c r="S1112" s="1097">
        <f t="shared" si="2018"/>
        <v>0</v>
      </c>
      <c r="T1112" s="1097">
        <f t="shared" si="2018"/>
        <v>0</v>
      </c>
      <c r="U1112" s="1097">
        <f t="shared" si="2018"/>
        <v>0</v>
      </c>
      <c r="V1112" s="1097">
        <f t="shared" si="2018"/>
        <v>0</v>
      </c>
      <c r="W1112" s="1097">
        <f t="shared" si="2018"/>
        <v>0</v>
      </c>
      <c r="X1112" s="1205">
        <f t="shared" si="2018"/>
        <v>0</v>
      </c>
      <c r="Y1112" s="1205">
        <f t="shared" si="2018"/>
        <v>0</v>
      </c>
      <c r="Z1112" s="1097">
        <f t="shared" si="2018"/>
        <v>0</v>
      </c>
      <c r="AA1112" s="1097">
        <f t="shared" si="2018"/>
        <v>0</v>
      </c>
      <c r="AB1112" s="1097">
        <f t="shared" si="2018"/>
        <v>0</v>
      </c>
      <c r="AC1112" s="1097">
        <f t="shared" si="2018"/>
        <v>0</v>
      </c>
      <c r="AD1112" s="1097">
        <f t="shared" si="2018"/>
        <v>0</v>
      </c>
      <c r="AE1112" s="1205">
        <f t="shared" si="2018"/>
        <v>0</v>
      </c>
      <c r="AF1112" s="1205">
        <f t="shared" si="2018"/>
        <v>0</v>
      </c>
      <c r="AG1112" s="1097">
        <f t="shared" si="2018"/>
        <v>0</v>
      </c>
      <c r="AH1112" s="1097">
        <f t="shared" si="2018"/>
        <v>0</v>
      </c>
      <c r="AI1112" s="1328">
        <f t="shared" si="2018"/>
        <v>0</v>
      </c>
      <c r="AJ1112" s="54">
        <f t="shared" si="2018"/>
        <v>0</v>
      </c>
      <c r="AK1112" s="54"/>
      <c r="AL1112" s="55">
        <f>+AJ1112*AN1109</f>
        <v>0</v>
      </c>
      <c r="AM1112" s="1067">
        <f t="shared" si="1983"/>
        <v>0</v>
      </c>
      <c r="AN1112" s="31" t="s">
        <v>97</v>
      </c>
      <c r="AO1112" s="622"/>
      <c r="AP1112" s="39" t="s">
        <v>98</v>
      </c>
      <c r="AQ1112" s="56">
        <f>AQ1111-AQ1110</f>
        <v>0</v>
      </c>
      <c r="AR1112" s="70">
        <f>AR1111-AR1110</f>
        <v>0</v>
      </c>
      <c r="AS1112" s="70">
        <f>AS1111-AS1110</f>
        <v>0</v>
      </c>
      <c r="AT1112" s="70">
        <f>AT1111-AT1110</f>
        <v>0</v>
      </c>
      <c r="AU1112" s="70">
        <f>AU1111-AU1110</f>
        <v>0</v>
      </c>
      <c r="AV1112" s="57">
        <f t="shared" si="2017"/>
        <v>0</v>
      </c>
    </row>
    <row r="1113" spans="1:48" ht="25.15" hidden="1" customHeight="1">
      <c r="A1113" s="58"/>
      <c r="B1113" s="59"/>
      <c r="C1113" s="60" t="s">
        <v>100</v>
      </c>
      <c r="D1113" s="61" t="s">
        <v>101</v>
      </c>
      <c r="E1113" s="1098"/>
      <c r="F1113" s="1099"/>
      <c r="G1113" s="1208"/>
      <c r="H1113" s="1099"/>
      <c r="I1113" s="1099"/>
      <c r="J1113" s="1208"/>
      <c r="K1113" s="1208"/>
      <c r="L1113" s="1099"/>
      <c r="M1113" s="1099"/>
      <c r="N1113" s="1099"/>
      <c r="O1113" s="1099"/>
      <c r="P1113" s="1099"/>
      <c r="Q1113" s="1208"/>
      <c r="R1113" s="1208"/>
      <c r="S1113" s="1099"/>
      <c r="T1113" s="1099"/>
      <c r="U1113" s="1099"/>
      <c r="V1113" s="1099"/>
      <c r="W1113" s="1099"/>
      <c r="X1113" s="1208"/>
      <c r="Y1113" s="1208"/>
      <c r="Z1113" s="1099"/>
      <c r="AA1113" s="1099"/>
      <c r="AB1113" s="1099"/>
      <c r="AC1113" s="1099"/>
      <c r="AD1113" s="1099"/>
      <c r="AE1113" s="1208"/>
      <c r="AF1113" s="1208"/>
      <c r="AG1113" s="1099"/>
      <c r="AH1113" s="1099"/>
      <c r="AI1113" s="1330"/>
      <c r="AJ1113" s="62">
        <f>SUM(E1113:AI1113)</f>
        <v>0</v>
      </c>
      <c r="AK1113" s="62"/>
      <c r="AL1113" s="63">
        <f>+AJ1113*AN1109</f>
        <v>0</v>
      </c>
      <c r="AM1113" s="1068">
        <f t="shared" si="1983"/>
        <v>0</v>
      </c>
      <c r="AN1113" s="64" t="e">
        <f>+AJ1113/AJ1111*100</f>
        <v>#DIV/0!</v>
      </c>
      <c r="AO1113" s="635" t="e">
        <f>AO1111/AO1109</f>
        <v>#VALUE!</v>
      </c>
      <c r="AP1113" s="39" t="s">
        <v>102</v>
      </c>
      <c r="AQ1113" s="56">
        <f>SUM(E1113:I1113)</f>
        <v>0</v>
      </c>
      <c r="AR1113" s="70">
        <f>SUM(J1113:P1113)</f>
        <v>0</v>
      </c>
      <c r="AS1113" s="70">
        <f>SUM(Q1113:W1113)</f>
        <v>0</v>
      </c>
      <c r="AT1113" s="70">
        <f>SUM(X1113:AD1113)</f>
        <v>0</v>
      </c>
      <c r="AU1113" s="70">
        <f>SUM(AE1113:AI1113)</f>
        <v>0</v>
      </c>
      <c r="AV1113" s="57">
        <f t="shared" si="2017"/>
        <v>0</v>
      </c>
    </row>
    <row r="1114" spans="1:48" ht="25.15" hidden="1" customHeight="1">
      <c r="A1114" s="58" t="s">
        <v>202</v>
      </c>
      <c r="B1114" s="65"/>
      <c r="C1114" s="66"/>
      <c r="D1114" s="67" t="s">
        <v>103</v>
      </c>
      <c r="E1114" s="1100"/>
      <c r="F1114" s="1101"/>
      <c r="G1114" s="1209"/>
      <c r="H1114" s="1101"/>
      <c r="I1114" s="1101"/>
      <c r="J1114" s="1209"/>
      <c r="K1114" s="1209"/>
      <c r="L1114" s="1101"/>
      <c r="M1114" s="1101"/>
      <c r="N1114" s="1101"/>
      <c r="O1114" s="1101"/>
      <c r="P1114" s="1101"/>
      <c r="Q1114" s="1209"/>
      <c r="R1114" s="1209"/>
      <c r="S1114" s="1101"/>
      <c r="T1114" s="1101"/>
      <c r="U1114" s="1101"/>
      <c r="V1114" s="1101"/>
      <c r="W1114" s="1101"/>
      <c r="X1114" s="1209"/>
      <c r="Y1114" s="1209"/>
      <c r="Z1114" s="1101"/>
      <c r="AA1114" s="1101"/>
      <c r="AB1114" s="1101"/>
      <c r="AC1114" s="1101"/>
      <c r="AD1114" s="1101"/>
      <c r="AE1114" s="1209"/>
      <c r="AF1114" s="1209"/>
      <c r="AG1114" s="1101"/>
      <c r="AH1114" s="1101"/>
      <c r="AI1114" s="1332"/>
      <c r="AJ1114" s="68">
        <f>SUM(E1114:AI1114)</f>
        <v>0</v>
      </c>
      <c r="AK1114" s="68"/>
      <c r="AL1114" s="69">
        <f>+AJ1114*AN1109</f>
        <v>0</v>
      </c>
      <c r="AM1114" s="1069">
        <f t="shared" si="1983"/>
        <v>0</v>
      </c>
      <c r="AN1114" s="31"/>
      <c r="AO1114" s="622"/>
      <c r="AP1114" s="39" t="s">
        <v>19</v>
      </c>
      <c r="AQ1114" s="56">
        <f>AQ1113*AN1109</f>
        <v>0</v>
      </c>
      <c r="AR1114" s="56">
        <f>AR1113*AN1109</f>
        <v>0</v>
      </c>
      <c r="AS1114" s="56">
        <f>AS1113*AN1109</f>
        <v>0</v>
      </c>
      <c r="AT1114" s="56">
        <f>AT1113*AN1109</f>
        <v>0</v>
      </c>
      <c r="AU1114" s="56">
        <f>AU1113*AN1109</f>
        <v>0</v>
      </c>
      <c r="AV1114" s="57">
        <f t="shared" si="2017"/>
        <v>0</v>
      </c>
    </row>
    <row r="1115" spans="1:48" ht="25.15" hidden="1" customHeight="1">
      <c r="A1115" s="103"/>
      <c r="B1115" s="65"/>
      <c r="C1115" s="72" t="s">
        <v>104</v>
      </c>
      <c r="D1115" s="73" t="s">
        <v>105</v>
      </c>
      <c r="E1115" s="1115"/>
      <c r="F1115" s="1116"/>
      <c r="G1115" s="1215"/>
      <c r="H1115" s="1116"/>
      <c r="I1115" s="1116"/>
      <c r="J1115" s="1215"/>
      <c r="K1115" s="1210"/>
      <c r="L1115" s="1103"/>
      <c r="M1115" s="1116"/>
      <c r="N1115" s="1116"/>
      <c r="O1115" s="1116"/>
      <c r="P1115" s="1116"/>
      <c r="Q1115" s="1215"/>
      <c r="R1115" s="1215"/>
      <c r="S1115" s="1116"/>
      <c r="T1115" s="1116"/>
      <c r="U1115" s="1116"/>
      <c r="V1115" s="1116"/>
      <c r="W1115" s="1116"/>
      <c r="X1115" s="1215"/>
      <c r="Y1115" s="1215"/>
      <c r="Z1115" s="1116"/>
      <c r="AA1115" s="1116"/>
      <c r="AB1115" s="1103"/>
      <c r="AC1115" s="1116"/>
      <c r="AD1115" s="1116"/>
      <c r="AE1115" s="1215"/>
      <c r="AF1115" s="1215"/>
      <c r="AG1115" s="1116"/>
      <c r="AH1115" s="1116"/>
      <c r="AI1115" s="1352"/>
      <c r="AJ1115" s="74">
        <f>SUM(E1115:AI1115)</f>
        <v>0</v>
      </c>
      <c r="AK1115" s="74"/>
      <c r="AL1115" s="75">
        <f>+AJ1115*AN1109</f>
        <v>0</v>
      </c>
      <c r="AM1115" s="1070">
        <f t="shared" si="1983"/>
        <v>0</v>
      </c>
      <c r="AN1115" s="76"/>
      <c r="AO1115" s="636"/>
      <c r="AP1115" s="47" t="s">
        <v>106</v>
      </c>
      <c r="AQ1115" s="48">
        <f>AQ1111*AN1109</f>
        <v>0</v>
      </c>
      <c r="AR1115" s="48">
        <f>AR1111*AN1109</f>
        <v>0</v>
      </c>
      <c r="AS1115" s="48">
        <f>AS1111*AN1109</f>
        <v>0</v>
      </c>
      <c r="AT1115" s="48">
        <f>AT1111*AN1109</f>
        <v>0</v>
      </c>
      <c r="AU1115" s="48">
        <f>AU1111*AN1109</f>
        <v>0</v>
      </c>
      <c r="AV1115" s="50">
        <f t="shared" si="2017"/>
        <v>0</v>
      </c>
    </row>
    <row r="1116" spans="1:48" ht="25.15" hidden="1" customHeight="1">
      <c r="A1116" s="103"/>
      <c r="B1116" s="65"/>
      <c r="C1116" s="77">
        <v>300000</v>
      </c>
      <c r="D1116" s="78" t="s">
        <v>107</v>
      </c>
      <c r="E1116" s="1327">
        <v>1</v>
      </c>
      <c r="F1116" s="1097">
        <v>1</v>
      </c>
      <c r="G1116" s="1205">
        <v>1</v>
      </c>
      <c r="H1116" s="1097">
        <v>1</v>
      </c>
      <c r="I1116" s="1097">
        <v>1</v>
      </c>
      <c r="J1116" s="1205">
        <v>1</v>
      </c>
      <c r="K1116" s="1205">
        <v>1</v>
      </c>
      <c r="L1116" s="1097">
        <v>1</v>
      </c>
      <c r="M1116" s="1097">
        <v>1</v>
      </c>
      <c r="N1116" s="1097">
        <v>1</v>
      </c>
      <c r="O1116" s="1097">
        <v>1</v>
      </c>
      <c r="P1116" s="1097">
        <v>1</v>
      </c>
      <c r="Q1116" s="1205">
        <v>1</v>
      </c>
      <c r="R1116" s="1205">
        <v>1</v>
      </c>
      <c r="S1116" s="1097">
        <v>1</v>
      </c>
      <c r="T1116" s="1097">
        <v>1</v>
      </c>
      <c r="U1116" s="1097">
        <v>1</v>
      </c>
      <c r="V1116" s="1097">
        <v>1</v>
      </c>
      <c r="W1116" s="1097">
        <v>1</v>
      </c>
      <c r="X1116" s="1205">
        <v>1</v>
      </c>
      <c r="Y1116" s="1205">
        <v>1</v>
      </c>
      <c r="Z1116" s="1097">
        <v>1</v>
      </c>
      <c r="AA1116" s="1097">
        <v>1</v>
      </c>
      <c r="AB1116" s="1097">
        <v>1</v>
      </c>
      <c r="AC1116" s="1097">
        <v>1</v>
      </c>
      <c r="AD1116" s="1097">
        <v>1</v>
      </c>
      <c r="AE1116" s="1205">
        <v>1</v>
      </c>
      <c r="AF1116" s="1205">
        <v>1</v>
      </c>
      <c r="AG1116" s="1097">
        <v>1</v>
      </c>
      <c r="AH1116" s="1097">
        <v>1</v>
      </c>
      <c r="AI1116" s="1328">
        <v>1</v>
      </c>
      <c r="AJ1116" s="79"/>
      <c r="AK1116" s="79"/>
      <c r="AL1116" s="55"/>
      <c r="AM1116" s="1067">
        <f t="shared" si="1983"/>
        <v>0</v>
      </c>
      <c r="AN1116" s="31"/>
      <c r="AO1116" s="622"/>
      <c r="AP1116" s="23"/>
      <c r="AQ1116" s="23"/>
      <c r="AR1116" s="23"/>
      <c r="AS1116" s="23"/>
      <c r="AT1116" s="23"/>
      <c r="AU1116" s="23"/>
      <c r="AV1116" s="23"/>
    </row>
    <row r="1117" spans="1:48" ht="25.15" hidden="1" customHeight="1">
      <c r="A1117" s="103"/>
      <c r="B1117" s="65"/>
      <c r="C1117" s="80" t="s">
        <v>108</v>
      </c>
      <c r="D1117" s="81" t="s">
        <v>109</v>
      </c>
      <c r="E1117" s="1374">
        <f>SUM(E1111+E1113+E1114+E1115)/E1116</f>
        <v>0</v>
      </c>
      <c r="F1117" s="1104">
        <f>SUM(F1111+F1113+F1114+F1115)/F1116</f>
        <v>0</v>
      </c>
      <c r="G1117" s="1211">
        <f>SUM(G1111+G1113+G1114+G1115)/G1116</f>
        <v>0</v>
      </c>
      <c r="H1117" s="1104">
        <f t="shared" ref="H1117:AH1117" si="2019">SUM(H1111+H1113+H1114+H1115)/H1116</f>
        <v>0</v>
      </c>
      <c r="I1117" s="1104">
        <f t="shared" si="2019"/>
        <v>0</v>
      </c>
      <c r="J1117" s="1211">
        <f t="shared" si="2019"/>
        <v>0</v>
      </c>
      <c r="K1117" s="1211">
        <f t="shared" si="2019"/>
        <v>0</v>
      </c>
      <c r="L1117" s="1104">
        <f t="shared" si="2019"/>
        <v>0</v>
      </c>
      <c r="M1117" s="1104">
        <f t="shared" si="2019"/>
        <v>0</v>
      </c>
      <c r="N1117" s="1104">
        <f t="shared" si="2019"/>
        <v>0</v>
      </c>
      <c r="O1117" s="1104">
        <f t="shared" si="2019"/>
        <v>0</v>
      </c>
      <c r="P1117" s="1104">
        <f t="shared" si="2019"/>
        <v>0</v>
      </c>
      <c r="Q1117" s="1211">
        <f t="shared" si="2019"/>
        <v>0</v>
      </c>
      <c r="R1117" s="1211">
        <f t="shared" si="2019"/>
        <v>0</v>
      </c>
      <c r="S1117" s="1104">
        <f t="shared" si="2019"/>
        <v>0</v>
      </c>
      <c r="T1117" s="1104">
        <f t="shared" si="2019"/>
        <v>0</v>
      </c>
      <c r="U1117" s="1104">
        <f t="shared" si="2019"/>
        <v>0</v>
      </c>
      <c r="V1117" s="1104">
        <f t="shared" si="2019"/>
        <v>0</v>
      </c>
      <c r="W1117" s="1104">
        <f t="shared" si="2019"/>
        <v>0</v>
      </c>
      <c r="X1117" s="1211">
        <f t="shared" si="2019"/>
        <v>0</v>
      </c>
      <c r="Y1117" s="1211">
        <f t="shared" si="2019"/>
        <v>0</v>
      </c>
      <c r="Z1117" s="1104">
        <f t="shared" si="2019"/>
        <v>0</v>
      </c>
      <c r="AA1117" s="1104">
        <f t="shared" si="2019"/>
        <v>0</v>
      </c>
      <c r="AB1117" s="1104">
        <f t="shared" si="2019"/>
        <v>0</v>
      </c>
      <c r="AC1117" s="1104">
        <f t="shared" si="2019"/>
        <v>0</v>
      </c>
      <c r="AD1117" s="1104">
        <f t="shared" si="2019"/>
        <v>0</v>
      </c>
      <c r="AE1117" s="1211">
        <f t="shared" si="2019"/>
        <v>0</v>
      </c>
      <c r="AF1117" s="1211">
        <f t="shared" si="2019"/>
        <v>0</v>
      </c>
      <c r="AG1117" s="1104">
        <f t="shared" si="2019"/>
        <v>0</v>
      </c>
      <c r="AH1117" s="1104">
        <f t="shared" si="2019"/>
        <v>0</v>
      </c>
      <c r="AI1117" s="1335">
        <f>SUM(AI1111+AI1113+AI1114)/AI1116</f>
        <v>0</v>
      </c>
      <c r="AJ1117" s="104">
        <f>SUM(E1117:AI1117)</f>
        <v>0</v>
      </c>
      <c r="AK1117" s="104"/>
      <c r="AL1117" s="83"/>
      <c r="AM1117" s="1068">
        <f t="shared" si="1983"/>
        <v>0</v>
      </c>
      <c r="AN1117" s="31"/>
      <c r="AO1117" s="622"/>
      <c r="AP1117" s="23"/>
      <c r="AQ1117" s="23"/>
      <c r="AR1117" s="23"/>
      <c r="AS1117" s="23"/>
      <c r="AT1117" s="23"/>
      <c r="AU1117" s="23"/>
      <c r="AV1117" s="23"/>
    </row>
    <row r="1118" spans="1:48" ht="25.15" hidden="1" customHeight="1">
      <c r="A1118" s="103"/>
      <c r="B1118" s="59"/>
      <c r="C1118" s="84">
        <f>+C1116*0.8</f>
        <v>240000</v>
      </c>
      <c r="D1118" s="85" t="s">
        <v>110</v>
      </c>
      <c r="E1118" s="1105"/>
      <c r="F1118" s="1106"/>
      <c r="G1118" s="1211"/>
      <c r="H1118" s="1104"/>
      <c r="I1118" s="1104"/>
      <c r="J1118" s="1211"/>
      <c r="K1118" s="1211"/>
      <c r="L1118" s="1104"/>
      <c r="M1118" s="1104"/>
      <c r="N1118" s="1104"/>
      <c r="O1118" s="1107"/>
      <c r="P1118" s="1104"/>
      <c r="Q1118" s="1211"/>
      <c r="R1118" s="1211"/>
      <c r="S1118" s="1104"/>
      <c r="T1118" s="1104"/>
      <c r="U1118" s="1104"/>
      <c r="V1118" s="1104"/>
      <c r="W1118" s="1104"/>
      <c r="X1118" s="1211"/>
      <c r="Y1118" s="1211"/>
      <c r="Z1118" s="1104"/>
      <c r="AA1118" s="1104"/>
      <c r="AB1118" s="1104"/>
      <c r="AC1118" s="1104"/>
      <c r="AD1118" s="1104"/>
      <c r="AE1118" s="1211"/>
      <c r="AF1118" s="1211"/>
      <c r="AG1118" s="1104"/>
      <c r="AH1118" s="1104"/>
      <c r="AI1118" s="1353"/>
      <c r="AJ1118" s="86"/>
      <c r="AK1118" s="86"/>
      <c r="AL1118" s="690"/>
      <c r="AM1118" s="694">
        <f t="shared" si="1983"/>
        <v>0</v>
      </c>
      <c r="AN1118" s="31"/>
      <c r="AO1118" s="622"/>
      <c r="AP1118" s="23"/>
      <c r="AQ1118" s="23"/>
      <c r="AR1118" s="23"/>
      <c r="AS1118" s="23"/>
      <c r="AT1118" s="23"/>
      <c r="AU1118" s="23"/>
      <c r="AV1118" s="23"/>
    </row>
    <row r="1119" spans="1:48" ht="25.15" hidden="1" customHeight="1">
      <c r="A1119" s="103"/>
      <c r="B1119" s="105"/>
      <c r="C1119" s="77"/>
      <c r="D1119" s="88" t="s">
        <v>111</v>
      </c>
      <c r="E1119" s="1108">
        <f>IF(E1118="O/H",E1117,0+E1117)</f>
        <v>0</v>
      </c>
      <c r="F1119" s="1089">
        <f t="shared" ref="F1119:AI1119" si="2020">IF(F1118="O/H",F1117,+E1119+F1117)</f>
        <v>0</v>
      </c>
      <c r="G1119" s="44">
        <f t="shared" si="2020"/>
        <v>0</v>
      </c>
      <c r="H1119" s="1089">
        <f t="shared" si="2020"/>
        <v>0</v>
      </c>
      <c r="I1119" s="1089">
        <f t="shared" si="2020"/>
        <v>0</v>
      </c>
      <c r="J1119" s="44">
        <f t="shared" si="2020"/>
        <v>0</v>
      </c>
      <c r="K1119" s="44">
        <f t="shared" si="2020"/>
        <v>0</v>
      </c>
      <c r="L1119" s="1089">
        <f t="shared" si="2020"/>
        <v>0</v>
      </c>
      <c r="M1119" s="1089">
        <f t="shared" si="2020"/>
        <v>0</v>
      </c>
      <c r="N1119" s="1089">
        <f t="shared" si="2020"/>
        <v>0</v>
      </c>
      <c r="O1119" s="1089">
        <f t="shared" si="2020"/>
        <v>0</v>
      </c>
      <c r="P1119" s="1089">
        <f t="shared" si="2020"/>
        <v>0</v>
      </c>
      <c r="Q1119" s="44">
        <f t="shared" si="2020"/>
        <v>0</v>
      </c>
      <c r="R1119" s="44">
        <f t="shared" si="2020"/>
        <v>0</v>
      </c>
      <c r="S1119" s="1089">
        <f t="shared" si="2020"/>
        <v>0</v>
      </c>
      <c r="T1119" s="1089">
        <f t="shared" si="2020"/>
        <v>0</v>
      </c>
      <c r="U1119" s="1089">
        <f t="shared" si="2020"/>
        <v>0</v>
      </c>
      <c r="V1119" s="1089">
        <f t="shared" si="2020"/>
        <v>0</v>
      </c>
      <c r="W1119" s="1089">
        <f t="shared" si="2020"/>
        <v>0</v>
      </c>
      <c r="X1119" s="44">
        <f t="shared" si="2020"/>
        <v>0</v>
      </c>
      <c r="Y1119" s="44">
        <f t="shared" si="2020"/>
        <v>0</v>
      </c>
      <c r="Z1119" s="1089">
        <f t="shared" si="2020"/>
        <v>0</v>
      </c>
      <c r="AA1119" s="1089">
        <f t="shared" si="2020"/>
        <v>0</v>
      </c>
      <c r="AB1119" s="1089">
        <f t="shared" si="2020"/>
        <v>0</v>
      </c>
      <c r="AC1119" s="1089">
        <f t="shared" si="2020"/>
        <v>0</v>
      </c>
      <c r="AD1119" s="1089">
        <f t="shared" si="2020"/>
        <v>0</v>
      </c>
      <c r="AE1119" s="44">
        <f t="shared" si="2020"/>
        <v>0</v>
      </c>
      <c r="AF1119" s="44">
        <f t="shared" si="2020"/>
        <v>0</v>
      </c>
      <c r="AG1119" s="1089">
        <f t="shared" si="2020"/>
        <v>0</v>
      </c>
      <c r="AH1119" s="1089">
        <f t="shared" si="2020"/>
        <v>0</v>
      </c>
      <c r="AI1119" s="1326">
        <f t="shared" si="2020"/>
        <v>0</v>
      </c>
      <c r="AJ1119" s="79"/>
      <c r="AK1119" s="86"/>
      <c r="AL1119" s="689"/>
      <c r="AM1119" s="694">
        <f t="shared" si="1983"/>
        <v>0</v>
      </c>
      <c r="AN1119" s="31"/>
      <c r="AO1119" s="622"/>
      <c r="AP1119" s="23"/>
      <c r="AQ1119" s="23"/>
      <c r="AR1119" s="23"/>
      <c r="AS1119" s="23"/>
      <c r="AT1119" s="23"/>
      <c r="AU1119" s="23"/>
      <c r="AV1119" s="23"/>
    </row>
    <row r="1120" spans="1:48" s="23" customFormat="1" ht="20.65" hidden="1" customHeight="1">
      <c r="A1120" s="274"/>
      <c r="B1120" s="312"/>
      <c r="C1120" s="308"/>
      <c r="D1120" s="795" t="s">
        <v>112</v>
      </c>
      <c r="E1120" s="1108" t="b">
        <f>IF(AND(ISNUMBER(E1111)),151431+E1117)</f>
        <v>0</v>
      </c>
      <c r="F1120" s="1089" t="str">
        <f>IF(AND(ISNUMBER(F1111)),E1120+F1117,"")</f>
        <v/>
      </c>
      <c r="G1120" s="44" t="str">
        <f t="shared" ref="G1120" si="2021">IF(AND(ISNUMBER(G1111)),F1120+G1117,"")</f>
        <v/>
      </c>
      <c r="H1120" s="1089" t="str">
        <f t="shared" ref="H1120" si="2022">IF(AND(ISNUMBER(H1111)),G1120+H1117,"")</f>
        <v/>
      </c>
      <c r="I1120" s="1089" t="str">
        <f>IF(AND(ISNUMBER(I1111)),H1120+I1117,"")</f>
        <v/>
      </c>
      <c r="J1120" s="44" t="str">
        <f>IF(AND(ISNUMBER(J1111)),I1120+J1117,"")</f>
        <v/>
      </c>
      <c r="K1120" s="44" t="str">
        <f>IF(AND(ISNUMBER(K1111)),J1120+K1117,"")</f>
        <v/>
      </c>
      <c r="L1120" s="1089" t="str">
        <f t="shared" ref="L1120" si="2023">IF(AND(ISNUMBER(L1111)),K1120+L1117,"")</f>
        <v/>
      </c>
      <c r="M1120" s="1089" t="str">
        <f t="shared" ref="M1120" si="2024">IF(AND(ISNUMBER(M1111)),L1120+M1117,"")</f>
        <v/>
      </c>
      <c r="N1120" s="1089" t="str">
        <f t="shared" ref="N1120" si="2025">IF(AND(ISNUMBER(N1111)),M1120+N1117,"")</f>
        <v/>
      </c>
      <c r="O1120" s="1089" t="str">
        <f t="shared" ref="O1120" si="2026">IF(AND(ISNUMBER(O1111)),N1120+O1117,"")</f>
        <v/>
      </c>
      <c r="P1120" s="1089" t="str">
        <f t="shared" ref="P1120" si="2027">IF(AND(ISNUMBER(P1111)),O1120+P1117,"")</f>
        <v/>
      </c>
      <c r="Q1120" s="44" t="str">
        <f t="shared" ref="Q1120" si="2028">IF(AND(ISNUMBER(Q1111)),P1120+Q1117,"")</f>
        <v/>
      </c>
      <c r="R1120" s="44" t="str">
        <f t="shared" ref="R1120" si="2029">IF(AND(ISNUMBER(R1111)),Q1120+R1117,"")</f>
        <v/>
      </c>
      <c r="S1120" s="1089" t="str">
        <f t="shared" ref="S1120" si="2030">IF(AND(ISNUMBER(S1111)),R1120+S1117,"")</f>
        <v/>
      </c>
      <c r="T1120" s="1089" t="str">
        <f t="shared" ref="T1120" si="2031">IF(AND(ISNUMBER(T1111)),S1120+T1117,"")</f>
        <v/>
      </c>
      <c r="U1120" s="1089" t="str">
        <f t="shared" ref="U1120" si="2032">IF(AND(ISNUMBER(U1111)),T1120+U1117,"")</f>
        <v/>
      </c>
      <c r="V1120" s="1089" t="str">
        <f t="shared" ref="V1120" si="2033">IF(AND(ISNUMBER(V1111)),U1120+V1117,"")</f>
        <v/>
      </c>
      <c r="W1120" s="1089" t="str">
        <f t="shared" ref="W1120" si="2034">IF(AND(ISNUMBER(W1111)),V1120+W1117,"")</f>
        <v/>
      </c>
      <c r="X1120" s="44" t="str">
        <f t="shared" ref="X1120" si="2035">IF(AND(ISNUMBER(X1111)),W1120+X1117,"")</f>
        <v/>
      </c>
      <c r="Y1120" s="44" t="str">
        <f t="shared" ref="Y1120" si="2036">IF(AND(ISNUMBER(Y1111)),X1120+Y1117,"")</f>
        <v/>
      </c>
      <c r="Z1120" s="1089" t="str">
        <f t="shared" ref="Z1120" si="2037">IF(AND(ISNUMBER(Z1111)),Y1120+Z1117,"")</f>
        <v/>
      </c>
      <c r="AA1120" s="1089" t="str">
        <f t="shared" ref="AA1120" si="2038">IF(AND(ISNUMBER(AA1111)),Z1120+AA1117,"")</f>
        <v/>
      </c>
      <c r="AB1120" s="1089" t="str">
        <f t="shared" ref="AB1120" si="2039">IF(AND(ISNUMBER(AB1111)),AA1120+AB1117,"")</f>
        <v/>
      </c>
      <c r="AC1120" s="1089" t="str">
        <f t="shared" ref="AC1120" si="2040">IF(AND(ISNUMBER(AC1111)),AB1120+AC1117,"")</f>
        <v/>
      </c>
      <c r="AD1120" s="1089" t="str">
        <f t="shared" ref="AD1120" si="2041">IF(AND(ISNUMBER(AD1111)),AC1120+AD1117,"")</f>
        <v/>
      </c>
      <c r="AE1120" s="44" t="str">
        <f t="shared" ref="AE1120" si="2042">IF(AND(ISNUMBER(AE1111)),AD1120+AE1117,"")</f>
        <v/>
      </c>
      <c r="AF1120" s="44" t="str">
        <f t="shared" ref="AF1120" si="2043">IF(AND(ISNUMBER(AF1111)),AE1120+AF1117,"")</f>
        <v/>
      </c>
      <c r="AG1120" s="1089" t="str">
        <f t="shared" ref="AG1120" si="2044">IF(AND(ISNUMBER(AG1111)),AF1120+AG1117,"")</f>
        <v/>
      </c>
      <c r="AH1120" s="1089" t="str">
        <f t="shared" ref="AH1120" si="2045">IF(AND(ISNUMBER(AH1111)),AG1120+AH1117,"")</f>
        <v/>
      </c>
      <c r="AI1120" s="1089" t="str">
        <f t="shared" ref="AI1120" si="2046">IF(AND(ISNUMBER(AI1111)),AH1120+AI1117,"")</f>
        <v/>
      </c>
      <c r="AJ1120" s="793"/>
      <c r="AK1120" s="793"/>
      <c r="AL1120" s="909"/>
      <c r="AM1120" s="890">
        <f t="shared" si="1983"/>
        <v>0</v>
      </c>
      <c r="AN1120" s="76"/>
      <c r="AO1120" s="624"/>
      <c r="AP1120" s="285"/>
      <c r="AQ1120" s="285"/>
      <c r="AR1120" s="285"/>
      <c r="AS1120" s="285"/>
      <c r="AT1120" s="286"/>
      <c r="AU1120" s="285"/>
      <c r="AV1120" s="287"/>
    </row>
    <row r="1121" spans="1:48" ht="25.15" hidden="1" customHeight="1">
      <c r="A1121" s="103"/>
      <c r="B1121" s="89"/>
      <c r="C1121" s="80"/>
      <c r="D1121" s="90" t="s">
        <v>104</v>
      </c>
      <c r="E1121" s="1108"/>
      <c r="F1121" s="1089"/>
      <c r="G1121" s="44"/>
      <c r="H1121" s="1089"/>
      <c r="I1121" s="1089"/>
      <c r="J1121" s="44"/>
      <c r="K1121" s="44"/>
      <c r="L1121" s="1089"/>
      <c r="M1121" s="1089"/>
      <c r="N1121" s="1089"/>
      <c r="O1121" s="1089"/>
      <c r="P1121" s="1089"/>
      <c r="Q1121" s="44"/>
      <c r="R1121" s="44"/>
      <c r="S1121" s="1089"/>
      <c r="T1121" s="1089"/>
      <c r="U1121" s="1089"/>
      <c r="V1121" s="1089"/>
      <c r="W1121" s="1089"/>
      <c r="X1121" s="44"/>
      <c r="Y1121" s="44"/>
      <c r="Z1121" s="1089"/>
      <c r="AA1121" s="1089"/>
      <c r="AB1121" s="1089"/>
      <c r="AC1121" s="1089"/>
      <c r="AD1121" s="1089"/>
      <c r="AE1121" s="44"/>
      <c r="AF1121" s="44"/>
      <c r="AG1121" s="1089"/>
      <c r="AH1121" s="1089"/>
      <c r="AI1121" s="1326"/>
      <c r="AJ1121" s="79"/>
      <c r="AK1121" s="79"/>
      <c r="AL1121" s="63"/>
      <c r="AM1121" s="1068">
        <f t="shared" si="1983"/>
        <v>0</v>
      </c>
      <c r="AN1121" s="64"/>
      <c r="AO1121" s="624"/>
      <c r="AP1121" s="23"/>
      <c r="AQ1121" s="23"/>
      <c r="AR1121" s="23"/>
      <c r="AS1121" s="23"/>
      <c r="AT1121" s="23"/>
      <c r="AU1121" s="23"/>
      <c r="AV1121" s="23"/>
    </row>
    <row r="1122" spans="1:48" ht="25.15" hidden="1" customHeight="1" thickBot="1">
      <c r="A1122" s="106"/>
      <c r="B1122" s="93"/>
      <c r="C1122" s="94"/>
      <c r="D1122" s="95" t="s">
        <v>111</v>
      </c>
      <c r="E1122" s="1109">
        <f>IF(E1121="O/H",E1117,55890+E1117)</f>
        <v>55890</v>
      </c>
      <c r="F1122" s="1110">
        <f t="shared" ref="F1122:AI1122" si="2047">IF(F1121="O/H",F1117,+E1122+F1117)</f>
        <v>55890</v>
      </c>
      <c r="G1122" s="1212">
        <f t="shared" si="2047"/>
        <v>55890</v>
      </c>
      <c r="H1122" s="1110">
        <f t="shared" si="2047"/>
        <v>55890</v>
      </c>
      <c r="I1122" s="1110">
        <f t="shared" si="2047"/>
        <v>55890</v>
      </c>
      <c r="J1122" s="1212">
        <f t="shared" si="2047"/>
        <v>55890</v>
      </c>
      <c r="K1122" s="1212">
        <f t="shared" si="2047"/>
        <v>55890</v>
      </c>
      <c r="L1122" s="1110">
        <f t="shared" si="2047"/>
        <v>55890</v>
      </c>
      <c r="M1122" s="1110">
        <f t="shared" si="2047"/>
        <v>55890</v>
      </c>
      <c r="N1122" s="1110">
        <f t="shared" si="2047"/>
        <v>55890</v>
      </c>
      <c r="O1122" s="1110">
        <f t="shared" si="2047"/>
        <v>55890</v>
      </c>
      <c r="P1122" s="1110">
        <f t="shared" si="2047"/>
        <v>55890</v>
      </c>
      <c r="Q1122" s="1212">
        <f t="shared" si="2047"/>
        <v>55890</v>
      </c>
      <c r="R1122" s="1212">
        <f t="shared" si="2047"/>
        <v>55890</v>
      </c>
      <c r="S1122" s="1110">
        <f t="shared" si="2047"/>
        <v>55890</v>
      </c>
      <c r="T1122" s="1110">
        <f t="shared" si="2047"/>
        <v>55890</v>
      </c>
      <c r="U1122" s="1110">
        <f t="shared" si="2047"/>
        <v>55890</v>
      </c>
      <c r="V1122" s="1110">
        <f t="shared" si="2047"/>
        <v>55890</v>
      </c>
      <c r="W1122" s="1110">
        <f t="shared" si="2047"/>
        <v>55890</v>
      </c>
      <c r="X1122" s="1212">
        <f t="shared" si="2047"/>
        <v>55890</v>
      </c>
      <c r="Y1122" s="1212">
        <f t="shared" si="2047"/>
        <v>55890</v>
      </c>
      <c r="Z1122" s="1110">
        <f t="shared" si="2047"/>
        <v>55890</v>
      </c>
      <c r="AA1122" s="1110">
        <f t="shared" si="2047"/>
        <v>55890</v>
      </c>
      <c r="AB1122" s="1110">
        <f t="shared" si="2047"/>
        <v>55890</v>
      </c>
      <c r="AC1122" s="1110">
        <f t="shared" si="2047"/>
        <v>55890</v>
      </c>
      <c r="AD1122" s="1110">
        <f t="shared" si="2047"/>
        <v>55890</v>
      </c>
      <c r="AE1122" s="1212">
        <f t="shared" si="2047"/>
        <v>55890</v>
      </c>
      <c r="AF1122" s="1212">
        <f t="shared" si="2047"/>
        <v>55890</v>
      </c>
      <c r="AG1122" s="1110">
        <f t="shared" si="2047"/>
        <v>55890</v>
      </c>
      <c r="AH1122" s="1110">
        <f t="shared" si="2047"/>
        <v>55890</v>
      </c>
      <c r="AI1122" s="1340">
        <f t="shared" si="2047"/>
        <v>55890</v>
      </c>
      <c r="AJ1122" s="96"/>
      <c r="AK1122" s="96"/>
      <c r="AL1122" s="97"/>
      <c r="AM1122" s="1071">
        <f t="shared" si="1983"/>
        <v>0</v>
      </c>
      <c r="AN1122" s="98"/>
      <c r="AO1122" s="625"/>
      <c r="AP1122" s="23"/>
      <c r="AQ1122" s="23"/>
      <c r="AR1122" s="23"/>
      <c r="AS1122" s="23"/>
      <c r="AT1122" s="23"/>
      <c r="AU1122" s="23"/>
      <c r="AV1122" s="23"/>
    </row>
    <row r="1123" spans="1:48" ht="25.15" hidden="1" customHeight="1" thickTop="1">
      <c r="A1123" s="99"/>
      <c r="B1123" s="26" t="s">
        <v>158</v>
      </c>
      <c r="C1123" s="27"/>
      <c r="D1123" s="28" t="s">
        <v>82</v>
      </c>
      <c r="E1123" s="1111"/>
      <c r="F1123" s="1111"/>
      <c r="G1123" s="1201"/>
      <c r="H1123" s="1111"/>
      <c r="I1123" s="1111"/>
      <c r="J1123" s="1201"/>
      <c r="K1123" s="1201"/>
      <c r="L1123" s="1111"/>
      <c r="M1123" s="1111"/>
      <c r="N1123" s="1111"/>
      <c r="O1123" s="1111"/>
      <c r="P1123" s="1111"/>
      <c r="Q1123" s="1201"/>
      <c r="R1123" s="1201"/>
      <c r="S1123" s="1111"/>
      <c r="T1123" s="1111"/>
      <c r="U1123" s="1111"/>
      <c r="V1123" s="1111"/>
      <c r="W1123" s="1111"/>
      <c r="X1123" s="1201"/>
      <c r="Y1123" s="1201"/>
      <c r="Z1123" s="1111"/>
      <c r="AA1123" s="1111"/>
      <c r="AB1123" s="1111"/>
      <c r="AC1123" s="1111"/>
      <c r="AD1123" s="1111"/>
      <c r="AE1123" s="1201"/>
      <c r="AF1123" s="1201"/>
      <c r="AG1123" s="1111"/>
      <c r="AH1123" s="1111"/>
      <c r="AI1123" s="1111"/>
      <c r="AJ1123" s="100">
        <f>SUM(Table75[[#This Row],[June''2026]:[Column27]])</f>
        <v>0</v>
      </c>
      <c r="AK1123" s="100">
        <f t="shared" si="1982"/>
        <v>0</v>
      </c>
      <c r="AL1123" s="101">
        <f>+AJ1123*AN1123</f>
        <v>0</v>
      </c>
      <c r="AM1123" s="1072">
        <f t="shared" si="1983"/>
        <v>0</v>
      </c>
      <c r="AN1123" s="102"/>
      <c r="AO1123" s="622" t="e">
        <f>Table5[[#This Row],[Total]]*B1127/1000</f>
        <v>#VALUE!</v>
      </c>
      <c r="AP1123" s="32" t="s">
        <v>193</v>
      </c>
      <c r="AQ1123" s="33" t="s">
        <v>84</v>
      </c>
      <c r="AR1123" s="33" t="s">
        <v>85</v>
      </c>
      <c r="AS1123" s="33" t="s">
        <v>86</v>
      </c>
      <c r="AT1123" s="33" t="s">
        <v>87</v>
      </c>
      <c r="AU1123" s="33" t="s">
        <v>88</v>
      </c>
      <c r="AV1123" s="34" t="s">
        <v>68</v>
      </c>
    </row>
    <row r="1124" spans="1:48" ht="25.15" hidden="1" customHeight="1">
      <c r="A1124" s="103"/>
      <c r="B1124" s="35" t="s">
        <v>159</v>
      </c>
      <c r="C1124" s="36"/>
      <c r="D1124" s="37" t="s">
        <v>90</v>
      </c>
      <c r="E1124" s="1373">
        <f>IF(E1123="",0,+ E1123/E1130)</f>
        <v>0</v>
      </c>
      <c r="F1124" s="1096">
        <f t="shared" ref="F1124:AI1124" si="2048">IF(F1123="",0, E1124+F1123/F1130)</f>
        <v>0</v>
      </c>
      <c r="G1124" s="1207">
        <f t="shared" si="2048"/>
        <v>0</v>
      </c>
      <c r="H1124" s="1096">
        <f t="shared" si="2048"/>
        <v>0</v>
      </c>
      <c r="I1124" s="1096">
        <f t="shared" si="2048"/>
        <v>0</v>
      </c>
      <c r="J1124" s="1207">
        <f t="shared" si="2048"/>
        <v>0</v>
      </c>
      <c r="K1124" s="1207">
        <f t="shared" si="2048"/>
        <v>0</v>
      </c>
      <c r="L1124" s="1096">
        <f t="shared" si="2048"/>
        <v>0</v>
      </c>
      <c r="M1124" s="1096">
        <f t="shared" si="2048"/>
        <v>0</v>
      </c>
      <c r="N1124" s="1096">
        <f t="shared" si="2048"/>
        <v>0</v>
      </c>
      <c r="O1124" s="1096">
        <f t="shared" si="2048"/>
        <v>0</v>
      </c>
      <c r="P1124" s="1096">
        <f t="shared" si="2048"/>
        <v>0</v>
      </c>
      <c r="Q1124" s="1207">
        <f t="shared" si="2048"/>
        <v>0</v>
      </c>
      <c r="R1124" s="1207">
        <f t="shared" si="2048"/>
        <v>0</v>
      </c>
      <c r="S1124" s="1096">
        <f t="shared" si="2048"/>
        <v>0</v>
      </c>
      <c r="T1124" s="1096">
        <f t="shared" si="2048"/>
        <v>0</v>
      </c>
      <c r="U1124" s="1096">
        <f t="shared" si="2048"/>
        <v>0</v>
      </c>
      <c r="V1124" s="1096">
        <f t="shared" si="2048"/>
        <v>0</v>
      </c>
      <c r="W1124" s="1096">
        <f t="shared" si="2048"/>
        <v>0</v>
      </c>
      <c r="X1124" s="1207">
        <f t="shared" si="2048"/>
        <v>0</v>
      </c>
      <c r="Y1124" s="1207">
        <f t="shared" si="2048"/>
        <v>0</v>
      </c>
      <c r="Z1124" s="1096">
        <f t="shared" si="2048"/>
        <v>0</v>
      </c>
      <c r="AA1124" s="1096">
        <f t="shared" si="2048"/>
        <v>0</v>
      </c>
      <c r="AB1124" s="1096">
        <f t="shared" si="2048"/>
        <v>0</v>
      </c>
      <c r="AC1124" s="1096">
        <f t="shared" si="2048"/>
        <v>0</v>
      </c>
      <c r="AD1124" s="1096">
        <f t="shared" si="2048"/>
        <v>0</v>
      </c>
      <c r="AE1124" s="1207">
        <f t="shared" si="2048"/>
        <v>0</v>
      </c>
      <c r="AF1124" s="1207">
        <f t="shared" si="2048"/>
        <v>0</v>
      </c>
      <c r="AG1124" s="1096">
        <f t="shared" si="2048"/>
        <v>0</v>
      </c>
      <c r="AH1124" s="1096">
        <f t="shared" si="2048"/>
        <v>0</v>
      </c>
      <c r="AI1124" s="1324">
        <f t="shared" si="2048"/>
        <v>0</v>
      </c>
      <c r="AJ1124" s="38"/>
      <c r="AK1124" s="29"/>
      <c r="AL1124" s="30"/>
      <c r="AM1124" s="694">
        <f t="shared" si="1983"/>
        <v>0</v>
      </c>
      <c r="AN1124" s="31"/>
      <c r="AO1124" s="630"/>
      <c r="AP1124" s="39" t="s">
        <v>91</v>
      </c>
      <c r="AQ1124" s="40">
        <f>SUM(E1123:I1123)</f>
        <v>0</v>
      </c>
      <c r="AR1124" s="41">
        <f>SUM(J1123:P1123)</f>
        <v>0</v>
      </c>
      <c r="AS1124" s="41">
        <f>SUM(Q1123:W1123)</f>
        <v>0</v>
      </c>
      <c r="AT1124" s="41">
        <f>SUM(X1123:AD1123)</f>
        <v>0</v>
      </c>
      <c r="AU1124" s="41">
        <f>SUM(AE1123:AI1123)</f>
        <v>0</v>
      </c>
      <c r="AV1124" s="34">
        <f t="shared" ref="AV1124:AV1129" si="2049">SUM(AQ1124:AU1124)</f>
        <v>0</v>
      </c>
    </row>
    <row r="1125" spans="1:48" ht="25.15" hidden="1" customHeight="1">
      <c r="A1125" s="103"/>
      <c r="B1125" s="26" t="s">
        <v>92</v>
      </c>
      <c r="C1125" s="42"/>
      <c r="D1125" s="43" t="s">
        <v>93</v>
      </c>
      <c r="E1125" s="1325"/>
      <c r="F1125" s="1089"/>
      <c r="G1125" s="44"/>
      <c r="H1125" s="1089"/>
      <c r="I1125" s="1089"/>
      <c r="J1125" s="44"/>
      <c r="K1125" s="44"/>
      <c r="L1125" s="1089"/>
      <c r="M1125" s="1089"/>
      <c r="N1125" s="1089"/>
      <c r="O1125" s="1089"/>
      <c r="P1125" s="1089"/>
      <c r="Q1125" s="44"/>
      <c r="R1125" s="44"/>
      <c r="S1125" s="1089"/>
      <c r="T1125" s="1089"/>
      <c r="U1125" s="1089"/>
      <c r="V1125" s="1089"/>
      <c r="W1125" s="1089"/>
      <c r="X1125" s="44"/>
      <c r="Y1125" s="44"/>
      <c r="Z1125" s="1089"/>
      <c r="AA1125" s="1089"/>
      <c r="AB1125" s="1089"/>
      <c r="AC1125" s="1089"/>
      <c r="AD1125" s="1089"/>
      <c r="AE1125" s="44"/>
      <c r="AF1125" s="44"/>
      <c r="AG1125" s="1089"/>
      <c r="AH1125" s="1089"/>
      <c r="AI1125" s="1326"/>
      <c r="AJ1125" s="45">
        <f>SUM(E1125:AI1125)</f>
        <v>0</v>
      </c>
      <c r="AK1125" s="45"/>
      <c r="AL1125" s="46">
        <f>+AJ1125*AN1123</f>
        <v>0</v>
      </c>
      <c r="AM1125" s="1066">
        <f t="shared" si="1983"/>
        <v>0</v>
      </c>
      <c r="AN1125" s="31"/>
      <c r="AO1125" s="632">
        <f>(AJ1125+AJ1127+AJ1128+AJ1129)*B1127/1000</f>
        <v>0</v>
      </c>
      <c r="AP1125" s="47" t="s">
        <v>94</v>
      </c>
      <c r="AQ1125" s="48">
        <f>SUM(E1125:I1125)</f>
        <v>0</v>
      </c>
      <c r="AR1125" s="49">
        <f>SUM(J1125:P1125)</f>
        <v>0</v>
      </c>
      <c r="AS1125" s="49">
        <f>SUM(Q1125:W1125)</f>
        <v>0</v>
      </c>
      <c r="AT1125" s="49">
        <f>SUM(X1125:AD1125)</f>
        <v>0</v>
      </c>
      <c r="AU1125" s="49">
        <f>SUM(AE1125:AI1125)</f>
        <v>0</v>
      </c>
      <c r="AV1125" s="50">
        <f t="shared" si="2049"/>
        <v>0</v>
      </c>
    </row>
    <row r="1126" spans="1:48" ht="25.15" hidden="1" customHeight="1">
      <c r="A1126" s="103"/>
      <c r="B1126" s="51"/>
      <c r="C1126" s="52" t="s">
        <v>95</v>
      </c>
      <c r="D1126" s="53" t="s">
        <v>96</v>
      </c>
      <c r="E1126" s="1327">
        <f t="shared" ref="E1126:AJ1126" si="2050">+E1125-E1123</f>
        <v>0</v>
      </c>
      <c r="F1126" s="1097">
        <f t="shared" si="2050"/>
        <v>0</v>
      </c>
      <c r="G1126" s="1205">
        <f t="shared" si="2050"/>
        <v>0</v>
      </c>
      <c r="H1126" s="1097">
        <f t="shared" si="2050"/>
        <v>0</v>
      </c>
      <c r="I1126" s="1097">
        <f t="shared" si="2050"/>
        <v>0</v>
      </c>
      <c r="J1126" s="1205">
        <f t="shared" si="2050"/>
        <v>0</v>
      </c>
      <c r="K1126" s="1205">
        <f t="shared" si="2050"/>
        <v>0</v>
      </c>
      <c r="L1126" s="1097">
        <f t="shared" si="2050"/>
        <v>0</v>
      </c>
      <c r="M1126" s="1097">
        <f t="shared" si="2050"/>
        <v>0</v>
      </c>
      <c r="N1126" s="1097">
        <f t="shared" si="2050"/>
        <v>0</v>
      </c>
      <c r="O1126" s="1097">
        <f t="shared" si="2050"/>
        <v>0</v>
      </c>
      <c r="P1126" s="1097">
        <f t="shared" si="2050"/>
        <v>0</v>
      </c>
      <c r="Q1126" s="1205">
        <f t="shared" si="2050"/>
        <v>0</v>
      </c>
      <c r="R1126" s="1205">
        <f t="shared" si="2050"/>
        <v>0</v>
      </c>
      <c r="S1126" s="1097">
        <f t="shared" si="2050"/>
        <v>0</v>
      </c>
      <c r="T1126" s="1097">
        <f t="shared" si="2050"/>
        <v>0</v>
      </c>
      <c r="U1126" s="1097">
        <f t="shared" si="2050"/>
        <v>0</v>
      </c>
      <c r="V1126" s="1097">
        <f t="shared" si="2050"/>
        <v>0</v>
      </c>
      <c r="W1126" s="1097">
        <f t="shared" si="2050"/>
        <v>0</v>
      </c>
      <c r="X1126" s="1205">
        <f t="shared" si="2050"/>
        <v>0</v>
      </c>
      <c r="Y1126" s="1205">
        <f t="shared" si="2050"/>
        <v>0</v>
      </c>
      <c r="Z1126" s="1097">
        <f t="shared" si="2050"/>
        <v>0</v>
      </c>
      <c r="AA1126" s="1097">
        <f t="shared" si="2050"/>
        <v>0</v>
      </c>
      <c r="AB1126" s="1097">
        <f t="shared" si="2050"/>
        <v>0</v>
      </c>
      <c r="AC1126" s="1097">
        <f t="shared" si="2050"/>
        <v>0</v>
      </c>
      <c r="AD1126" s="1097">
        <f t="shared" si="2050"/>
        <v>0</v>
      </c>
      <c r="AE1126" s="1205">
        <f t="shared" si="2050"/>
        <v>0</v>
      </c>
      <c r="AF1126" s="1205">
        <f t="shared" si="2050"/>
        <v>0</v>
      </c>
      <c r="AG1126" s="1097">
        <f t="shared" si="2050"/>
        <v>0</v>
      </c>
      <c r="AH1126" s="1097">
        <f t="shared" si="2050"/>
        <v>0</v>
      </c>
      <c r="AI1126" s="1328">
        <f t="shared" si="2050"/>
        <v>0</v>
      </c>
      <c r="AJ1126" s="54">
        <f t="shared" si="2050"/>
        <v>0</v>
      </c>
      <c r="AK1126" s="54"/>
      <c r="AL1126" s="55">
        <f>+AJ1126*AN1123</f>
        <v>0</v>
      </c>
      <c r="AM1126" s="1067">
        <f t="shared" si="1983"/>
        <v>0</v>
      </c>
      <c r="AN1126" s="31" t="s">
        <v>97</v>
      </c>
      <c r="AO1126" s="622"/>
      <c r="AP1126" s="39" t="s">
        <v>98</v>
      </c>
      <c r="AQ1126" s="56">
        <f>AQ1125-AQ1124</f>
        <v>0</v>
      </c>
      <c r="AR1126" s="70">
        <f>AR1125-AR1124</f>
        <v>0</v>
      </c>
      <c r="AS1126" s="70">
        <f>AS1125-AS1124</f>
        <v>0</v>
      </c>
      <c r="AT1126" s="70">
        <f>AT1125-AT1124</f>
        <v>0</v>
      </c>
      <c r="AU1126" s="70">
        <f>AU1125-AU1124</f>
        <v>0</v>
      </c>
      <c r="AV1126" s="57">
        <f t="shared" si="2049"/>
        <v>0</v>
      </c>
    </row>
    <row r="1127" spans="1:48" ht="25.15" hidden="1" customHeight="1">
      <c r="A1127" s="58"/>
      <c r="B1127" s="59"/>
      <c r="C1127" s="60" t="s">
        <v>100</v>
      </c>
      <c r="D1127" s="61" t="s">
        <v>101</v>
      </c>
      <c r="E1127" s="1329"/>
      <c r="F1127" s="1099"/>
      <c r="G1127" s="1208"/>
      <c r="H1127" s="1099"/>
      <c r="I1127" s="1099"/>
      <c r="J1127" s="1208"/>
      <c r="K1127" s="1208"/>
      <c r="L1127" s="1099"/>
      <c r="M1127" s="1099"/>
      <c r="N1127" s="1099"/>
      <c r="O1127" s="1099"/>
      <c r="P1127" s="1099"/>
      <c r="Q1127" s="1208"/>
      <c r="R1127" s="1208"/>
      <c r="S1127" s="1099"/>
      <c r="T1127" s="1099"/>
      <c r="U1127" s="1099"/>
      <c r="V1127" s="1099"/>
      <c r="W1127" s="1099"/>
      <c r="X1127" s="1208"/>
      <c r="Y1127" s="1208"/>
      <c r="Z1127" s="1099"/>
      <c r="AA1127" s="1099"/>
      <c r="AB1127" s="1099"/>
      <c r="AC1127" s="1099"/>
      <c r="AD1127" s="1099"/>
      <c r="AE1127" s="1208"/>
      <c r="AF1127" s="1208"/>
      <c r="AG1127" s="1099"/>
      <c r="AH1127" s="1099"/>
      <c r="AI1127" s="1330"/>
      <c r="AJ1127" s="62">
        <f>SUM(E1127:AI1127)</f>
        <v>0</v>
      </c>
      <c r="AK1127" s="62"/>
      <c r="AL1127" s="63">
        <f>+AJ1127*AN1123</f>
        <v>0</v>
      </c>
      <c r="AM1127" s="1068">
        <f t="shared" si="1983"/>
        <v>0</v>
      </c>
      <c r="AN1127" s="64" t="e">
        <f>+AJ1127/AJ1125*100</f>
        <v>#DIV/0!</v>
      </c>
      <c r="AO1127" s="635" t="e">
        <f>AO1125/AO1123</f>
        <v>#VALUE!</v>
      </c>
      <c r="AP1127" s="39" t="s">
        <v>102</v>
      </c>
      <c r="AQ1127" s="56">
        <f>SUM(E1127:I1127)</f>
        <v>0</v>
      </c>
      <c r="AR1127" s="70">
        <f>SUM(J1127:P1127)</f>
        <v>0</v>
      </c>
      <c r="AS1127" s="70">
        <f>SUM(Q1127:W1127)</f>
        <v>0</v>
      </c>
      <c r="AT1127" s="70">
        <f>SUM(X1127:AD1127)</f>
        <v>0</v>
      </c>
      <c r="AU1127" s="70">
        <f>SUM(AE1127:AI1127)</f>
        <v>0</v>
      </c>
      <c r="AV1127" s="57">
        <f t="shared" si="2049"/>
        <v>0</v>
      </c>
    </row>
    <row r="1128" spans="1:48" ht="25.15" hidden="1" customHeight="1">
      <c r="A1128" s="58" t="s">
        <v>202</v>
      </c>
      <c r="B1128" s="65"/>
      <c r="C1128" s="66"/>
      <c r="D1128" s="67" t="s">
        <v>103</v>
      </c>
      <c r="E1128" s="1331"/>
      <c r="F1128" s="1101"/>
      <c r="G1128" s="1209"/>
      <c r="H1128" s="1101"/>
      <c r="I1128" s="1101"/>
      <c r="J1128" s="1209"/>
      <c r="K1128" s="1209"/>
      <c r="L1128" s="1101"/>
      <c r="M1128" s="1101"/>
      <c r="N1128" s="1101"/>
      <c r="O1128" s="1101"/>
      <c r="P1128" s="1101"/>
      <c r="Q1128" s="1209"/>
      <c r="R1128" s="1209"/>
      <c r="S1128" s="1101"/>
      <c r="T1128" s="1101"/>
      <c r="U1128" s="1101"/>
      <c r="V1128" s="1101"/>
      <c r="W1128" s="1101"/>
      <c r="X1128" s="1209"/>
      <c r="Y1128" s="1209"/>
      <c r="Z1128" s="1101"/>
      <c r="AA1128" s="1101"/>
      <c r="AB1128" s="1101"/>
      <c r="AC1128" s="1101"/>
      <c r="AD1128" s="1101"/>
      <c r="AE1128" s="1209"/>
      <c r="AF1128" s="1209"/>
      <c r="AG1128" s="1101"/>
      <c r="AH1128" s="1101"/>
      <c r="AI1128" s="1332"/>
      <c r="AJ1128" s="68">
        <f>SUM(E1128:AI1128)</f>
        <v>0</v>
      </c>
      <c r="AK1128" s="68"/>
      <c r="AL1128" s="69">
        <f>+AJ1128*AN1123</f>
        <v>0</v>
      </c>
      <c r="AM1128" s="1069">
        <f t="shared" si="1983"/>
        <v>0</v>
      </c>
      <c r="AN1128" s="31"/>
      <c r="AO1128" s="622"/>
      <c r="AP1128" s="39" t="s">
        <v>19</v>
      </c>
      <c r="AQ1128" s="56">
        <f>AQ1127*AN1123</f>
        <v>0</v>
      </c>
      <c r="AR1128" s="56">
        <f>AR1127*AN1123</f>
        <v>0</v>
      </c>
      <c r="AS1128" s="56">
        <f>AS1127*AN1123</f>
        <v>0</v>
      </c>
      <c r="AT1128" s="56">
        <f>AT1127*AN1123</f>
        <v>0</v>
      </c>
      <c r="AU1128" s="56">
        <f>AU1127*AN1123</f>
        <v>0</v>
      </c>
      <c r="AV1128" s="57">
        <f t="shared" si="2049"/>
        <v>0</v>
      </c>
    </row>
    <row r="1129" spans="1:48" ht="25.15" hidden="1" customHeight="1">
      <c r="A1129" s="103"/>
      <c r="B1129" s="65"/>
      <c r="C1129" s="72" t="s">
        <v>104</v>
      </c>
      <c r="D1129" s="73" t="s">
        <v>105</v>
      </c>
      <c r="E1129" s="1378"/>
      <c r="F1129" s="1103"/>
      <c r="G1129" s="1210"/>
      <c r="H1129" s="1103"/>
      <c r="I1129" s="1103"/>
      <c r="J1129" s="1210"/>
      <c r="K1129" s="1210"/>
      <c r="L1129" s="1103"/>
      <c r="M1129" s="1103"/>
      <c r="N1129" s="1103"/>
      <c r="O1129" s="1103"/>
      <c r="P1129" s="1103"/>
      <c r="Q1129" s="1210"/>
      <c r="R1129" s="1210"/>
      <c r="S1129" s="1103"/>
      <c r="T1129" s="1103"/>
      <c r="U1129" s="1103"/>
      <c r="V1129" s="1103"/>
      <c r="W1129" s="1103"/>
      <c r="X1129" s="1210"/>
      <c r="Y1129" s="1210"/>
      <c r="Z1129" s="1103"/>
      <c r="AA1129" s="1103"/>
      <c r="AB1129" s="1103"/>
      <c r="AC1129" s="1103"/>
      <c r="AD1129" s="1103"/>
      <c r="AE1129" s="1210"/>
      <c r="AF1129" s="1210"/>
      <c r="AG1129" s="1103"/>
      <c r="AH1129" s="1103"/>
      <c r="AI1129" s="1352"/>
      <c r="AJ1129" s="74">
        <f>SUM(E1129:AI1129)</f>
        <v>0</v>
      </c>
      <c r="AK1129" s="74"/>
      <c r="AL1129" s="75">
        <f>+AJ1129*AN1123</f>
        <v>0</v>
      </c>
      <c r="AM1129" s="1070">
        <f t="shared" si="1983"/>
        <v>0</v>
      </c>
      <c r="AN1129" s="76"/>
      <c r="AO1129" s="636"/>
      <c r="AP1129" s="47" t="s">
        <v>106</v>
      </c>
      <c r="AQ1129" s="48">
        <f>AQ1125*AN1123</f>
        <v>0</v>
      </c>
      <c r="AR1129" s="48">
        <f>AR1125*AN1123</f>
        <v>0</v>
      </c>
      <c r="AS1129" s="48">
        <f>AS1125*AN1123</f>
        <v>0</v>
      </c>
      <c r="AT1129" s="48">
        <f>AT1125*AN1123</f>
        <v>0</v>
      </c>
      <c r="AU1129" s="48">
        <f>AU1125*AN1123</f>
        <v>0</v>
      </c>
      <c r="AV1129" s="50">
        <f t="shared" si="2049"/>
        <v>0</v>
      </c>
    </row>
    <row r="1130" spans="1:48" ht="25.15" hidden="1" customHeight="1">
      <c r="A1130" s="103"/>
      <c r="B1130" s="65"/>
      <c r="C1130" s="77">
        <v>300000</v>
      </c>
      <c r="D1130" s="78" t="s">
        <v>107</v>
      </c>
      <c r="E1130" s="1327">
        <v>1</v>
      </c>
      <c r="F1130" s="1097">
        <v>1</v>
      </c>
      <c r="G1130" s="1205">
        <v>1</v>
      </c>
      <c r="H1130" s="1097">
        <v>1</v>
      </c>
      <c r="I1130" s="1097">
        <v>1</v>
      </c>
      <c r="J1130" s="1205">
        <v>1</v>
      </c>
      <c r="K1130" s="1205">
        <v>1</v>
      </c>
      <c r="L1130" s="1097">
        <v>1</v>
      </c>
      <c r="M1130" s="1097">
        <v>1</v>
      </c>
      <c r="N1130" s="1097">
        <v>1</v>
      </c>
      <c r="O1130" s="1097">
        <v>1</v>
      </c>
      <c r="P1130" s="1097">
        <v>1</v>
      </c>
      <c r="Q1130" s="1205">
        <v>1</v>
      </c>
      <c r="R1130" s="1205">
        <v>1</v>
      </c>
      <c r="S1130" s="1097">
        <v>1</v>
      </c>
      <c r="T1130" s="1097">
        <v>1</v>
      </c>
      <c r="U1130" s="1097">
        <v>1</v>
      </c>
      <c r="V1130" s="1097">
        <v>1</v>
      </c>
      <c r="W1130" s="1097">
        <v>1</v>
      </c>
      <c r="X1130" s="1205">
        <v>1</v>
      </c>
      <c r="Y1130" s="1205">
        <v>1</v>
      </c>
      <c r="Z1130" s="1097">
        <v>1</v>
      </c>
      <c r="AA1130" s="1097">
        <v>1</v>
      </c>
      <c r="AB1130" s="1097">
        <v>1</v>
      </c>
      <c r="AC1130" s="1097">
        <v>1</v>
      </c>
      <c r="AD1130" s="1097">
        <v>1</v>
      </c>
      <c r="AE1130" s="1205">
        <v>1</v>
      </c>
      <c r="AF1130" s="1205">
        <v>1</v>
      </c>
      <c r="AG1130" s="1097">
        <v>1</v>
      </c>
      <c r="AH1130" s="1097">
        <v>1</v>
      </c>
      <c r="AI1130" s="1328">
        <v>1</v>
      </c>
      <c r="AJ1130" s="79"/>
      <c r="AK1130" s="79"/>
      <c r="AL1130" s="55"/>
      <c r="AM1130" s="1067">
        <f t="shared" si="1983"/>
        <v>0</v>
      </c>
      <c r="AN1130" s="31"/>
      <c r="AO1130" s="622"/>
      <c r="AP1130" s="23"/>
      <c r="AQ1130" s="23"/>
      <c r="AR1130" s="23"/>
      <c r="AS1130" s="23"/>
      <c r="AT1130" s="23"/>
      <c r="AU1130" s="23"/>
      <c r="AV1130" s="23"/>
    </row>
    <row r="1131" spans="1:48" ht="25.15" hidden="1" customHeight="1">
      <c r="A1131" s="103"/>
      <c r="B1131" s="65"/>
      <c r="C1131" s="80" t="s">
        <v>108</v>
      </c>
      <c r="D1131" s="81" t="s">
        <v>109</v>
      </c>
      <c r="E1131" s="1374">
        <f>SUM(E1125+E1127+E1128+E1129)/E1130</f>
        <v>0</v>
      </c>
      <c r="F1131" s="1104">
        <f>SUM(F1125+F1127+F1128+F1129)/F1130</f>
        <v>0</v>
      </c>
      <c r="G1131" s="1211">
        <f>SUM(G1125+G1127+G1128+G1129)/G1130</f>
        <v>0</v>
      </c>
      <c r="H1131" s="1104">
        <f t="shared" ref="H1131:AH1131" si="2051">SUM(H1125+H1127+H1128+H1129)/H1130</f>
        <v>0</v>
      </c>
      <c r="I1131" s="1104">
        <f t="shared" si="2051"/>
        <v>0</v>
      </c>
      <c r="J1131" s="1211">
        <f t="shared" si="2051"/>
        <v>0</v>
      </c>
      <c r="K1131" s="1211">
        <f t="shared" si="2051"/>
        <v>0</v>
      </c>
      <c r="L1131" s="1104">
        <f t="shared" si="2051"/>
        <v>0</v>
      </c>
      <c r="M1131" s="1104">
        <f t="shared" si="2051"/>
        <v>0</v>
      </c>
      <c r="N1131" s="1104">
        <f t="shared" si="2051"/>
        <v>0</v>
      </c>
      <c r="O1131" s="1104">
        <f t="shared" si="2051"/>
        <v>0</v>
      </c>
      <c r="P1131" s="1104">
        <f t="shared" si="2051"/>
        <v>0</v>
      </c>
      <c r="Q1131" s="1211">
        <f t="shared" si="2051"/>
        <v>0</v>
      </c>
      <c r="R1131" s="1211">
        <f t="shared" si="2051"/>
        <v>0</v>
      </c>
      <c r="S1131" s="1104">
        <f t="shared" si="2051"/>
        <v>0</v>
      </c>
      <c r="T1131" s="1104">
        <f t="shared" si="2051"/>
        <v>0</v>
      </c>
      <c r="U1131" s="1104">
        <f t="shared" si="2051"/>
        <v>0</v>
      </c>
      <c r="V1131" s="1104">
        <f t="shared" si="2051"/>
        <v>0</v>
      </c>
      <c r="W1131" s="1104">
        <f t="shared" si="2051"/>
        <v>0</v>
      </c>
      <c r="X1131" s="1211">
        <f t="shared" si="2051"/>
        <v>0</v>
      </c>
      <c r="Y1131" s="1211">
        <f t="shared" si="2051"/>
        <v>0</v>
      </c>
      <c r="Z1131" s="1104">
        <f t="shared" si="2051"/>
        <v>0</v>
      </c>
      <c r="AA1131" s="1104">
        <f t="shared" si="2051"/>
        <v>0</v>
      </c>
      <c r="AB1131" s="1104">
        <f t="shared" si="2051"/>
        <v>0</v>
      </c>
      <c r="AC1131" s="1104">
        <f t="shared" si="2051"/>
        <v>0</v>
      </c>
      <c r="AD1131" s="1104">
        <f t="shared" si="2051"/>
        <v>0</v>
      </c>
      <c r="AE1131" s="1211">
        <f t="shared" si="2051"/>
        <v>0</v>
      </c>
      <c r="AF1131" s="1211">
        <f t="shared" si="2051"/>
        <v>0</v>
      </c>
      <c r="AG1131" s="1104">
        <f t="shared" si="2051"/>
        <v>0</v>
      </c>
      <c r="AH1131" s="1104">
        <f t="shared" si="2051"/>
        <v>0</v>
      </c>
      <c r="AI1131" s="1335">
        <f>SUM(AI1125+AI1127+AI1128)/AI1130</f>
        <v>0</v>
      </c>
      <c r="AJ1131" s="104">
        <f>SUM(E1131:AI1131)</f>
        <v>0</v>
      </c>
      <c r="AK1131" s="104"/>
      <c r="AL1131" s="83"/>
      <c r="AM1131" s="1068">
        <f t="shared" si="1983"/>
        <v>0</v>
      </c>
      <c r="AN1131" s="31"/>
      <c r="AO1131" s="622"/>
      <c r="AP1131" s="23"/>
      <c r="AQ1131" s="23"/>
      <c r="AR1131" s="23"/>
      <c r="AS1131" s="23"/>
      <c r="AT1131" s="23"/>
      <c r="AU1131" s="23"/>
      <c r="AV1131" s="23"/>
    </row>
    <row r="1132" spans="1:48" ht="25.15" hidden="1" customHeight="1">
      <c r="A1132" s="103"/>
      <c r="B1132" s="59"/>
      <c r="C1132" s="84">
        <f>+C1130*0.8</f>
        <v>240000</v>
      </c>
      <c r="D1132" s="85" t="s">
        <v>110</v>
      </c>
      <c r="E1132" s="1105"/>
      <c r="F1132" s="1106"/>
      <c r="G1132" s="1211"/>
      <c r="H1132" s="1104"/>
      <c r="I1132" s="1104"/>
      <c r="J1132" s="1211"/>
      <c r="K1132" s="1211"/>
      <c r="L1132" s="1104"/>
      <c r="M1132" s="1104"/>
      <c r="N1132" s="1104"/>
      <c r="O1132" s="1107"/>
      <c r="P1132" s="1104"/>
      <c r="Q1132" s="1211"/>
      <c r="R1132" s="1211"/>
      <c r="S1132" s="1104"/>
      <c r="T1132" s="1104"/>
      <c r="U1132" s="1104"/>
      <c r="V1132" s="1104"/>
      <c r="W1132" s="1104"/>
      <c r="X1132" s="1211"/>
      <c r="Y1132" s="1211"/>
      <c r="Z1132" s="1104"/>
      <c r="AA1132" s="1104"/>
      <c r="AB1132" s="1104"/>
      <c r="AC1132" s="1104"/>
      <c r="AD1132" s="1104"/>
      <c r="AE1132" s="1211"/>
      <c r="AF1132" s="1211"/>
      <c r="AG1132" s="1104"/>
      <c r="AH1132" s="1104"/>
      <c r="AI1132" s="1353"/>
      <c r="AJ1132" s="86"/>
      <c r="AK1132" s="86"/>
      <c r="AL1132" s="690"/>
      <c r="AM1132" s="694">
        <f t="shared" si="1983"/>
        <v>0</v>
      </c>
      <c r="AN1132" s="31"/>
      <c r="AO1132" s="622"/>
      <c r="AP1132" s="23"/>
      <c r="AQ1132" s="23"/>
      <c r="AR1132" s="23"/>
      <c r="AS1132" s="23"/>
      <c r="AT1132" s="23"/>
      <c r="AU1132" s="23"/>
      <c r="AV1132" s="23"/>
    </row>
    <row r="1133" spans="1:48" ht="25.15" hidden="1" customHeight="1">
      <c r="A1133" s="103"/>
      <c r="B1133" s="105"/>
      <c r="C1133" s="77"/>
      <c r="D1133" s="88" t="s">
        <v>111</v>
      </c>
      <c r="E1133" s="1108">
        <f>IF(E1132="O/H",E1131,0+E1131)</f>
        <v>0</v>
      </c>
      <c r="F1133" s="1089">
        <f t="shared" ref="F1133:AI1133" si="2052">IF(F1132="O/H",F1131,+E1133+F1131)</f>
        <v>0</v>
      </c>
      <c r="G1133" s="44">
        <f t="shared" si="2052"/>
        <v>0</v>
      </c>
      <c r="H1133" s="1089">
        <f t="shared" si="2052"/>
        <v>0</v>
      </c>
      <c r="I1133" s="1089">
        <f t="shared" si="2052"/>
        <v>0</v>
      </c>
      <c r="J1133" s="44">
        <f t="shared" si="2052"/>
        <v>0</v>
      </c>
      <c r="K1133" s="44">
        <f t="shared" si="2052"/>
        <v>0</v>
      </c>
      <c r="L1133" s="1089">
        <f t="shared" si="2052"/>
        <v>0</v>
      </c>
      <c r="M1133" s="1089">
        <f t="shared" si="2052"/>
        <v>0</v>
      </c>
      <c r="N1133" s="1089">
        <f t="shared" si="2052"/>
        <v>0</v>
      </c>
      <c r="O1133" s="1089">
        <f t="shared" si="2052"/>
        <v>0</v>
      </c>
      <c r="P1133" s="1089">
        <f t="shared" si="2052"/>
        <v>0</v>
      </c>
      <c r="Q1133" s="44">
        <f t="shared" si="2052"/>
        <v>0</v>
      </c>
      <c r="R1133" s="44">
        <f t="shared" si="2052"/>
        <v>0</v>
      </c>
      <c r="S1133" s="1089">
        <f t="shared" si="2052"/>
        <v>0</v>
      </c>
      <c r="T1133" s="1089">
        <f t="shared" si="2052"/>
        <v>0</v>
      </c>
      <c r="U1133" s="1089">
        <f t="shared" si="2052"/>
        <v>0</v>
      </c>
      <c r="V1133" s="1089">
        <f t="shared" si="2052"/>
        <v>0</v>
      </c>
      <c r="W1133" s="1089">
        <f t="shared" si="2052"/>
        <v>0</v>
      </c>
      <c r="X1133" s="44">
        <f t="shared" si="2052"/>
        <v>0</v>
      </c>
      <c r="Y1133" s="44">
        <f t="shared" si="2052"/>
        <v>0</v>
      </c>
      <c r="Z1133" s="1089">
        <f t="shared" si="2052"/>
        <v>0</v>
      </c>
      <c r="AA1133" s="1089">
        <f t="shared" si="2052"/>
        <v>0</v>
      </c>
      <c r="AB1133" s="1089">
        <f t="shared" si="2052"/>
        <v>0</v>
      </c>
      <c r="AC1133" s="1089">
        <f t="shared" si="2052"/>
        <v>0</v>
      </c>
      <c r="AD1133" s="1089">
        <f t="shared" si="2052"/>
        <v>0</v>
      </c>
      <c r="AE1133" s="44">
        <f t="shared" si="2052"/>
        <v>0</v>
      </c>
      <c r="AF1133" s="44">
        <f t="shared" si="2052"/>
        <v>0</v>
      </c>
      <c r="AG1133" s="1089">
        <f t="shared" si="2052"/>
        <v>0</v>
      </c>
      <c r="AH1133" s="1089">
        <f t="shared" si="2052"/>
        <v>0</v>
      </c>
      <c r="AI1133" s="1326">
        <f t="shared" si="2052"/>
        <v>0</v>
      </c>
      <c r="AJ1133" s="79"/>
      <c r="AK1133" s="86"/>
      <c r="AL1133" s="689"/>
      <c r="AM1133" s="694">
        <f t="shared" si="1983"/>
        <v>0</v>
      </c>
      <c r="AN1133" s="31"/>
      <c r="AO1133" s="622"/>
      <c r="AP1133" s="23"/>
      <c r="AQ1133" s="23"/>
      <c r="AR1133" s="23"/>
      <c r="AS1133" s="23"/>
      <c r="AT1133" s="23"/>
      <c r="AU1133" s="23"/>
      <c r="AV1133" s="23"/>
    </row>
    <row r="1134" spans="1:48" s="23" customFormat="1" ht="20.65" hidden="1" customHeight="1">
      <c r="A1134" s="274"/>
      <c r="B1134" s="312"/>
      <c r="C1134" s="308"/>
      <c r="D1134" s="795" t="s">
        <v>112</v>
      </c>
      <c r="E1134" s="1108" t="b">
        <f>IF(AND(ISNUMBER(E1125)),151431+E1131)</f>
        <v>0</v>
      </c>
      <c r="F1134" s="1089" t="str">
        <f>IF(AND(ISNUMBER(F1125)),E1134+F1131,"")</f>
        <v/>
      </c>
      <c r="G1134" s="44" t="str">
        <f t="shared" ref="G1134" si="2053">IF(AND(ISNUMBER(G1125)),F1134+G1131,"")</f>
        <v/>
      </c>
      <c r="H1134" s="1089" t="str">
        <f t="shared" ref="H1134" si="2054">IF(AND(ISNUMBER(H1125)),G1134+H1131,"")</f>
        <v/>
      </c>
      <c r="I1134" s="1089" t="str">
        <f>IF(AND(ISNUMBER(I1125)),H1134+I1131,"")</f>
        <v/>
      </c>
      <c r="J1134" s="44" t="str">
        <f>IF(AND(ISNUMBER(J1125)),I1134+J1131,"")</f>
        <v/>
      </c>
      <c r="K1134" s="44" t="str">
        <f>IF(AND(ISNUMBER(K1125)),J1134+K1131,"")</f>
        <v/>
      </c>
      <c r="L1134" s="1089" t="str">
        <f t="shared" ref="L1134" si="2055">IF(AND(ISNUMBER(L1125)),K1134+L1131,"")</f>
        <v/>
      </c>
      <c r="M1134" s="1089" t="str">
        <f t="shared" ref="M1134" si="2056">IF(AND(ISNUMBER(M1125)),L1134+M1131,"")</f>
        <v/>
      </c>
      <c r="N1134" s="1089" t="str">
        <f t="shared" ref="N1134" si="2057">IF(AND(ISNUMBER(N1125)),M1134+N1131,"")</f>
        <v/>
      </c>
      <c r="O1134" s="1089" t="str">
        <f t="shared" ref="O1134" si="2058">IF(AND(ISNUMBER(O1125)),N1134+O1131,"")</f>
        <v/>
      </c>
      <c r="P1134" s="1089" t="str">
        <f t="shared" ref="P1134" si="2059">IF(AND(ISNUMBER(P1125)),O1134+P1131,"")</f>
        <v/>
      </c>
      <c r="Q1134" s="44" t="str">
        <f t="shared" ref="Q1134" si="2060">IF(AND(ISNUMBER(Q1125)),P1134+Q1131,"")</f>
        <v/>
      </c>
      <c r="R1134" s="44" t="str">
        <f t="shared" ref="R1134" si="2061">IF(AND(ISNUMBER(R1125)),Q1134+R1131,"")</f>
        <v/>
      </c>
      <c r="S1134" s="1089" t="str">
        <f t="shared" ref="S1134" si="2062">IF(AND(ISNUMBER(S1125)),R1134+S1131,"")</f>
        <v/>
      </c>
      <c r="T1134" s="1089" t="str">
        <f t="shared" ref="T1134" si="2063">IF(AND(ISNUMBER(T1125)),S1134+T1131,"")</f>
        <v/>
      </c>
      <c r="U1134" s="1089" t="str">
        <f t="shared" ref="U1134" si="2064">IF(AND(ISNUMBER(U1125)),T1134+U1131,"")</f>
        <v/>
      </c>
      <c r="V1134" s="1089" t="str">
        <f t="shared" ref="V1134" si="2065">IF(AND(ISNUMBER(V1125)),U1134+V1131,"")</f>
        <v/>
      </c>
      <c r="W1134" s="1089" t="str">
        <f t="shared" ref="W1134" si="2066">IF(AND(ISNUMBER(W1125)),V1134+W1131,"")</f>
        <v/>
      </c>
      <c r="X1134" s="44" t="str">
        <f t="shared" ref="X1134" si="2067">IF(AND(ISNUMBER(X1125)),W1134+X1131,"")</f>
        <v/>
      </c>
      <c r="Y1134" s="44" t="str">
        <f t="shared" ref="Y1134" si="2068">IF(AND(ISNUMBER(Y1125)),X1134+Y1131,"")</f>
        <v/>
      </c>
      <c r="Z1134" s="1089" t="str">
        <f t="shared" ref="Z1134" si="2069">IF(AND(ISNUMBER(Z1125)),Y1134+Z1131,"")</f>
        <v/>
      </c>
      <c r="AA1134" s="1089" t="str">
        <f t="shared" ref="AA1134" si="2070">IF(AND(ISNUMBER(AA1125)),Z1134+AA1131,"")</f>
        <v/>
      </c>
      <c r="AB1134" s="1089" t="str">
        <f t="shared" ref="AB1134" si="2071">IF(AND(ISNUMBER(AB1125)),AA1134+AB1131,"")</f>
        <v/>
      </c>
      <c r="AC1134" s="1089" t="str">
        <f t="shared" ref="AC1134" si="2072">IF(AND(ISNUMBER(AC1125)),AB1134+AC1131,"")</f>
        <v/>
      </c>
      <c r="AD1134" s="1089" t="str">
        <f t="shared" ref="AD1134" si="2073">IF(AND(ISNUMBER(AD1125)),AC1134+AD1131,"")</f>
        <v/>
      </c>
      <c r="AE1134" s="44" t="str">
        <f t="shared" ref="AE1134" si="2074">IF(AND(ISNUMBER(AE1125)),AD1134+AE1131,"")</f>
        <v/>
      </c>
      <c r="AF1134" s="44" t="str">
        <f t="shared" ref="AF1134" si="2075">IF(AND(ISNUMBER(AF1125)),AE1134+AF1131,"")</f>
        <v/>
      </c>
      <c r="AG1134" s="1089" t="str">
        <f t="shared" ref="AG1134" si="2076">IF(AND(ISNUMBER(AG1125)),AF1134+AG1131,"")</f>
        <v/>
      </c>
      <c r="AH1134" s="1089" t="str">
        <f t="shared" ref="AH1134" si="2077">IF(AND(ISNUMBER(AH1125)),AG1134+AH1131,"")</f>
        <v/>
      </c>
      <c r="AI1134" s="1089" t="str">
        <f t="shared" ref="AI1134" si="2078">IF(AND(ISNUMBER(AI1125)),AH1134+AI1131,"")</f>
        <v/>
      </c>
      <c r="AJ1134" s="793"/>
      <c r="AK1134" s="793"/>
      <c r="AL1134" s="909"/>
      <c r="AM1134" s="890">
        <f t="shared" si="1983"/>
        <v>0</v>
      </c>
      <c r="AN1134" s="76"/>
      <c r="AO1134" s="624"/>
      <c r="AP1134" s="285"/>
      <c r="AQ1134" s="285"/>
      <c r="AR1134" s="285"/>
      <c r="AS1134" s="285"/>
      <c r="AT1134" s="286"/>
      <c r="AU1134" s="285"/>
      <c r="AV1134" s="287"/>
    </row>
    <row r="1135" spans="1:48" ht="25.15" hidden="1" customHeight="1">
      <c r="A1135" s="103"/>
      <c r="B1135" s="89"/>
      <c r="C1135" s="80"/>
      <c r="D1135" s="90" t="s">
        <v>104</v>
      </c>
      <c r="E1135" s="1108"/>
      <c r="F1135" s="1089"/>
      <c r="G1135" s="44"/>
      <c r="H1135" s="1089"/>
      <c r="I1135" s="1089"/>
      <c r="J1135" s="44"/>
      <c r="K1135" s="44"/>
      <c r="L1135" s="1089"/>
      <c r="M1135" s="1089"/>
      <c r="N1135" s="1089"/>
      <c r="O1135" s="1089"/>
      <c r="P1135" s="1089"/>
      <c r="Q1135" s="44"/>
      <c r="R1135" s="44"/>
      <c r="S1135" s="1089"/>
      <c r="T1135" s="1089"/>
      <c r="U1135" s="1089"/>
      <c r="V1135" s="1089"/>
      <c r="W1135" s="1089"/>
      <c r="X1135" s="44"/>
      <c r="Y1135" s="44"/>
      <c r="Z1135" s="1089"/>
      <c r="AA1135" s="1089"/>
      <c r="AB1135" s="1089"/>
      <c r="AC1135" s="1089"/>
      <c r="AD1135" s="1089"/>
      <c r="AE1135" s="44"/>
      <c r="AF1135" s="44"/>
      <c r="AG1135" s="1089"/>
      <c r="AH1135" s="1089"/>
      <c r="AI1135" s="1326"/>
      <c r="AJ1135" s="79"/>
      <c r="AK1135" s="79"/>
      <c r="AL1135" s="63"/>
      <c r="AM1135" s="1068">
        <f t="shared" si="1983"/>
        <v>0</v>
      </c>
      <c r="AN1135" s="64"/>
      <c r="AO1135" s="624"/>
      <c r="AP1135" s="23"/>
      <c r="AQ1135" s="23"/>
      <c r="AR1135" s="23"/>
      <c r="AS1135" s="23"/>
      <c r="AT1135" s="23"/>
      <c r="AU1135" s="23"/>
      <c r="AV1135" s="23"/>
    </row>
    <row r="1136" spans="1:48" ht="25.15" hidden="1" customHeight="1" thickBot="1">
      <c r="A1136" s="106"/>
      <c r="B1136" s="93"/>
      <c r="C1136" s="94"/>
      <c r="D1136" s="95" t="s">
        <v>111</v>
      </c>
      <c r="E1136" s="1109">
        <f>IF(E1135="O/H",E1131,55890+E1131)</f>
        <v>55890</v>
      </c>
      <c r="F1136" s="1110">
        <f t="shared" ref="F1136:AI1136" si="2079">IF(F1135="O/H",F1131,+E1136+F1131)</f>
        <v>55890</v>
      </c>
      <c r="G1136" s="1212">
        <f t="shared" si="2079"/>
        <v>55890</v>
      </c>
      <c r="H1136" s="1110">
        <f t="shared" si="2079"/>
        <v>55890</v>
      </c>
      <c r="I1136" s="1110">
        <f t="shared" si="2079"/>
        <v>55890</v>
      </c>
      <c r="J1136" s="1212">
        <f t="shared" si="2079"/>
        <v>55890</v>
      </c>
      <c r="K1136" s="1212">
        <f t="shared" si="2079"/>
        <v>55890</v>
      </c>
      <c r="L1136" s="1110">
        <f t="shared" si="2079"/>
        <v>55890</v>
      </c>
      <c r="M1136" s="1110">
        <f t="shared" si="2079"/>
        <v>55890</v>
      </c>
      <c r="N1136" s="1110">
        <f t="shared" si="2079"/>
        <v>55890</v>
      </c>
      <c r="O1136" s="1110">
        <f t="shared" si="2079"/>
        <v>55890</v>
      </c>
      <c r="P1136" s="1110">
        <f t="shared" si="2079"/>
        <v>55890</v>
      </c>
      <c r="Q1136" s="1212">
        <f t="shared" si="2079"/>
        <v>55890</v>
      </c>
      <c r="R1136" s="1212">
        <f t="shared" si="2079"/>
        <v>55890</v>
      </c>
      <c r="S1136" s="1110">
        <f t="shared" si="2079"/>
        <v>55890</v>
      </c>
      <c r="T1136" s="1110">
        <f t="shared" si="2079"/>
        <v>55890</v>
      </c>
      <c r="U1136" s="1110">
        <f t="shared" si="2079"/>
        <v>55890</v>
      </c>
      <c r="V1136" s="1110">
        <f t="shared" si="2079"/>
        <v>55890</v>
      </c>
      <c r="W1136" s="1110">
        <f t="shared" si="2079"/>
        <v>55890</v>
      </c>
      <c r="X1136" s="1212">
        <f t="shared" si="2079"/>
        <v>55890</v>
      </c>
      <c r="Y1136" s="1212">
        <f t="shared" si="2079"/>
        <v>55890</v>
      </c>
      <c r="Z1136" s="1110">
        <f t="shared" si="2079"/>
        <v>55890</v>
      </c>
      <c r="AA1136" s="1110">
        <f t="shared" si="2079"/>
        <v>55890</v>
      </c>
      <c r="AB1136" s="1110">
        <f t="shared" si="2079"/>
        <v>55890</v>
      </c>
      <c r="AC1136" s="1110">
        <f t="shared" si="2079"/>
        <v>55890</v>
      </c>
      <c r="AD1136" s="1110">
        <f t="shared" si="2079"/>
        <v>55890</v>
      </c>
      <c r="AE1136" s="1212">
        <f t="shared" si="2079"/>
        <v>55890</v>
      </c>
      <c r="AF1136" s="1212">
        <f t="shared" si="2079"/>
        <v>55890</v>
      </c>
      <c r="AG1136" s="1110">
        <f t="shared" si="2079"/>
        <v>55890</v>
      </c>
      <c r="AH1136" s="1110">
        <f t="shared" si="2079"/>
        <v>55890</v>
      </c>
      <c r="AI1136" s="1340">
        <f t="shared" si="2079"/>
        <v>55890</v>
      </c>
      <c r="AJ1136" s="96"/>
      <c r="AK1136" s="96"/>
      <c r="AL1136" s="97"/>
      <c r="AM1136" s="1071">
        <f t="shared" si="1983"/>
        <v>0</v>
      </c>
      <c r="AN1136" s="98"/>
      <c r="AO1136" s="625"/>
      <c r="AP1136" s="23"/>
      <c r="AQ1136" s="23"/>
      <c r="AR1136" s="23"/>
      <c r="AS1136" s="23"/>
      <c r="AT1136" s="23"/>
      <c r="AU1136" s="23"/>
      <c r="AV1136" s="23"/>
    </row>
    <row r="1137" spans="1:48" ht="25.15" hidden="1" customHeight="1" thickTop="1">
      <c r="A1137" s="99"/>
      <c r="B1137" s="26" t="s">
        <v>160</v>
      </c>
      <c r="C1137" s="27"/>
      <c r="D1137" s="28" t="s">
        <v>82</v>
      </c>
      <c r="E1137" s="1111"/>
      <c r="F1137" s="1111"/>
      <c r="G1137" s="1201"/>
      <c r="H1137" s="1111"/>
      <c r="I1137" s="1111"/>
      <c r="J1137" s="1201"/>
      <c r="K1137" s="1201"/>
      <c r="L1137" s="1111"/>
      <c r="M1137" s="1111"/>
      <c r="N1137" s="1111"/>
      <c r="O1137" s="1111"/>
      <c r="P1137" s="1111"/>
      <c r="Q1137" s="1201"/>
      <c r="R1137" s="1201"/>
      <c r="S1137" s="1111"/>
      <c r="T1137" s="1111"/>
      <c r="U1137" s="1111"/>
      <c r="V1137" s="1111"/>
      <c r="W1137" s="1111"/>
      <c r="X1137" s="1201"/>
      <c r="Y1137" s="1201"/>
      <c r="Z1137" s="1111"/>
      <c r="AA1137" s="1111"/>
      <c r="AB1137" s="1111"/>
      <c r="AC1137" s="1111"/>
      <c r="AD1137" s="1111"/>
      <c r="AE1137" s="1201"/>
      <c r="AF1137" s="1201"/>
      <c r="AG1137" s="1111"/>
      <c r="AH1137" s="1111"/>
      <c r="AI1137" s="1111"/>
      <c r="AJ1137" s="100">
        <f>SUM(Table75[[#This Row],[June''2026]:[Column27]])</f>
        <v>0</v>
      </c>
      <c r="AK1137" s="100">
        <f t="shared" si="1982"/>
        <v>0</v>
      </c>
      <c r="AL1137" s="101">
        <f>+AJ1137*AN1137</f>
        <v>0</v>
      </c>
      <c r="AM1137" s="1072">
        <f t="shared" si="1983"/>
        <v>0</v>
      </c>
      <c r="AN1137" s="102"/>
      <c r="AO1137" s="622" t="e">
        <f>Table5[[#This Row],[Total]]*B1141/1000</f>
        <v>#VALUE!</v>
      </c>
      <c r="AP1137" s="32" t="s">
        <v>193</v>
      </c>
      <c r="AQ1137" s="33" t="s">
        <v>84</v>
      </c>
      <c r="AR1137" s="33" t="s">
        <v>85</v>
      </c>
      <c r="AS1137" s="33" t="s">
        <v>86</v>
      </c>
      <c r="AT1137" s="33" t="s">
        <v>87</v>
      </c>
      <c r="AU1137" s="33" t="s">
        <v>88</v>
      </c>
      <c r="AV1137" s="34" t="s">
        <v>68</v>
      </c>
    </row>
    <row r="1138" spans="1:48" ht="25.15" hidden="1" customHeight="1">
      <c r="A1138" s="103"/>
      <c r="B1138" s="35" t="s">
        <v>161</v>
      </c>
      <c r="C1138" s="36"/>
      <c r="D1138" s="37" t="s">
        <v>90</v>
      </c>
      <c r="E1138" s="1373">
        <f>IF(E1137="",0,+ E1137/E1144)</f>
        <v>0</v>
      </c>
      <c r="F1138" s="1096">
        <f t="shared" ref="F1138:AI1138" si="2080">IF(F1137="",0, E1138+F1137/F1144)</f>
        <v>0</v>
      </c>
      <c r="G1138" s="1207">
        <f t="shared" si="2080"/>
        <v>0</v>
      </c>
      <c r="H1138" s="1096">
        <f t="shared" si="2080"/>
        <v>0</v>
      </c>
      <c r="I1138" s="1096">
        <f t="shared" si="2080"/>
        <v>0</v>
      </c>
      <c r="J1138" s="1207">
        <f t="shared" si="2080"/>
        <v>0</v>
      </c>
      <c r="K1138" s="1207">
        <f t="shared" si="2080"/>
        <v>0</v>
      </c>
      <c r="L1138" s="1096">
        <f t="shared" si="2080"/>
        <v>0</v>
      </c>
      <c r="M1138" s="1096">
        <f t="shared" si="2080"/>
        <v>0</v>
      </c>
      <c r="N1138" s="1096">
        <f t="shared" si="2080"/>
        <v>0</v>
      </c>
      <c r="O1138" s="1096">
        <f t="shared" si="2080"/>
        <v>0</v>
      </c>
      <c r="P1138" s="1096">
        <f t="shared" si="2080"/>
        <v>0</v>
      </c>
      <c r="Q1138" s="1207">
        <f t="shared" si="2080"/>
        <v>0</v>
      </c>
      <c r="R1138" s="1207">
        <f t="shared" si="2080"/>
        <v>0</v>
      </c>
      <c r="S1138" s="1096">
        <f t="shared" si="2080"/>
        <v>0</v>
      </c>
      <c r="T1138" s="1096">
        <f t="shared" si="2080"/>
        <v>0</v>
      </c>
      <c r="U1138" s="1096">
        <f t="shared" si="2080"/>
        <v>0</v>
      </c>
      <c r="V1138" s="1096">
        <f t="shared" si="2080"/>
        <v>0</v>
      </c>
      <c r="W1138" s="1096">
        <f t="shared" si="2080"/>
        <v>0</v>
      </c>
      <c r="X1138" s="1207">
        <f t="shared" si="2080"/>
        <v>0</v>
      </c>
      <c r="Y1138" s="1207">
        <f t="shared" si="2080"/>
        <v>0</v>
      </c>
      <c r="Z1138" s="1096">
        <f t="shared" si="2080"/>
        <v>0</v>
      </c>
      <c r="AA1138" s="1096">
        <f t="shared" si="2080"/>
        <v>0</v>
      </c>
      <c r="AB1138" s="1096">
        <f t="shared" si="2080"/>
        <v>0</v>
      </c>
      <c r="AC1138" s="1096">
        <f t="shared" si="2080"/>
        <v>0</v>
      </c>
      <c r="AD1138" s="1096">
        <f t="shared" si="2080"/>
        <v>0</v>
      </c>
      <c r="AE1138" s="1207">
        <f t="shared" si="2080"/>
        <v>0</v>
      </c>
      <c r="AF1138" s="1207">
        <f t="shared" si="2080"/>
        <v>0</v>
      </c>
      <c r="AG1138" s="1096">
        <f t="shared" si="2080"/>
        <v>0</v>
      </c>
      <c r="AH1138" s="1096">
        <f t="shared" si="2080"/>
        <v>0</v>
      </c>
      <c r="AI1138" s="1324">
        <f t="shared" si="2080"/>
        <v>0</v>
      </c>
      <c r="AJ1138" s="38"/>
      <c r="AK1138" s="29"/>
      <c r="AL1138" s="30"/>
      <c r="AM1138" s="694">
        <f t="shared" si="1983"/>
        <v>0</v>
      </c>
      <c r="AN1138" s="31"/>
      <c r="AO1138" s="630"/>
      <c r="AP1138" s="39" t="s">
        <v>91</v>
      </c>
      <c r="AQ1138" s="40">
        <f>SUM(E1137:I1137)</f>
        <v>0</v>
      </c>
      <c r="AR1138" s="41">
        <f>SUM(J1137:P1137)</f>
        <v>0</v>
      </c>
      <c r="AS1138" s="41">
        <f>SUM(Q1137:W1137)</f>
        <v>0</v>
      </c>
      <c r="AT1138" s="41">
        <f>SUM(X1137:AD1137)</f>
        <v>0</v>
      </c>
      <c r="AU1138" s="41">
        <f>SUM(AE1137:AI1137)</f>
        <v>0</v>
      </c>
      <c r="AV1138" s="34">
        <f t="shared" ref="AV1138:AV1143" si="2081">SUM(AQ1138:AU1138)</f>
        <v>0</v>
      </c>
    </row>
    <row r="1139" spans="1:48" ht="25.15" hidden="1" customHeight="1">
      <c r="A1139" s="103"/>
      <c r="B1139" s="26" t="s">
        <v>92</v>
      </c>
      <c r="C1139" s="42"/>
      <c r="D1139" s="43" t="s">
        <v>93</v>
      </c>
      <c r="E1139" s="1108"/>
      <c r="F1139" s="1089"/>
      <c r="G1139" s="44"/>
      <c r="H1139" s="1089"/>
      <c r="I1139" s="1089"/>
      <c r="J1139" s="44"/>
      <c r="K1139" s="44"/>
      <c r="L1139" s="1089"/>
      <c r="M1139" s="1089"/>
      <c r="N1139" s="1089"/>
      <c r="O1139" s="1089"/>
      <c r="P1139" s="1089"/>
      <c r="Q1139" s="44"/>
      <c r="R1139" s="44"/>
      <c r="S1139" s="1089"/>
      <c r="T1139" s="1089"/>
      <c r="U1139" s="1089"/>
      <c r="V1139" s="1089"/>
      <c r="W1139" s="1089"/>
      <c r="X1139" s="44"/>
      <c r="Y1139" s="44"/>
      <c r="Z1139" s="1089"/>
      <c r="AA1139" s="1089"/>
      <c r="AB1139" s="1089"/>
      <c r="AC1139" s="1089"/>
      <c r="AD1139" s="1089"/>
      <c r="AE1139" s="44"/>
      <c r="AF1139" s="44"/>
      <c r="AG1139" s="1089"/>
      <c r="AH1139" s="1089"/>
      <c r="AI1139" s="1326"/>
      <c r="AJ1139" s="45">
        <f>SUM(E1139:AI1139)</f>
        <v>0</v>
      </c>
      <c r="AK1139" s="45"/>
      <c r="AL1139" s="46">
        <f>+AJ1139*AN1137</f>
        <v>0</v>
      </c>
      <c r="AM1139" s="1066">
        <f t="shared" si="1983"/>
        <v>0</v>
      </c>
      <c r="AN1139" s="31"/>
      <c r="AO1139" s="632">
        <f>(AJ1139+AJ1141+AJ1142+AJ1143)*B1141/1000</f>
        <v>0</v>
      </c>
      <c r="AP1139" s="47" t="s">
        <v>94</v>
      </c>
      <c r="AQ1139" s="48">
        <f>SUM(E1139:I1139)</f>
        <v>0</v>
      </c>
      <c r="AR1139" s="49">
        <f>SUM(J1139:P1139)</f>
        <v>0</v>
      </c>
      <c r="AS1139" s="49">
        <f>SUM(Q1139:W1139)</f>
        <v>0</v>
      </c>
      <c r="AT1139" s="49">
        <f>SUM(X1139:AD1139)</f>
        <v>0</v>
      </c>
      <c r="AU1139" s="49">
        <f>SUM(AE1139:AI1139)</f>
        <v>0</v>
      </c>
      <c r="AV1139" s="50">
        <f t="shared" si="2081"/>
        <v>0</v>
      </c>
    </row>
    <row r="1140" spans="1:48" ht="25.15" hidden="1" customHeight="1">
      <c r="A1140" s="103"/>
      <c r="B1140" s="51"/>
      <c r="C1140" s="52" t="s">
        <v>95</v>
      </c>
      <c r="D1140" s="53" t="s">
        <v>96</v>
      </c>
      <c r="E1140" s="1327">
        <f t="shared" ref="E1140:AJ1140" si="2082">+E1139-E1137</f>
        <v>0</v>
      </c>
      <c r="F1140" s="1097">
        <f t="shared" si="2082"/>
        <v>0</v>
      </c>
      <c r="G1140" s="1205">
        <f t="shared" si="2082"/>
        <v>0</v>
      </c>
      <c r="H1140" s="1097">
        <f t="shared" si="2082"/>
        <v>0</v>
      </c>
      <c r="I1140" s="1097">
        <f t="shared" si="2082"/>
        <v>0</v>
      </c>
      <c r="J1140" s="1205">
        <f t="shared" si="2082"/>
        <v>0</v>
      </c>
      <c r="K1140" s="1205">
        <f t="shared" si="2082"/>
        <v>0</v>
      </c>
      <c r="L1140" s="1097">
        <f t="shared" si="2082"/>
        <v>0</v>
      </c>
      <c r="M1140" s="1097">
        <f t="shared" si="2082"/>
        <v>0</v>
      </c>
      <c r="N1140" s="1097">
        <f t="shared" si="2082"/>
        <v>0</v>
      </c>
      <c r="O1140" s="1097">
        <f t="shared" si="2082"/>
        <v>0</v>
      </c>
      <c r="P1140" s="1097">
        <f t="shared" si="2082"/>
        <v>0</v>
      </c>
      <c r="Q1140" s="1205">
        <f t="shared" si="2082"/>
        <v>0</v>
      </c>
      <c r="R1140" s="1205">
        <f t="shared" si="2082"/>
        <v>0</v>
      </c>
      <c r="S1140" s="1097">
        <f t="shared" si="2082"/>
        <v>0</v>
      </c>
      <c r="T1140" s="1097">
        <f t="shared" si="2082"/>
        <v>0</v>
      </c>
      <c r="U1140" s="1097">
        <f t="shared" si="2082"/>
        <v>0</v>
      </c>
      <c r="V1140" s="1097">
        <f t="shared" si="2082"/>
        <v>0</v>
      </c>
      <c r="W1140" s="1097">
        <f t="shared" si="2082"/>
        <v>0</v>
      </c>
      <c r="X1140" s="1205">
        <f t="shared" si="2082"/>
        <v>0</v>
      </c>
      <c r="Y1140" s="1205">
        <f t="shared" si="2082"/>
        <v>0</v>
      </c>
      <c r="Z1140" s="1097">
        <f t="shared" si="2082"/>
        <v>0</v>
      </c>
      <c r="AA1140" s="1097">
        <f t="shared" si="2082"/>
        <v>0</v>
      </c>
      <c r="AB1140" s="1097">
        <f t="shared" si="2082"/>
        <v>0</v>
      </c>
      <c r="AC1140" s="1097">
        <f t="shared" si="2082"/>
        <v>0</v>
      </c>
      <c r="AD1140" s="1097">
        <f t="shared" si="2082"/>
        <v>0</v>
      </c>
      <c r="AE1140" s="1205">
        <f t="shared" si="2082"/>
        <v>0</v>
      </c>
      <c r="AF1140" s="1205">
        <f t="shared" si="2082"/>
        <v>0</v>
      </c>
      <c r="AG1140" s="1097">
        <f t="shared" si="2082"/>
        <v>0</v>
      </c>
      <c r="AH1140" s="1097">
        <f t="shared" si="2082"/>
        <v>0</v>
      </c>
      <c r="AI1140" s="1328">
        <f t="shared" si="2082"/>
        <v>0</v>
      </c>
      <c r="AJ1140" s="54">
        <f t="shared" si="2082"/>
        <v>0</v>
      </c>
      <c r="AK1140" s="54"/>
      <c r="AL1140" s="55">
        <f>+AJ1140*AN1137</f>
        <v>0</v>
      </c>
      <c r="AM1140" s="1067">
        <f t="shared" si="1983"/>
        <v>0</v>
      </c>
      <c r="AN1140" s="31" t="s">
        <v>97</v>
      </c>
      <c r="AO1140" s="622"/>
      <c r="AP1140" s="39" t="s">
        <v>98</v>
      </c>
      <c r="AQ1140" s="56">
        <f>AQ1139-AQ1138</f>
        <v>0</v>
      </c>
      <c r="AR1140" s="70">
        <f>AR1139-AR1138</f>
        <v>0</v>
      </c>
      <c r="AS1140" s="70">
        <f>AS1139-AS1138</f>
        <v>0</v>
      </c>
      <c r="AT1140" s="70">
        <f>AT1139-AT1138</f>
        <v>0</v>
      </c>
      <c r="AU1140" s="70">
        <f>AU1139-AU1138</f>
        <v>0</v>
      </c>
      <c r="AV1140" s="57">
        <f t="shared" si="2081"/>
        <v>0</v>
      </c>
    </row>
    <row r="1141" spans="1:48" ht="25.15" hidden="1" customHeight="1">
      <c r="A1141" s="58"/>
      <c r="B1141" s="59"/>
      <c r="C1141" s="60" t="s">
        <v>100</v>
      </c>
      <c r="D1141" s="61" t="s">
        <v>101</v>
      </c>
      <c r="E1141" s="1098"/>
      <c r="F1141" s="1099"/>
      <c r="G1141" s="1208"/>
      <c r="H1141" s="1099"/>
      <c r="I1141" s="1099"/>
      <c r="J1141" s="1208"/>
      <c r="K1141" s="1208"/>
      <c r="L1141" s="1099"/>
      <c r="M1141" s="1099"/>
      <c r="N1141" s="1099"/>
      <c r="O1141" s="1099"/>
      <c r="P1141" s="1099"/>
      <c r="Q1141" s="1208"/>
      <c r="R1141" s="1208"/>
      <c r="S1141" s="1099"/>
      <c r="T1141" s="1099"/>
      <c r="U1141" s="1099"/>
      <c r="V1141" s="1099"/>
      <c r="W1141" s="1099"/>
      <c r="X1141" s="1208"/>
      <c r="Y1141" s="1208"/>
      <c r="Z1141" s="1099"/>
      <c r="AA1141" s="1099"/>
      <c r="AB1141" s="1099"/>
      <c r="AC1141" s="1099"/>
      <c r="AD1141" s="1099"/>
      <c r="AE1141" s="1208"/>
      <c r="AF1141" s="1208"/>
      <c r="AG1141" s="1099"/>
      <c r="AH1141" s="1099"/>
      <c r="AI1141" s="1330"/>
      <c r="AJ1141" s="62">
        <f>SUM(E1141:AI1141)</f>
        <v>0</v>
      </c>
      <c r="AK1141" s="62"/>
      <c r="AL1141" s="63">
        <f>+AJ1141*AN1137</f>
        <v>0</v>
      </c>
      <c r="AM1141" s="1068">
        <f t="shared" si="1983"/>
        <v>0</v>
      </c>
      <c r="AN1141" s="64" t="e">
        <f>+AJ1141/AJ1139*100</f>
        <v>#DIV/0!</v>
      </c>
      <c r="AO1141" s="635" t="e">
        <f>AO1139/AO1137</f>
        <v>#VALUE!</v>
      </c>
      <c r="AP1141" s="39" t="s">
        <v>102</v>
      </c>
      <c r="AQ1141" s="56">
        <f>SUM(E1141:I1141)</f>
        <v>0</v>
      </c>
      <c r="AR1141" s="70">
        <f>SUM(J1141:P1141)</f>
        <v>0</v>
      </c>
      <c r="AS1141" s="70">
        <f>SUM(Q1141:W1141)</f>
        <v>0</v>
      </c>
      <c r="AT1141" s="70">
        <f>SUM(X1141:AD1141)</f>
        <v>0</v>
      </c>
      <c r="AU1141" s="70">
        <f>SUM(AE1141:AI1141)</f>
        <v>0</v>
      </c>
      <c r="AV1141" s="57">
        <f t="shared" si="2081"/>
        <v>0</v>
      </c>
    </row>
    <row r="1142" spans="1:48" ht="25.15" hidden="1" customHeight="1">
      <c r="A1142" s="58" t="s">
        <v>202</v>
      </c>
      <c r="B1142" s="65"/>
      <c r="C1142" s="66"/>
      <c r="D1142" s="67" t="s">
        <v>103</v>
      </c>
      <c r="E1142" s="1100"/>
      <c r="F1142" s="1101"/>
      <c r="G1142" s="1209"/>
      <c r="H1142" s="1101"/>
      <c r="I1142" s="1101"/>
      <c r="J1142" s="1209"/>
      <c r="K1142" s="1209"/>
      <c r="L1142" s="1101"/>
      <c r="M1142" s="1101"/>
      <c r="N1142" s="1101"/>
      <c r="O1142" s="1101"/>
      <c r="P1142" s="1101"/>
      <c r="Q1142" s="1209"/>
      <c r="R1142" s="1209"/>
      <c r="S1142" s="1101"/>
      <c r="T1142" s="1101"/>
      <c r="U1142" s="1101"/>
      <c r="V1142" s="1101"/>
      <c r="W1142" s="1101"/>
      <c r="X1142" s="1209"/>
      <c r="Y1142" s="1209"/>
      <c r="Z1142" s="1101"/>
      <c r="AA1142" s="1101"/>
      <c r="AB1142" s="1101"/>
      <c r="AC1142" s="1101"/>
      <c r="AD1142" s="1101"/>
      <c r="AE1142" s="1209"/>
      <c r="AF1142" s="1209"/>
      <c r="AG1142" s="1101"/>
      <c r="AH1142" s="1101"/>
      <c r="AI1142" s="1332"/>
      <c r="AJ1142" s="68">
        <f>SUM(E1142:AI1142)</f>
        <v>0</v>
      </c>
      <c r="AK1142" s="68"/>
      <c r="AL1142" s="69">
        <f>+AJ1142*AN1137</f>
        <v>0</v>
      </c>
      <c r="AM1142" s="1069">
        <f t="shared" si="1983"/>
        <v>0</v>
      </c>
      <c r="AN1142" s="31"/>
      <c r="AO1142" s="622"/>
      <c r="AP1142" s="39" t="s">
        <v>19</v>
      </c>
      <c r="AQ1142" s="56">
        <f>AQ1141*AN1137</f>
        <v>0</v>
      </c>
      <c r="AR1142" s="56">
        <f>AR1141*AN1137</f>
        <v>0</v>
      </c>
      <c r="AS1142" s="56">
        <f>AS1141*AN1137</f>
        <v>0</v>
      </c>
      <c r="AT1142" s="56">
        <f>AT1141*AN1137</f>
        <v>0</v>
      </c>
      <c r="AU1142" s="56">
        <f>AU1141*AN1137</f>
        <v>0</v>
      </c>
      <c r="AV1142" s="57">
        <f t="shared" si="2081"/>
        <v>0</v>
      </c>
    </row>
    <row r="1143" spans="1:48" ht="25.15" hidden="1" customHeight="1">
      <c r="A1143" s="103"/>
      <c r="B1143" s="65"/>
      <c r="C1143" s="72" t="s">
        <v>104</v>
      </c>
      <c r="D1143" s="73" t="s">
        <v>105</v>
      </c>
      <c r="E1143" s="1102"/>
      <c r="F1143" s="1103"/>
      <c r="G1143" s="1210"/>
      <c r="H1143" s="1103"/>
      <c r="I1143" s="1103"/>
      <c r="J1143" s="1210"/>
      <c r="K1143" s="1210"/>
      <c r="L1143" s="1103"/>
      <c r="M1143" s="1103"/>
      <c r="N1143" s="1103"/>
      <c r="O1143" s="1103"/>
      <c r="P1143" s="1103"/>
      <c r="Q1143" s="1210"/>
      <c r="R1143" s="1210"/>
      <c r="S1143" s="1103"/>
      <c r="T1143" s="1103"/>
      <c r="U1143" s="1103"/>
      <c r="V1143" s="1103"/>
      <c r="W1143" s="1103"/>
      <c r="X1143" s="1210"/>
      <c r="Y1143" s="1210"/>
      <c r="Z1143" s="1103"/>
      <c r="AA1143" s="1103"/>
      <c r="AB1143" s="1103"/>
      <c r="AC1143" s="1103"/>
      <c r="AD1143" s="1103"/>
      <c r="AE1143" s="1210"/>
      <c r="AF1143" s="1210"/>
      <c r="AG1143" s="1103"/>
      <c r="AH1143" s="1103"/>
      <c r="AI1143" s="1352"/>
      <c r="AJ1143" s="74">
        <f>SUM(E1143:AI1143)</f>
        <v>0</v>
      </c>
      <c r="AK1143" s="74"/>
      <c r="AL1143" s="75">
        <f>+AJ1143*AN1137</f>
        <v>0</v>
      </c>
      <c r="AM1143" s="1070">
        <f t="shared" si="1983"/>
        <v>0</v>
      </c>
      <c r="AN1143" s="76"/>
      <c r="AO1143" s="636"/>
      <c r="AP1143" s="47" t="s">
        <v>106</v>
      </c>
      <c r="AQ1143" s="48">
        <f>AQ1139*AN1137</f>
        <v>0</v>
      </c>
      <c r="AR1143" s="48">
        <f>AR1139*AN1137</f>
        <v>0</v>
      </c>
      <c r="AS1143" s="48">
        <f>AS1139*AN1137</f>
        <v>0</v>
      </c>
      <c r="AT1143" s="48">
        <f>AT1139*AN1137</f>
        <v>0</v>
      </c>
      <c r="AU1143" s="48">
        <f>AU1139*AN1137</f>
        <v>0</v>
      </c>
      <c r="AV1143" s="50">
        <f t="shared" si="2081"/>
        <v>0</v>
      </c>
    </row>
    <row r="1144" spans="1:48" ht="25.15" hidden="1" customHeight="1">
      <c r="A1144" s="103"/>
      <c r="B1144" s="65"/>
      <c r="C1144" s="77">
        <v>300000</v>
      </c>
      <c r="D1144" s="78" t="s">
        <v>107</v>
      </c>
      <c r="E1144" s="1327">
        <v>1</v>
      </c>
      <c r="F1144" s="1097">
        <v>1</v>
      </c>
      <c r="G1144" s="1205">
        <v>1</v>
      </c>
      <c r="H1144" s="1097">
        <v>1</v>
      </c>
      <c r="I1144" s="1097">
        <v>1</v>
      </c>
      <c r="J1144" s="1205">
        <v>1</v>
      </c>
      <c r="K1144" s="1205">
        <v>1</v>
      </c>
      <c r="L1144" s="1097">
        <v>1</v>
      </c>
      <c r="M1144" s="1097">
        <v>1</v>
      </c>
      <c r="N1144" s="1097">
        <v>1</v>
      </c>
      <c r="O1144" s="1097">
        <v>1</v>
      </c>
      <c r="P1144" s="1097">
        <v>1</v>
      </c>
      <c r="Q1144" s="1205">
        <v>1</v>
      </c>
      <c r="R1144" s="1205">
        <v>1</v>
      </c>
      <c r="S1144" s="1097">
        <v>1</v>
      </c>
      <c r="T1144" s="1097">
        <v>1</v>
      </c>
      <c r="U1144" s="1097">
        <v>1</v>
      </c>
      <c r="V1144" s="1097">
        <v>1</v>
      </c>
      <c r="W1144" s="1097">
        <v>1</v>
      </c>
      <c r="X1144" s="1205">
        <v>1</v>
      </c>
      <c r="Y1144" s="1205">
        <v>1</v>
      </c>
      <c r="Z1144" s="1097">
        <v>1</v>
      </c>
      <c r="AA1144" s="1097">
        <v>1</v>
      </c>
      <c r="AB1144" s="1097">
        <v>1</v>
      </c>
      <c r="AC1144" s="1097">
        <v>1</v>
      </c>
      <c r="AD1144" s="1097">
        <v>1</v>
      </c>
      <c r="AE1144" s="1205">
        <v>1</v>
      </c>
      <c r="AF1144" s="1205">
        <v>1</v>
      </c>
      <c r="AG1144" s="1097">
        <v>1</v>
      </c>
      <c r="AH1144" s="1097">
        <v>1</v>
      </c>
      <c r="AI1144" s="1328">
        <v>1</v>
      </c>
      <c r="AJ1144" s="79"/>
      <c r="AK1144" s="79"/>
      <c r="AL1144" s="55"/>
      <c r="AM1144" s="1067">
        <f t="shared" si="1983"/>
        <v>0</v>
      </c>
      <c r="AN1144" s="31"/>
      <c r="AO1144" s="622"/>
      <c r="AP1144" s="23"/>
      <c r="AQ1144" s="23"/>
      <c r="AR1144" s="23"/>
      <c r="AS1144" s="23"/>
      <c r="AT1144" s="23"/>
      <c r="AU1144" s="23"/>
      <c r="AV1144" s="23"/>
    </row>
    <row r="1145" spans="1:48" ht="25.15" hidden="1" customHeight="1">
      <c r="A1145" s="103"/>
      <c r="B1145" s="65"/>
      <c r="C1145" s="80" t="s">
        <v>108</v>
      </c>
      <c r="D1145" s="81" t="s">
        <v>109</v>
      </c>
      <c r="E1145" s="1374">
        <f>SUM(E1139+E1141+E1142+E1143)/E1144</f>
        <v>0</v>
      </c>
      <c r="F1145" s="1104">
        <f>SUM(F1139+F1141+F1142+F1143)/F1144</f>
        <v>0</v>
      </c>
      <c r="G1145" s="1211">
        <f>SUM(G1139+G1141+G1142+G1143)/G1144</f>
        <v>0</v>
      </c>
      <c r="H1145" s="1104">
        <f t="shared" ref="H1145:AH1145" si="2083">SUM(H1139+H1141+H1142+H1143)/H1144</f>
        <v>0</v>
      </c>
      <c r="I1145" s="1104">
        <f t="shared" si="2083"/>
        <v>0</v>
      </c>
      <c r="J1145" s="1211">
        <f t="shared" si="2083"/>
        <v>0</v>
      </c>
      <c r="K1145" s="1211">
        <f t="shared" si="2083"/>
        <v>0</v>
      </c>
      <c r="L1145" s="1104">
        <f t="shared" si="2083"/>
        <v>0</v>
      </c>
      <c r="M1145" s="1104">
        <f t="shared" si="2083"/>
        <v>0</v>
      </c>
      <c r="N1145" s="1104">
        <f t="shared" si="2083"/>
        <v>0</v>
      </c>
      <c r="O1145" s="1104">
        <f t="shared" si="2083"/>
        <v>0</v>
      </c>
      <c r="P1145" s="1104">
        <f t="shared" si="2083"/>
        <v>0</v>
      </c>
      <c r="Q1145" s="1211">
        <f t="shared" si="2083"/>
        <v>0</v>
      </c>
      <c r="R1145" s="1211">
        <f t="shared" si="2083"/>
        <v>0</v>
      </c>
      <c r="S1145" s="1104">
        <f t="shared" si="2083"/>
        <v>0</v>
      </c>
      <c r="T1145" s="1104">
        <f t="shared" si="2083"/>
        <v>0</v>
      </c>
      <c r="U1145" s="1104">
        <f t="shared" si="2083"/>
        <v>0</v>
      </c>
      <c r="V1145" s="1104">
        <f t="shared" si="2083"/>
        <v>0</v>
      </c>
      <c r="W1145" s="1104">
        <f t="shared" si="2083"/>
        <v>0</v>
      </c>
      <c r="X1145" s="1211">
        <f t="shared" si="2083"/>
        <v>0</v>
      </c>
      <c r="Y1145" s="1211">
        <f t="shared" si="2083"/>
        <v>0</v>
      </c>
      <c r="Z1145" s="1104">
        <f t="shared" si="2083"/>
        <v>0</v>
      </c>
      <c r="AA1145" s="1104">
        <f t="shared" si="2083"/>
        <v>0</v>
      </c>
      <c r="AB1145" s="1104">
        <f t="shared" si="2083"/>
        <v>0</v>
      </c>
      <c r="AC1145" s="1104">
        <f t="shared" si="2083"/>
        <v>0</v>
      </c>
      <c r="AD1145" s="1104">
        <f t="shared" si="2083"/>
        <v>0</v>
      </c>
      <c r="AE1145" s="1211">
        <f t="shared" si="2083"/>
        <v>0</v>
      </c>
      <c r="AF1145" s="1211">
        <f t="shared" si="2083"/>
        <v>0</v>
      </c>
      <c r="AG1145" s="1104">
        <f t="shared" si="2083"/>
        <v>0</v>
      </c>
      <c r="AH1145" s="1104">
        <f t="shared" si="2083"/>
        <v>0</v>
      </c>
      <c r="AI1145" s="1335">
        <f>SUM(AI1139+AI1141+AI1142)/AI1144</f>
        <v>0</v>
      </c>
      <c r="AJ1145" s="104">
        <f>SUM(E1145:AI1145)</f>
        <v>0</v>
      </c>
      <c r="AK1145" s="104"/>
      <c r="AL1145" s="83"/>
      <c r="AM1145" s="1068">
        <f t="shared" si="1983"/>
        <v>0</v>
      </c>
      <c r="AN1145" s="31"/>
      <c r="AO1145" s="622"/>
      <c r="AP1145" s="23"/>
      <c r="AQ1145" s="23"/>
      <c r="AR1145" s="23"/>
      <c r="AS1145" s="23"/>
      <c r="AT1145" s="23"/>
      <c r="AU1145" s="23"/>
      <c r="AV1145" s="23"/>
    </row>
    <row r="1146" spans="1:48" ht="25.15" hidden="1" customHeight="1">
      <c r="A1146" s="103"/>
      <c r="B1146" s="59"/>
      <c r="C1146" s="84">
        <f>+C1144*0.8</f>
        <v>240000</v>
      </c>
      <c r="D1146" s="85" t="s">
        <v>110</v>
      </c>
      <c r="E1146" s="1105"/>
      <c r="F1146" s="1106"/>
      <c r="G1146" s="1211"/>
      <c r="H1146" s="1104"/>
      <c r="I1146" s="1104"/>
      <c r="J1146" s="1211"/>
      <c r="K1146" s="1211"/>
      <c r="L1146" s="1104"/>
      <c r="M1146" s="1104"/>
      <c r="N1146" s="1104"/>
      <c r="O1146" s="1107"/>
      <c r="P1146" s="1104"/>
      <c r="Q1146" s="1211"/>
      <c r="R1146" s="1211"/>
      <c r="S1146" s="1104"/>
      <c r="T1146" s="1104"/>
      <c r="U1146" s="1104"/>
      <c r="V1146" s="1104"/>
      <c r="W1146" s="1104"/>
      <c r="X1146" s="1211"/>
      <c r="Y1146" s="1211"/>
      <c r="Z1146" s="1104"/>
      <c r="AA1146" s="1104"/>
      <c r="AB1146" s="1104"/>
      <c r="AC1146" s="1104"/>
      <c r="AD1146" s="1104"/>
      <c r="AE1146" s="1211"/>
      <c r="AF1146" s="1211"/>
      <c r="AG1146" s="1104"/>
      <c r="AH1146" s="1104"/>
      <c r="AI1146" s="1353"/>
      <c r="AJ1146" s="86"/>
      <c r="AK1146" s="86"/>
      <c r="AL1146" s="690"/>
      <c r="AM1146" s="694">
        <f t="shared" si="1983"/>
        <v>0</v>
      </c>
      <c r="AN1146" s="31"/>
      <c r="AO1146" s="622"/>
      <c r="AP1146" s="23"/>
      <c r="AQ1146" s="23"/>
      <c r="AR1146" s="23"/>
      <c r="AS1146" s="23"/>
      <c r="AT1146" s="23"/>
      <c r="AU1146" s="23"/>
      <c r="AV1146" s="23"/>
    </row>
    <row r="1147" spans="1:48" ht="25.15" hidden="1" customHeight="1">
      <c r="A1147" s="103"/>
      <c r="B1147" s="105"/>
      <c r="C1147" s="77"/>
      <c r="D1147" s="88" t="s">
        <v>111</v>
      </c>
      <c r="E1147" s="1108">
        <f>IF(E1146="O/H",E1145,0+E1145)</f>
        <v>0</v>
      </c>
      <c r="F1147" s="1089">
        <f t="shared" ref="F1147:AI1147" si="2084">IF(F1146="O/H",F1145,+E1147+F1145)</f>
        <v>0</v>
      </c>
      <c r="G1147" s="44">
        <f t="shared" si="2084"/>
        <v>0</v>
      </c>
      <c r="H1147" s="1089">
        <f t="shared" si="2084"/>
        <v>0</v>
      </c>
      <c r="I1147" s="1089">
        <f t="shared" si="2084"/>
        <v>0</v>
      </c>
      <c r="J1147" s="44">
        <f t="shared" si="2084"/>
        <v>0</v>
      </c>
      <c r="K1147" s="44">
        <f t="shared" si="2084"/>
        <v>0</v>
      </c>
      <c r="L1147" s="1089">
        <f t="shared" si="2084"/>
        <v>0</v>
      </c>
      <c r="M1147" s="1089">
        <f t="shared" si="2084"/>
        <v>0</v>
      </c>
      <c r="N1147" s="1089">
        <f t="shared" si="2084"/>
        <v>0</v>
      </c>
      <c r="O1147" s="1089">
        <f t="shared" si="2084"/>
        <v>0</v>
      </c>
      <c r="P1147" s="1089">
        <f t="shared" si="2084"/>
        <v>0</v>
      </c>
      <c r="Q1147" s="44">
        <f t="shared" si="2084"/>
        <v>0</v>
      </c>
      <c r="R1147" s="44">
        <f t="shared" si="2084"/>
        <v>0</v>
      </c>
      <c r="S1147" s="1089">
        <f t="shared" si="2084"/>
        <v>0</v>
      </c>
      <c r="T1147" s="1089">
        <f t="shared" si="2084"/>
        <v>0</v>
      </c>
      <c r="U1147" s="1089">
        <f t="shared" si="2084"/>
        <v>0</v>
      </c>
      <c r="V1147" s="1089">
        <f t="shared" si="2084"/>
        <v>0</v>
      </c>
      <c r="W1147" s="1089">
        <f t="shared" si="2084"/>
        <v>0</v>
      </c>
      <c r="X1147" s="44">
        <f t="shared" si="2084"/>
        <v>0</v>
      </c>
      <c r="Y1147" s="44">
        <f t="shared" si="2084"/>
        <v>0</v>
      </c>
      <c r="Z1147" s="1089">
        <f t="shared" si="2084"/>
        <v>0</v>
      </c>
      <c r="AA1147" s="1089">
        <f t="shared" si="2084"/>
        <v>0</v>
      </c>
      <c r="AB1147" s="1089">
        <f t="shared" si="2084"/>
        <v>0</v>
      </c>
      <c r="AC1147" s="1089">
        <f t="shared" si="2084"/>
        <v>0</v>
      </c>
      <c r="AD1147" s="1089">
        <f t="shared" si="2084"/>
        <v>0</v>
      </c>
      <c r="AE1147" s="44">
        <f t="shared" si="2084"/>
        <v>0</v>
      </c>
      <c r="AF1147" s="44">
        <f t="shared" si="2084"/>
        <v>0</v>
      </c>
      <c r="AG1147" s="1089">
        <f t="shared" si="2084"/>
        <v>0</v>
      </c>
      <c r="AH1147" s="1089">
        <f t="shared" si="2084"/>
        <v>0</v>
      </c>
      <c r="AI1147" s="1326">
        <f t="shared" si="2084"/>
        <v>0</v>
      </c>
      <c r="AJ1147" s="79"/>
      <c r="AK1147" s="86"/>
      <c r="AL1147" s="689"/>
      <c r="AM1147" s="694">
        <f t="shared" si="1983"/>
        <v>0</v>
      </c>
      <c r="AN1147" s="31"/>
      <c r="AO1147" s="622"/>
      <c r="AP1147" s="23"/>
      <c r="AQ1147" s="23"/>
      <c r="AR1147" s="23"/>
      <c r="AS1147" s="23"/>
      <c r="AT1147" s="23"/>
      <c r="AU1147" s="23"/>
      <c r="AV1147" s="23"/>
    </row>
    <row r="1148" spans="1:48" ht="25.15" hidden="1" customHeight="1">
      <c r="A1148" s="103"/>
      <c r="B1148" s="89"/>
      <c r="C1148" s="80"/>
      <c r="D1148" s="90" t="s">
        <v>104</v>
      </c>
      <c r="E1148" s="1108"/>
      <c r="F1148" s="1089"/>
      <c r="G1148" s="44"/>
      <c r="H1148" s="1089"/>
      <c r="I1148" s="1089"/>
      <c r="J1148" s="44"/>
      <c r="K1148" s="44"/>
      <c r="L1148" s="1089"/>
      <c r="M1148" s="1089"/>
      <c r="N1148" s="1089"/>
      <c r="O1148" s="1089"/>
      <c r="P1148" s="1089"/>
      <c r="Q1148" s="44"/>
      <c r="R1148" s="44"/>
      <c r="S1148" s="1089"/>
      <c r="T1148" s="1089"/>
      <c r="U1148" s="1089"/>
      <c r="V1148" s="1089"/>
      <c r="W1148" s="1089"/>
      <c r="X1148" s="44"/>
      <c r="Y1148" s="44"/>
      <c r="Z1148" s="1089"/>
      <c r="AA1148" s="1089"/>
      <c r="AB1148" s="1089"/>
      <c r="AC1148" s="1089"/>
      <c r="AD1148" s="1089"/>
      <c r="AE1148" s="44"/>
      <c r="AF1148" s="44"/>
      <c r="AG1148" s="1089"/>
      <c r="AH1148" s="1089"/>
      <c r="AI1148" s="1326"/>
      <c r="AJ1148" s="79"/>
      <c r="AK1148" s="79"/>
      <c r="AL1148" s="63"/>
      <c r="AM1148" s="1068">
        <f t="shared" si="1983"/>
        <v>0</v>
      </c>
      <c r="AN1148" s="64"/>
      <c r="AO1148" s="624"/>
      <c r="AP1148" s="23"/>
      <c r="AQ1148" s="23"/>
      <c r="AR1148" s="23"/>
      <c r="AS1148" s="23"/>
      <c r="AT1148" s="23"/>
      <c r="AU1148" s="23"/>
      <c r="AV1148" s="23"/>
    </row>
    <row r="1149" spans="1:48" ht="25.15" hidden="1" customHeight="1" thickBot="1">
      <c r="A1149" s="106"/>
      <c r="B1149" s="93"/>
      <c r="C1149" s="94"/>
      <c r="D1149" s="95" t="s">
        <v>111</v>
      </c>
      <c r="E1149" s="1109">
        <f>IF(E1148="O/H",E1145,55890+E1145)</f>
        <v>55890</v>
      </c>
      <c r="F1149" s="1110">
        <f t="shared" ref="F1149:AI1149" si="2085">IF(F1148="O/H",F1145,+E1149+F1145)</f>
        <v>55890</v>
      </c>
      <c r="G1149" s="1212">
        <f t="shared" si="2085"/>
        <v>55890</v>
      </c>
      <c r="H1149" s="1110">
        <f t="shared" si="2085"/>
        <v>55890</v>
      </c>
      <c r="I1149" s="1110">
        <f t="shared" si="2085"/>
        <v>55890</v>
      </c>
      <c r="J1149" s="1212">
        <f t="shared" si="2085"/>
        <v>55890</v>
      </c>
      <c r="K1149" s="1212">
        <f t="shared" si="2085"/>
        <v>55890</v>
      </c>
      <c r="L1149" s="1110">
        <f t="shared" si="2085"/>
        <v>55890</v>
      </c>
      <c r="M1149" s="1110">
        <f t="shared" si="2085"/>
        <v>55890</v>
      </c>
      <c r="N1149" s="1110">
        <f t="shared" si="2085"/>
        <v>55890</v>
      </c>
      <c r="O1149" s="1110">
        <f t="shared" si="2085"/>
        <v>55890</v>
      </c>
      <c r="P1149" s="1110">
        <f t="shared" si="2085"/>
        <v>55890</v>
      </c>
      <c r="Q1149" s="1212">
        <f t="shared" si="2085"/>
        <v>55890</v>
      </c>
      <c r="R1149" s="1212">
        <f t="shared" si="2085"/>
        <v>55890</v>
      </c>
      <c r="S1149" s="1110">
        <f t="shared" si="2085"/>
        <v>55890</v>
      </c>
      <c r="T1149" s="1110">
        <f t="shared" si="2085"/>
        <v>55890</v>
      </c>
      <c r="U1149" s="1110">
        <f t="shared" si="2085"/>
        <v>55890</v>
      </c>
      <c r="V1149" s="1110">
        <f t="shared" si="2085"/>
        <v>55890</v>
      </c>
      <c r="W1149" s="1110">
        <f t="shared" si="2085"/>
        <v>55890</v>
      </c>
      <c r="X1149" s="1212">
        <f t="shared" si="2085"/>
        <v>55890</v>
      </c>
      <c r="Y1149" s="1212">
        <f t="shared" si="2085"/>
        <v>55890</v>
      </c>
      <c r="Z1149" s="1110">
        <f t="shared" si="2085"/>
        <v>55890</v>
      </c>
      <c r="AA1149" s="1110">
        <f t="shared" si="2085"/>
        <v>55890</v>
      </c>
      <c r="AB1149" s="1110">
        <f t="shared" si="2085"/>
        <v>55890</v>
      </c>
      <c r="AC1149" s="1110">
        <f t="shared" si="2085"/>
        <v>55890</v>
      </c>
      <c r="AD1149" s="1110">
        <f t="shared" si="2085"/>
        <v>55890</v>
      </c>
      <c r="AE1149" s="1212">
        <f t="shared" si="2085"/>
        <v>55890</v>
      </c>
      <c r="AF1149" s="1212">
        <f t="shared" si="2085"/>
        <v>55890</v>
      </c>
      <c r="AG1149" s="1110">
        <f t="shared" si="2085"/>
        <v>55890</v>
      </c>
      <c r="AH1149" s="1110">
        <f t="shared" si="2085"/>
        <v>55890</v>
      </c>
      <c r="AI1149" s="1340">
        <f t="shared" si="2085"/>
        <v>55890</v>
      </c>
      <c r="AJ1149" s="96"/>
      <c r="AK1149" s="96"/>
      <c r="AL1149" s="97"/>
      <c r="AM1149" s="1071">
        <f t="shared" si="1983"/>
        <v>0</v>
      </c>
      <c r="AN1149" s="98"/>
      <c r="AO1149" s="625"/>
      <c r="AP1149" s="23"/>
      <c r="AQ1149" s="23"/>
      <c r="AR1149" s="23"/>
      <c r="AS1149" s="23"/>
      <c r="AT1149" s="23"/>
      <c r="AU1149" s="23"/>
      <c r="AV1149" s="23"/>
    </row>
    <row r="1150" spans="1:48" ht="25.15" hidden="1" customHeight="1" thickTop="1">
      <c r="A1150" s="99"/>
      <c r="B1150" s="26" t="s">
        <v>192</v>
      </c>
      <c r="C1150" s="27"/>
      <c r="D1150" s="28" t="s">
        <v>82</v>
      </c>
      <c r="E1150" s="1111"/>
      <c r="F1150" s="1111"/>
      <c r="G1150" s="1201"/>
      <c r="H1150" s="1111"/>
      <c r="I1150" s="1111"/>
      <c r="J1150" s="1201"/>
      <c r="K1150" s="1201"/>
      <c r="L1150" s="1111"/>
      <c r="M1150" s="1111"/>
      <c r="N1150" s="1111"/>
      <c r="O1150" s="1111"/>
      <c r="P1150" s="1111"/>
      <c r="Q1150" s="1201"/>
      <c r="R1150" s="1201"/>
      <c r="S1150" s="1111"/>
      <c r="T1150" s="1111"/>
      <c r="U1150" s="1111"/>
      <c r="V1150" s="1111"/>
      <c r="W1150" s="1111"/>
      <c r="X1150" s="1201"/>
      <c r="Y1150" s="1201"/>
      <c r="Z1150" s="1111"/>
      <c r="AA1150" s="1111"/>
      <c r="AB1150" s="1111"/>
      <c r="AC1150" s="1111"/>
      <c r="AD1150" s="1111"/>
      <c r="AE1150" s="1201"/>
      <c r="AF1150" s="1201"/>
      <c r="AG1150" s="1111"/>
      <c r="AH1150" s="1111"/>
      <c r="AI1150" s="1111"/>
      <c r="AJ1150" s="100">
        <f>SUM(Table75[[#This Row],[June''2026]:[Column27]])</f>
        <v>0</v>
      </c>
      <c r="AK1150" s="100">
        <f t="shared" si="1982"/>
        <v>0</v>
      </c>
      <c r="AL1150" s="101">
        <f>+AJ1150*AN1150</f>
        <v>0</v>
      </c>
      <c r="AM1150" s="1072">
        <f t="shared" si="1983"/>
        <v>0</v>
      </c>
      <c r="AN1150" s="102"/>
      <c r="AO1150" s="622" t="e">
        <f>Table5[[#This Row],[Total]]*B1154/1000</f>
        <v>#VALUE!</v>
      </c>
      <c r="AP1150" s="32" t="s">
        <v>193</v>
      </c>
      <c r="AQ1150" s="33" t="s">
        <v>84</v>
      </c>
      <c r="AR1150" s="33" t="s">
        <v>85</v>
      </c>
      <c r="AS1150" s="33" t="s">
        <v>86</v>
      </c>
      <c r="AT1150" s="33" t="s">
        <v>87</v>
      </c>
      <c r="AU1150" s="33" t="s">
        <v>88</v>
      </c>
      <c r="AV1150" s="34" t="s">
        <v>68</v>
      </c>
    </row>
    <row r="1151" spans="1:48" ht="25.15" hidden="1" customHeight="1">
      <c r="A1151" s="103"/>
      <c r="B1151" s="35" t="s">
        <v>194</v>
      </c>
      <c r="C1151" s="36"/>
      <c r="D1151" s="37" t="s">
        <v>90</v>
      </c>
      <c r="E1151" s="1373">
        <f>IF(E1150="",0,+ E1150/E1157)</f>
        <v>0</v>
      </c>
      <c r="F1151" s="1096">
        <f t="shared" ref="F1151:AI1151" si="2086">IF(F1150="",0, E1151+F1150/F1157)</f>
        <v>0</v>
      </c>
      <c r="G1151" s="1207">
        <f t="shared" si="2086"/>
        <v>0</v>
      </c>
      <c r="H1151" s="1096">
        <f t="shared" si="2086"/>
        <v>0</v>
      </c>
      <c r="I1151" s="1096">
        <f t="shared" si="2086"/>
        <v>0</v>
      </c>
      <c r="J1151" s="1207">
        <f t="shared" si="2086"/>
        <v>0</v>
      </c>
      <c r="K1151" s="1207">
        <f t="shared" si="2086"/>
        <v>0</v>
      </c>
      <c r="L1151" s="1096">
        <f t="shared" si="2086"/>
        <v>0</v>
      </c>
      <c r="M1151" s="1096">
        <f t="shared" si="2086"/>
        <v>0</v>
      </c>
      <c r="N1151" s="1096">
        <f t="shared" si="2086"/>
        <v>0</v>
      </c>
      <c r="O1151" s="1096">
        <f t="shared" si="2086"/>
        <v>0</v>
      </c>
      <c r="P1151" s="1096">
        <f t="shared" si="2086"/>
        <v>0</v>
      </c>
      <c r="Q1151" s="1207">
        <f t="shared" si="2086"/>
        <v>0</v>
      </c>
      <c r="R1151" s="1207">
        <f t="shared" si="2086"/>
        <v>0</v>
      </c>
      <c r="S1151" s="1096">
        <f t="shared" si="2086"/>
        <v>0</v>
      </c>
      <c r="T1151" s="1096">
        <f t="shared" si="2086"/>
        <v>0</v>
      </c>
      <c r="U1151" s="1096">
        <f t="shared" si="2086"/>
        <v>0</v>
      </c>
      <c r="V1151" s="1096">
        <f t="shared" si="2086"/>
        <v>0</v>
      </c>
      <c r="W1151" s="1096">
        <f t="shared" si="2086"/>
        <v>0</v>
      </c>
      <c r="X1151" s="1207">
        <f t="shared" si="2086"/>
        <v>0</v>
      </c>
      <c r="Y1151" s="1207">
        <f t="shared" si="2086"/>
        <v>0</v>
      </c>
      <c r="Z1151" s="1096">
        <f t="shared" si="2086"/>
        <v>0</v>
      </c>
      <c r="AA1151" s="1096">
        <f t="shared" si="2086"/>
        <v>0</v>
      </c>
      <c r="AB1151" s="1096">
        <f t="shared" si="2086"/>
        <v>0</v>
      </c>
      <c r="AC1151" s="1096">
        <f t="shared" si="2086"/>
        <v>0</v>
      </c>
      <c r="AD1151" s="1096">
        <f t="shared" si="2086"/>
        <v>0</v>
      </c>
      <c r="AE1151" s="1207">
        <f t="shared" si="2086"/>
        <v>0</v>
      </c>
      <c r="AF1151" s="1207">
        <f t="shared" si="2086"/>
        <v>0</v>
      </c>
      <c r="AG1151" s="1096">
        <f t="shared" si="2086"/>
        <v>0</v>
      </c>
      <c r="AH1151" s="1096">
        <f t="shared" si="2086"/>
        <v>0</v>
      </c>
      <c r="AI1151" s="1324">
        <f t="shared" si="2086"/>
        <v>0</v>
      </c>
      <c r="AJ1151" s="38"/>
      <c r="AK1151" s="29"/>
      <c r="AL1151" s="30"/>
      <c r="AM1151" s="694">
        <f t="shared" si="1983"/>
        <v>0</v>
      </c>
      <c r="AN1151" s="31"/>
      <c r="AO1151" s="630"/>
      <c r="AP1151" s="39" t="s">
        <v>91</v>
      </c>
      <c r="AQ1151" s="40">
        <f>SUM(E1150:I1150)</f>
        <v>0</v>
      </c>
      <c r="AR1151" s="41">
        <f>SUM(J1150:P1150)</f>
        <v>0</v>
      </c>
      <c r="AS1151" s="41">
        <f>SUM(Q1150:W1150)</f>
        <v>0</v>
      </c>
      <c r="AT1151" s="41">
        <f>SUM(X1150:AD1150)</f>
        <v>0</v>
      </c>
      <c r="AU1151" s="41">
        <f>SUM(AE1150:AI1150)</f>
        <v>0</v>
      </c>
      <c r="AV1151" s="34">
        <f t="shared" ref="AV1151:AV1156" si="2087">SUM(AQ1151:AU1151)</f>
        <v>0</v>
      </c>
    </row>
    <row r="1152" spans="1:48" ht="25.15" hidden="1" customHeight="1">
      <c r="A1152" s="103"/>
      <c r="B1152" s="26" t="s">
        <v>92</v>
      </c>
      <c r="C1152" s="42"/>
      <c r="D1152" s="43" t="s">
        <v>93</v>
      </c>
      <c r="E1152" s="1325"/>
      <c r="F1152" s="1089"/>
      <c r="G1152" s="44"/>
      <c r="H1152" s="1089"/>
      <c r="I1152" s="1089"/>
      <c r="J1152" s="44"/>
      <c r="K1152" s="44"/>
      <c r="L1152" s="1089"/>
      <c r="M1152" s="1089"/>
      <c r="N1152" s="1089"/>
      <c r="O1152" s="1089"/>
      <c r="P1152" s="1089"/>
      <c r="Q1152" s="44"/>
      <c r="R1152" s="44"/>
      <c r="S1152" s="1089"/>
      <c r="T1152" s="1089"/>
      <c r="U1152" s="1089"/>
      <c r="V1152" s="1089"/>
      <c r="W1152" s="1089"/>
      <c r="X1152" s="44"/>
      <c r="Y1152" s="44"/>
      <c r="Z1152" s="1089"/>
      <c r="AA1152" s="1089"/>
      <c r="AB1152" s="1089"/>
      <c r="AC1152" s="1089"/>
      <c r="AD1152" s="1089"/>
      <c r="AE1152" s="44"/>
      <c r="AF1152" s="44"/>
      <c r="AG1152" s="1089"/>
      <c r="AH1152" s="1089"/>
      <c r="AI1152" s="1326"/>
      <c r="AJ1152" s="45">
        <f>SUM(E1152:AI1152)</f>
        <v>0</v>
      </c>
      <c r="AK1152" s="45"/>
      <c r="AL1152" s="46">
        <f>+AJ1152*AN1150</f>
        <v>0</v>
      </c>
      <c r="AM1152" s="1066">
        <f t="shared" si="1983"/>
        <v>0</v>
      </c>
      <c r="AN1152" s="31"/>
      <c r="AO1152" s="632">
        <f>(AJ1152+AJ1154+AJ1155+AJ1156)*B1154/1000</f>
        <v>0</v>
      </c>
      <c r="AP1152" s="47" t="s">
        <v>94</v>
      </c>
      <c r="AQ1152" s="48">
        <f>SUM(E1152:I1152)</f>
        <v>0</v>
      </c>
      <c r="AR1152" s="49">
        <f>SUM(J1152:P1152)</f>
        <v>0</v>
      </c>
      <c r="AS1152" s="49">
        <f>SUM(Q1152:W1152)</f>
        <v>0</v>
      </c>
      <c r="AT1152" s="49">
        <f>SUM(X1152:AD1152)</f>
        <v>0</v>
      </c>
      <c r="AU1152" s="49">
        <f>SUM(AE1152:AI1152)</f>
        <v>0</v>
      </c>
      <c r="AV1152" s="50">
        <f t="shared" si="2087"/>
        <v>0</v>
      </c>
    </row>
    <row r="1153" spans="1:48" ht="25.15" hidden="1" customHeight="1">
      <c r="A1153" s="103"/>
      <c r="B1153" s="51"/>
      <c r="C1153" s="52" t="s">
        <v>95</v>
      </c>
      <c r="D1153" s="53" t="s">
        <v>96</v>
      </c>
      <c r="E1153" s="1327">
        <f t="shared" ref="E1153:AJ1153" si="2088">+E1152-E1150</f>
        <v>0</v>
      </c>
      <c r="F1153" s="1097">
        <f t="shared" si="2088"/>
        <v>0</v>
      </c>
      <c r="G1153" s="1205">
        <f t="shared" si="2088"/>
        <v>0</v>
      </c>
      <c r="H1153" s="1097">
        <f t="shared" si="2088"/>
        <v>0</v>
      </c>
      <c r="I1153" s="1097">
        <f t="shared" si="2088"/>
        <v>0</v>
      </c>
      <c r="J1153" s="1205">
        <f t="shared" si="2088"/>
        <v>0</v>
      </c>
      <c r="K1153" s="1205">
        <f t="shared" si="2088"/>
        <v>0</v>
      </c>
      <c r="L1153" s="1097">
        <f t="shared" si="2088"/>
        <v>0</v>
      </c>
      <c r="M1153" s="1097">
        <f t="shared" si="2088"/>
        <v>0</v>
      </c>
      <c r="N1153" s="1097">
        <f t="shared" si="2088"/>
        <v>0</v>
      </c>
      <c r="O1153" s="1097">
        <f t="shared" si="2088"/>
        <v>0</v>
      </c>
      <c r="P1153" s="1097">
        <f t="shared" si="2088"/>
        <v>0</v>
      </c>
      <c r="Q1153" s="1205">
        <f t="shared" si="2088"/>
        <v>0</v>
      </c>
      <c r="R1153" s="1205">
        <f t="shared" si="2088"/>
        <v>0</v>
      </c>
      <c r="S1153" s="1097">
        <f t="shared" si="2088"/>
        <v>0</v>
      </c>
      <c r="T1153" s="1097">
        <f t="shared" si="2088"/>
        <v>0</v>
      </c>
      <c r="U1153" s="1097">
        <f t="shared" si="2088"/>
        <v>0</v>
      </c>
      <c r="V1153" s="1097">
        <f t="shared" si="2088"/>
        <v>0</v>
      </c>
      <c r="W1153" s="1097">
        <f t="shared" si="2088"/>
        <v>0</v>
      </c>
      <c r="X1153" s="1205">
        <f t="shared" si="2088"/>
        <v>0</v>
      </c>
      <c r="Y1153" s="1205">
        <f t="shared" si="2088"/>
        <v>0</v>
      </c>
      <c r="Z1153" s="1097">
        <f t="shared" si="2088"/>
        <v>0</v>
      </c>
      <c r="AA1153" s="1097">
        <f t="shared" si="2088"/>
        <v>0</v>
      </c>
      <c r="AB1153" s="1097">
        <f t="shared" si="2088"/>
        <v>0</v>
      </c>
      <c r="AC1153" s="1097">
        <f t="shared" si="2088"/>
        <v>0</v>
      </c>
      <c r="AD1153" s="1097">
        <f t="shared" si="2088"/>
        <v>0</v>
      </c>
      <c r="AE1153" s="1205">
        <f t="shared" si="2088"/>
        <v>0</v>
      </c>
      <c r="AF1153" s="1205">
        <f t="shared" si="2088"/>
        <v>0</v>
      </c>
      <c r="AG1153" s="1097">
        <f t="shared" si="2088"/>
        <v>0</v>
      </c>
      <c r="AH1153" s="1097">
        <f t="shared" si="2088"/>
        <v>0</v>
      </c>
      <c r="AI1153" s="1328">
        <f t="shared" si="2088"/>
        <v>0</v>
      </c>
      <c r="AJ1153" s="54">
        <f t="shared" si="2088"/>
        <v>0</v>
      </c>
      <c r="AK1153" s="54"/>
      <c r="AL1153" s="55">
        <f>+AJ1153*AN1150</f>
        <v>0</v>
      </c>
      <c r="AM1153" s="1067">
        <f t="shared" si="1983"/>
        <v>0</v>
      </c>
      <c r="AN1153" s="31" t="s">
        <v>97</v>
      </c>
      <c r="AO1153" s="622"/>
      <c r="AP1153" s="39" t="s">
        <v>98</v>
      </c>
      <c r="AQ1153" s="56">
        <f>AQ1152-AQ1151</f>
        <v>0</v>
      </c>
      <c r="AR1153" s="70">
        <f>AR1152-AR1151</f>
        <v>0</v>
      </c>
      <c r="AS1153" s="70">
        <f>AS1152-AS1151</f>
        <v>0</v>
      </c>
      <c r="AT1153" s="70">
        <f>AT1152-AT1151</f>
        <v>0</v>
      </c>
      <c r="AU1153" s="70">
        <f>AU1152-AU1151</f>
        <v>0</v>
      </c>
      <c r="AV1153" s="57">
        <f t="shared" si="2087"/>
        <v>0</v>
      </c>
    </row>
    <row r="1154" spans="1:48" ht="25.15" hidden="1" customHeight="1">
      <c r="A1154" s="58"/>
      <c r="B1154" s="59"/>
      <c r="C1154" s="60" t="s">
        <v>100</v>
      </c>
      <c r="D1154" s="61" t="s">
        <v>101</v>
      </c>
      <c r="E1154" s="1329"/>
      <c r="F1154" s="1099"/>
      <c r="G1154" s="1208"/>
      <c r="H1154" s="1099"/>
      <c r="I1154" s="1099"/>
      <c r="J1154" s="1208"/>
      <c r="K1154" s="1208"/>
      <c r="L1154" s="1099"/>
      <c r="M1154" s="1099"/>
      <c r="N1154" s="1099"/>
      <c r="O1154" s="1099"/>
      <c r="P1154" s="1099"/>
      <c r="Q1154" s="1208"/>
      <c r="R1154" s="1208"/>
      <c r="S1154" s="1099"/>
      <c r="T1154" s="1099"/>
      <c r="U1154" s="1099"/>
      <c r="V1154" s="1099"/>
      <c r="W1154" s="1099"/>
      <c r="X1154" s="1208"/>
      <c r="Y1154" s="1208"/>
      <c r="Z1154" s="1099"/>
      <c r="AA1154" s="1099"/>
      <c r="AB1154" s="1099"/>
      <c r="AC1154" s="1099"/>
      <c r="AD1154" s="1099"/>
      <c r="AE1154" s="1208"/>
      <c r="AF1154" s="1208"/>
      <c r="AG1154" s="1099"/>
      <c r="AH1154" s="1099"/>
      <c r="AI1154" s="1330"/>
      <c r="AJ1154" s="62">
        <f>SUM(E1154:AI1154)</f>
        <v>0</v>
      </c>
      <c r="AK1154" s="62"/>
      <c r="AL1154" s="63">
        <f>+AJ1154*AN1150</f>
        <v>0</v>
      </c>
      <c r="AM1154" s="1068">
        <f t="shared" si="1983"/>
        <v>0</v>
      </c>
      <c r="AN1154" s="64" t="e">
        <f>+AJ1154/AJ1152*100</f>
        <v>#DIV/0!</v>
      </c>
      <c r="AO1154" s="635" t="e">
        <f>AO1152/AO1150</f>
        <v>#VALUE!</v>
      </c>
      <c r="AP1154" s="39" t="s">
        <v>102</v>
      </c>
      <c r="AQ1154" s="56">
        <f>SUM(E1154:I1154)</f>
        <v>0</v>
      </c>
      <c r="AR1154" s="70">
        <f>SUM(J1154:P1154)</f>
        <v>0</v>
      </c>
      <c r="AS1154" s="70">
        <f>SUM(Q1154:W1154)</f>
        <v>0</v>
      </c>
      <c r="AT1154" s="70">
        <f>SUM(X1154:AD1154)</f>
        <v>0</v>
      </c>
      <c r="AU1154" s="70">
        <f>SUM(AE1154:AI1154)</f>
        <v>0</v>
      </c>
      <c r="AV1154" s="57">
        <f t="shared" si="2087"/>
        <v>0</v>
      </c>
    </row>
    <row r="1155" spans="1:48" ht="25.15" hidden="1" customHeight="1">
      <c r="A1155" s="58" t="s">
        <v>202</v>
      </c>
      <c r="B1155" s="65"/>
      <c r="C1155" s="66"/>
      <c r="D1155" s="67" t="s">
        <v>103</v>
      </c>
      <c r="E1155" s="1331"/>
      <c r="F1155" s="1101"/>
      <c r="G1155" s="1209"/>
      <c r="H1155" s="1101"/>
      <c r="I1155" s="1101"/>
      <c r="J1155" s="1209"/>
      <c r="K1155" s="1209"/>
      <c r="L1155" s="1101"/>
      <c r="M1155" s="1101"/>
      <c r="N1155" s="1101"/>
      <c r="O1155" s="1101"/>
      <c r="P1155" s="1101"/>
      <c r="Q1155" s="1209"/>
      <c r="R1155" s="1209"/>
      <c r="S1155" s="1101"/>
      <c r="T1155" s="1101"/>
      <c r="U1155" s="1101"/>
      <c r="V1155" s="1101"/>
      <c r="W1155" s="1101"/>
      <c r="X1155" s="1209"/>
      <c r="Y1155" s="1209"/>
      <c r="Z1155" s="1101"/>
      <c r="AA1155" s="1101"/>
      <c r="AB1155" s="1101"/>
      <c r="AC1155" s="1101"/>
      <c r="AD1155" s="1101"/>
      <c r="AE1155" s="1209"/>
      <c r="AF1155" s="1209"/>
      <c r="AG1155" s="1101"/>
      <c r="AH1155" s="1101"/>
      <c r="AI1155" s="1332"/>
      <c r="AJ1155" s="68">
        <f>SUM(E1155:AI1155)</f>
        <v>0</v>
      </c>
      <c r="AK1155" s="68"/>
      <c r="AL1155" s="69">
        <f>+AJ1155*AN1150</f>
        <v>0</v>
      </c>
      <c r="AM1155" s="1069">
        <f t="shared" si="1983"/>
        <v>0</v>
      </c>
      <c r="AN1155" s="31"/>
      <c r="AO1155" s="622"/>
      <c r="AP1155" s="39" t="s">
        <v>19</v>
      </c>
      <c r="AQ1155" s="56">
        <f>AQ1154*AN1150</f>
        <v>0</v>
      </c>
      <c r="AR1155" s="56">
        <f>AR1154*AN1150</f>
        <v>0</v>
      </c>
      <c r="AS1155" s="56">
        <f>AS1154*AN1150</f>
        <v>0</v>
      </c>
      <c r="AT1155" s="56">
        <f>AT1154*AN1150</f>
        <v>0</v>
      </c>
      <c r="AU1155" s="56">
        <f>AU1154*AN1150</f>
        <v>0</v>
      </c>
      <c r="AV1155" s="57">
        <f t="shared" si="2087"/>
        <v>0</v>
      </c>
    </row>
    <row r="1156" spans="1:48" ht="25.15" hidden="1" customHeight="1">
      <c r="A1156" s="103"/>
      <c r="B1156" s="65"/>
      <c r="C1156" s="72" t="s">
        <v>104</v>
      </c>
      <c r="D1156" s="73" t="s">
        <v>105</v>
      </c>
      <c r="E1156" s="1378"/>
      <c r="F1156" s="1103"/>
      <c r="G1156" s="1210"/>
      <c r="H1156" s="1103"/>
      <c r="I1156" s="1103"/>
      <c r="J1156" s="1210"/>
      <c r="K1156" s="1210"/>
      <c r="L1156" s="1103"/>
      <c r="M1156" s="1103"/>
      <c r="N1156" s="1103"/>
      <c r="O1156" s="1103"/>
      <c r="P1156" s="1103"/>
      <c r="Q1156" s="1210"/>
      <c r="R1156" s="1210"/>
      <c r="S1156" s="1103"/>
      <c r="T1156" s="1103"/>
      <c r="U1156" s="1103"/>
      <c r="V1156" s="1103"/>
      <c r="W1156" s="1103"/>
      <c r="X1156" s="1210"/>
      <c r="Y1156" s="1210"/>
      <c r="Z1156" s="1103"/>
      <c r="AA1156" s="1103"/>
      <c r="AB1156" s="1103"/>
      <c r="AC1156" s="1103"/>
      <c r="AD1156" s="1103"/>
      <c r="AE1156" s="1210"/>
      <c r="AF1156" s="1210"/>
      <c r="AG1156" s="1103"/>
      <c r="AH1156" s="1103"/>
      <c r="AI1156" s="1352"/>
      <c r="AJ1156" s="74">
        <f>SUM(E1156:AI1156)</f>
        <v>0</v>
      </c>
      <c r="AK1156" s="74"/>
      <c r="AL1156" s="75">
        <f>+AJ1156*AN1150</f>
        <v>0</v>
      </c>
      <c r="AM1156" s="1070">
        <f t="shared" si="1983"/>
        <v>0</v>
      </c>
      <c r="AN1156" s="76"/>
      <c r="AO1156" s="636"/>
      <c r="AP1156" s="47" t="s">
        <v>106</v>
      </c>
      <c r="AQ1156" s="48">
        <f>AQ1152*AN1150</f>
        <v>0</v>
      </c>
      <c r="AR1156" s="48">
        <f>AR1152*AN1150</f>
        <v>0</v>
      </c>
      <c r="AS1156" s="48">
        <f>AS1152*AN1150</f>
        <v>0</v>
      </c>
      <c r="AT1156" s="48">
        <f>AT1152*AN1150</f>
        <v>0</v>
      </c>
      <c r="AU1156" s="48">
        <f>AU1152*AN1150</f>
        <v>0</v>
      </c>
      <c r="AV1156" s="50">
        <f t="shared" si="2087"/>
        <v>0</v>
      </c>
    </row>
    <row r="1157" spans="1:48" ht="25.15" hidden="1" customHeight="1">
      <c r="A1157" s="103"/>
      <c r="B1157" s="65"/>
      <c r="C1157" s="77">
        <v>300000</v>
      </c>
      <c r="D1157" s="78" t="s">
        <v>107</v>
      </c>
      <c r="E1157" s="1327">
        <v>1</v>
      </c>
      <c r="F1157" s="1097">
        <v>1</v>
      </c>
      <c r="G1157" s="1205">
        <v>1</v>
      </c>
      <c r="H1157" s="1097">
        <v>1</v>
      </c>
      <c r="I1157" s="1097">
        <v>1</v>
      </c>
      <c r="J1157" s="1205">
        <v>1</v>
      </c>
      <c r="K1157" s="1205">
        <v>1</v>
      </c>
      <c r="L1157" s="1097">
        <v>1</v>
      </c>
      <c r="M1157" s="1097">
        <v>1</v>
      </c>
      <c r="N1157" s="1097">
        <v>1</v>
      </c>
      <c r="O1157" s="1097">
        <v>1</v>
      </c>
      <c r="P1157" s="1097">
        <v>1</v>
      </c>
      <c r="Q1157" s="1205">
        <v>1</v>
      </c>
      <c r="R1157" s="1205">
        <v>1</v>
      </c>
      <c r="S1157" s="1097">
        <v>1</v>
      </c>
      <c r="T1157" s="1097">
        <v>1</v>
      </c>
      <c r="U1157" s="1097">
        <v>1</v>
      </c>
      <c r="V1157" s="1097">
        <v>1</v>
      </c>
      <c r="W1157" s="1097">
        <v>1</v>
      </c>
      <c r="X1157" s="1205">
        <v>1</v>
      </c>
      <c r="Y1157" s="1205">
        <v>1</v>
      </c>
      <c r="Z1157" s="1097">
        <v>1</v>
      </c>
      <c r="AA1157" s="1097">
        <v>1</v>
      </c>
      <c r="AB1157" s="1097">
        <v>1</v>
      </c>
      <c r="AC1157" s="1097">
        <v>1</v>
      </c>
      <c r="AD1157" s="1097">
        <v>1</v>
      </c>
      <c r="AE1157" s="1205">
        <v>1</v>
      </c>
      <c r="AF1157" s="1205">
        <v>1</v>
      </c>
      <c r="AG1157" s="1097">
        <v>1</v>
      </c>
      <c r="AH1157" s="1097">
        <v>1</v>
      </c>
      <c r="AI1157" s="1328">
        <v>1</v>
      </c>
      <c r="AJ1157" s="79"/>
      <c r="AK1157" s="79"/>
      <c r="AL1157" s="55"/>
      <c r="AM1157" s="1067">
        <f t="shared" si="1983"/>
        <v>0</v>
      </c>
      <c r="AN1157" s="31"/>
      <c r="AO1157" s="622"/>
      <c r="AP1157" s="23"/>
      <c r="AQ1157" s="23"/>
      <c r="AR1157" s="23"/>
      <c r="AS1157" s="23"/>
      <c r="AT1157" s="23"/>
      <c r="AU1157" s="23"/>
      <c r="AV1157" s="23"/>
    </row>
    <row r="1158" spans="1:48" ht="25.15" hidden="1" customHeight="1">
      <c r="A1158" s="103"/>
      <c r="B1158" s="65"/>
      <c r="C1158" s="80" t="s">
        <v>108</v>
      </c>
      <c r="D1158" s="81" t="s">
        <v>109</v>
      </c>
      <c r="E1158" s="1374">
        <f>SUM(E1152+E1154+E1155+E1156)/E1157</f>
        <v>0</v>
      </c>
      <c r="F1158" s="1104">
        <f>SUM(F1152+F1154+F1155+F1156)/F1157</f>
        <v>0</v>
      </c>
      <c r="G1158" s="1211">
        <f>SUM(G1152+G1154+G1155+G1156)/G1157</f>
        <v>0</v>
      </c>
      <c r="H1158" s="1104">
        <f t="shared" ref="H1158:AH1158" si="2089">SUM(H1152+H1154+H1155+H1156)/H1157</f>
        <v>0</v>
      </c>
      <c r="I1158" s="1104">
        <f t="shared" si="2089"/>
        <v>0</v>
      </c>
      <c r="J1158" s="1211">
        <f t="shared" si="2089"/>
        <v>0</v>
      </c>
      <c r="K1158" s="1211">
        <f t="shared" si="2089"/>
        <v>0</v>
      </c>
      <c r="L1158" s="1104">
        <f t="shared" si="2089"/>
        <v>0</v>
      </c>
      <c r="M1158" s="1104">
        <f t="shared" si="2089"/>
        <v>0</v>
      </c>
      <c r="N1158" s="1104">
        <f t="shared" si="2089"/>
        <v>0</v>
      </c>
      <c r="O1158" s="1104">
        <f t="shared" si="2089"/>
        <v>0</v>
      </c>
      <c r="P1158" s="1104">
        <f t="shared" si="2089"/>
        <v>0</v>
      </c>
      <c r="Q1158" s="1211">
        <f t="shared" si="2089"/>
        <v>0</v>
      </c>
      <c r="R1158" s="1211">
        <f t="shared" si="2089"/>
        <v>0</v>
      </c>
      <c r="S1158" s="1104">
        <f t="shared" si="2089"/>
        <v>0</v>
      </c>
      <c r="T1158" s="1104">
        <f t="shared" si="2089"/>
        <v>0</v>
      </c>
      <c r="U1158" s="1104">
        <f t="shared" si="2089"/>
        <v>0</v>
      </c>
      <c r="V1158" s="1104">
        <f t="shared" si="2089"/>
        <v>0</v>
      </c>
      <c r="W1158" s="1104">
        <f t="shared" si="2089"/>
        <v>0</v>
      </c>
      <c r="X1158" s="1211">
        <f t="shared" si="2089"/>
        <v>0</v>
      </c>
      <c r="Y1158" s="1211">
        <f t="shared" si="2089"/>
        <v>0</v>
      </c>
      <c r="Z1158" s="1104">
        <f t="shared" si="2089"/>
        <v>0</v>
      </c>
      <c r="AA1158" s="1104">
        <f t="shared" si="2089"/>
        <v>0</v>
      </c>
      <c r="AB1158" s="1104">
        <f t="shared" si="2089"/>
        <v>0</v>
      </c>
      <c r="AC1158" s="1104">
        <f t="shared" si="2089"/>
        <v>0</v>
      </c>
      <c r="AD1158" s="1104">
        <f t="shared" si="2089"/>
        <v>0</v>
      </c>
      <c r="AE1158" s="1211">
        <f t="shared" si="2089"/>
        <v>0</v>
      </c>
      <c r="AF1158" s="1211">
        <f t="shared" si="2089"/>
        <v>0</v>
      </c>
      <c r="AG1158" s="1104">
        <f t="shared" si="2089"/>
        <v>0</v>
      </c>
      <c r="AH1158" s="1104">
        <f t="shared" si="2089"/>
        <v>0</v>
      </c>
      <c r="AI1158" s="1335">
        <f>SUM(AI1152+AI1154+AI1155)/AI1157</f>
        <v>0</v>
      </c>
      <c r="AJ1158" s="104">
        <f>SUM(E1158:AI1158)</f>
        <v>0</v>
      </c>
      <c r="AK1158" s="104"/>
      <c r="AL1158" s="83"/>
      <c r="AM1158" s="1068">
        <f t="shared" si="1983"/>
        <v>0</v>
      </c>
      <c r="AN1158" s="31"/>
      <c r="AO1158" s="622"/>
      <c r="AP1158" s="23"/>
      <c r="AQ1158" s="23"/>
      <c r="AR1158" s="23"/>
      <c r="AS1158" s="23"/>
      <c r="AT1158" s="23"/>
      <c r="AU1158" s="23"/>
      <c r="AV1158" s="23"/>
    </row>
    <row r="1159" spans="1:48" ht="25.15" hidden="1" customHeight="1">
      <c r="A1159" s="103"/>
      <c r="B1159" s="59"/>
      <c r="C1159" s="84">
        <f>+C1157*0.8</f>
        <v>240000</v>
      </c>
      <c r="D1159" s="85" t="s">
        <v>110</v>
      </c>
      <c r="E1159" s="1105"/>
      <c r="F1159" s="1106"/>
      <c r="G1159" s="1211"/>
      <c r="H1159" s="1104"/>
      <c r="I1159" s="1104"/>
      <c r="J1159" s="1211"/>
      <c r="K1159" s="1211"/>
      <c r="L1159" s="1104"/>
      <c r="M1159" s="1104"/>
      <c r="N1159" s="1104"/>
      <c r="O1159" s="1107"/>
      <c r="P1159" s="1104"/>
      <c r="Q1159" s="1211"/>
      <c r="R1159" s="1211"/>
      <c r="S1159" s="1104"/>
      <c r="T1159" s="1104"/>
      <c r="U1159" s="1104"/>
      <c r="V1159" s="1104"/>
      <c r="W1159" s="1104"/>
      <c r="X1159" s="1211"/>
      <c r="Y1159" s="1211"/>
      <c r="Z1159" s="1104"/>
      <c r="AA1159" s="1104"/>
      <c r="AB1159" s="1104"/>
      <c r="AC1159" s="1104"/>
      <c r="AD1159" s="1104"/>
      <c r="AE1159" s="1211"/>
      <c r="AF1159" s="1211"/>
      <c r="AG1159" s="1104"/>
      <c r="AH1159" s="1104"/>
      <c r="AI1159" s="1353"/>
      <c r="AJ1159" s="86"/>
      <c r="AK1159" s="86"/>
      <c r="AL1159" s="690"/>
      <c r="AM1159" s="694">
        <f t="shared" ref="AM1159:AM1196" si="2090">AL1161</f>
        <v>0</v>
      </c>
      <c r="AN1159" s="31"/>
      <c r="AO1159" s="622"/>
      <c r="AP1159" s="23"/>
      <c r="AQ1159" s="23"/>
      <c r="AR1159" s="23"/>
      <c r="AS1159" s="23"/>
      <c r="AT1159" s="23"/>
      <c r="AU1159" s="23"/>
      <c r="AV1159" s="23"/>
    </row>
    <row r="1160" spans="1:48" ht="25.15" hidden="1" customHeight="1">
      <c r="A1160" s="103"/>
      <c r="B1160" s="105"/>
      <c r="C1160" s="77"/>
      <c r="D1160" s="88" t="s">
        <v>111</v>
      </c>
      <c r="E1160" s="1108">
        <f>IF(E1159="O/H",E1158,0+E1158)</f>
        <v>0</v>
      </c>
      <c r="F1160" s="1089">
        <f t="shared" ref="F1160:AI1160" si="2091">IF(F1159="O/H",F1158,+E1160+F1158)</f>
        <v>0</v>
      </c>
      <c r="G1160" s="44">
        <f t="shared" si="2091"/>
        <v>0</v>
      </c>
      <c r="H1160" s="1089">
        <f t="shared" si="2091"/>
        <v>0</v>
      </c>
      <c r="I1160" s="1089">
        <f t="shared" si="2091"/>
        <v>0</v>
      </c>
      <c r="J1160" s="44">
        <f t="shared" si="2091"/>
        <v>0</v>
      </c>
      <c r="K1160" s="44">
        <f t="shared" si="2091"/>
        <v>0</v>
      </c>
      <c r="L1160" s="1089">
        <f t="shared" si="2091"/>
        <v>0</v>
      </c>
      <c r="M1160" s="1089">
        <f t="shared" si="2091"/>
        <v>0</v>
      </c>
      <c r="N1160" s="1089">
        <f t="shared" si="2091"/>
        <v>0</v>
      </c>
      <c r="O1160" s="1089">
        <f t="shared" si="2091"/>
        <v>0</v>
      </c>
      <c r="P1160" s="1089">
        <f t="shared" si="2091"/>
        <v>0</v>
      </c>
      <c r="Q1160" s="44">
        <f t="shared" si="2091"/>
        <v>0</v>
      </c>
      <c r="R1160" s="44">
        <f t="shared" si="2091"/>
        <v>0</v>
      </c>
      <c r="S1160" s="1089">
        <f t="shared" si="2091"/>
        <v>0</v>
      </c>
      <c r="T1160" s="1089">
        <f t="shared" si="2091"/>
        <v>0</v>
      </c>
      <c r="U1160" s="1089">
        <f t="shared" si="2091"/>
        <v>0</v>
      </c>
      <c r="V1160" s="1089">
        <f t="shared" si="2091"/>
        <v>0</v>
      </c>
      <c r="W1160" s="1089">
        <f t="shared" si="2091"/>
        <v>0</v>
      </c>
      <c r="X1160" s="44">
        <f t="shared" si="2091"/>
        <v>0</v>
      </c>
      <c r="Y1160" s="44">
        <f t="shared" si="2091"/>
        <v>0</v>
      </c>
      <c r="Z1160" s="1089">
        <f t="shared" si="2091"/>
        <v>0</v>
      </c>
      <c r="AA1160" s="1089">
        <f t="shared" si="2091"/>
        <v>0</v>
      </c>
      <c r="AB1160" s="1089">
        <f t="shared" si="2091"/>
        <v>0</v>
      </c>
      <c r="AC1160" s="1089">
        <f t="shared" si="2091"/>
        <v>0</v>
      </c>
      <c r="AD1160" s="1089">
        <f t="shared" si="2091"/>
        <v>0</v>
      </c>
      <c r="AE1160" s="44">
        <f t="shared" si="2091"/>
        <v>0</v>
      </c>
      <c r="AF1160" s="44">
        <f t="shared" si="2091"/>
        <v>0</v>
      </c>
      <c r="AG1160" s="1089">
        <f t="shared" si="2091"/>
        <v>0</v>
      </c>
      <c r="AH1160" s="1089">
        <f t="shared" si="2091"/>
        <v>0</v>
      </c>
      <c r="AI1160" s="1326">
        <f t="shared" si="2091"/>
        <v>0</v>
      </c>
      <c r="AJ1160" s="79"/>
      <c r="AK1160" s="86"/>
      <c r="AL1160" s="689"/>
      <c r="AM1160" s="694">
        <f t="shared" si="2090"/>
        <v>0</v>
      </c>
      <c r="AN1160" s="31"/>
      <c r="AO1160" s="622"/>
      <c r="AP1160" s="23"/>
      <c r="AQ1160" s="23"/>
      <c r="AR1160" s="23"/>
      <c r="AS1160" s="23"/>
      <c r="AT1160" s="23"/>
      <c r="AU1160" s="23"/>
      <c r="AV1160" s="23"/>
    </row>
    <row r="1161" spans="1:48" s="23" customFormat="1" ht="20.65" hidden="1" customHeight="1">
      <c r="A1161" s="274"/>
      <c r="B1161" s="312"/>
      <c r="C1161" s="308"/>
      <c r="D1161" s="795" t="s">
        <v>112</v>
      </c>
      <c r="E1161" s="1108" t="b">
        <f>IF(AND(ISNUMBER(E1152)),122410+E1158)</f>
        <v>0</v>
      </c>
      <c r="F1161" s="1089" t="str">
        <f>IF(AND(ISNUMBER(F1152)),E1161+F1158,"")</f>
        <v/>
      </c>
      <c r="G1161" s="44" t="str">
        <f t="shared" ref="G1161" si="2092">IF(AND(ISNUMBER(G1152)),F1161+G1158,"")</f>
        <v/>
      </c>
      <c r="H1161" s="1089" t="str">
        <f t="shared" ref="H1161" si="2093">IF(AND(ISNUMBER(H1152)),G1161+H1158,"")</f>
        <v/>
      </c>
      <c r="I1161" s="1089" t="str">
        <f>IF(AND(ISNUMBER(I1152)),H1161+I1158,"")</f>
        <v/>
      </c>
      <c r="J1161" s="44" t="str">
        <f>IF(AND(ISNUMBER(J1152)),I1161+J1158,"")</f>
        <v/>
      </c>
      <c r="K1161" s="44" t="str">
        <f>IF(AND(ISNUMBER(K1152)),J1161+K1158,"")</f>
        <v/>
      </c>
      <c r="L1161" s="1089" t="str">
        <f t="shared" ref="L1161" si="2094">IF(AND(ISNUMBER(L1152)),K1161+L1158,"")</f>
        <v/>
      </c>
      <c r="M1161" s="1089" t="str">
        <f t="shared" ref="M1161" si="2095">IF(AND(ISNUMBER(M1152)),L1161+M1158,"")</f>
        <v/>
      </c>
      <c r="N1161" s="1089" t="str">
        <f t="shared" ref="N1161" si="2096">IF(AND(ISNUMBER(N1152)),M1161+N1158,"")</f>
        <v/>
      </c>
      <c r="O1161" s="1089" t="str">
        <f t="shared" ref="O1161" si="2097">IF(AND(ISNUMBER(O1152)),N1161+O1158,"")</f>
        <v/>
      </c>
      <c r="P1161" s="1089" t="str">
        <f t="shared" ref="P1161" si="2098">IF(AND(ISNUMBER(P1152)),O1161+P1158,"")</f>
        <v/>
      </c>
      <c r="Q1161" s="44" t="str">
        <f t="shared" ref="Q1161" si="2099">IF(AND(ISNUMBER(Q1152)),P1161+Q1158,"")</f>
        <v/>
      </c>
      <c r="R1161" s="44" t="str">
        <f t="shared" ref="R1161" si="2100">IF(AND(ISNUMBER(R1152)),Q1161+R1158,"")</f>
        <v/>
      </c>
      <c r="S1161" s="1089" t="str">
        <f t="shared" ref="S1161" si="2101">IF(AND(ISNUMBER(S1152)),R1161+S1158,"")</f>
        <v/>
      </c>
      <c r="T1161" s="1089" t="str">
        <f t="shared" ref="T1161" si="2102">IF(AND(ISNUMBER(T1152)),S1161+T1158,"")</f>
        <v/>
      </c>
      <c r="U1161" s="1089" t="str">
        <f t="shared" ref="U1161" si="2103">IF(AND(ISNUMBER(U1152)),T1161+U1158,"")</f>
        <v/>
      </c>
      <c r="V1161" s="1089" t="str">
        <f t="shared" ref="V1161" si="2104">IF(AND(ISNUMBER(V1152)),U1161+V1158,"")</f>
        <v/>
      </c>
      <c r="W1161" s="1089" t="str">
        <f t="shared" ref="W1161" si="2105">IF(AND(ISNUMBER(W1152)),V1161+W1158,"")</f>
        <v/>
      </c>
      <c r="X1161" s="44" t="str">
        <f t="shared" ref="X1161" si="2106">IF(AND(ISNUMBER(X1152)),W1161+X1158,"")</f>
        <v/>
      </c>
      <c r="Y1161" s="44" t="str">
        <f t="shared" ref="Y1161" si="2107">IF(AND(ISNUMBER(Y1152)),X1161+Y1158,"")</f>
        <v/>
      </c>
      <c r="Z1161" s="1089" t="str">
        <f t="shared" ref="Z1161" si="2108">IF(AND(ISNUMBER(Z1152)),Y1161+Z1158,"")</f>
        <v/>
      </c>
      <c r="AA1161" s="1089" t="str">
        <f t="shared" ref="AA1161" si="2109">IF(AND(ISNUMBER(AA1152)),Z1161+AA1158,"")</f>
        <v/>
      </c>
      <c r="AB1161" s="1089" t="str">
        <f t="shared" ref="AB1161" si="2110">IF(AND(ISNUMBER(AB1152)),AA1161+AB1158,"")</f>
        <v/>
      </c>
      <c r="AC1161" s="1089" t="str">
        <f t="shared" ref="AC1161" si="2111">IF(AND(ISNUMBER(AC1152)),AB1161+AC1158,"")</f>
        <v/>
      </c>
      <c r="AD1161" s="1089" t="str">
        <f t="shared" ref="AD1161" si="2112">IF(AND(ISNUMBER(AD1152)),AC1161+AD1158,"")</f>
        <v/>
      </c>
      <c r="AE1161" s="44" t="str">
        <f t="shared" ref="AE1161" si="2113">IF(AND(ISNUMBER(AE1152)),AD1161+AE1158,"")</f>
        <v/>
      </c>
      <c r="AF1161" s="44" t="str">
        <f t="shared" ref="AF1161" si="2114">IF(AND(ISNUMBER(AF1152)),AE1161+AF1158,"")</f>
        <v/>
      </c>
      <c r="AG1161" s="1089" t="str">
        <f t="shared" ref="AG1161" si="2115">IF(AND(ISNUMBER(AG1152)),AF1161+AG1158,"")</f>
        <v/>
      </c>
      <c r="AH1161" s="1089" t="str">
        <f t="shared" ref="AH1161" si="2116">IF(AND(ISNUMBER(AH1152)),AG1161+AH1158,"")</f>
        <v/>
      </c>
      <c r="AI1161" s="1089" t="str">
        <f t="shared" ref="AI1161" si="2117">IF(AND(ISNUMBER(AI1152)),AH1161+AI1158,"")</f>
        <v/>
      </c>
      <c r="AJ1161" s="793"/>
      <c r="AK1161" s="793"/>
      <c r="AL1161" s="909"/>
      <c r="AM1161" s="890">
        <f t="shared" si="2090"/>
        <v>0</v>
      </c>
      <c r="AN1161" s="76"/>
      <c r="AO1161" s="624"/>
      <c r="AP1161" s="285"/>
      <c r="AQ1161" s="285"/>
      <c r="AR1161" s="285"/>
      <c r="AS1161" s="285"/>
      <c r="AT1161" s="286"/>
      <c r="AU1161" s="285"/>
      <c r="AV1161" s="287"/>
    </row>
    <row r="1162" spans="1:48" ht="25.15" hidden="1" customHeight="1">
      <c r="A1162" s="103"/>
      <c r="B1162" s="89"/>
      <c r="C1162" s="80"/>
      <c r="D1162" s="90" t="s">
        <v>104</v>
      </c>
      <c r="E1162" s="1108"/>
      <c r="F1162" s="1089"/>
      <c r="G1162" s="44"/>
      <c r="H1162" s="1089"/>
      <c r="I1162" s="1089"/>
      <c r="J1162" s="44"/>
      <c r="K1162" s="44"/>
      <c r="L1162" s="1089"/>
      <c r="M1162" s="1089"/>
      <c r="N1162" s="1089"/>
      <c r="O1162" s="1089"/>
      <c r="P1162" s="1089"/>
      <c r="Q1162" s="44"/>
      <c r="R1162" s="44"/>
      <c r="S1162" s="1089"/>
      <c r="T1162" s="1089"/>
      <c r="U1162" s="1089"/>
      <c r="V1162" s="1089"/>
      <c r="W1162" s="1089"/>
      <c r="X1162" s="44"/>
      <c r="Y1162" s="44"/>
      <c r="Z1162" s="1089"/>
      <c r="AA1162" s="1089"/>
      <c r="AB1162" s="1089"/>
      <c r="AC1162" s="1089"/>
      <c r="AD1162" s="1089"/>
      <c r="AE1162" s="44"/>
      <c r="AF1162" s="44"/>
      <c r="AG1162" s="1089"/>
      <c r="AH1162" s="1089"/>
      <c r="AI1162" s="1326"/>
      <c r="AJ1162" s="79"/>
      <c r="AK1162" s="79"/>
      <c r="AL1162" s="63"/>
      <c r="AM1162" s="1068">
        <f t="shared" si="2090"/>
        <v>0</v>
      </c>
      <c r="AN1162" s="64"/>
      <c r="AO1162" s="624"/>
      <c r="AP1162" s="23"/>
      <c r="AQ1162" s="23"/>
      <c r="AR1162" s="23"/>
      <c r="AS1162" s="23"/>
      <c r="AT1162" s="23"/>
      <c r="AU1162" s="23"/>
      <c r="AV1162" s="23"/>
    </row>
    <row r="1163" spans="1:48" ht="25.15" hidden="1" customHeight="1" thickBot="1">
      <c r="A1163" s="106"/>
      <c r="B1163" s="93"/>
      <c r="C1163" s="94"/>
      <c r="D1163" s="95" t="s">
        <v>111</v>
      </c>
      <c r="E1163" s="1109">
        <f>IF(E1162="O/H",E1158,55890+E1158)</f>
        <v>55890</v>
      </c>
      <c r="F1163" s="1110">
        <f t="shared" ref="F1163:AI1163" si="2118">IF(F1162="O/H",F1158,+E1163+F1158)</f>
        <v>55890</v>
      </c>
      <c r="G1163" s="1212">
        <f t="shared" si="2118"/>
        <v>55890</v>
      </c>
      <c r="H1163" s="1110">
        <f t="shared" si="2118"/>
        <v>55890</v>
      </c>
      <c r="I1163" s="1110">
        <f t="shared" si="2118"/>
        <v>55890</v>
      </c>
      <c r="J1163" s="1212">
        <f t="shared" si="2118"/>
        <v>55890</v>
      </c>
      <c r="K1163" s="1212">
        <f t="shared" si="2118"/>
        <v>55890</v>
      </c>
      <c r="L1163" s="1110">
        <f t="shared" si="2118"/>
        <v>55890</v>
      </c>
      <c r="M1163" s="1110">
        <f t="shared" si="2118"/>
        <v>55890</v>
      </c>
      <c r="N1163" s="1110">
        <f t="shared" si="2118"/>
        <v>55890</v>
      </c>
      <c r="O1163" s="1110">
        <f t="shared" si="2118"/>
        <v>55890</v>
      </c>
      <c r="P1163" s="1110">
        <f t="shared" si="2118"/>
        <v>55890</v>
      </c>
      <c r="Q1163" s="1212">
        <f t="shared" si="2118"/>
        <v>55890</v>
      </c>
      <c r="R1163" s="1212">
        <f t="shared" si="2118"/>
        <v>55890</v>
      </c>
      <c r="S1163" s="1110">
        <f t="shared" si="2118"/>
        <v>55890</v>
      </c>
      <c r="T1163" s="1110">
        <f t="shared" si="2118"/>
        <v>55890</v>
      </c>
      <c r="U1163" s="1110">
        <f t="shared" si="2118"/>
        <v>55890</v>
      </c>
      <c r="V1163" s="1110">
        <f t="shared" si="2118"/>
        <v>55890</v>
      </c>
      <c r="W1163" s="1110">
        <f t="shared" si="2118"/>
        <v>55890</v>
      </c>
      <c r="X1163" s="1212">
        <f t="shared" si="2118"/>
        <v>55890</v>
      </c>
      <c r="Y1163" s="1212">
        <f t="shared" si="2118"/>
        <v>55890</v>
      </c>
      <c r="Z1163" s="1110">
        <f t="shared" si="2118"/>
        <v>55890</v>
      </c>
      <c r="AA1163" s="1110">
        <f t="shared" si="2118"/>
        <v>55890</v>
      </c>
      <c r="AB1163" s="1110">
        <f t="shared" si="2118"/>
        <v>55890</v>
      </c>
      <c r="AC1163" s="1110">
        <f t="shared" si="2118"/>
        <v>55890</v>
      </c>
      <c r="AD1163" s="1110">
        <f t="shared" si="2118"/>
        <v>55890</v>
      </c>
      <c r="AE1163" s="1212">
        <f t="shared" si="2118"/>
        <v>55890</v>
      </c>
      <c r="AF1163" s="1212">
        <f t="shared" si="2118"/>
        <v>55890</v>
      </c>
      <c r="AG1163" s="1110">
        <f t="shared" si="2118"/>
        <v>55890</v>
      </c>
      <c r="AH1163" s="1110">
        <f t="shared" si="2118"/>
        <v>55890</v>
      </c>
      <c r="AI1163" s="1340">
        <f t="shared" si="2118"/>
        <v>55890</v>
      </c>
      <c r="AJ1163" s="96"/>
      <c r="AK1163" s="96"/>
      <c r="AL1163" s="97"/>
      <c r="AM1163" s="1071">
        <f t="shared" si="2090"/>
        <v>0</v>
      </c>
      <c r="AN1163" s="98"/>
      <c r="AO1163" s="625"/>
      <c r="AP1163" s="23"/>
      <c r="AQ1163" s="23"/>
      <c r="AR1163" s="23"/>
      <c r="AS1163" s="23"/>
      <c r="AT1163" s="23"/>
      <c r="AU1163" s="23"/>
      <c r="AV1163" s="23"/>
    </row>
    <row r="1164" spans="1:48" ht="25.15" hidden="1" customHeight="1" thickTop="1">
      <c r="A1164" s="99"/>
      <c r="B1164" s="26" t="s">
        <v>196</v>
      </c>
      <c r="C1164" s="27"/>
      <c r="D1164" s="28" t="s">
        <v>82</v>
      </c>
      <c r="E1164" s="1111"/>
      <c r="F1164" s="1111"/>
      <c r="G1164" s="1201"/>
      <c r="H1164" s="1111"/>
      <c r="I1164" s="1111"/>
      <c r="J1164" s="1201"/>
      <c r="K1164" s="1201"/>
      <c r="L1164" s="1111"/>
      <c r="M1164" s="1111"/>
      <c r="N1164" s="1111"/>
      <c r="O1164" s="1111"/>
      <c r="P1164" s="1111"/>
      <c r="Q1164" s="1201"/>
      <c r="R1164" s="1201"/>
      <c r="S1164" s="1111"/>
      <c r="T1164" s="1111"/>
      <c r="U1164" s="1111"/>
      <c r="V1164" s="1111"/>
      <c r="W1164" s="1111"/>
      <c r="X1164" s="1201"/>
      <c r="Y1164" s="1201"/>
      <c r="Z1164" s="1111"/>
      <c r="AA1164" s="1111"/>
      <c r="AB1164" s="1111"/>
      <c r="AC1164" s="1111"/>
      <c r="AD1164" s="1111"/>
      <c r="AE1164" s="1201"/>
      <c r="AF1164" s="1201"/>
      <c r="AG1164" s="1111"/>
      <c r="AH1164" s="1111"/>
      <c r="AI1164" s="1111"/>
      <c r="AJ1164" s="100">
        <f>SUM(Table75[[#This Row],[June''2026]:[Column27]])</f>
        <v>0</v>
      </c>
      <c r="AK1164" s="100">
        <f t="shared" ref="AK1164:AK1196" si="2119">AJ1166</f>
        <v>0</v>
      </c>
      <c r="AL1164" s="101">
        <f>+AJ1164*AN1164</f>
        <v>0</v>
      </c>
      <c r="AM1164" s="1072">
        <f t="shared" si="2090"/>
        <v>0</v>
      </c>
      <c r="AN1164" s="102"/>
      <c r="AO1164" s="622" t="e">
        <f>Table5[[#This Row],[Total]]*B1168/1000</f>
        <v>#VALUE!</v>
      </c>
      <c r="AP1164" s="32" t="s">
        <v>193</v>
      </c>
      <c r="AQ1164" s="33" t="s">
        <v>84</v>
      </c>
      <c r="AR1164" s="33" t="s">
        <v>85</v>
      </c>
      <c r="AS1164" s="33" t="s">
        <v>86</v>
      </c>
      <c r="AT1164" s="33" t="s">
        <v>87</v>
      </c>
      <c r="AU1164" s="33" t="s">
        <v>88</v>
      </c>
      <c r="AV1164" s="34" t="s">
        <v>68</v>
      </c>
    </row>
    <row r="1165" spans="1:48" ht="25.15" hidden="1" customHeight="1">
      <c r="A1165" s="103"/>
      <c r="B1165" s="35" t="s">
        <v>197</v>
      </c>
      <c r="C1165" s="36"/>
      <c r="D1165" s="37" t="s">
        <v>90</v>
      </c>
      <c r="E1165" s="1373">
        <f>IF(E1164="",0,+ E1164/E1171)</f>
        <v>0</v>
      </c>
      <c r="F1165" s="1096">
        <f t="shared" ref="F1165:AI1165" si="2120">IF(F1164="",0, E1165+F1164/F1171)</f>
        <v>0</v>
      </c>
      <c r="G1165" s="1207">
        <f t="shared" si="2120"/>
        <v>0</v>
      </c>
      <c r="H1165" s="1096">
        <f t="shared" si="2120"/>
        <v>0</v>
      </c>
      <c r="I1165" s="1096">
        <f t="shared" si="2120"/>
        <v>0</v>
      </c>
      <c r="J1165" s="1207">
        <f t="shared" si="2120"/>
        <v>0</v>
      </c>
      <c r="K1165" s="1207">
        <f t="shared" si="2120"/>
        <v>0</v>
      </c>
      <c r="L1165" s="1096">
        <f t="shared" si="2120"/>
        <v>0</v>
      </c>
      <c r="M1165" s="1096">
        <f t="shared" si="2120"/>
        <v>0</v>
      </c>
      <c r="N1165" s="1096">
        <f t="shared" si="2120"/>
        <v>0</v>
      </c>
      <c r="O1165" s="1096">
        <f t="shared" si="2120"/>
        <v>0</v>
      </c>
      <c r="P1165" s="1096">
        <f t="shared" si="2120"/>
        <v>0</v>
      </c>
      <c r="Q1165" s="1207">
        <f t="shared" si="2120"/>
        <v>0</v>
      </c>
      <c r="R1165" s="1207">
        <f t="shared" si="2120"/>
        <v>0</v>
      </c>
      <c r="S1165" s="1096">
        <f t="shared" si="2120"/>
        <v>0</v>
      </c>
      <c r="T1165" s="1096">
        <f t="shared" si="2120"/>
        <v>0</v>
      </c>
      <c r="U1165" s="1096">
        <f t="shared" si="2120"/>
        <v>0</v>
      </c>
      <c r="V1165" s="1096">
        <f t="shared" si="2120"/>
        <v>0</v>
      </c>
      <c r="W1165" s="1096">
        <f t="shared" si="2120"/>
        <v>0</v>
      </c>
      <c r="X1165" s="1207">
        <f t="shared" si="2120"/>
        <v>0</v>
      </c>
      <c r="Y1165" s="1207">
        <f t="shared" si="2120"/>
        <v>0</v>
      </c>
      <c r="Z1165" s="1096">
        <f t="shared" si="2120"/>
        <v>0</v>
      </c>
      <c r="AA1165" s="1096">
        <f t="shared" si="2120"/>
        <v>0</v>
      </c>
      <c r="AB1165" s="1096">
        <f t="shared" si="2120"/>
        <v>0</v>
      </c>
      <c r="AC1165" s="1096">
        <f t="shared" si="2120"/>
        <v>0</v>
      </c>
      <c r="AD1165" s="1096">
        <f t="shared" si="2120"/>
        <v>0</v>
      </c>
      <c r="AE1165" s="1207">
        <f t="shared" si="2120"/>
        <v>0</v>
      </c>
      <c r="AF1165" s="1207">
        <f t="shared" si="2120"/>
        <v>0</v>
      </c>
      <c r="AG1165" s="1096">
        <f t="shared" si="2120"/>
        <v>0</v>
      </c>
      <c r="AH1165" s="1096">
        <f t="shared" si="2120"/>
        <v>0</v>
      </c>
      <c r="AI1165" s="1324">
        <f t="shared" si="2120"/>
        <v>0</v>
      </c>
      <c r="AJ1165" s="38"/>
      <c r="AK1165" s="29"/>
      <c r="AL1165" s="30"/>
      <c r="AM1165" s="694">
        <f t="shared" si="2090"/>
        <v>0</v>
      </c>
      <c r="AN1165" s="31"/>
      <c r="AO1165" s="630"/>
      <c r="AP1165" s="39" t="s">
        <v>91</v>
      </c>
      <c r="AQ1165" s="40">
        <f>SUM(E1164:I1164)</f>
        <v>0</v>
      </c>
      <c r="AR1165" s="41">
        <f>SUM(J1164:P1164)</f>
        <v>0</v>
      </c>
      <c r="AS1165" s="41">
        <f>SUM(Q1164:W1164)</f>
        <v>0</v>
      </c>
      <c r="AT1165" s="41">
        <f>SUM(X1164:AD1164)</f>
        <v>0</v>
      </c>
      <c r="AU1165" s="41">
        <f>SUM(AE1164:AI1164)</f>
        <v>0</v>
      </c>
      <c r="AV1165" s="34">
        <f t="shared" ref="AV1165:AV1170" si="2121">SUM(AQ1165:AU1165)</f>
        <v>0</v>
      </c>
    </row>
    <row r="1166" spans="1:48" ht="25.15" hidden="1" customHeight="1">
      <c r="A1166" s="103"/>
      <c r="B1166" s="26" t="s">
        <v>92</v>
      </c>
      <c r="C1166" s="42"/>
      <c r="D1166" s="43" t="s">
        <v>93</v>
      </c>
      <c r="E1166" s="1325"/>
      <c r="F1166" s="1089"/>
      <c r="G1166" s="44"/>
      <c r="H1166" s="1089"/>
      <c r="I1166" s="1089"/>
      <c r="J1166" s="44"/>
      <c r="K1166" s="44"/>
      <c r="L1166" s="1089"/>
      <c r="M1166" s="1089"/>
      <c r="N1166" s="1089"/>
      <c r="O1166" s="1089"/>
      <c r="P1166" s="1089"/>
      <c r="Q1166" s="44"/>
      <c r="R1166" s="44"/>
      <c r="S1166" s="1089"/>
      <c r="T1166" s="1089"/>
      <c r="U1166" s="1089"/>
      <c r="V1166" s="1089"/>
      <c r="W1166" s="1089"/>
      <c r="X1166" s="44"/>
      <c r="Y1166" s="44"/>
      <c r="Z1166" s="1089"/>
      <c r="AA1166" s="1089"/>
      <c r="AB1166" s="1089"/>
      <c r="AC1166" s="1089"/>
      <c r="AD1166" s="1089"/>
      <c r="AE1166" s="44"/>
      <c r="AF1166" s="44"/>
      <c r="AG1166" s="1089"/>
      <c r="AH1166" s="1089"/>
      <c r="AI1166" s="1326"/>
      <c r="AJ1166" s="45">
        <f>SUM(E1166:AI1166)</f>
        <v>0</v>
      </c>
      <c r="AK1166" s="45"/>
      <c r="AL1166" s="46">
        <f>+AJ1166*AN1164</f>
        <v>0</v>
      </c>
      <c r="AM1166" s="1066">
        <f t="shared" si="2090"/>
        <v>0</v>
      </c>
      <c r="AN1166" s="31"/>
      <c r="AO1166" s="632">
        <f>(AJ1166+AJ1168+AJ1169+AJ1170)*B1168/1000</f>
        <v>0</v>
      </c>
      <c r="AP1166" s="47" t="s">
        <v>94</v>
      </c>
      <c r="AQ1166" s="48">
        <f>SUM(E1166:I1166)</f>
        <v>0</v>
      </c>
      <c r="AR1166" s="49">
        <f>SUM(J1166:P1166)</f>
        <v>0</v>
      </c>
      <c r="AS1166" s="49">
        <f>SUM(Q1166:W1166)</f>
        <v>0</v>
      </c>
      <c r="AT1166" s="49">
        <f>SUM(X1166:AD1166)</f>
        <v>0</v>
      </c>
      <c r="AU1166" s="49">
        <f>SUM(AE1166:AI1166)</f>
        <v>0</v>
      </c>
      <c r="AV1166" s="50">
        <f t="shared" si="2121"/>
        <v>0</v>
      </c>
    </row>
    <row r="1167" spans="1:48" ht="25.15" hidden="1" customHeight="1">
      <c r="A1167" s="103"/>
      <c r="B1167" s="51"/>
      <c r="C1167" s="52" t="s">
        <v>95</v>
      </c>
      <c r="D1167" s="53" t="s">
        <v>96</v>
      </c>
      <c r="E1167" s="1327">
        <f t="shared" ref="E1167:AJ1167" si="2122">+E1166-E1164</f>
        <v>0</v>
      </c>
      <c r="F1167" s="1097">
        <f t="shared" si="2122"/>
        <v>0</v>
      </c>
      <c r="G1167" s="1205">
        <f t="shared" si="2122"/>
        <v>0</v>
      </c>
      <c r="H1167" s="1097">
        <f t="shared" si="2122"/>
        <v>0</v>
      </c>
      <c r="I1167" s="1097">
        <f t="shared" si="2122"/>
        <v>0</v>
      </c>
      <c r="J1167" s="1205">
        <f t="shared" si="2122"/>
        <v>0</v>
      </c>
      <c r="K1167" s="1205">
        <f t="shared" si="2122"/>
        <v>0</v>
      </c>
      <c r="L1167" s="1097">
        <f t="shared" si="2122"/>
        <v>0</v>
      </c>
      <c r="M1167" s="1097">
        <f t="shared" si="2122"/>
        <v>0</v>
      </c>
      <c r="N1167" s="1097">
        <f t="shared" si="2122"/>
        <v>0</v>
      </c>
      <c r="O1167" s="1097">
        <f t="shared" si="2122"/>
        <v>0</v>
      </c>
      <c r="P1167" s="1097">
        <f t="shared" si="2122"/>
        <v>0</v>
      </c>
      <c r="Q1167" s="1205">
        <f t="shared" si="2122"/>
        <v>0</v>
      </c>
      <c r="R1167" s="1205">
        <f t="shared" si="2122"/>
        <v>0</v>
      </c>
      <c r="S1167" s="1097">
        <f t="shared" si="2122"/>
        <v>0</v>
      </c>
      <c r="T1167" s="1097">
        <f t="shared" si="2122"/>
        <v>0</v>
      </c>
      <c r="U1167" s="1097">
        <f t="shared" si="2122"/>
        <v>0</v>
      </c>
      <c r="V1167" s="1097">
        <f t="shared" si="2122"/>
        <v>0</v>
      </c>
      <c r="W1167" s="1097">
        <f t="shared" si="2122"/>
        <v>0</v>
      </c>
      <c r="X1167" s="1205">
        <f t="shared" si="2122"/>
        <v>0</v>
      </c>
      <c r="Y1167" s="1205">
        <f t="shared" si="2122"/>
        <v>0</v>
      </c>
      <c r="Z1167" s="1097">
        <f t="shared" si="2122"/>
        <v>0</v>
      </c>
      <c r="AA1167" s="1097">
        <f t="shared" si="2122"/>
        <v>0</v>
      </c>
      <c r="AB1167" s="1097">
        <f t="shared" si="2122"/>
        <v>0</v>
      </c>
      <c r="AC1167" s="1097">
        <f t="shared" si="2122"/>
        <v>0</v>
      </c>
      <c r="AD1167" s="1097">
        <f t="shared" si="2122"/>
        <v>0</v>
      </c>
      <c r="AE1167" s="1205">
        <f t="shared" si="2122"/>
        <v>0</v>
      </c>
      <c r="AF1167" s="1205">
        <f t="shared" si="2122"/>
        <v>0</v>
      </c>
      <c r="AG1167" s="1097">
        <f t="shared" si="2122"/>
        <v>0</v>
      </c>
      <c r="AH1167" s="1097">
        <f t="shared" si="2122"/>
        <v>0</v>
      </c>
      <c r="AI1167" s="1328">
        <f t="shared" si="2122"/>
        <v>0</v>
      </c>
      <c r="AJ1167" s="54">
        <f t="shared" si="2122"/>
        <v>0</v>
      </c>
      <c r="AK1167" s="54"/>
      <c r="AL1167" s="55">
        <f>+AJ1167*AN1164</f>
        <v>0</v>
      </c>
      <c r="AM1167" s="1067">
        <f t="shared" si="2090"/>
        <v>0</v>
      </c>
      <c r="AN1167" s="31" t="s">
        <v>97</v>
      </c>
      <c r="AO1167" s="622"/>
      <c r="AP1167" s="39" t="s">
        <v>98</v>
      </c>
      <c r="AQ1167" s="56">
        <f>AQ1166-AQ1165</f>
        <v>0</v>
      </c>
      <c r="AR1167" s="70">
        <f>AR1166-AR1165</f>
        <v>0</v>
      </c>
      <c r="AS1167" s="70">
        <f>AS1166-AS1165</f>
        <v>0</v>
      </c>
      <c r="AT1167" s="70">
        <f>AT1166-AT1165</f>
        <v>0</v>
      </c>
      <c r="AU1167" s="70">
        <f>AU1166-AU1165</f>
        <v>0</v>
      </c>
      <c r="AV1167" s="57">
        <f t="shared" si="2121"/>
        <v>0</v>
      </c>
    </row>
    <row r="1168" spans="1:48" ht="25.15" hidden="1" customHeight="1">
      <c r="A1168" s="58"/>
      <c r="B1168" s="59"/>
      <c r="C1168" s="60" t="s">
        <v>100</v>
      </c>
      <c r="D1168" s="61" t="s">
        <v>101</v>
      </c>
      <c r="E1168" s="1329"/>
      <c r="F1168" s="1099"/>
      <c r="G1168" s="1208"/>
      <c r="H1168" s="1099"/>
      <c r="I1168" s="1099"/>
      <c r="J1168" s="1208"/>
      <c r="K1168" s="1208"/>
      <c r="L1168" s="1099"/>
      <c r="M1168" s="1099"/>
      <c r="N1168" s="1099"/>
      <c r="O1168" s="1099"/>
      <c r="P1168" s="1099"/>
      <c r="Q1168" s="1208"/>
      <c r="R1168" s="1208"/>
      <c r="S1168" s="1099"/>
      <c r="T1168" s="1099"/>
      <c r="U1168" s="1099"/>
      <c r="V1168" s="1099"/>
      <c r="W1168" s="1099"/>
      <c r="X1168" s="1208"/>
      <c r="Y1168" s="1208"/>
      <c r="Z1168" s="1099"/>
      <c r="AA1168" s="1099"/>
      <c r="AB1168" s="1099"/>
      <c r="AC1168" s="1099"/>
      <c r="AD1168" s="1099"/>
      <c r="AE1168" s="1208"/>
      <c r="AF1168" s="1208"/>
      <c r="AG1168" s="1099"/>
      <c r="AH1168" s="1099"/>
      <c r="AI1168" s="1330"/>
      <c r="AJ1168" s="62">
        <f>SUM(E1168:AI1168)</f>
        <v>0</v>
      </c>
      <c r="AK1168" s="62"/>
      <c r="AL1168" s="63">
        <f>+AJ1168*AN1164</f>
        <v>0</v>
      </c>
      <c r="AM1168" s="1068">
        <f t="shared" si="2090"/>
        <v>0</v>
      </c>
      <c r="AN1168" s="64" t="e">
        <f>+AJ1168/AJ1166*100</f>
        <v>#DIV/0!</v>
      </c>
      <c r="AO1168" s="635" t="e">
        <f>AO1166/AO1164</f>
        <v>#VALUE!</v>
      </c>
      <c r="AP1168" s="39" t="s">
        <v>102</v>
      </c>
      <c r="AQ1168" s="56">
        <f>SUM(E1168:I1168)</f>
        <v>0</v>
      </c>
      <c r="AR1168" s="70">
        <f>SUM(J1168:P1168)</f>
        <v>0</v>
      </c>
      <c r="AS1168" s="70">
        <f>SUM(Q1168:W1168)</f>
        <v>0</v>
      </c>
      <c r="AT1168" s="70">
        <f>SUM(X1168:AD1168)</f>
        <v>0</v>
      </c>
      <c r="AU1168" s="70">
        <f>SUM(AE1168:AI1168)</f>
        <v>0</v>
      </c>
      <c r="AV1168" s="57">
        <f t="shared" si="2121"/>
        <v>0</v>
      </c>
    </row>
    <row r="1169" spans="1:48" ht="25.15" hidden="1" customHeight="1">
      <c r="A1169" s="58" t="s">
        <v>202</v>
      </c>
      <c r="B1169" s="65"/>
      <c r="C1169" s="66"/>
      <c r="D1169" s="67" t="s">
        <v>103</v>
      </c>
      <c r="E1169" s="1331"/>
      <c r="F1169" s="1101"/>
      <c r="G1169" s="1209"/>
      <c r="H1169" s="1101"/>
      <c r="I1169" s="1101"/>
      <c r="J1169" s="1209"/>
      <c r="K1169" s="1209"/>
      <c r="L1169" s="1101"/>
      <c r="M1169" s="1101"/>
      <c r="N1169" s="1101"/>
      <c r="O1169" s="1101"/>
      <c r="P1169" s="1101"/>
      <c r="Q1169" s="1209"/>
      <c r="R1169" s="1209"/>
      <c r="S1169" s="1101"/>
      <c r="T1169" s="1101"/>
      <c r="U1169" s="1101"/>
      <c r="V1169" s="1101"/>
      <c r="W1169" s="1101"/>
      <c r="X1169" s="1209"/>
      <c r="Y1169" s="1209"/>
      <c r="Z1169" s="1101"/>
      <c r="AA1169" s="1101"/>
      <c r="AB1169" s="1101"/>
      <c r="AC1169" s="1101"/>
      <c r="AD1169" s="1101"/>
      <c r="AE1169" s="1209"/>
      <c r="AF1169" s="1209"/>
      <c r="AG1169" s="1101"/>
      <c r="AH1169" s="1101"/>
      <c r="AI1169" s="1332"/>
      <c r="AJ1169" s="68">
        <f>SUM(E1169:AI1169)</f>
        <v>0</v>
      </c>
      <c r="AK1169" s="68"/>
      <c r="AL1169" s="69">
        <f>+AJ1169*AN1164</f>
        <v>0</v>
      </c>
      <c r="AM1169" s="1069">
        <f t="shared" si="2090"/>
        <v>0</v>
      </c>
      <c r="AN1169" s="31"/>
      <c r="AO1169" s="622"/>
      <c r="AP1169" s="39" t="s">
        <v>19</v>
      </c>
      <c r="AQ1169" s="56">
        <f>AQ1168*AN1164</f>
        <v>0</v>
      </c>
      <c r="AR1169" s="56">
        <f>AR1168*AN1164</f>
        <v>0</v>
      </c>
      <c r="AS1169" s="56">
        <f>AS1168*AN1164</f>
        <v>0</v>
      </c>
      <c r="AT1169" s="56">
        <f>AT1168*AN1164</f>
        <v>0</v>
      </c>
      <c r="AU1169" s="56">
        <f>AU1168*AN1164</f>
        <v>0</v>
      </c>
      <c r="AV1169" s="57">
        <f t="shared" si="2121"/>
        <v>0</v>
      </c>
    </row>
    <row r="1170" spans="1:48" ht="25.15" hidden="1" customHeight="1">
      <c r="A1170" s="103"/>
      <c r="B1170" s="65"/>
      <c r="C1170" s="72" t="s">
        <v>104</v>
      </c>
      <c r="D1170" s="73" t="s">
        <v>105</v>
      </c>
      <c r="E1170" s="1378"/>
      <c r="F1170" s="1103"/>
      <c r="G1170" s="1210"/>
      <c r="H1170" s="1103"/>
      <c r="I1170" s="1103"/>
      <c r="J1170" s="1210"/>
      <c r="K1170" s="1210"/>
      <c r="L1170" s="1103"/>
      <c r="M1170" s="1103"/>
      <c r="N1170" s="1103"/>
      <c r="O1170" s="1103"/>
      <c r="P1170" s="1103"/>
      <c r="Q1170" s="1210"/>
      <c r="R1170" s="1210"/>
      <c r="S1170" s="1103"/>
      <c r="T1170" s="1103"/>
      <c r="U1170" s="1103"/>
      <c r="V1170" s="1103"/>
      <c r="W1170" s="1103"/>
      <c r="X1170" s="1210"/>
      <c r="Y1170" s="1210"/>
      <c r="Z1170" s="1103"/>
      <c r="AA1170" s="1103"/>
      <c r="AB1170" s="1103"/>
      <c r="AC1170" s="1103"/>
      <c r="AD1170" s="1103"/>
      <c r="AE1170" s="1210"/>
      <c r="AF1170" s="1210"/>
      <c r="AG1170" s="1103"/>
      <c r="AH1170" s="1103"/>
      <c r="AI1170" s="1352"/>
      <c r="AJ1170" s="74">
        <f>SUM(E1170:AI1170)</f>
        <v>0</v>
      </c>
      <c r="AK1170" s="74"/>
      <c r="AL1170" s="75">
        <f>+AJ1170*AN1164</f>
        <v>0</v>
      </c>
      <c r="AM1170" s="1070">
        <f t="shared" si="2090"/>
        <v>0</v>
      </c>
      <c r="AN1170" s="76"/>
      <c r="AO1170" s="636"/>
      <c r="AP1170" s="47" t="s">
        <v>106</v>
      </c>
      <c r="AQ1170" s="48">
        <f>AQ1166*AN1164</f>
        <v>0</v>
      </c>
      <c r="AR1170" s="48">
        <f>AR1166*AN1164</f>
        <v>0</v>
      </c>
      <c r="AS1170" s="48">
        <f>AS1166*AN1164</f>
        <v>0</v>
      </c>
      <c r="AT1170" s="48">
        <f>AT1166*AN1164</f>
        <v>0</v>
      </c>
      <c r="AU1170" s="48">
        <f>AU1166*AN1164</f>
        <v>0</v>
      </c>
      <c r="AV1170" s="50">
        <f t="shared" si="2121"/>
        <v>0</v>
      </c>
    </row>
    <row r="1171" spans="1:48" ht="25.15" hidden="1" customHeight="1">
      <c r="A1171" s="103"/>
      <c r="B1171" s="65"/>
      <c r="C1171" s="77">
        <v>300000</v>
      </c>
      <c r="D1171" s="78" t="s">
        <v>107</v>
      </c>
      <c r="E1171" s="1327">
        <v>1</v>
      </c>
      <c r="F1171" s="1097">
        <v>1</v>
      </c>
      <c r="G1171" s="1205">
        <v>1</v>
      </c>
      <c r="H1171" s="1097">
        <v>1</v>
      </c>
      <c r="I1171" s="1097">
        <v>1</v>
      </c>
      <c r="J1171" s="1205">
        <v>1</v>
      </c>
      <c r="K1171" s="1205">
        <v>1</v>
      </c>
      <c r="L1171" s="1097">
        <v>1</v>
      </c>
      <c r="M1171" s="1097">
        <v>1</v>
      </c>
      <c r="N1171" s="1097">
        <v>1</v>
      </c>
      <c r="O1171" s="1097">
        <v>1</v>
      </c>
      <c r="P1171" s="1097">
        <v>1</v>
      </c>
      <c r="Q1171" s="1205">
        <v>1</v>
      </c>
      <c r="R1171" s="1205">
        <v>1</v>
      </c>
      <c r="S1171" s="1097">
        <v>1</v>
      </c>
      <c r="T1171" s="1097">
        <v>1</v>
      </c>
      <c r="U1171" s="1097">
        <v>1</v>
      </c>
      <c r="V1171" s="1097">
        <v>1</v>
      </c>
      <c r="W1171" s="1097">
        <v>1</v>
      </c>
      <c r="X1171" s="1205">
        <v>1</v>
      </c>
      <c r="Y1171" s="1205">
        <v>1</v>
      </c>
      <c r="Z1171" s="1097">
        <v>1</v>
      </c>
      <c r="AA1171" s="1097">
        <v>1</v>
      </c>
      <c r="AB1171" s="1097">
        <v>1</v>
      </c>
      <c r="AC1171" s="1097">
        <v>1</v>
      </c>
      <c r="AD1171" s="1097">
        <v>1</v>
      </c>
      <c r="AE1171" s="1205">
        <v>1</v>
      </c>
      <c r="AF1171" s="1205">
        <v>1</v>
      </c>
      <c r="AG1171" s="1097">
        <v>1</v>
      </c>
      <c r="AH1171" s="1097">
        <v>1</v>
      </c>
      <c r="AI1171" s="1328">
        <v>1</v>
      </c>
      <c r="AJ1171" s="79"/>
      <c r="AK1171" s="79"/>
      <c r="AL1171" s="55"/>
      <c r="AM1171" s="1067">
        <f t="shared" si="2090"/>
        <v>0</v>
      </c>
      <c r="AN1171" s="31"/>
      <c r="AO1171" s="622"/>
      <c r="AP1171" s="23"/>
      <c r="AQ1171" s="23"/>
      <c r="AR1171" s="23"/>
      <c r="AS1171" s="23"/>
      <c r="AT1171" s="23"/>
      <c r="AU1171" s="23"/>
      <c r="AV1171" s="23"/>
    </row>
    <row r="1172" spans="1:48" ht="25.15" hidden="1" customHeight="1">
      <c r="A1172" s="103"/>
      <c r="B1172" s="65"/>
      <c r="C1172" s="80" t="s">
        <v>108</v>
      </c>
      <c r="D1172" s="81" t="s">
        <v>109</v>
      </c>
      <c r="E1172" s="1374">
        <f>SUM(E1166+E1168+E1169+E1170)/E1171</f>
        <v>0</v>
      </c>
      <c r="F1172" s="1104">
        <f>SUM(F1166+F1168+F1169+F1170)/F1171</f>
        <v>0</v>
      </c>
      <c r="G1172" s="1211">
        <f>SUM(G1166+G1168+G1169+G1170)/G1171</f>
        <v>0</v>
      </c>
      <c r="H1172" s="1104">
        <f t="shared" ref="H1172:AH1172" si="2123">SUM(H1166+H1168+H1169+H1170)/H1171</f>
        <v>0</v>
      </c>
      <c r="I1172" s="1104">
        <f t="shared" si="2123"/>
        <v>0</v>
      </c>
      <c r="J1172" s="1211">
        <f t="shared" si="2123"/>
        <v>0</v>
      </c>
      <c r="K1172" s="1211">
        <f t="shared" si="2123"/>
        <v>0</v>
      </c>
      <c r="L1172" s="1104">
        <f t="shared" si="2123"/>
        <v>0</v>
      </c>
      <c r="M1172" s="1104">
        <f t="shared" si="2123"/>
        <v>0</v>
      </c>
      <c r="N1172" s="1104">
        <f t="shared" si="2123"/>
        <v>0</v>
      </c>
      <c r="O1172" s="1104">
        <f t="shared" si="2123"/>
        <v>0</v>
      </c>
      <c r="P1172" s="1104">
        <f t="shared" si="2123"/>
        <v>0</v>
      </c>
      <c r="Q1172" s="1211">
        <f t="shared" si="2123"/>
        <v>0</v>
      </c>
      <c r="R1172" s="1211">
        <f t="shared" si="2123"/>
        <v>0</v>
      </c>
      <c r="S1172" s="1104">
        <f t="shared" si="2123"/>
        <v>0</v>
      </c>
      <c r="T1172" s="1104">
        <f t="shared" si="2123"/>
        <v>0</v>
      </c>
      <c r="U1172" s="1104">
        <f t="shared" si="2123"/>
        <v>0</v>
      </c>
      <c r="V1172" s="1104">
        <f t="shared" si="2123"/>
        <v>0</v>
      </c>
      <c r="W1172" s="1104">
        <f t="shared" si="2123"/>
        <v>0</v>
      </c>
      <c r="X1172" s="1211">
        <f t="shared" si="2123"/>
        <v>0</v>
      </c>
      <c r="Y1172" s="1211">
        <f t="shared" si="2123"/>
        <v>0</v>
      </c>
      <c r="Z1172" s="1104">
        <f t="shared" si="2123"/>
        <v>0</v>
      </c>
      <c r="AA1172" s="1104">
        <f t="shared" si="2123"/>
        <v>0</v>
      </c>
      <c r="AB1172" s="1104">
        <f t="shared" si="2123"/>
        <v>0</v>
      </c>
      <c r="AC1172" s="1104">
        <f t="shared" si="2123"/>
        <v>0</v>
      </c>
      <c r="AD1172" s="1104">
        <f t="shared" si="2123"/>
        <v>0</v>
      </c>
      <c r="AE1172" s="1211">
        <f t="shared" si="2123"/>
        <v>0</v>
      </c>
      <c r="AF1172" s="1211">
        <f t="shared" si="2123"/>
        <v>0</v>
      </c>
      <c r="AG1172" s="1104">
        <f t="shared" si="2123"/>
        <v>0</v>
      </c>
      <c r="AH1172" s="1104">
        <f t="shared" si="2123"/>
        <v>0</v>
      </c>
      <c r="AI1172" s="1335">
        <f>SUM(AI1166+AI1168+AI1169)/AI1171</f>
        <v>0</v>
      </c>
      <c r="AJ1172" s="104">
        <f>SUM(E1172:AI1172)</f>
        <v>0</v>
      </c>
      <c r="AK1172" s="104"/>
      <c r="AL1172" s="83"/>
      <c r="AM1172" s="1068">
        <f t="shared" si="2090"/>
        <v>0</v>
      </c>
      <c r="AN1172" s="31"/>
      <c r="AO1172" s="622"/>
      <c r="AP1172" s="23"/>
      <c r="AQ1172" s="23"/>
      <c r="AR1172" s="23"/>
      <c r="AS1172" s="23"/>
      <c r="AT1172" s="23"/>
      <c r="AU1172" s="23"/>
      <c r="AV1172" s="23"/>
    </row>
    <row r="1173" spans="1:48" ht="25.15" hidden="1" customHeight="1">
      <c r="A1173" s="103"/>
      <c r="B1173" s="59"/>
      <c r="C1173" s="84">
        <f>+C1171*0.8</f>
        <v>240000</v>
      </c>
      <c r="D1173" s="85" t="s">
        <v>110</v>
      </c>
      <c r="E1173" s="1105"/>
      <c r="F1173" s="1106"/>
      <c r="G1173" s="1211"/>
      <c r="H1173" s="1104"/>
      <c r="I1173" s="1104"/>
      <c r="J1173" s="1211"/>
      <c r="K1173" s="1211"/>
      <c r="L1173" s="1104"/>
      <c r="M1173" s="1104"/>
      <c r="N1173" s="1104"/>
      <c r="O1173" s="1107"/>
      <c r="P1173" s="1104"/>
      <c r="Q1173" s="1211"/>
      <c r="R1173" s="1211"/>
      <c r="S1173" s="1104"/>
      <c r="T1173" s="1104"/>
      <c r="U1173" s="1104"/>
      <c r="V1173" s="1104"/>
      <c r="W1173" s="1104"/>
      <c r="X1173" s="1211"/>
      <c r="Y1173" s="1211"/>
      <c r="Z1173" s="1104"/>
      <c r="AA1173" s="1104"/>
      <c r="AB1173" s="1104"/>
      <c r="AC1173" s="1104"/>
      <c r="AD1173" s="1104"/>
      <c r="AE1173" s="1211"/>
      <c r="AF1173" s="1211"/>
      <c r="AG1173" s="1104"/>
      <c r="AH1173" s="1104"/>
      <c r="AI1173" s="1353"/>
      <c r="AJ1173" s="86"/>
      <c r="AK1173" s="86"/>
      <c r="AL1173" s="690"/>
      <c r="AM1173" s="694">
        <f t="shared" si="2090"/>
        <v>0</v>
      </c>
      <c r="AN1173" s="31"/>
      <c r="AO1173" s="622"/>
      <c r="AP1173" s="23"/>
      <c r="AQ1173" s="23"/>
      <c r="AR1173" s="23"/>
      <c r="AS1173" s="23"/>
      <c r="AT1173" s="23"/>
      <c r="AU1173" s="23"/>
      <c r="AV1173" s="23"/>
    </row>
    <row r="1174" spans="1:48" ht="25.15" hidden="1" customHeight="1">
      <c r="A1174" s="103"/>
      <c r="B1174" s="105"/>
      <c r="C1174" s="77"/>
      <c r="D1174" s="88" t="s">
        <v>111</v>
      </c>
      <c r="E1174" s="1108">
        <f>IF(E1173="O/H",E1172,0+E1172)</f>
        <v>0</v>
      </c>
      <c r="F1174" s="1089">
        <f t="shared" ref="F1174:AI1174" si="2124">IF(F1173="O/H",F1172,+E1174+F1172)</f>
        <v>0</v>
      </c>
      <c r="G1174" s="44">
        <f t="shared" si="2124"/>
        <v>0</v>
      </c>
      <c r="H1174" s="1089">
        <f t="shared" si="2124"/>
        <v>0</v>
      </c>
      <c r="I1174" s="1089">
        <f t="shared" si="2124"/>
        <v>0</v>
      </c>
      <c r="J1174" s="44">
        <f t="shared" si="2124"/>
        <v>0</v>
      </c>
      <c r="K1174" s="44">
        <f t="shared" si="2124"/>
        <v>0</v>
      </c>
      <c r="L1174" s="1089">
        <f t="shared" si="2124"/>
        <v>0</v>
      </c>
      <c r="M1174" s="1089">
        <f t="shared" si="2124"/>
        <v>0</v>
      </c>
      <c r="N1174" s="1089">
        <f t="shared" si="2124"/>
        <v>0</v>
      </c>
      <c r="O1174" s="1089">
        <f t="shared" si="2124"/>
        <v>0</v>
      </c>
      <c r="P1174" s="1089">
        <f t="shared" si="2124"/>
        <v>0</v>
      </c>
      <c r="Q1174" s="44">
        <f t="shared" si="2124"/>
        <v>0</v>
      </c>
      <c r="R1174" s="44">
        <f t="shared" si="2124"/>
        <v>0</v>
      </c>
      <c r="S1174" s="1089">
        <f t="shared" si="2124"/>
        <v>0</v>
      </c>
      <c r="T1174" s="1089">
        <f t="shared" si="2124"/>
        <v>0</v>
      </c>
      <c r="U1174" s="1089">
        <f t="shared" si="2124"/>
        <v>0</v>
      </c>
      <c r="V1174" s="1089">
        <f t="shared" si="2124"/>
        <v>0</v>
      </c>
      <c r="W1174" s="1089">
        <f t="shared" si="2124"/>
        <v>0</v>
      </c>
      <c r="X1174" s="44">
        <f t="shared" si="2124"/>
        <v>0</v>
      </c>
      <c r="Y1174" s="44">
        <f t="shared" si="2124"/>
        <v>0</v>
      </c>
      <c r="Z1174" s="1089">
        <f t="shared" si="2124"/>
        <v>0</v>
      </c>
      <c r="AA1174" s="1089">
        <f t="shared" si="2124"/>
        <v>0</v>
      </c>
      <c r="AB1174" s="1089">
        <f t="shared" si="2124"/>
        <v>0</v>
      </c>
      <c r="AC1174" s="1089">
        <f t="shared" si="2124"/>
        <v>0</v>
      </c>
      <c r="AD1174" s="1089">
        <f t="shared" si="2124"/>
        <v>0</v>
      </c>
      <c r="AE1174" s="44">
        <f t="shared" si="2124"/>
        <v>0</v>
      </c>
      <c r="AF1174" s="44">
        <f t="shared" si="2124"/>
        <v>0</v>
      </c>
      <c r="AG1174" s="1089">
        <f t="shared" si="2124"/>
        <v>0</v>
      </c>
      <c r="AH1174" s="1089">
        <f t="shared" si="2124"/>
        <v>0</v>
      </c>
      <c r="AI1174" s="1326">
        <f t="shared" si="2124"/>
        <v>0</v>
      </c>
      <c r="AJ1174" s="79"/>
      <c r="AK1174" s="86"/>
      <c r="AL1174" s="689"/>
      <c r="AM1174" s="694">
        <f t="shared" si="2090"/>
        <v>0</v>
      </c>
      <c r="AN1174" s="31"/>
      <c r="AO1174" s="622"/>
      <c r="AP1174" s="23"/>
      <c r="AQ1174" s="23"/>
      <c r="AR1174" s="23"/>
      <c r="AS1174" s="23"/>
      <c r="AT1174" s="23"/>
      <c r="AU1174" s="23"/>
      <c r="AV1174" s="23"/>
    </row>
    <row r="1175" spans="1:48" s="23" customFormat="1" ht="20.65" hidden="1" customHeight="1">
      <c r="A1175" s="274"/>
      <c r="B1175" s="312"/>
      <c r="C1175" s="308"/>
      <c r="D1175" s="795" t="s">
        <v>112</v>
      </c>
      <c r="E1175" s="1108" t="b">
        <f>IF(AND(ISNUMBER(E1166)),122410+E1172)</f>
        <v>0</v>
      </c>
      <c r="F1175" s="1089" t="str">
        <f>IF(AND(ISNUMBER(F1166)),E1175+F1172,"")</f>
        <v/>
      </c>
      <c r="G1175" s="44" t="str">
        <f t="shared" ref="G1175" si="2125">IF(AND(ISNUMBER(G1166)),F1175+G1172,"")</f>
        <v/>
      </c>
      <c r="H1175" s="1089" t="str">
        <f t="shared" ref="H1175" si="2126">IF(AND(ISNUMBER(H1166)),G1175+H1172,"")</f>
        <v/>
      </c>
      <c r="I1175" s="1089" t="str">
        <f>IF(AND(ISNUMBER(I1166)),H1175+I1172,"")</f>
        <v/>
      </c>
      <c r="J1175" s="44" t="str">
        <f>IF(AND(ISNUMBER(J1166)),I1175+J1172,"")</f>
        <v/>
      </c>
      <c r="K1175" s="44" t="str">
        <f>IF(AND(ISNUMBER(K1166)),J1175+K1172,"")</f>
        <v/>
      </c>
      <c r="L1175" s="1089" t="str">
        <f t="shared" ref="L1175" si="2127">IF(AND(ISNUMBER(L1166)),K1175+L1172,"")</f>
        <v/>
      </c>
      <c r="M1175" s="1089" t="str">
        <f t="shared" ref="M1175" si="2128">IF(AND(ISNUMBER(M1166)),L1175+M1172,"")</f>
        <v/>
      </c>
      <c r="N1175" s="1089" t="str">
        <f t="shared" ref="N1175" si="2129">IF(AND(ISNUMBER(N1166)),M1175+N1172,"")</f>
        <v/>
      </c>
      <c r="O1175" s="1089" t="str">
        <f t="shared" ref="O1175" si="2130">IF(AND(ISNUMBER(O1166)),N1175+O1172,"")</f>
        <v/>
      </c>
      <c r="P1175" s="1089" t="str">
        <f t="shared" ref="P1175" si="2131">IF(AND(ISNUMBER(P1166)),O1175+P1172,"")</f>
        <v/>
      </c>
      <c r="Q1175" s="44" t="str">
        <f t="shared" ref="Q1175" si="2132">IF(AND(ISNUMBER(Q1166)),P1175+Q1172,"")</f>
        <v/>
      </c>
      <c r="R1175" s="44" t="str">
        <f t="shared" ref="R1175" si="2133">IF(AND(ISNUMBER(R1166)),Q1175+R1172,"")</f>
        <v/>
      </c>
      <c r="S1175" s="1089" t="str">
        <f t="shared" ref="S1175" si="2134">IF(AND(ISNUMBER(S1166)),R1175+S1172,"")</f>
        <v/>
      </c>
      <c r="T1175" s="1089" t="str">
        <f t="shared" ref="T1175" si="2135">IF(AND(ISNUMBER(T1166)),S1175+T1172,"")</f>
        <v/>
      </c>
      <c r="U1175" s="1089" t="str">
        <f t="shared" ref="U1175" si="2136">IF(AND(ISNUMBER(U1166)),T1175+U1172,"")</f>
        <v/>
      </c>
      <c r="V1175" s="1089" t="str">
        <f t="shared" ref="V1175" si="2137">IF(AND(ISNUMBER(V1166)),U1175+V1172,"")</f>
        <v/>
      </c>
      <c r="W1175" s="1089" t="str">
        <f t="shared" ref="W1175" si="2138">IF(AND(ISNUMBER(W1166)),V1175+W1172,"")</f>
        <v/>
      </c>
      <c r="X1175" s="44" t="str">
        <f t="shared" ref="X1175" si="2139">IF(AND(ISNUMBER(X1166)),W1175+X1172,"")</f>
        <v/>
      </c>
      <c r="Y1175" s="44" t="str">
        <f t="shared" ref="Y1175" si="2140">IF(AND(ISNUMBER(Y1166)),X1175+Y1172,"")</f>
        <v/>
      </c>
      <c r="Z1175" s="1089" t="str">
        <f t="shared" ref="Z1175" si="2141">IF(AND(ISNUMBER(Z1166)),Y1175+Z1172,"")</f>
        <v/>
      </c>
      <c r="AA1175" s="1089" t="str">
        <f t="shared" ref="AA1175" si="2142">IF(AND(ISNUMBER(AA1166)),Z1175+AA1172,"")</f>
        <v/>
      </c>
      <c r="AB1175" s="1089" t="str">
        <f t="shared" ref="AB1175" si="2143">IF(AND(ISNUMBER(AB1166)),AA1175+AB1172,"")</f>
        <v/>
      </c>
      <c r="AC1175" s="1089" t="str">
        <f t="shared" ref="AC1175" si="2144">IF(AND(ISNUMBER(AC1166)),AB1175+AC1172,"")</f>
        <v/>
      </c>
      <c r="AD1175" s="1089" t="str">
        <f t="shared" ref="AD1175" si="2145">IF(AND(ISNUMBER(AD1166)),AC1175+AD1172,"")</f>
        <v/>
      </c>
      <c r="AE1175" s="44" t="str">
        <f t="shared" ref="AE1175" si="2146">IF(AND(ISNUMBER(AE1166)),AD1175+AE1172,"")</f>
        <v/>
      </c>
      <c r="AF1175" s="44" t="str">
        <f t="shared" ref="AF1175" si="2147">IF(AND(ISNUMBER(AF1166)),AE1175+AF1172,"")</f>
        <v/>
      </c>
      <c r="AG1175" s="1089" t="str">
        <f t="shared" ref="AG1175" si="2148">IF(AND(ISNUMBER(AG1166)),AF1175+AG1172,"")</f>
        <v/>
      </c>
      <c r="AH1175" s="1089" t="str">
        <f t="shared" ref="AH1175" si="2149">IF(AND(ISNUMBER(AH1166)),AG1175+AH1172,"")</f>
        <v/>
      </c>
      <c r="AI1175" s="1089" t="str">
        <f t="shared" ref="AI1175" si="2150">IF(AND(ISNUMBER(AI1166)),AH1175+AI1172,"")</f>
        <v/>
      </c>
      <c r="AJ1175" s="793"/>
      <c r="AK1175" s="793"/>
      <c r="AL1175" s="909"/>
      <c r="AM1175" s="890">
        <f t="shared" si="2090"/>
        <v>0</v>
      </c>
      <c r="AN1175" s="76"/>
      <c r="AO1175" s="624"/>
      <c r="AP1175" s="285"/>
      <c r="AQ1175" s="285"/>
      <c r="AR1175" s="285"/>
      <c r="AS1175" s="285"/>
      <c r="AT1175" s="286"/>
      <c r="AU1175" s="285"/>
      <c r="AV1175" s="287"/>
    </row>
    <row r="1176" spans="1:48" ht="25.15" hidden="1" customHeight="1">
      <c r="A1176" s="103"/>
      <c r="B1176" s="89"/>
      <c r="C1176" s="80"/>
      <c r="D1176" s="90" t="s">
        <v>104</v>
      </c>
      <c r="E1176" s="1108"/>
      <c r="F1176" s="1089"/>
      <c r="G1176" s="44"/>
      <c r="H1176" s="1089"/>
      <c r="I1176" s="1089"/>
      <c r="J1176" s="44"/>
      <c r="K1176" s="44"/>
      <c r="L1176" s="1089"/>
      <c r="M1176" s="1089"/>
      <c r="N1176" s="1089"/>
      <c r="O1176" s="1089"/>
      <c r="P1176" s="1089"/>
      <c r="Q1176" s="44"/>
      <c r="R1176" s="44"/>
      <c r="S1176" s="1089"/>
      <c r="T1176" s="1089"/>
      <c r="U1176" s="1089"/>
      <c r="V1176" s="1089"/>
      <c r="W1176" s="1089"/>
      <c r="X1176" s="44"/>
      <c r="Y1176" s="44"/>
      <c r="Z1176" s="1089"/>
      <c r="AA1176" s="1089"/>
      <c r="AB1176" s="1089"/>
      <c r="AC1176" s="1089"/>
      <c r="AD1176" s="1089"/>
      <c r="AE1176" s="44"/>
      <c r="AF1176" s="44"/>
      <c r="AG1176" s="1089"/>
      <c r="AH1176" s="1089"/>
      <c r="AI1176" s="1326"/>
      <c r="AJ1176" s="79"/>
      <c r="AK1176" s="79"/>
      <c r="AL1176" s="63"/>
      <c r="AM1176" s="1068">
        <f t="shared" si="2090"/>
        <v>0</v>
      </c>
      <c r="AN1176" s="64"/>
      <c r="AO1176" s="624"/>
      <c r="AP1176" s="23"/>
      <c r="AQ1176" s="23"/>
      <c r="AR1176" s="23"/>
      <c r="AS1176" s="23"/>
      <c r="AT1176" s="23"/>
      <c r="AU1176" s="23"/>
      <c r="AV1176" s="23"/>
    </row>
    <row r="1177" spans="1:48" ht="25.15" hidden="1" customHeight="1" thickBot="1">
      <c r="A1177" s="106"/>
      <c r="B1177" s="93"/>
      <c r="C1177" s="94"/>
      <c r="D1177" s="95" t="s">
        <v>111</v>
      </c>
      <c r="E1177" s="1109">
        <f>IF(E1176="O/H",E1172,55890+E1172)</f>
        <v>55890</v>
      </c>
      <c r="F1177" s="1110">
        <f t="shared" ref="F1177:AI1177" si="2151">IF(F1176="O/H",F1172,+E1177+F1172)</f>
        <v>55890</v>
      </c>
      <c r="G1177" s="1212">
        <f t="shared" si="2151"/>
        <v>55890</v>
      </c>
      <c r="H1177" s="1110">
        <f t="shared" si="2151"/>
        <v>55890</v>
      </c>
      <c r="I1177" s="1110">
        <f t="shared" si="2151"/>
        <v>55890</v>
      </c>
      <c r="J1177" s="1212">
        <f t="shared" si="2151"/>
        <v>55890</v>
      </c>
      <c r="K1177" s="1212">
        <f t="shared" si="2151"/>
        <v>55890</v>
      </c>
      <c r="L1177" s="1110">
        <f t="shared" si="2151"/>
        <v>55890</v>
      </c>
      <c r="M1177" s="1110">
        <f t="shared" si="2151"/>
        <v>55890</v>
      </c>
      <c r="N1177" s="1110">
        <f t="shared" si="2151"/>
        <v>55890</v>
      </c>
      <c r="O1177" s="1110">
        <f t="shared" si="2151"/>
        <v>55890</v>
      </c>
      <c r="P1177" s="1110">
        <f t="shared" si="2151"/>
        <v>55890</v>
      </c>
      <c r="Q1177" s="1212">
        <f t="shared" si="2151"/>
        <v>55890</v>
      </c>
      <c r="R1177" s="1212">
        <f t="shared" si="2151"/>
        <v>55890</v>
      </c>
      <c r="S1177" s="1110">
        <f t="shared" si="2151"/>
        <v>55890</v>
      </c>
      <c r="T1177" s="1110">
        <f t="shared" si="2151"/>
        <v>55890</v>
      </c>
      <c r="U1177" s="1110">
        <f t="shared" si="2151"/>
        <v>55890</v>
      </c>
      <c r="V1177" s="1110">
        <f t="shared" si="2151"/>
        <v>55890</v>
      </c>
      <c r="W1177" s="1110">
        <f t="shared" si="2151"/>
        <v>55890</v>
      </c>
      <c r="X1177" s="1212">
        <f t="shared" si="2151"/>
        <v>55890</v>
      </c>
      <c r="Y1177" s="1212">
        <f t="shared" si="2151"/>
        <v>55890</v>
      </c>
      <c r="Z1177" s="1110">
        <f t="shared" si="2151"/>
        <v>55890</v>
      </c>
      <c r="AA1177" s="1110">
        <f t="shared" si="2151"/>
        <v>55890</v>
      </c>
      <c r="AB1177" s="1110">
        <f t="shared" si="2151"/>
        <v>55890</v>
      </c>
      <c r="AC1177" s="1110">
        <f t="shared" si="2151"/>
        <v>55890</v>
      </c>
      <c r="AD1177" s="1110">
        <f t="shared" si="2151"/>
        <v>55890</v>
      </c>
      <c r="AE1177" s="1212">
        <f t="shared" si="2151"/>
        <v>55890</v>
      </c>
      <c r="AF1177" s="1212">
        <f t="shared" si="2151"/>
        <v>55890</v>
      </c>
      <c r="AG1177" s="1110">
        <f t="shared" si="2151"/>
        <v>55890</v>
      </c>
      <c r="AH1177" s="1110">
        <f t="shared" si="2151"/>
        <v>55890</v>
      </c>
      <c r="AI1177" s="1340">
        <f t="shared" si="2151"/>
        <v>55890</v>
      </c>
      <c r="AJ1177" s="96"/>
      <c r="AK1177" s="96"/>
      <c r="AL1177" s="97"/>
      <c r="AM1177" s="1071">
        <f t="shared" si="2090"/>
        <v>0</v>
      </c>
      <c r="AN1177" s="98"/>
      <c r="AO1177" s="625"/>
      <c r="AP1177" s="23"/>
      <c r="AQ1177" s="23"/>
      <c r="AR1177" s="23"/>
      <c r="AS1177" s="23"/>
      <c r="AT1177" s="23"/>
      <c r="AU1177" s="23"/>
      <c r="AV1177" s="23"/>
    </row>
    <row r="1178" spans="1:48" ht="25.15" hidden="1" customHeight="1" thickTop="1">
      <c r="A1178" s="99"/>
      <c r="B1178" s="26" t="s">
        <v>198</v>
      </c>
      <c r="C1178" s="27"/>
      <c r="D1178" s="28" t="s">
        <v>82</v>
      </c>
      <c r="E1178" s="1111"/>
      <c r="F1178" s="1111"/>
      <c r="G1178" s="1201"/>
      <c r="H1178" s="1111"/>
      <c r="I1178" s="1111"/>
      <c r="J1178" s="1201"/>
      <c r="K1178" s="1201"/>
      <c r="L1178" s="1111"/>
      <c r="M1178" s="1111"/>
      <c r="N1178" s="1111"/>
      <c r="O1178" s="1111"/>
      <c r="P1178" s="1111"/>
      <c r="Q1178" s="1201"/>
      <c r="R1178" s="1201"/>
      <c r="S1178" s="1111"/>
      <c r="T1178" s="1111"/>
      <c r="U1178" s="1111"/>
      <c r="V1178" s="1111"/>
      <c r="W1178" s="1111"/>
      <c r="X1178" s="1201"/>
      <c r="Y1178" s="1201"/>
      <c r="Z1178" s="1111"/>
      <c r="AA1178" s="1111"/>
      <c r="AB1178" s="1111"/>
      <c r="AC1178" s="1111"/>
      <c r="AD1178" s="1111"/>
      <c r="AE1178" s="1201"/>
      <c r="AF1178" s="1201"/>
      <c r="AG1178" s="1111"/>
      <c r="AH1178" s="1111"/>
      <c r="AI1178" s="1111"/>
      <c r="AJ1178" s="100">
        <f>SUM(Table75[[#This Row],[June''2026]:[Column27]])</f>
        <v>0</v>
      </c>
      <c r="AK1178" s="100">
        <f t="shared" si="2119"/>
        <v>0</v>
      </c>
      <c r="AL1178" s="101">
        <f>+AJ1178*AN1178</f>
        <v>0</v>
      </c>
      <c r="AM1178" s="1072">
        <f t="shared" si="2090"/>
        <v>0</v>
      </c>
      <c r="AN1178" s="102"/>
      <c r="AO1178" s="622" t="e">
        <f>Table5[[#This Row],[Total]]*B1182/1000</f>
        <v>#VALUE!</v>
      </c>
      <c r="AP1178" s="32" t="s">
        <v>193</v>
      </c>
      <c r="AQ1178" s="33" t="s">
        <v>84</v>
      </c>
      <c r="AR1178" s="33" t="s">
        <v>85</v>
      </c>
      <c r="AS1178" s="33" t="s">
        <v>86</v>
      </c>
      <c r="AT1178" s="33" t="s">
        <v>87</v>
      </c>
      <c r="AU1178" s="33" t="s">
        <v>88</v>
      </c>
      <c r="AV1178" s="34" t="s">
        <v>68</v>
      </c>
    </row>
    <row r="1179" spans="1:48" ht="25.15" hidden="1" customHeight="1">
      <c r="A1179" s="103"/>
      <c r="B1179" s="35" t="s">
        <v>199</v>
      </c>
      <c r="C1179" s="36"/>
      <c r="D1179" s="37" t="s">
        <v>90</v>
      </c>
      <c r="E1179" s="1373">
        <f>IF(E1178="",0,+ E1178/E1185)</f>
        <v>0</v>
      </c>
      <c r="F1179" s="1096">
        <f t="shared" ref="F1179:AI1179" si="2152">IF(F1178="",0, E1179+F1178/F1185)</f>
        <v>0</v>
      </c>
      <c r="G1179" s="1207">
        <f t="shared" si="2152"/>
        <v>0</v>
      </c>
      <c r="H1179" s="1096">
        <f t="shared" si="2152"/>
        <v>0</v>
      </c>
      <c r="I1179" s="1096">
        <f t="shared" si="2152"/>
        <v>0</v>
      </c>
      <c r="J1179" s="1207">
        <f t="shared" si="2152"/>
        <v>0</v>
      </c>
      <c r="K1179" s="1207">
        <f t="shared" si="2152"/>
        <v>0</v>
      </c>
      <c r="L1179" s="1096">
        <f t="shared" si="2152"/>
        <v>0</v>
      </c>
      <c r="M1179" s="1096">
        <f t="shared" si="2152"/>
        <v>0</v>
      </c>
      <c r="N1179" s="1096">
        <f t="shared" si="2152"/>
        <v>0</v>
      </c>
      <c r="O1179" s="1096">
        <f t="shared" si="2152"/>
        <v>0</v>
      </c>
      <c r="P1179" s="1096">
        <f t="shared" si="2152"/>
        <v>0</v>
      </c>
      <c r="Q1179" s="1207">
        <f t="shared" si="2152"/>
        <v>0</v>
      </c>
      <c r="R1179" s="1207">
        <f t="shared" si="2152"/>
        <v>0</v>
      </c>
      <c r="S1179" s="1096">
        <f t="shared" si="2152"/>
        <v>0</v>
      </c>
      <c r="T1179" s="1096">
        <f t="shared" si="2152"/>
        <v>0</v>
      </c>
      <c r="U1179" s="1096">
        <f t="shared" si="2152"/>
        <v>0</v>
      </c>
      <c r="V1179" s="1096">
        <f t="shared" si="2152"/>
        <v>0</v>
      </c>
      <c r="W1179" s="1096">
        <f t="shared" si="2152"/>
        <v>0</v>
      </c>
      <c r="X1179" s="1207">
        <f t="shared" si="2152"/>
        <v>0</v>
      </c>
      <c r="Y1179" s="1207">
        <f t="shared" si="2152"/>
        <v>0</v>
      </c>
      <c r="Z1179" s="1096">
        <f t="shared" si="2152"/>
        <v>0</v>
      </c>
      <c r="AA1179" s="1096">
        <f t="shared" si="2152"/>
        <v>0</v>
      </c>
      <c r="AB1179" s="1096">
        <f t="shared" si="2152"/>
        <v>0</v>
      </c>
      <c r="AC1179" s="1096">
        <f t="shared" si="2152"/>
        <v>0</v>
      </c>
      <c r="AD1179" s="1096">
        <f t="shared" si="2152"/>
        <v>0</v>
      </c>
      <c r="AE1179" s="1207">
        <f t="shared" si="2152"/>
        <v>0</v>
      </c>
      <c r="AF1179" s="1207">
        <f t="shared" si="2152"/>
        <v>0</v>
      </c>
      <c r="AG1179" s="1096">
        <f t="shared" si="2152"/>
        <v>0</v>
      </c>
      <c r="AH1179" s="1096">
        <f t="shared" si="2152"/>
        <v>0</v>
      </c>
      <c r="AI1179" s="1324">
        <f t="shared" si="2152"/>
        <v>0</v>
      </c>
      <c r="AJ1179" s="38"/>
      <c r="AK1179" s="29"/>
      <c r="AL1179" s="30"/>
      <c r="AM1179" s="694">
        <f t="shared" si="2090"/>
        <v>0</v>
      </c>
      <c r="AN1179" s="31"/>
      <c r="AO1179" s="630"/>
      <c r="AP1179" s="39" t="s">
        <v>91</v>
      </c>
      <c r="AQ1179" s="40">
        <f>SUM(E1178:I1178)</f>
        <v>0</v>
      </c>
      <c r="AR1179" s="41">
        <f>SUM(J1178:P1178)</f>
        <v>0</v>
      </c>
      <c r="AS1179" s="41">
        <f>SUM(Q1178:W1178)</f>
        <v>0</v>
      </c>
      <c r="AT1179" s="41">
        <f>SUM(X1178:AD1178)</f>
        <v>0</v>
      </c>
      <c r="AU1179" s="41">
        <f>SUM(AE1178:AI1178)</f>
        <v>0</v>
      </c>
      <c r="AV1179" s="34">
        <f t="shared" ref="AV1179:AV1184" si="2153">SUM(AQ1179:AU1179)</f>
        <v>0</v>
      </c>
    </row>
    <row r="1180" spans="1:48" ht="25.15" hidden="1" customHeight="1">
      <c r="A1180" s="103"/>
      <c r="B1180" s="26" t="s">
        <v>92</v>
      </c>
      <c r="C1180" s="42"/>
      <c r="D1180" s="43" t="s">
        <v>93</v>
      </c>
      <c r="E1180" s="1325"/>
      <c r="F1180" s="1089"/>
      <c r="G1180" s="44"/>
      <c r="H1180" s="1089"/>
      <c r="I1180" s="1089"/>
      <c r="J1180" s="44"/>
      <c r="K1180" s="44"/>
      <c r="L1180" s="1089"/>
      <c r="M1180" s="1089"/>
      <c r="N1180" s="1089"/>
      <c r="O1180" s="1089"/>
      <c r="P1180" s="1089"/>
      <c r="Q1180" s="44"/>
      <c r="R1180" s="44"/>
      <c r="S1180" s="1089"/>
      <c r="T1180" s="1089"/>
      <c r="U1180" s="1089"/>
      <c r="V1180" s="1089"/>
      <c r="W1180" s="1089"/>
      <c r="X1180" s="44"/>
      <c r="Y1180" s="44"/>
      <c r="Z1180" s="1089"/>
      <c r="AA1180" s="1089"/>
      <c r="AB1180" s="1089"/>
      <c r="AC1180" s="1089"/>
      <c r="AD1180" s="1089"/>
      <c r="AE1180" s="44"/>
      <c r="AF1180" s="44"/>
      <c r="AG1180" s="1089"/>
      <c r="AH1180" s="1089"/>
      <c r="AI1180" s="1326"/>
      <c r="AJ1180" s="45">
        <f>SUM(E1180:AI1180)</f>
        <v>0</v>
      </c>
      <c r="AK1180" s="45"/>
      <c r="AL1180" s="46">
        <f>+AJ1180*AN1178</f>
        <v>0</v>
      </c>
      <c r="AM1180" s="1066">
        <f t="shared" si="2090"/>
        <v>0</v>
      </c>
      <c r="AN1180" s="31"/>
      <c r="AO1180" s="632">
        <f>(AJ1180+AJ1182+AJ1183+AJ1184)*B1182/1000</f>
        <v>0</v>
      </c>
      <c r="AP1180" s="47" t="s">
        <v>94</v>
      </c>
      <c r="AQ1180" s="48">
        <f>SUM(E1180:I1180)</f>
        <v>0</v>
      </c>
      <c r="AR1180" s="49">
        <f>SUM(J1180:P1180)</f>
        <v>0</v>
      </c>
      <c r="AS1180" s="49">
        <f>SUM(Q1180:W1180)</f>
        <v>0</v>
      </c>
      <c r="AT1180" s="49">
        <f>SUM(X1180:AD1180)</f>
        <v>0</v>
      </c>
      <c r="AU1180" s="49">
        <f>SUM(AE1180:AI1180)</f>
        <v>0</v>
      </c>
      <c r="AV1180" s="50">
        <f t="shared" si="2153"/>
        <v>0</v>
      </c>
    </row>
    <row r="1181" spans="1:48" ht="25.15" hidden="1" customHeight="1">
      <c r="A1181" s="103"/>
      <c r="B1181" s="51"/>
      <c r="C1181" s="52" t="s">
        <v>95</v>
      </c>
      <c r="D1181" s="53" t="s">
        <v>96</v>
      </c>
      <c r="E1181" s="1327">
        <f t="shared" ref="E1181:AJ1181" si="2154">+E1180-E1178</f>
        <v>0</v>
      </c>
      <c r="F1181" s="1097">
        <f t="shared" si="2154"/>
        <v>0</v>
      </c>
      <c r="G1181" s="1205">
        <f t="shared" si="2154"/>
        <v>0</v>
      </c>
      <c r="H1181" s="1097">
        <f t="shared" si="2154"/>
        <v>0</v>
      </c>
      <c r="I1181" s="1097">
        <f t="shared" si="2154"/>
        <v>0</v>
      </c>
      <c r="J1181" s="1205">
        <f t="shared" si="2154"/>
        <v>0</v>
      </c>
      <c r="K1181" s="1205">
        <f t="shared" si="2154"/>
        <v>0</v>
      </c>
      <c r="L1181" s="1097">
        <f t="shared" si="2154"/>
        <v>0</v>
      </c>
      <c r="M1181" s="1097">
        <f t="shared" si="2154"/>
        <v>0</v>
      </c>
      <c r="N1181" s="1097">
        <f t="shared" si="2154"/>
        <v>0</v>
      </c>
      <c r="O1181" s="1097">
        <f t="shared" si="2154"/>
        <v>0</v>
      </c>
      <c r="P1181" s="1097">
        <f t="shared" si="2154"/>
        <v>0</v>
      </c>
      <c r="Q1181" s="1205">
        <f t="shared" si="2154"/>
        <v>0</v>
      </c>
      <c r="R1181" s="1205">
        <f t="shared" si="2154"/>
        <v>0</v>
      </c>
      <c r="S1181" s="1097">
        <f t="shared" si="2154"/>
        <v>0</v>
      </c>
      <c r="T1181" s="1097">
        <f t="shared" si="2154"/>
        <v>0</v>
      </c>
      <c r="U1181" s="1097">
        <f t="shared" si="2154"/>
        <v>0</v>
      </c>
      <c r="V1181" s="1097">
        <f t="shared" si="2154"/>
        <v>0</v>
      </c>
      <c r="W1181" s="1097">
        <f t="shared" si="2154"/>
        <v>0</v>
      </c>
      <c r="X1181" s="1205">
        <f t="shared" si="2154"/>
        <v>0</v>
      </c>
      <c r="Y1181" s="1205">
        <f t="shared" si="2154"/>
        <v>0</v>
      </c>
      <c r="Z1181" s="1097">
        <f t="shared" si="2154"/>
        <v>0</v>
      </c>
      <c r="AA1181" s="1097">
        <f t="shared" si="2154"/>
        <v>0</v>
      </c>
      <c r="AB1181" s="1097">
        <f t="shared" si="2154"/>
        <v>0</v>
      </c>
      <c r="AC1181" s="1097">
        <f t="shared" si="2154"/>
        <v>0</v>
      </c>
      <c r="AD1181" s="1097">
        <f t="shared" si="2154"/>
        <v>0</v>
      </c>
      <c r="AE1181" s="1205">
        <f t="shared" si="2154"/>
        <v>0</v>
      </c>
      <c r="AF1181" s="1205">
        <f t="shared" si="2154"/>
        <v>0</v>
      </c>
      <c r="AG1181" s="1097">
        <f t="shared" si="2154"/>
        <v>0</v>
      </c>
      <c r="AH1181" s="1097">
        <f t="shared" si="2154"/>
        <v>0</v>
      </c>
      <c r="AI1181" s="1328">
        <f t="shared" si="2154"/>
        <v>0</v>
      </c>
      <c r="AJ1181" s="54">
        <f t="shared" si="2154"/>
        <v>0</v>
      </c>
      <c r="AK1181" s="54"/>
      <c r="AL1181" s="55">
        <f>+AJ1181*AN1178</f>
        <v>0</v>
      </c>
      <c r="AM1181" s="1067">
        <f t="shared" si="2090"/>
        <v>0</v>
      </c>
      <c r="AN1181" s="31" t="s">
        <v>97</v>
      </c>
      <c r="AO1181" s="622"/>
      <c r="AP1181" s="39" t="s">
        <v>98</v>
      </c>
      <c r="AQ1181" s="56">
        <f>AQ1180-AQ1179</f>
        <v>0</v>
      </c>
      <c r="AR1181" s="70">
        <f>AR1180-AR1179</f>
        <v>0</v>
      </c>
      <c r="AS1181" s="70">
        <f>AS1180-AS1179</f>
        <v>0</v>
      </c>
      <c r="AT1181" s="70">
        <f>AT1180-AT1179</f>
        <v>0</v>
      </c>
      <c r="AU1181" s="70">
        <f>AU1180-AU1179</f>
        <v>0</v>
      </c>
      <c r="AV1181" s="57">
        <f t="shared" si="2153"/>
        <v>0</v>
      </c>
    </row>
    <row r="1182" spans="1:48" ht="25.15" hidden="1" customHeight="1">
      <c r="A1182" s="58"/>
      <c r="B1182" s="59"/>
      <c r="C1182" s="60" t="s">
        <v>100</v>
      </c>
      <c r="D1182" s="61" t="s">
        <v>101</v>
      </c>
      <c r="E1182" s="1329"/>
      <c r="F1182" s="1099"/>
      <c r="G1182" s="1208"/>
      <c r="H1182" s="1099"/>
      <c r="I1182" s="1099"/>
      <c r="J1182" s="1208"/>
      <c r="K1182" s="1208"/>
      <c r="L1182" s="1099"/>
      <c r="M1182" s="1099"/>
      <c r="N1182" s="1099"/>
      <c r="O1182" s="1099"/>
      <c r="P1182" s="1099"/>
      <c r="Q1182" s="1208"/>
      <c r="R1182" s="1208"/>
      <c r="S1182" s="1099"/>
      <c r="T1182" s="1099"/>
      <c r="U1182" s="1099"/>
      <c r="V1182" s="1099"/>
      <c r="W1182" s="1099"/>
      <c r="X1182" s="1208"/>
      <c r="Y1182" s="1208"/>
      <c r="Z1182" s="1099"/>
      <c r="AA1182" s="1099"/>
      <c r="AB1182" s="1099"/>
      <c r="AC1182" s="1099"/>
      <c r="AD1182" s="1099"/>
      <c r="AE1182" s="1208"/>
      <c r="AF1182" s="1208"/>
      <c r="AG1182" s="1099"/>
      <c r="AH1182" s="1099"/>
      <c r="AI1182" s="1330"/>
      <c r="AJ1182" s="62">
        <f>SUM(E1182:AI1182)</f>
        <v>0</v>
      </c>
      <c r="AK1182" s="62"/>
      <c r="AL1182" s="63">
        <f>+AJ1182*AN1178</f>
        <v>0</v>
      </c>
      <c r="AM1182" s="1068">
        <f t="shared" si="2090"/>
        <v>0</v>
      </c>
      <c r="AN1182" s="64" t="e">
        <f>+AJ1182/AJ1180*100</f>
        <v>#DIV/0!</v>
      </c>
      <c r="AO1182" s="635" t="e">
        <f>AO1180/AO1178</f>
        <v>#VALUE!</v>
      </c>
      <c r="AP1182" s="39" t="s">
        <v>102</v>
      </c>
      <c r="AQ1182" s="56">
        <f>SUM(E1182:I1182)</f>
        <v>0</v>
      </c>
      <c r="AR1182" s="70">
        <f>SUM(J1182:P1182)</f>
        <v>0</v>
      </c>
      <c r="AS1182" s="70">
        <f>SUM(Q1182:W1182)</f>
        <v>0</v>
      </c>
      <c r="AT1182" s="70">
        <f>SUM(X1182:AD1182)</f>
        <v>0</v>
      </c>
      <c r="AU1182" s="70">
        <f>SUM(AE1182:AI1182)</f>
        <v>0</v>
      </c>
      <c r="AV1182" s="57">
        <f t="shared" si="2153"/>
        <v>0</v>
      </c>
    </row>
    <row r="1183" spans="1:48" ht="25.15" hidden="1" customHeight="1">
      <c r="A1183" s="58" t="s">
        <v>202</v>
      </c>
      <c r="B1183" s="65"/>
      <c r="C1183" s="66"/>
      <c r="D1183" s="67" t="s">
        <v>103</v>
      </c>
      <c r="E1183" s="1331"/>
      <c r="F1183" s="1101"/>
      <c r="G1183" s="1209"/>
      <c r="H1183" s="1101"/>
      <c r="I1183" s="1101"/>
      <c r="J1183" s="1209"/>
      <c r="K1183" s="1209"/>
      <c r="L1183" s="1101"/>
      <c r="M1183" s="1101"/>
      <c r="N1183" s="1101"/>
      <c r="O1183" s="1101"/>
      <c r="P1183" s="1101"/>
      <c r="Q1183" s="1209"/>
      <c r="R1183" s="1209"/>
      <c r="S1183" s="1101"/>
      <c r="T1183" s="1101"/>
      <c r="U1183" s="1101"/>
      <c r="V1183" s="1101"/>
      <c r="W1183" s="1101"/>
      <c r="X1183" s="1209"/>
      <c r="Y1183" s="1209"/>
      <c r="Z1183" s="1101"/>
      <c r="AA1183" s="1101"/>
      <c r="AB1183" s="1101"/>
      <c r="AC1183" s="1101"/>
      <c r="AD1183" s="1101"/>
      <c r="AE1183" s="1209"/>
      <c r="AF1183" s="1209"/>
      <c r="AG1183" s="1101"/>
      <c r="AH1183" s="1101"/>
      <c r="AI1183" s="1332"/>
      <c r="AJ1183" s="68">
        <f>SUM(E1183:AI1183)</f>
        <v>0</v>
      </c>
      <c r="AK1183" s="68"/>
      <c r="AL1183" s="69">
        <f>+AJ1183*AN1178</f>
        <v>0</v>
      </c>
      <c r="AM1183" s="1069">
        <f t="shared" si="2090"/>
        <v>0</v>
      </c>
      <c r="AN1183" s="31"/>
      <c r="AO1183" s="622"/>
      <c r="AP1183" s="39" t="s">
        <v>19</v>
      </c>
      <c r="AQ1183" s="56">
        <f>AQ1182*AN1178</f>
        <v>0</v>
      </c>
      <c r="AR1183" s="56">
        <f>AR1182*AN1178</f>
        <v>0</v>
      </c>
      <c r="AS1183" s="56">
        <f>AS1182*AN1178</f>
        <v>0</v>
      </c>
      <c r="AT1183" s="56">
        <f>AT1182*AN1178</f>
        <v>0</v>
      </c>
      <c r="AU1183" s="56">
        <f>AU1182*AN1178</f>
        <v>0</v>
      </c>
      <c r="AV1183" s="57">
        <f t="shared" si="2153"/>
        <v>0</v>
      </c>
    </row>
    <row r="1184" spans="1:48" ht="25.15" hidden="1" customHeight="1">
      <c r="A1184" s="103"/>
      <c r="B1184" s="65"/>
      <c r="C1184" s="72" t="s">
        <v>104</v>
      </c>
      <c r="D1184" s="73" t="s">
        <v>105</v>
      </c>
      <c r="E1184" s="1378"/>
      <c r="F1184" s="1103"/>
      <c r="G1184" s="1210"/>
      <c r="H1184" s="1103"/>
      <c r="I1184" s="1103"/>
      <c r="J1184" s="1210"/>
      <c r="K1184" s="1210"/>
      <c r="L1184" s="1103"/>
      <c r="M1184" s="1103"/>
      <c r="N1184" s="1103"/>
      <c r="O1184" s="1103"/>
      <c r="P1184" s="1103"/>
      <c r="Q1184" s="1210"/>
      <c r="R1184" s="1210"/>
      <c r="S1184" s="1103"/>
      <c r="T1184" s="1103"/>
      <c r="U1184" s="1103"/>
      <c r="V1184" s="1103"/>
      <c r="W1184" s="1103"/>
      <c r="X1184" s="1210"/>
      <c r="Y1184" s="1210"/>
      <c r="Z1184" s="1103"/>
      <c r="AA1184" s="1103"/>
      <c r="AB1184" s="1103"/>
      <c r="AC1184" s="1103"/>
      <c r="AD1184" s="1103"/>
      <c r="AE1184" s="1210"/>
      <c r="AF1184" s="1210"/>
      <c r="AG1184" s="1103"/>
      <c r="AH1184" s="1103"/>
      <c r="AI1184" s="1352"/>
      <c r="AJ1184" s="74">
        <f>SUM(E1184:AI1184)</f>
        <v>0</v>
      </c>
      <c r="AK1184" s="74"/>
      <c r="AL1184" s="75">
        <f>+AJ1184*AN1178</f>
        <v>0</v>
      </c>
      <c r="AM1184" s="1070">
        <f t="shared" si="2090"/>
        <v>0</v>
      </c>
      <c r="AN1184" s="76"/>
      <c r="AO1184" s="636"/>
      <c r="AP1184" s="47" t="s">
        <v>106</v>
      </c>
      <c r="AQ1184" s="48">
        <f>AQ1180*AN1178</f>
        <v>0</v>
      </c>
      <c r="AR1184" s="48">
        <f>AR1180*AN1178</f>
        <v>0</v>
      </c>
      <c r="AS1184" s="48">
        <f>AS1180*AN1178</f>
        <v>0</v>
      </c>
      <c r="AT1184" s="48">
        <f>AT1180*AN1178</f>
        <v>0</v>
      </c>
      <c r="AU1184" s="48">
        <f>AU1180*AN1178</f>
        <v>0</v>
      </c>
      <c r="AV1184" s="50">
        <f t="shared" si="2153"/>
        <v>0</v>
      </c>
    </row>
    <row r="1185" spans="1:48" ht="25.15" hidden="1" customHeight="1">
      <c r="A1185" s="103"/>
      <c r="B1185" s="65"/>
      <c r="C1185" s="77">
        <v>300000</v>
      </c>
      <c r="D1185" s="78" t="s">
        <v>107</v>
      </c>
      <c r="E1185" s="1327">
        <v>1</v>
      </c>
      <c r="F1185" s="1097">
        <v>1</v>
      </c>
      <c r="G1185" s="1205">
        <v>1</v>
      </c>
      <c r="H1185" s="1097">
        <v>1</v>
      </c>
      <c r="I1185" s="1097">
        <v>1</v>
      </c>
      <c r="J1185" s="1205">
        <v>1</v>
      </c>
      <c r="K1185" s="1205">
        <v>1</v>
      </c>
      <c r="L1185" s="1097">
        <v>1</v>
      </c>
      <c r="M1185" s="1097">
        <v>1</v>
      </c>
      <c r="N1185" s="1097">
        <v>1</v>
      </c>
      <c r="O1185" s="1097">
        <v>1</v>
      </c>
      <c r="P1185" s="1097">
        <v>1</v>
      </c>
      <c r="Q1185" s="1205">
        <v>1</v>
      </c>
      <c r="R1185" s="1205">
        <v>1</v>
      </c>
      <c r="S1185" s="1097">
        <v>1</v>
      </c>
      <c r="T1185" s="1097">
        <v>1</v>
      </c>
      <c r="U1185" s="1097">
        <v>1</v>
      </c>
      <c r="V1185" s="1097">
        <v>1</v>
      </c>
      <c r="W1185" s="1097">
        <v>1</v>
      </c>
      <c r="X1185" s="1205">
        <v>1</v>
      </c>
      <c r="Y1185" s="1205">
        <v>1</v>
      </c>
      <c r="Z1185" s="1097">
        <v>1</v>
      </c>
      <c r="AA1185" s="1097">
        <v>1</v>
      </c>
      <c r="AB1185" s="1097">
        <v>1</v>
      </c>
      <c r="AC1185" s="1097">
        <v>1</v>
      </c>
      <c r="AD1185" s="1097">
        <v>1</v>
      </c>
      <c r="AE1185" s="1205">
        <v>1</v>
      </c>
      <c r="AF1185" s="1205">
        <v>1</v>
      </c>
      <c r="AG1185" s="1097">
        <v>1</v>
      </c>
      <c r="AH1185" s="1097">
        <v>1</v>
      </c>
      <c r="AI1185" s="1328">
        <v>1</v>
      </c>
      <c r="AJ1185" s="79"/>
      <c r="AK1185" s="79"/>
      <c r="AL1185" s="55"/>
      <c r="AM1185" s="1067">
        <f t="shared" si="2090"/>
        <v>0</v>
      </c>
      <c r="AN1185" s="31"/>
      <c r="AO1185" s="622"/>
      <c r="AP1185" s="23"/>
      <c r="AQ1185" s="23"/>
      <c r="AR1185" s="23"/>
      <c r="AS1185" s="23"/>
      <c r="AT1185" s="23"/>
      <c r="AU1185" s="23"/>
      <c r="AV1185" s="23"/>
    </row>
    <row r="1186" spans="1:48" ht="25.15" hidden="1" customHeight="1">
      <c r="A1186" s="103"/>
      <c r="B1186" s="65"/>
      <c r="C1186" s="80" t="s">
        <v>108</v>
      </c>
      <c r="D1186" s="81" t="s">
        <v>109</v>
      </c>
      <c r="E1186" s="1374">
        <f>SUM(E1180+E1182+E1183+E1184)/E1185</f>
        <v>0</v>
      </c>
      <c r="F1186" s="1104">
        <f>SUM(F1180+F1182+F1183+F1184)/F1185</f>
        <v>0</v>
      </c>
      <c r="G1186" s="1211">
        <f>SUM(G1180+G1182+G1183+G1184)/G1185</f>
        <v>0</v>
      </c>
      <c r="H1186" s="1104">
        <f t="shared" ref="H1186:AH1186" si="2155">SUM(H1180+H1182+H1183+H1184)/H1185</f>
        <v>0</v>
      </c>
      <c r="I1186" s="1104">
        <f t="shared" si="2155"/>
        <v>0</v>
      </c>
      <c r="J1186" s="1211">
        <f t="shared" si="2155"/>
        <v>0</v>
      </c>
      <c r="K1186" s="1211">
        <f t="shared" si="2155"/>
        <v>0</v>
      </c>
      <c r="L1186" s="1104">
        <f t="shared" si="2155"/>
        <v>0</v>
      </c>
      <c r="M1186" s="1104">
        <f t="shared" si="2155"/>
        <v>0</v>
      </c>
      <c r="N1186" s="1104">
        <f t="shared" si="2155"/>
        <v>0</v>
      </c>
      <c r="O1186" s="1104">
        <f t="shared" si="2155"/>
        <v>0</v>
      </c>
      <c r="P1186" s="1104">
        <f t="shared" si="2155"/>
        <v>0</v>
      </c>
      <c r="Q1186" s="1211">
        <f t="shared" si="2155"/>
        <v>0</v>
      </c>
      <c r="R1186" s="1211">
        <f t="shared" si="2155"/>
        <v>0</v>
      </c>
      <c r="S1186" s="1104">
        <f t="shared" si="2155"/>
        <v>0</v>
      </c>
      <c r="T1186" s="1104">
        <f t="shared" si="2155"/>
        <v>0</v>
      </c>
      <c r="U1186" s="1104">
        <f t="shared" si="2155"/>
        <v>0</v>
      </c>
      <c r="V1186" s="1104">
        <f t="shared" si="2155"/>
        <v>0</v>
      </c>
      <c r="W1186" s="1104">
        <f t="shared" si="2155"/>
        <v>0</v>
      </c>
      <c r="X1186" s="1211">
        <f t="shared" si="2155"/>
        <v>0</v>
      </c>
      <c r="Y1186" s="1211">
        <f t="shared" si="2155"/>
        <v>0</v>
      </c>
      <c r="Z1186" s="1104">
        <f t="shared" si="2155"/>
        <v>0</v>
      </c>
      <c r="AA1186" s="1104">
        <f t="shared" si="2155"/>
        <v>0</v>
      </c>
      <c r="AB1186" s="1104">
        <f t="shared" si="2155"/>
        <v>0</v>
      </c>
      <c r="AC1186" s="1104">
        <f t="shared" si="2155"/>
        <v>0</v>
      </c>
      <c r="AD1186" s="1104">
        <f t="shared" si="2155"/>
        <v>0</v>
      </c>
      <c r="AE1186" s="1211">
        <f t="shared" si="2155"/>
        <v>0</v>
      </c>
      <c r="AF1186" s="1211">
        <f t="shared" si="2155"/>
        <v>0</v>
      </c>
      <c r="AG1186" s="1104">
        <f t="shared" si="2155"/>
        <v>0</v>
      </c>
      <c r="AH1186" s="1104">
        <f t="shared" si="2155"/>
        <v>0</v>
      </c>
      <c r="AI1186" s="1335">
        <f>SUM(AI1180+AI1182+AI1183)/AI1185</f>
        <v>0</v>
      </c>
      <c r="AJ1186" s="104">
        <f>SUM(E1186:AI1186)</f>
        <v>0</v>
      </c>
      <c r="AK1186" s="104"/>
      <c r="AL1186" s="83"/>
      <c r="AM1186" s="1068">
        <f t="shared" si="2090"/>
        <v>0</v>
      </c>
      <c r="AN1186" s="31"/>
      <c r="AO1186" s="622"/>
      <c r="AP1186" s="23"/>
      <c r="AQ1186" s="23"/>
      <c r="AR1186" s="23"/>
      <c r="AS1186" s="23"/>
      <c r="AT1186" s="23"/>
      <c r="AU1186" s="23"/>
      <c r="AV1186" s="23"/>
    </row>
    <row r="1187" spans="1:48" ht="25.15" hidden="1" customHeight="1">
      <c r="A1187" s="103"/>
      <c r="B1187" s="59"/>
      <c r="C1187" s="84">
        <f>+C1185*0.8</f>
        <v>240000</v>
      </c>
      <c r="D1187" s="85" t="s">
        <v>110</v>
      </c>
      <c r="E1187" s="1105"/>
      <c r="F1187" s="1106"/>
      <c r="G1187" s="1211"/>
      <c r="H1187" s="1104"/>
      <c r="I1187" s="1104"/>
      <c r="J1187" s="1211"/>
      <c r="K1187" s="1211"/>
      <c r="L1187" s="1104"/>
      <c r="M1187" s="1104"/>
      <c r="N1187" s="1104"/>
      <c r="O1187" s="1107"/>
      <c r="P1187" s="1104"/>
      <c r="Q1187" s="1211"/>
      <c r="R1187" s="1211"/>
      <c r="S1187" s="1104"/>
      <c r="T1187" s="1104"/>
      <c r="U1187" s="1104"/>
      <c r="V1187" s="1104"/>
      <c r="W1187" s="1104"/>
      <c r="X1187" s="1211"/>
      <c r="Y1187" s="1211"/>
      <c r="Z1187" s="1104"/>
      <c r="AA1187" s="1104"/>
      <c r="AB1187" s="1104"/>
      <c r="AC1187" s="1104"/>
      <c r="AD1187" s="1104"/>
      <c r="AE1187" s="1211"/>
      <c r="AF1187" s="1211"/>
      <c r="AG1187" s="1104"/>
      <c r="AH1187" s="1104"/>
      <c r="AI1187" s="1353"/>
      <c r="AJ1187" s="86"/>
      <c r="AK1187" s="86"/>
      <c r="AL1187" s="690"/>
      <c r="AM1187" s="694">
        <f t="shared" si="2090"/>
        <v>0</v>
      </c>
      <c r="AN1187" s="31"/>
      <c r="AO1187" s="622"/>
      <c r="AP1187" s="23"/>
      <c r="AQ1187" s="23"/>
      <c r="AR1187" s="23"/>
      <c r="AS1187" s="23"/>
      <c r="AT1187" s="23"/>
      <c r="AU1187" s="23"/>
      <c r="AV1187" s="23"/>
    </row>
    <row r="1188" spans="1:48" ht="25.15" hidden="1" customHeight="1">
      <c r="A1188" s="103"/>
      <c r="B1188" s="105"/>
      <c r="C1188" s="77"/>
      <c r="D1188" s="88" t="s">
        <v>111</v>
      </c>
      <c r="E1188" s="1108">
        <f>IF(E1187="O/H",E1186,0+E1186)</f>
        <v>0</v>
      </c>
      <c r="F1188" s="1089">
        <f t="shared" ref="F1188:AI1188" si="2156">IF(F1187="O/H",F1186,+E1188+F1186)</f>
        <v>0</v>
      </c>
      <c r="G1188" s="44">
        <f t="shared" si="2156"/>
        <v>0</v>
      </c>
      <c r="H1188" s="1089">
        <f t="shared" si="2156"/>
        <v>0</v>
      </c>
      <c r="I1188" s="1089">
        <f t="shared" si="2156"/>
        <v>0</v>
      </c>
      <c r="J1188" s="44">
        <f t="shared" si="2156"/>
        <v>0</v>
      </c>
      <c r="K1188" s="44">
        <f t="shared" si="2156"/>
        <v>0</v>
      </c>
      <c r="L1188" s="1089">
        <f t="shared" si="2156"/>
        <v>0</v>
      </c>
      <c r="M1188" s="1089">
        <f t="shared" si="2156"/>
        <v>0</v>
      </c>
      <c r="N1188" s="1089">
        <f t="shared" si="2156"/>
        <v>0</v>
      </c>
      <c r="O1188" s="1089">
        <f t="shared" si="2156"/>
        <v>0</v>
      </c>
      <c r="P1188" s="1089">
        <f t="shared" si="2156"/>
        <v>0</v>
      </c>
      <c r="Q1188" s="44">
        <f t="shared" si="2156"/>
        <v>0</v>
      </c>
      <c r="R1188" s="44">
        <f t="shared" si="2156"/>
        <v>0</v>
      </c>
      <c r="S1188" s="1089">
        <f t="shared" si="2156"/>
        <v>0</v>
      </c>
      <c r="T1188" s="1089">
        <f t="shared" si="2156"/>
        <v>0</v>
      </c>
      <c r="U1188" s="1089">
        <f t="shared" si="2156"/>
        <v>0</v>
      </c>
      <c r="V1188" s="1089">
        <f t="shared" si="2156"/>
        <v>0</v>
      </c>
      <c r="W1188" s="1089">
        <f t="shared" si="2156"/>
        <v>0</v>
      </c>
      <c r="X1188" s="44">
        <f t="shared" si="2156"/>
        <v>0</v>
      </c>
      <c r="Y1188" s="44">
        <f t="shared" si="2156"/>
        <v>0</v>
      </c>
      <c r="Z1188" s="1089">
        <f t="shared" si="2156"/>
        <v>0</v>
      </c>
      <c r="AA1188" s="1089">
        <f t="shared" si="2156"/>
        <v>0</v>
      </c>
      <c r="AB1188" s="1089">
        <f t="shared" si="2156"/>
        <v>0</v>
      </c>
      <c r="AC1188" s="1089">
        <f t="shared" si="2156"/>
        <v>0</v>
      </c>
      <c r="AD1188" s="1089">
        <f t="shared" si="2156"/>
        <v>0</v>
      </c>
      <c r="AE1188" s="44">
        <f t="shared" si="2156"/>
        <v>0</v>
      </c>
      <c r="AF1188" s="44">
        <f t="shared" si="2156"/>
        <v>0</v>
      </c>
      <c r="AG1188" s="1089">
        <f t="shared" si="2156"/>
        <v>0</v>
      </c>
      <c r="AH1188" s="1089">
        <f t="shared" si="2156"/>
        <v>0</v>
      </c>
      <c r="AI1188" s="1326">
        <f t="shared" si="2156"/>
        <v>0</v>
      </c>
      <c r="AJ1188" s="79"/>
      <c r="AK1188" s="86"/>
      <c r="AL1188" s="689"/>
      <c r="AM1188" s="694">
        <f t="shared" si="2090"/>
        <v>0</v>
      </c>
      <c r="AN1188" s="31"/>
      <c r="AO1188" s="622"/>
      <c r="AP1188" s="23"/>
      <c r="AQ1188" s="23"/>
      <c r="AR1188" s="23"/>
      <c r="AS1188" s="23"/>
      <c r="AT1188" s="23"/>
      <c r="AU1188" s="23"/>
      <c r="AV1188" s="23"/>
    </row>
    <row r="1189" spans="1:48" ht="25.15" hidden="1" customHeight="1">
      <c r="A1189" s="103"/>
      <c r="B1189" s="89"/>
      <c r="C1189" s="80"/>
      <c r="D1189" s="90" t="s">
        <v>104</v>
      </c>
      <c r="E1189" s="1108"/>
      <c r="F1189" s="1089"/>
      <c r="G1189" s="44"/>
      <c r="H1189" s="1089"/>
      <c r="I1189" s="1089"/>
      <c r="J1189" s="44"/>
      <c r="K1189" s="44"/>
      <c r="L1189" s="1089"/>
      <c r="M1189" s="1089"/>
      <c r="N1189" s="1089"/>
      <c r="O1189" s="1089"/>
      <c r="P1189" s="1089"/>
      <c r="Q1189" s="44"/>
      <c r="R1189" s="44"/>
      <c r="S1189" s="1089"/>
      <c r="T1189" s="1089"/>
      <c r="U1189" s="1089"/>
      <c r="V1189" s="1089"/>
      <c r="W1189" s="1089"/>
      <c r="X1189" s="44"/>
      <c r="Y1189" s="44"/>
      <c r="Z1189" s="1089"/>
      <c r="AA1189" s="1089"/>
      <c r="AB1189" s="1089"/>
      <c r="AC1189" s="1089"/>
      <c r="AD1189" s="1089"/>
      <c r="AE1189" s="44"/>
      <c r="AF1189" s="44"/>
      <c r="AG1189" s="1089"/>
      <c r="AH1189" s="1089"/>
      <c r="AI1189" s="1326"/>
      <c r="AJ1189" s="79"/>
      <c r="AK1189" s="79"/>
      <c r="AL1189" s="63"/>
      <c r="AM1189" s="1068">
        <f t="shared" si="2090"/>
        <v>0</v>
      </c>
      <c r="AN1189" s="64"/>
      <c r="AO1189" s="624"/>
      <c r="AP1189" s="23"/>
      <c r="AQ1189" s="23"/>
      <c r="AR1189" s="23"/>
      <c r="AS1189" s="23"/>
      <c r="AT1189" s="23"/>
      <c r="AU1189" s="23"/>
      <c r="AV1189" s="23"/>
    </row>
    <row r="1190" spans="1:48" ht="16.5" hidden="1" customHeight="1" thickBot="1">
      <c r="A1190" s="106"/>
      <c r="B1190" s="93"/>
      <c r="C1190" s="94"/>
      <c r="D1190" s="95" t="s">
        <v>111</v>
      </c>
      <c r="E1190" s="1109">
        <f>IF(E1189="O/H",E1186,55890+E1186)</f>
        <v>55890</v>
      </c>
      <c r="F1190" s="1110">
        <f t="shared" ref="F1190:AI1190" si="2157">IF(F1189="O/H",F1186,+E1190+F1186)</f>
        <v>55890</v>
      </c>
      <c r="G1190" s="1212">
        <f t="shared" si="2157"/>
        <v>55890</v>
      </c>
      <c r="H1190" s="1110">
        <f t="shared" si="2157"/>
        <v>55890</v>
      </c>
      <c r="I1190" s="1110">
        <f t="shared" si="2157"/>
        <v>55890</v>
      </c>
      <c r="J1190" s="1212">
        <f t="shared" si="2157"/>
        <v>55890</v>
      </c>
      <c r="K1190" s="1212">
        <f t="shared" si="2157"/>
        <v>55890</v>
      </c>
      <c r="L1190" s="1110">
        <f t="shared" si="2157"/>
        <v>55890</v>
      </c>
      <c r="M1190" s="1110">
        <f t="shared" si="2157"/>
        <v>55890</v>
      </c>
      <c r="N1190" s="1110">
        <f t="shared" si="2157"/>
        <v>55890</v>
      </c>
      <c r="O1190" s="1110">
        <f t="shared" si="2157"/>
        <v>55890</v>
      </c>
      <c r="P1190" s="1110">
        <f t="shared" si="2157"/>
        <v>55890</v>
      </c>
      <c r="Q1190" s="1212">
        <f t="shared" si="2157"/>
        <v>55890</v>
      </c>
      <c r="R1190" s="1212">
        <f t="shared" si="2157"/>
        <v>55890</v>
      </c>
      <c r="S1190" s="1110">
        <f t="shared" si="2157"/>
        <v>55890</v>
      </c>
      <c r="T1190" s="1110">
        <f t="shared" si="2157"/>
        <v>55890</v>
      </c>
      <c r="U1190" s="1110">
        <f t="shared" si="2157"/>
        <v>55890</v>
      </c>
      <c r="V1190" s="1110">
        <f t="shared" si="2157"/>
        <v>55890</v>
      </c>
      <c r="W1190" s="1110">
        <f t="shared" si="2157"/>
        <v>55890</v>
      </c>
      <c r="X1190" s="1212">
        <f t="shared" si="2157"/>
        <v>55890</v>
      </c>
      <c r="Y1190" s="1212">
        <f t="shared" si="2157"/>
        <v>55890</v>
      </c>
      <c r="Z1190" s="1110">
        <f t="shared" si="2157"/>
        <v>55890</v>
      </c>
      <c r="AA1190" s="1110">
        <f t="shared" si="2157"/>
        <v>55890</v>
      </c>
      <c r="AB1190" s="1110">
        <f t="shared" si="2157"/>
        <v>55890</v>
      </c>
      <c r="AC1190" s="1110">
        <f t="shared" si="2157"/>
        <v>55890</v>
      </c>
      <c r="AD1190" s="1110">
        <f t="shared" si="2157"/>
        <v>55890</v>
      </c>
      <c r="AE1190" s="1212">
        <f t="shared" si="2157"/>
        <v>55890</v>
      </c>
      <c r="AF1190" s="1212">
        <f t="shared" si="2157"/>
        <v>55890</v>
      </c>
      <c r="AG1190" s="1110">
        <f t="shared" si="2157"/>
        <v>55890</v>
      </c>
      <c r="AH1190" s="1110">
        <f t="shared" si="2157"/>
        <v>55890</v>
      </c>
      <c r="AI1190" s="1340">
        <f t="shared" si="2157"/>
        <v>55890</v>
      </c>
      <c r="AJ1190" s="96"/>
      <c r="AK1190" s="96"/>
      <c r="AL1190" s="97"/>
      <c r="AM1190" s="1071">
        <f t="shared" si="2090"/>
        <v>25204.6512</v>
      </c>
      <c r="AN1190" s="98"/>
      <c r="AO1190" s="625"/>
      <c r="AP1190" s="23"/>
      <c r="AQ1190" s="23"/>
      <c r="AR1190" s="23"/>
      <c r="AS1190" s="23"/>
      <c r="AT1190" s="23"/>
      <c r="AU1190" s="23"/>
      <c r="AV1190" s="23"/>
    </row>
    <row r="1191" spans="1:48" s="23" customFormat="1" ht="24" customHeight="1" thickTop="1">
      <c r="A1191" s="112"/>
      <c r="B1191" s="113"/>
      <c r="C1191" s="114"/>
      <c r="D1191" s="115" t="s">
        <v>82</v>
      </c>
      <c r="E1191" s="1466">
        <f>E1178+E1164+E1150+E1137+E1123+E1109+E1095+E1081+E1067+E1054+E1040+E1026+E1013+E999+E986+E972+E959+E945+E932+E918+E905+E891+E878+E864+E851+E837+E824+E810+E796+E783+E769+E755+E741+E728+E714+E701+E688+E674+E661+E647+E633+E620+E606+E592+E579+E565+E552+E538+E525+E511+E498+E484+E471+E457+E444+E430+E417+E403+E389+E376+E362+E348+E335+E321+E307+E294+E280+E266+E253+E239+E225+E212+E198+E185+E171+E158+E144+E131+E117+E77+E63+E50+E36+E22+E8</f>
        <v>0</v>
      </c>
      <c r="F1191" s="116">
        <f t="shared" ref="F1191:V1191" si="2158">F1178+F1164+F1150+F1137+F1123+F1109+F1095+F1081+F1067+F1054+F1040+F1026+F1013+F999+F986+F972+F959+F945+F932+F918+F905+F891+F878+F864+F851+F837+F824+F810+F796+F783+F769+F755+F741+F728+F714+F701+F688+F674+F661+F647+F633+F620+F606+F592+F579+F565+F552+F538+F525+F511+F498+F484+F471+F457+F444+F430+F417+F403+F389+F376+F362+F348+F335+F321+F307+F294+F280+F266+F253+F239+F225+F212+F198+F185+F171+F158+F144+F131+F117+F77+F63+F50+F36+F22+F8</f>
        <v>0</v>
      </c>
      <c r="G1191" s="1217">
        <f t="shared" si="2158"/>
        <v>0</v>
      </c>
      <c r="H1191" s="116">
        <f t="shared" si="2158"/>
        <v>0</v>
      </c>
      <c r="I1191" s="116">
        <f t="shared" si="2158"/>
        <v>0</v>
      </c>
      <c r="J1191" s="1217">
        <f t="shared" si="2158"/>
        <v>0</v>
      </c>
      <c r="K1191" s="1217">
        <f t="shared" si="2158"/>
        <v>0</v>
      </c>
      <c r="L1191" s="116">
        <f t="shared" si="2158"/>
        <v>200</v>
      </c>
      <c r="M1191" s="116">
        <f t="shared" si="2158"/>
        <v>540</v>
      </c>
      <c r="N1191" s="116">
        <f t="shared" si="2158"/>
        <v>700</v>
      </c>
      <c r="O1191" s="116">
        <f t="shared" si="2158"/>
        <v>560</v>
      </c>
      <c r="P1191" s="116">
        <f t="shared" si="2158"/>
        <v>0</v>
      </c>
      <c r="Q1191" s="1217">
        <f t="shared" si="2158"/>
        <v>0</v>
      </c>
      <c r="R1191" s="1217">
        <f t="shared" si="2158"/>
        <v>0</v>
      </c>
      <c r="S1191" s="116">
        <f t="shared" si="2158"/>
        <v>550</v>
      </c>
      <c r="T1191" s="116">
        <f t="shared" si="2158"/>
        <v>1200</v>
      </c>
      <c r="U1191" s="116">
        <f t="shared" si="2158"/>
        <v>1700</v>
      </c>
      <c r="V1191" s="116">
        <f t="shared" si="2158"/>
        <v>1700</v>
      </c>
      <c r="W1191" s="116">
        <f>W1178+W1164+W1150+W1137+W1123+W1109+W1095+W1081+W1067+W1054+W1040+W1026+W1013+W999+W986+W972+W959+W945+W932+W918+W905+W891+W878+W864+W851+W837+W824+W810+W796+W783+W769+W755+W741+W728+W714+W701+W688+W674+W661+W647+W633+W620+W606+W592+W579+W565+W552+W538+W525+X511+W498+W484+W471+W457+W444+W430+W417+W403+W389+W376+W362+W348+W335+W321+W307+W294+W280+W266+W253+W239+W225+W212+W198+W185+W171+W158+W144+W131+W117+W77+W63+W50+W36+W22+W8</f>
        <v>1700</v>
      </c>
      <c r="X1191" s="1217">
        <f>X1178+X1164+X1150+X1137+X1123+X1109+X1095+X1081+X1067+X1054+X1040+X1026+X1013+X999+X986+X972+X959+X945+X932+X918+X905+X891+X878+X864+X851+X837+X824+X810+X796+X783+X769+X755+X741+X728+X714+X701+X688+X674+X661+X647+X633+X620+X606+X592+X579+X565+X552+X538+X525+Y511+X498+X484+X471+X457+X444+X430+X417+X403+X389+X376+X362+X348+X335+X321+X307+X294+X280+X266+X253+X239+X225+X212+X198+X185+X171+X158+X144+X131+X117+X77+X63+X50+X36+X22+X8</f>
        <v>0</v>
      </c>
      <c r="Y1191" s="1217">
        <f t="shared" ref="Y1191:AI1191" si="2159">Y1178+Y1164+Y1150+Y1137+Y1123+Y1109+Y1095+Y1081+Y1067+Y1054+Y1040+Y1026+Y1013+Y999+Y986+Y972+Y959+Y945+Y932+Y918+Y905+Y891+Y878+Y864+Y851+Y837+Y824+Y810+Y796+Y783+Y769+Y755+Y741+Y728+Y714+Y701+Y688+Y674+Y661+Y647+Y633+Y620+Y606+Y592+Y579+Y565+Y552+Y538+Y525+Y511+Y498+Y484+Y471+Y457+Y444+Y430+Y417+Y403+Y389+Y376+Y362+Y348+Y335+Y321+Y307+Y294+Y280+Y266+Y253+Y239+Y225+Y212+Y198+Y185+Y171+Y158+Y144+Y131+Y117+Y77+Y63+Y50+Y36+Y22+Y8</f>
        <v>0</v>
      </c>
      <c r="Z1191" s="116">
        <f>Z1178+Z1164+Z1150+Z1137+Z1123+Z1109+Z1095+Z1081+Z1067+Z1054+Z1040+Z1026+Z1013+Z999+Z986+Z972+Z959+Z945+Z932+Z918+Z905+Z891+Z878+Z864+Z851+Z837+Z824+Z810+Z796+Z783+Z769+Z755+Z741+Z728+Z714+Z701+Z688+Z674+Z661+Z647+Z633+Z620+Z606+Z592+Z579+Z565+Z552+Z538+Z525+Z511+Z498+Z484+Z471+Z457+Z444+Z430+Z417+Z403+Z389+Z376+Z362+Z348+Z335+Z321+Z307+Z294+Z280+Z266+Z253+Z239+Z225+Z212+Z198+Z185+Z171+Z158+Z144+Z131+Z117+Z77+Z63+Z50+Z36+Z22+Z8</f>
        <v>1050</v>
      </c>
      <c r="AA1191" s="116">
        <f t="shared" si="2159"/>
        <v>1700</v>
      </c>
      <c r="AB1191" s="116">
        <f t="shared" si="2159"/>
        <v>1700</v>
      </c>
      <c r="AC1191" s="116">
        <f t="shared" si="2159"/>
        <v>1700</v>
      </c>
      <c r="AD1191" s="116">
        <f t="shared" si="2159"/>
        <v>1000</v>
      </c>
      <c r="AE1191" s="1217">
        <f t="shared" si="2159"/>
        <v>0</v>
      </c>
      <c r="AF1191" s="1217">
        <f t="shared" si="2159"/>
        <v>0</v>
      </c>
      <c r="AG1191" s="116">
        <f t="shared" si="2159"/>
        <v>500</v>
      </c>
      <c r="AH1191" s="116">
        <f t="shared" si="2159"/>
        <v>1000</v>
      </c>
      <c r="AI1191" s="1122">
        <f t="shared" si="2159"/>
        <v>0</v>
      </c>
      <c r="AJ1191" s="117">
        <f>AJ1178+AJ1164+AJ1150+AJ1137+AJ1123+AJ1109+AJ1095+AJ1081+AJ1067+AJ1054+AJ1040+AJ1026+AJ1013+AJ999+AJ986+AJ972+AJ959+AJ945+AJ932+AJ918+AJ905+AJ891+AJ878+AJ864+AJ851+AJ837+AJ824+AJ810+AJ796+AJ783+AJ769+AJ755+AJ741+AJ728+AJ714+AJ701+AJ688+AJ674+AJ661+AJ647+AJ633+AJ620+AJ606+AJ592+AJ579+AJ565+AJ552+AJ538+AJ525+AJ511+AJ498+AJ484+AJ471+AJ457+AJ444+AJ430+AJ417+AJ403+AJ389+AJ376+AJ362+AJ348+AJ335+AJ321+AJ307+AJ294+AJ280+AJ266+AJ253+AJ239+AJ225+AJ212+AJ198+AJ185+AJ171+AJ158+AJ144+AJ131+AJ117+AJ77+AJ63+AJ50+AJ36+AJ22+AJ8+AJ104+AJ90</f>
        <v>17500</v>
      </c>
      <c r="AK1191" s="117">
        <f>AJ1193</f>
        <v>440</v>
      </c>
      <c r="AL1191" s="118">
        <f>AL1178+AL1164+AL1150+AL1137+AL1123+AL1109+AL1095+AL1081+AL1067+AL1054+AL1040+AL1026+AL1013+AL999+AL986+AL972+AL959+AL945+AL932+AL918+AL905+AL891+AL878+AL864+AL851+AL837+AL824+AL810+AL796+AL783+AL769+AL755+AL741+AL728+AL714+AL701+AL688+AL674+AL661+AL647+AL633+AL620+AL606+AL592+AL579+AL565+AL552+AL538+AL525+AL511+AL498+AL484+AL471+AL457+AL444+AL430+AL417+AL403+AL389+AL376+AL362+AL348+AL335+AL321+AL307+AL294+AL280+AL266+AL253+AL239+AL225+AL212+AL198+AL185+AL171+AL158+AL144+AL131+AL117+AL77+AL63+AL50+AL36+AL22+AL8</f>
        <v>0</v>
      </c>
      <c r="AM1191" s="1073">
        <f t="shared" si="2090"/>
        <v>0</v>
      </c>
      <c r="AN1191" s="119"/>
      <c r="AO1191" s="623"/>
    </row>
    <row r="1192" spans="1:48" s="23" customFormat="1" ht="23.25" customHeight="1">
      <c r="A1192" s="112"/>
      <c r="B1192" s="113"/>
      <c r="C1192" s="114"/>
      <c r="D1192" s="120" t="s">
        <v>93</v>
      </c>
      <c r="E1192" s="1467">
        <f t="shared" ref="E1192:AI1192" si="2160">E1180+E1166+E1152+E1139+E1125+E1111+E1097+E1083+E1069+E1056+E1042+E1028+E1015+E1001+E988+E974+E961+E947+E934+E920+E907+E893+E880+E866+E853+E839+E826+E812+E798+E785+E771+E757+E743+E730+E716+E703+E690+E676+E663+E649+E635+E622+E608+E594+E581+E567+E554+E540+E527+E513+E500+E486+E473+E459+E446+E432+E419+E405+E391+E378+E364+E350+E337+E323+E309+E296+E282+E268+E255+E241+E227+E214+E200+E187+E173+E160+E146+E133+E119+E79+E65+E52+E38+E24+E10</f>
        <v>480</v>
      </c>
      <c r="F1192" s="121">
        <f>F1180+F1166+F1152+F1139+F1125+F1111+F1097+F1083+F1069+F1056+F1042+F1028+F1015+F1001+F988+F974+F961+F947+F934+F920+F907+F893+F880+F866+F853+F839+F826+F812+F798+F785+F771+F757+F743+F730+F716+F703+F690+F676+F663+F649+F635+F622+F608+F594+F581+F567+F554+F540+F527+F513+F500+F486+F473+F459+F446+F432+F419+F405+F391+F378+F364+F350+F337+F323+F309+F296+F282+F268+F255+F241+F227+F214+F200+F187+F173+F160+F146+F133+F119+F79+F65+F52+F38+F24+F10</f>
        <v>0</v>
      </c>
      <c r="G1192" s="1218">
        <f>G1180+G1166+G1152+G1139+G1125+G1111+G1097+G1083+G1069+G1056+G1042+G1028+G1015+G1001+G988+G974+G961+G947+G934+G920+G907+G893+G880+G866+G853+G839+G826+G812+G798+G785+G771+G757+G743+G730+G716+G703+G690+G676+G663+G649+G635+G622+G608+G594+G581+G567+G554+G540+G527+G513+G500+G486+G473+G459+G446+G432+G419+G405+G391+G378+G364+G350+G337+G323+G309+G296+G282+G268+G255+G241+G227+G214+G200+G187+G173+G160+G146+G133+G119+G79+G65+G52+G38+G24+G10</f>
        <v>0</v>
      </c>
      <c r="H1192" s="121">
        <f t="shared" si="2160"/>
        <v>0</v>
      </c>
      <c r="I1192" s="121">
        <f t="shared" si="2160"/>
        <v>0</v>
      </c>
      <c r="J1192" s="1218">
        <f t="shared" si="2160"/>
        <v>0</v>
      </c>
      <c r="K1192" s="1218">
        <f t="shared" si="2160"/>
        <v>0</v>
      </c>
      <c r="L1192" s="121">
        <f t="shared" si="2160"/>
        <v>0</v>
      </c>
      <c r="M1192" s="121">
        <f t="shared" si="2160"/>
        <v>0</v>
      </c>
      <c r="N1192" s="121">
        <f t="shared" si="2160"/>
        <v>540</v>
      </c>
      <c r="O1192" s="121">
        <f t="shared" si="2160"/>
        <v>1840</v>
      </c>
      <c r="P1192" s="121">
        <f t="shared" si="2160"/>
        <v>1780</v>
      </c>
      <c r="Q1192" s="1218">
        <f>Q1180+Q1166+Q1152+Q1139+Q1125+Q1111+Q1097+Q1083+Q1069+Q1056+Q1042+Q1028+Q1015+Q1001+Q988+Q974+Q961+Q947+Q934+Q920+Q907+Q893+Q880+Q866+Q853+Q839+Q826+Q812+Q798+Q785+Q771+Q757+Q743+Q730+Q716+Q703+Q690+Q676+Q663+Q649+Q635+Q622+Q608+Q594+Q581+Q567+Q554+Q540+Q527+Q513+Q500+Q486+Q473+Q459+Q446+Q432+Q419+Q405+Q391+Q378+Q364+Q350+Q337+Q323+Q309+Q296+Q282+Q268+Q255+Q241+Q227+Q214+Q200+Q187+Q173+Q160+Q146+Q133+Q119+Q79+Q65+Q52+Q38+Q24+Q10</f>
        <v>0</v>
      </c>
      <c r="R1192" s="1218">
        <f t="shared" si="2160"/>
        <v>0</v>
      </c>
      <c r="S1192" s="121">
        <f t="shared" si="2160"/>
        <v>0</v>
      </c>
      <c r="T1192" s="121">
        <f t="shared" si="2160"/>
        <v>1080</v>
      </c>
      <c r="U1192" s="121">
        <f t="shared" si="2160"/>
        <v>1440</v>
      </c>
      <c r="V1192" s="121">
        <f t="shared" si="2160"/>
        <v>2860</v>
      </c>
      <c r="W1192" s="121">
        <f t="shared" si="2160"/>
        <v>3280</v>
      </c>
      <c r="X1192" s="1218">
        <f t="shared" si="2160"/>
        <v>0</v>
      </c>
      <c r="Y1192" s="1218">
        <f t="shared" si="2160"/>
        <v>0</v>
      </c>
      <c r="Z1192" s="121">
        <f t="shared" si="2160"/>
        <v>1020</v>
      </c>
      <c r="AA1192" s="121">
        <f t="shared" si="2160"/>
        <v>2800</v>
      </c>
      <c r="AB1192" s="121">
        <f t="shared" si="2160"/>
        <v>0</v>
      </c>
      <c r="AC1192" s="121">
        <f t="shared" si="2160"/>
        <v>0</v>
      </c>
      <c r="AD1192" s="121">
        <f t="shared" si="2160"/>
        <v>0</v>
      </c>
      <c r="AE1192" s="1218">
        <f t="shared" si="2160"/>
        <v>0</v>
      </c>
      <c r="AF1192" s="1218">
        <f t="shared" si="2160"/>
        <v>0</v>
      </c>
      <c r="AG1192" s="121">
        <f t="shared" si="2160"/>
        <v>0</v>
      </c>
      <c r="AH1192" s="121">
        <f t="shared" si="2160"/>
        <v>0</v>
      </c>
      <c r="AI1192" s="1468">
        <f t="shared" si="2160"/>
        <v>0</v>
      </c>
      <c r="AJ1192" s="122">
        <f>AJ1180+AJ1166+AJ1152+AJ1139+AJ1125+AJ1111+AJ1097+AJ1083+AJ1069+AJ1056+AJ1042+AJ1028+AJ1015+AJ1001+AJ988+AJ974+AJ961+AJ947+AJ934+AJ920+AJ907+AJ893+AJ880+AJ866+AJ853+AJ839+AJ826+AJ812+AJ798+AJ785+AJ771+AJ757+AJ743+AJ730+AJ716+AJ703+AJ690+AJ676+AJ663+AJ649+AJ635+AJ622+AJ608+AJ594+AJ581+AJ567+AJ554+AJ540+AJ527+AJ513+AJ500+AJ486+AJ473+AJ459+AJ446+AJ432+AJ419+AJ405+AJ391+AJ378+AJ364+AJ350+AJ337+AJ323+AJ309+AJ296+AJ282+AJ268+AJ255+AJ241+AJ227+AJ214+AJ200+AJ187+AJ173+AJ160+AJ146+AJ133+AJ119+AJ79+AJ65+AJ52+AJ38+AJ24+AJ10+AJ106+AJ92</f>
        <v>17120</v>
      </c>
      <c r="AK1192" s="122">
        <f t="shared" si="2119"/>
        <v>0</v>
      </c>
      <c r="AL1192" s="123">
        <f>AL1180+AL1166+AL1152+AL1139+AL1125+AL1111+AL1097+AL1083+AL1069+AL1056+AL1042+AL1028+AL1015+AL1001+AL988+AL974+AL961+AL947+AL934+AL920+AL907+AL893+AL880+AL866+AL853+AL839+AL826+AL812+AL798+AL785+AL771+AL757+AL743+AL730+AL716+AL703+AL690+AL676+AL663+AL649+AL635+AL622+AL608+AL594+AL581+AL567+AL554+AL540+AL527+AL513+AL500+AL486+AL473+AL459+AL446+AL432+AL419+AL405+AL391+AL378+AL364+AL350+AL337+AL323+AL309+AL296+AL282+AL268+AL255+AL241+AL227+AL214+AL200+AL187+AL173+AL160+AL146+AL133+AL119+AL79+AL65+AL52+AL38+AL24+AL10</f>
        <v>25204.6512</v>
      </c>
      <c r="AM1192" s="1074">
        <f t="shared" si="2090"/>
        <v>0</v>
      </c>
      <c r="AN1192" s="124"/>
      <c r="AO1192" s="627"/>
    </row>
    <row r="1193" spans="1:48" s="23" customFormat="1" ht="23.25" customHeight="1">
      <c r="A1193" s="112"/>
      <c r="B1193" s="125" t="s">
        <v>68</v>
      </c>
      <c r="C1193" s="114"/>
      <c r="D1193" s="126" t="s">
        <v>229</v>
      </c>
      <c r="E1193" s="1469">
        <f t="shared" ref="E1193:AL1193" si="2161">E1182+E1168+E1154+E1141+E1127+E1113+E1099+E1085+E1071+E1058+E1044+E1030+E1017+E1003+E990+E976+E963+E949+E936+E922+E909+E895+E882+E868+E855+E841+E828+E814+E800+E787+E773+E759+E745+E732+E718+E705+E692+E678+E665+E651+E637+E624+E610+E596+E583+E569+E556+E542+E529+E515+E502+E488+E475+E461+E448+E434+E421+E407+E393+E380+E366+E352+E339+E325+E311+E298+E284+E270+E257+E243+E229+E216+E202+E189+E175+E162+E148+E135+E121+E81+E67+E54+E40+E26+E12</f>
        <v>0</v>
      </c>
      <c r="F1193" s="127">
        <f t="shared" si="2161"/>
        <v>0</v>
      </c>
      <c r="G1193" s="1219">
        <f t="shared" si="2161"/>
        <v>0</v>
      </c>
      <c r="H1193" s="127">
        <f t="shared" si="2161"/>
        <v>0</v>
      </c>
      <c r="I1193" s="127">
        <f t="shared" si="2161"/>
        <v>0</v>
      </c>
      <c r="J1193" s="1219">
        <f t="shared" si="2161"/>
        <v>0</v>
      </c>
      <c r="K1193" s="1219">
        <f t="shared" si="2161"/>
        <v>0</v>
      </c>
      <c r="L1193" s="127">
        <f t="shared" si="2161"/>
        <v>10</v>
      </c>
      <c r="M1193" s="127">
        <f t="shared" si="2161"/>
        <v>100</v>
      </c>
      <c r="N1193" s="127">
        <f t="shared" si="2161"/>
        <v>30</v>
      </c>
      <c r="O1193" s="127">
        <f t="shared" si="2161"/>
        <v>30</v>
      </c>
      <c r="P1193" s="127">
        <f t="shared" si="2161"/>
        <v>30</v>
      </c>
      <c r="Q1193" s="1219">
        <f t="shared" si="2161"/>
        <v>0</v>
      </c>
      <c r="R1193" s="1219">
        <f t="shared" si="2161"/>
        <v>0</v>
      </c>
      <c r="S1193" s="127">
        <f t="shared" si="2161"/>
        <v>0</v>
      </c>
      <c r="T1193" s="127">
        <f t="shared" si="2161"/>
        <v>20</v>
      </c>
      <c r="U1193" s="127">
        <f t="shared" si="2161"/>
        <v>80</v>
      </c>
      <c r="V1193" s="127">
        <f t="shared" si="2161"/>
        <v>40</v>
      </c>
      <c r="W1193" s="127">
        <f t="shared" si="2161"/>
        <v>40</v>
      </c>
      <c r="X1193" s="1219">
        <f t="shared" si="2161"/>
        <v>0</v>
      </c>
      <c r="Y1193" s="1219">
        <f t="shared" si="2161"/>
        <v>0</v>
      </c>
      <c r="Z1193" s="127">
        <f t="shared" si="2161"/>
        <v>30</v>
      </c>
      <c r="AA1193" s="127">
        <f t="shared" si="2161"/>
        <v>30</v>
      </c>
      <c r="AB1193" s="127">
        <f t="shared" si="2161"/>
        <v>0</v>
      </c>
      <c r="AC1193" s="127">
        <f t="shared" si="2161"/>
        <v>0</v>
      </c>
      <c r="AD1193" s="127">
        <f t="shared" si="2161"/>
        <v>0</v>
      </c>
      <c r="AE1193" s="1219">
        <f t="shared" si="2161"/>
        <v>0</v>
      </c>
      <c r="AF1193" s="1219">
        <f t="shared" si="2161"/>
        <v>0</v>
      </c>
      <c r="AG1193" s="127">
        <f t="shared" si="2161"/>
        <v>0</v>
      </c>
      <c r="AH1193" s="127">
        <f t="shared" si="2161"/>
        <v>0</v>
      </c>
      <c r="AI1193" s="1470">
        <f t="shared" si="2161"/>
        <v>0</v>
      </c>
      <c r="AJ1193" s="128">
        <f>AJ1182+AJ1168+AJ1154+AJ1141+AJ1127+AJ1113+AJ1099+AJ1085+AJ1071+AJ1058+AJ1044+AJ1030+AJ1017+AJ1003+AJ990+AJ976+AJ963+AJ949+AJ936+AJ922+AJ909+AJ895+AJ882+AJ868+AJ855+AJ841+AJ828+AJ814+AJ800+AJ787+AJ773+AJ759+AJ745+AJ732+AJ718+AJ705+AJ692+AJ678+AJ665+AJ651+AJ637+AJ624+AJ610+AJ596+AJ583+AJ569+AJ556+AJ542+AJ529+AJ515+AJ502+AJ488+AJ475+AJ461+AJ448+AJ434+AJ421+AJ407+AJ393+AJ380+AJ366+AJ352+AJ339+AJ325+AJ311+AJ298+AJ284+AJ270+AJ257+AJ243+AJ229+AJ216+AJ202+AJ189+AJ175+AJ162+AJ148+AJ135+AJ121+AJ81+AJ67+AJ54+AJ40+AJ26+AJ12</f>
        <v>440</v>
      </c>
      <c r="AK1193" s="128">
        <f t="shared" si="2119"/>
        <v>0</v>
      </c>
      <c r="AL1193" s="129">
        <f t="shared" si="2161"/>
        <v>0</v>
      </c>
      <c r="AM1193" s="1075">
        <f t="shared" si="2090"/>
        <v>0</v>
      </c>
      <c r="AN1193" s="91"/>
      <c r="AO1193" s="623"/>
    </row>
    <row r="1194" spans="1:48" s="23" customFormat="1" ht="23.25" customHeight="1">
      <c r="A1194" s="112"/>
      <c r="B1194" s="113"/>
      <c r="C1194" s="114"/>
      <c r="D1194" s="130" t="s">
        <v>103</v>
      </c>
      <c r="E1194" s="1471">
        <f t="shared" ref="E1194:S1194" si="2162">E1183+E1169+E1155+E1142+E1128+E1114+E1100+E1086+E1072+E1059+E1045+E1031+E1018+E1004+E991+E977+E964+E950+E937+E923+E910+E896+E883+E869+E856+E842+E829+E815+E801+E788+E774+E760+E746+E733+E719+E706+E693+E679+E666+E652+E638+E625+E611+E597+E584+E570+E557+E543+E530+E516+E503+E489+E476+E462+E449+E435+E422+E408+E394+E381+E367+E353+E340+E326+E312+E299+E285+E271+E258+E244+E230+E217+E203+E190+E176+E163+E149+E136+E122+E82+E68+E55+E41+E27+E13</f>
        <v>0</v>
      </c>
      <c r="F1194" s="131">
        <f t="shared" si="2162"/>
        <v>0</v>
      </c>
      <c r="G1194" s="1220">
        <f t="shared" si="2162"/>
        <v>0</v>
      </c>
      <c r="H1194" s="131">
        <f t="shared" si="2162"/>
        <v>0</v>
      </c>
      <c r="I1194" s="131">
        <f t="shared" si="2162"/>
        <v>0</v>
      </c>
      <c r="J1194" s="1220">
        <f t="shared" si="2162"/>
        <v>0</v>
      </c>
      <c r="K1194" s="1220">
        <f t="shared" si="2162"/>
        <v>0</v>
      </c>
      <c r="L1194" s="131">
        <f t="shared" si="2162"/>
        <v>0</v>
      </c>
      <c r="M1194" s="131">
        <f t="shared" si="2162"/>
        <v>0</v>
      </c>
      <c r="N1194" s="131">
        <f t="shared" si="2162"/>
        <v>0</v>
      </c>
      <c r="O1194" s="131">
        <f t="shared" si="2162"/>
        <v>0</v>
      </c>
      <c r="P1194" s="131">
        <f t="shared" si="2162"/>
        <v>0</v>
      </c>
      <c r="Q1194" s="1220">
        <f t="shared" si="2162"/>
        <v>0</v>
      </c>
      <c r="R1194" s="1220">
        <f t="shared" si="2162"/>
        <v>0</v>
      </c>
      <c r="S1194" s="131">
        <f t="shared" si="2162"/>
        <v>0</v>
      </c>
      <c r="T1194" s="131">
        <f>T1183+T1169+T1155+T1142+T1128+T1114+T1100+T1086+T1072+T1059+T1045+T1031+T1018+T1004+T991+T977+T964+T950+T937+T923+T910+T896+T883+T869+T856+T842+T829+T815+T801+T788+T774+T760+T746+T733+T719+T706+T693+T679+T666+T653+T638+T625+T611+T597+T584+T570+T557+T543+T530+T516+T503+T489+T476+T462+T449+T435+T422+T408+T394+T381+T367+T353+T340+T326+T312+T299+T285+T271+T258+T244+T230+T217+T203+T190+T176+T163+T149+T136+T122+T82+T68+T55+T41+T27+T13</f>
        <v>0</v>
      </c>
      <c r="U1194" s="131">
        <f t="shared" ref="U1194:AH1194" si="2163">U1183+U1169+U1155+U1142+U1128+U1114+U1100+U1086+U1072+U1059+U1045+U1031+U1018+U1004+U991+U977+U964+U950+U937+U923+U910+U896+U883+U869+U856+U842+U829+U815+U801+U788+U774+U760+U746+U733+U719+U706+U693+U679+U666+U652+U638+U625+U611+U597+U584+U570+U557+U543+U530+U516+U503+U489+U476+U462+U449+U435+U422+U408+U394+U381+U367+U353+U340+U326+U312+U299+U285+U271+U258+U244+U230+U217+U203+U190+U176+U163+U149+U136+U122+U82+U68+U55+U41+U27+U13</f>
        <v>0</v>
      </c>
      <c r="V1194" s="131">
        <f t="shared" si="2163"/>
        <v>0</v>
      </c>
      <c r="W1194" s="131">
        <f t="shared" si="2163"/>
        <v>0</v>
      </c>
      <c r="X1194" s="1220">
        <f t="shared" si="2163"/>
        <v>0</v>
      </c>
      <c r="Y1194" s="1220">
        <f t="shared" si="2163"/>
        <v>0</v>
      </c>
      <c r="Z1194" s="131">
        <f t="shared" si="2163"/>
        <v>0</v>
      </c>
      <c r="AA1194" s="131">
        <f>AA1183+AA1169+AA1155+AA1142+AA1128+AA1114+AA1100+AA1086+AA1072+AA1059+AA1045+AA1031+AA1018+AA1004+AA991+AA977+AA964+AA950+AA937+AA923+AA910+AA896+AA883+AA869+AA856+AA842+AA829+AA815+AA801+AA788+AA774+AA760+AA746+AA733+AA719+AA706+AA693+AA679+AA666+AA652+AA638+AA625+AA611+AA597+AA584+AA570+AA557+AA543+AA530+AA516+AA503+AA489+AA476+AA462+AA449+AA435+AA422+AA408+AA394+AA381+AA367+AA353+AA340+AA326+AA312+AA299+AA285+AA271+AA258+AA244+AA230+AA217+AA203+AA190+AA176+AA163+AA149+AA136+AA122+AA82+AA68+AA55+AA41+AA27+AA13</f>
        <v>0</v>
      </c>
      <c r="AB1194" s="131">
        <f t="shared" si="2163"/>
        <v>0</v>
      </c>
      <c r="AC1194" s="131">
        <f t="shared" si="2163"/>
        <v>0</v>
      </c>
      <c r="AD1194" s="131">
        <f t="shared" si="2163"/>
        <v>0</v>
      </c>
      <c r="AE1194" s="1220">
        <f t="shared" si="2163"/>
        <v>0</v>
      </c>
      <c r="AF1194" s="1220">
        <f t="shared" si="2163"/>
        <v>0</v>
      </c>
      <c r="AG1194" s="131">
        <f t="shared" si="2163"/>
        <v>0</v>
      </c>
      <c r="AH1194" s="131">
        <f t="shared" si="2163"/>
        <v>0</v>
      </c>
      <c r="AI1194" s="1472">
        <f>AI1183+AI1169+AI1155+AI1142+AI1128+AI1114+AI1100+AI1086+AI1072+AI1059+AI1045+AI1031+AI1018+AI1004+AI991+AI977+AI964+AI950+AI937+AI923+AI910+AI896+AI883+AI869+AI856+AI842+AI829+AI815+AI801+AI788+AI774+AI760+AI746+AI733+AI719+AI706+AI693+AI679+AI666+AI652+AI638+AI625+AI611+AI597+AI584+AI570+AI557+AI543+AI530+AI517+AI503+AI489+AI476+AI462+AI449+AI435+AI422+AI408+AI394+AI381+AI367+AI353+AI340+AI326+AI312+AI299+AI285+AI271+AI258+AI244+AI230+AI217+AI203+AI190+AI176+AI163+AI149+AI136+AI122+AI82+AI68+AI55+AI41+AI27+AI13</f>
        <v>0</v>
      </c>
      <c r="AJ1194" s="132">
        <f>AJ1183+AJ1169+AJ1155+AJ1142+AJ1128+AJ1114+AJ1100+AJ1086+AJ1072+AJ1059+AJ1045+AJ1031+AJ1018+AJ1004+AJ991+AJ977+AJ964+AJ950+AJ937+AJ923+AJ910+AJ896+AJ883+AJ869+AJ856+AJ842+AJ829+AJ815+AJ801+AJ788+AJ774+AJ760+AJ746+AJ733+AJ719+AJ706+AJ693+AJ679+AJ666+AJ652+AJ638+AJ625+AJ611+AJ597+AJ584+AJ570+AJ557+AJ543+AJ530+AJ516+AJ503+AJ489+AJ476+AJ462+AJ449+AJ435+AJ422+AJ408+AJ394+AJ381+AJ367+AJ353+AJ340+AJ326+AJ312+AJ299+AJ285+AJ271+AJ258+AJ244+AJ230+AJ217+AJ203+AJ190+AJ176+AJ163+AJ149+AJ136+AJ122+AJ82+AJ68+AJ55+AJ41+AJ27+AJ13</f>
        <v>0</v>
      </c>
      <c r="AK1194" s="132">
        <f t="shared" si="2119"/>
        <v>2.5700934579439252E-2</v>
      </c>
      <c r="AL1194" s="133">
        <f>AL1183+AL1169+AL1155+AL1142+AL1128+AL1114+AL1100+AL1086+AL1072+AL1059+AL1045+AL1031+AL1018+AL1004+AL991+AL977+AL964+AL950+AL937+AL923+AL910+AL896+AL883+AL869+AL856+AL842+AL829+AL815+AL801+AL788+AL774+AL760+AL746+AL733+AL719+AL706+AL693+AL679+AL666+AL652+AL638+AL625+AL611+AL597+AL584+AL570+AL557+AL543+AL530+AL516+AL503+AL489+AL476+AL462+AL449+AL435+AL422+AL408+AL394+AL381+AL367+AL353+AL340+AL326+AL312+AL299+AL285+AL271+AL258+AL244+AL230+AL217+AL203+AL190+AL176+AL163+AL149+AL136+AL122+AL82+AL68+AL55+AL41+AL27+AL13</f>
        <v>0</v>
      </c>
      <c r="AM1194" s="1076">
        <f t="shared" si="2090"/>
        <v>0</v>
      </c>
      <c r="AN1194" s="91"/>
      <c r="AO1194" s="623"/>
    </row>
    <row r="1195" spans="1:48" s="23" customFormat="1" ht="23.25" customHeight="1">
      <c r="A1195" s="112"/>
      <c r="B1195" s="113"/>
      <c r="C1195" s="114"/>
      <c r="D1195" s="134" t="str">
        <f>D1184</f>
        <v>INJ. Sample partrol (pcs.)</v>
      </c>
      <c r="E1195" s="1473">
        <f t="shared" ref="E1195:S1195" si="2164">E1184+E1170+E1156+E1143+E1129+E1115+E1101+E1087+E1073+E1060+E1046+E1032+E1019+E1005+E992+E978+E965+E951+E938+E924+E911+E897+E884+E870+E857+E843+E830+E816+E802+E789+E775+E761+E747+E734+E720+E707+E694+E680+E667+E653+E639+E626+E612+E598+E585+E571+E558+E544+E531+E517+E504+E490+E477+E463+E450+E436+E423+E409+E395+E382+E368+E354+E341+E327+E313+E300+E286+E272+E259+E245+E231+E218+E204+E191+E177+E164+E150+E137+E123+E83+E69+E56+E42+E28+E14</f>
        <v>0</v>
      </c>
      <c r="F1195" s="135">
        <f t="shared" si="2164"/>
        <v>0</v>
      </c>
      <c r="G1195" s="1221">
        <f t="shared" si="2164"/>
        <v>0</v>
      </c>
      <c r="H1195" s="135">
        <f t="shared" si="2164"/>
        <v>0</v>
      </c>
      <c r="I1195" s="135">
        <f t="shared" si="2164"/>
        <v>0</v>
      </c>
      <c r="J1195" s="1221">
        <f t="shared" si="2164"/>
        <v>0</v>
      </c>
      <c r="K1195" s="1221">
        <f t="shared" si="2164"/>
        <v>0</v>
      </c>
      <c r="L1195" s="135">
        <f t="shared" si="2164"/>
        <v>0</v>
      </c>
      <c r="M1195" s="135">
        <f t="shared" si="2164"/>
        <v>0</v>
      </c>
      <c r="N1195" s="135">
        <f t="shared" si="2164"/>
        <v>0</v>
      </c>
      <c r="O1195" s="135">
        <f t="shared" si="2164"/>
        <v>0</v>
      </c>
      <c r="P1195" s="135">
        <f t="shared" si="2164"/>
        <v>0</v>
      </c>
      <c r="Q1195" s="1221">
        <f t="shared" si="2164"/>
        <v>0</v>
      </c>
      <c r="R1195" s="1221">
        <f t="shared" si="2164"/>
        <v>0</v>
      </c>
      <c r="S1195" s="135">
        <f t="shared" si="2164"/>
        <v>0</v>
      </c>
      <c r="T1195" s="135">
        <f>T1184+T1170+T1156+T1143+T1129+T1115+T1101+T1087+T1073+T1060+T1046+T1032+T1019+T1005+T992+T978+T965+T951+T938+T924+T911+T897+T884+T870+T857+T843+T830+T816+T802+T789+T775+T761+T747+T734+T720+T707+T694+T680+T667+T653+T639+T626+T612+T598+T585+T571+T558+T544+T531+T517+T504+T490+T477+T463+T450+T436+T423+T409+T395+T382+T368+T354+T341+T327+T313+T300+T286+T272+T259+T245+T231+T218+T204+T191+T177+T164+T150+T137+T123+T83+T69+T56+T42+T28+T14</f>
        <v>0</v>
      </c>
      <c r="U1195" s="135">
        <f t="shared" ref="U1195:AH1195" si="2165">U1184+U1170+U1156+U1143+U1129+U1115+U1101+U1087+U1073+U1060+U1046+U1032+U1019+U1005+U992+U978+U965+U951+U938+U924+U911+U897+U884+U870+U857+U843+U830+U816+U802+U789+U775+U761+U747+U734+U720+U707+U694+U680+U667+U653+U639+U626+U612+U598+U585+U571+U558+U544+U531+U517+U504+U490+U477+U463+U450+U436+U423+U409+U395+U382+U368+U354+U341+U327+U313+U300+U286+U272+U259+U245+U231+U218+U204+U191+U177+U164+U150+U137+U123+U83+U69+U56+U42+U28+U14</f>
        <v>0</v>
      </c>
      <c r="V1195" s="135">
        <f t="shared" si="2165"/>
        <v>0</v>
      </c>
      <c r="W1195" s="135">
        <f t="shared" si="2165"/>
        <v>0</v>
      </c>
      <c r="X1195" s="1221">
        <f t="shared" si="2165"/>
        <v>0</v>
      </c>
      <c r="Y1195" s="1221">
        <f t="shared" si="2165"/>
        <v>0</v>
      </c>
      <c r="Z1195" s="135">
        <f t="shared" si="2165"/>
        <v>0</v>
      </c>
      <c r="AA1195" s="135">
        <f t="shared" si="2165"/>
        <v>0</v>
      </c>
      <c r="AB1195" s="135">
        <f t="shared" si="2165"/>
        <v>0</v>
      </c>
      <c r="AC1195" s="135">
        <f t="shared" si="2165"/>
        <v>0</v>
      </c>
      <c r="AD1195" s="135">
        <f t="shared" si="2165"/>
        <v>0</v>
      </c>
      <c r="AE1195" s="1221">
        <f t="shared" si="2165"/>
        <v>0</v>
      </c>
      <c r="AF1195" s="1221">
        <f t="shared" si="2165"/>
        <v>0</v>
      </c>
      <c r="AG1195" s="135">
        <f t="shared" si="2165"/>
        <v>0</v>
      </c>
      <c r="AH1195" s="135">
        <f t="shared" si="2165"/>
        <v>0</v>
      </c>
      <c r="AI1195" s="135">
        <f>AI1184+AI1170+AI1156+AI1143+AI1129+AI1115+AI1101+AI1087+AI1073+AI1060+AI1046+AI1032+AI1019+AI1005+AI992+AI978+AI965+AI951+AI938+AI924+AI911+AI897+AI884+AI870+AI857+AI843+AI830+AI816+AI802+AI789+AI775+AI761+AI747+AI734+AI720+AI707+AI694+AI680+AI667+AI653+AI639+AI626+AI612+AI598+AI585+AI571+AI558+AI544+AI531+AI517+AI504+AI490+AI477+AI463+AI450+AI436+AI423+AI409+AI395+AI382+AI368+AI354+AI341+AI327+AI313+AI300+AI286+AI272+AI259+AI245+AI231+AI218+AI204+AI191+AI177+AI164+AI150+AI137+AI123+AI83+AI69+AI56+AI42+AI28+AI14</f>
        <v>0</v>
      </c>
      <c r="AJ1195" s="136">
        <f>AJ1184+AJ1170+AJ1156+AJ1143+AJ1129+AJ1115+AJ1101+AJ1087+AJ1073+AJ1060+AJ1046+AJ1032+AJ1019+AJ1005+AJ992+AJ978+AJ965+AJ951+AJ938+AJ924+AJ911+AJ897+AJ884+AJ870+AJ857+AJ843+AJ830+AJ816+AJ802+AJ789+AJ775+AJ761+AJ747+AJ734+AJ720+AJ707+AJ694+AJ680+AJ667+AJ653+AJ639+AJ626+AJ612+AJ598+AJ585+AJ571+AJ558+AJ544+AJ531+AJ517+AJ504+AJ490+AJ477+AJ463+AJ450+AJ436+AJ423+AJ409+AJ395+AJ382+AJ368+AJ354+AJ341+AJ327+AJ313+AJ300+AJ286+AJ272+AJ259+AJ245+AJ231+AJ218+AJ204+AJ191+AJ177+AJ164+AJ150+AJ137+AJ123+AJ83+AJ69+AJ56+AJ42+AJ28+AJ14</f>
        <v>0</v>
      </c>
      <c r="AK1195" s="136">
        <f t="shared" si="2119"/>
        <v>0</v>
      </c>
      <c r="AL1195" s="137">
        <f>AL1184+AL1170+AL1156+AL1143+AL1129+AL1115+AL1101+AL1087+AL1073+AL1060+AL1046+AL1032+AL1019+AL1005+AL992+AL978+AL965+AL951+AL938+AL924+AL911+AL897+AL884+AL870+AL857+AL843+AL830+AL816+AL802+AL789+AL775+AL761+AL747+AL734+AL720+AL707+AL694+AL680+AL667+AL653+AL639+AL626+AL612+AL598+AL585+AL571+AL558+AL544+AL531+AL517+AL504+AL490+AL477+AL463+AL450+AL436+AL423+AL409+AL395+AL382+AL368+AL354+AL341+AL327+AL313+AL300+AL286+AL272+AL259+AL245+AL231+AL218+AL204+AL191+AL177+AL164+AL150+AL137+AL123+AL83+AL69+AL56+AL42+AL28+AL14</f>
        <v>0</v>
      </c>
      <c r="AM1195" s="1077">
        <f t="shared" si="2090"/>
        <v>0</v>
      </c>
      <c r="AN1195" s="91"/>
      <c r="AO1195" s="623"/>
    </row>
    <row r="1196" spans="1:48" s="23" customFormat="1" ht="27.75" customHeight="1" thickBot="1">
      <c r="A1196" s="138"/>
      <c r="B1196" s="139"/>
      <c r="C1196" s="140"/>
      <c r="D1196" s="141" t="s">
        <v>230</v>
      </c>
      <c r="E1196" s="1474">
        <f t="shared" ref="E1196:AI1196" si="2166">+E1193/(E1192+E1193)</f>
        <v>0</v>
      </c>
      <c r="F1196" s="142" t="e">
        <f t="shared" si="2166"/>
        <v>#DIV/0!</v>
      </c>
      <c r="G1196" s="1222" t="e">
        <f t="shared" si="2166"/>
        <v>#DIV/0!</v>
      </c>
      <c r="H1196" s="142" t="e">
        <f t="shared" si="2166"/>
        <v>#DIV/0!</v>
      </c>
      <c r="I1196" s="142" t="e">
        <f t="shared" si="2166"/>
        <v>#DIV/0!</v>
      </c>
      <c r="J1196" s="1222" t="e">
        <f t="shared" si="2166"/>
        <v>#DIV/0!</v>
      </c>
      <c r="K1196" s="1222" t="e">
        <f t="shared" si="2166"/>
        <v>#DIV/0!</v>
      </c>
      <c r="L1196" s="142">
        <f t="shared" si="2166"/>
        <v>1</v>
      </c>
      <c r="M1196" s="142">
        <f t="shared" si="2166"/>
        <v>1</v>
      </c>
      <c r="N1196" s="142">
        <f t="shared" si="2166"/>
        <v>5.2631578947368418E-2</v>
      </c>
      <c r="O1196" s="142">
        <f t="shared" si="2166"/>
        <v>1.6042780748663103E-2</v>
      </c>
      <c r="P1196" s="142">
        <f t="shared" si="2166"/>
        <v>1.6574585635359115E-2</v>
      </c>
      <c r="Q1196" s="1222" t="e">
        <f t="shared" si="2166"/>
        <v>#DIV/0!</v>
      </c>
      <c r="R1196" s="1222" t="e">
        <f t="shared" si="2166"/>
        <v>#DIV/0!</v>
      </c>
      <c r="S1196" s="142" t="e">
        <f t="shared" si="2166"/>
        <v>#DIV/0!</v>
      </c>
      <c r="T1196" s="142">
        <f t="shared" si="2166"/>
        <v>1.8181818181818181E-2</v>
      </c>
      <c r="U1196" s="142">
        <f t="shared" si="2166"/>
        <v>5.2631578947368418E-2</v>
      </c>
      <c r="V1196" s="142">
        <f t="shared" si="2166"/>
        <v>1.3793103448275862E-2</v>
      </c>
      <c r="W1196" s="142">
        <f t="shared" si="2166"/>
        <v>1.2048192771084338E-2</v>
      </c>
      <c r="X1196" s="1222" t="e">
        <f t="shared" si="2166"/>
        <v>#DIV/0!</v>
      </c>
      <c r="Y1196" s="1222" t="e">
        <f t="shared" si="2166"/>
        <v>#DIV/0!</v>
      </c>
      <c r="Z1196" s="142">
        <f t="shared" si="2166"/>
        <v>2.8571428571428571E-2</v>
      </c>
      <c r="AA1196" s="142">
        <f t="shared" si="2166"/>
        <v>1.0600706713780919E-2</v>
      </c>
      <c r="AB1196" s="142" t="e">
        <f t="shared" si="2166"/>
        <v>#DIV/0!</v>
      </c>
      <c r="AC1196" s="142" t="e">
        <f t="shared" si="2166"/>
        <v>#DIV/0!</v>
      </c>
      <c r="AD1196" s="142" t="e">
        <f t="shared" si="2166"/>
        <v>#DIV/0!</v>
      </c>
      <c r="AE1196" s="1222" t="e">
        <f t="shared" si="2166"/>
        <v>#DIV/0!</v>
      </c>
      <c r="AF1196" s="1222" t="e">
        <f t="shared" si="2166"/>
        <v>#DIV/0!</v>
      </c>
      <c r="AG1196" s="142" t="e">
        <f t="shared" si="2166"/>
        <v>#DIV/0!</v>
      </c>
      <c r="AH1196" s="142" t="e">
        <f t="shared" si="2166"/>
        <v>#DIV/0!</v>
      </c>
      <c r="AI1196" s="1398" t="e">
        <f t="shared" si="2166"/>
        <v>#DIV/0!</v>
      </c>
      <c r="AJ1196" s="143">
        <f>AJ1193/AJ1192</f>
        <v>2.5700934579439252E-2</v>
      </c>
      <c r="AK1196" s="143">
        <f t="shared" si="2119"/>
        <v>0</v>
      </c>
      <c r="AL1196" s="144">
        <f>+AL1193/(AL1192+AL1193)</f>
        <v>0</v>
      </c>
      <c r="AM1196" s="1080">
        <f t="shared" si="2090"/>
        <v>0</v>
      </c>
      <c r="AN1196" s="145"/>
      <c r="AO1196" s="628"/>
    </row>
    <row r="1197" spans="1:48" ht="17.25" customHeight="1" thickTop="1">
      <c r="D1197" s="4"/>
      <c r="E1197" s="146"/>
      <c r="F1197" s="146"/>
      <c r="G1197" s="146"/>
      <c r="H1197" s="146"/>
      <c r="I1197" s="146"/>
      <c r="J1197" s="146"/>
      <c r="K1197" s="146"/>
      <c r="L1197" s="146"/>
      <c r="M1197" s="146"/>
      <c r="N1197" s="146"/>
      <c r="O1197" s="146"/>
      <c r="P1197" s="146"/>
      <c r="Q1197" s="146"/>
      <c r="R1197" s="146"/>
      <c r="S1197" s="146"/>
      <c r="T1197" s="146"/>
      <c r="U1197" s="146"/>
      <c r="V1197" s="146"/>
      <c r="W1197" s="146"/>
      <c r="X1197" s="146"/>
      <c r="Y1197" s="146"/>
      <c r="Z1197" s="146"/>
      <c r="AA1197" s="146"/>
      <c r="AB1197" s="146"/>
      <c r="AC1197" s="146"/>
      <c r="AD1197" s="146"/>
      <c r="AE1197" s="146"/>
      <c r="AF1197" s="146"/>
      <c r="AG1197" s="146"/>
      <c r="AH1197" s="146"/>
      <c r="AI1197" s="146"/>
      <c r="AJ1197" s="147"/>
      <c r="AK1197" s="147"/>
    </row>
    <row r="1198" spans="1:48" ht="25.15" customHeight="1">
      <c r="B1198" s="148"/>
      <c r="C1198" s="149"/>
      <c r="D1198" s="150"/>
      <c r="E1198" s="151"/>
      <c r="F1198" s="152"/>
      <c r="G1198" s="152"/>
      <c r="H1198" s="152"/>
      <c r="I1198" s="152"/>
      <c r="J1198" s="152"/>
      <c r="K1198" s="152"/>
      <c r="L1198" s="153"/>
      <c r="AJ1198" s="154"/>
      <c r="AK1198" s="154"/>
      <c r="AL1198" s="2"/>
      <c r="AM1198" s="2"/>
      <c r="AN1198" s="155"/>
      <c r="AO1198" s="155"/>
      <c r="AP1198" s="156" t="s">
        <v>231</v>
      </c>
      <c r="AQ1198" s="157" t="s">
        <v>232</v>
      </c>
      <c r="AR1198" s="157" t="s">
        <v>233</v>
      </c>
      <c r="AS1198" s="157" t="s">
        <v>234</v>
      </c>
      <c r="AT1198" s="157" t="s">
        <v>235</v>
      </c>
      <c r="AU1198" s="157" t="s">
        <v>236</v>
      </c>
      <c r="AV1198" s="158" t="s">
        <v>68</v>
      </c>
    </row>
    <row r="1199" spans="1:48" ht="25.15" customHeight="1">
      <c r="B1199" s="159"/>
      <c r="C1199" s="160"/>
      <c r="D1199" s="161"/>
      <c r="E1199" s="162"/>
      <c r="F1199" s="163"/>
      <c r="G1199" s="163"/>
      <c r="H1199" s="163"/>
      <c r="I1199" s="163"/>
      <c r="J1199" s="163"/>
      <c r="K1199" s="163"/>
      <c r="L1199" s="163"/>
      <c r="AJ1199" s="164"/>
      <c r="AK1199" s="164"/>
      <c r="AL1199" s="1519"/>
      <c r="AM1199" s="1519"/>
      <c r="AN1199" s="1519"/>
      <c r="AO1199" s="1093"/>
      <c r="AP1199" s="165" t="s">
        <v>91</v>
      </c>
      <c r="AQ1199" s="163">
        <f t="shared" ref="AQ1199:AU1202" si="2167">AQ1179+AQ1165+AQ1151+AQ1138+AQ1124+AQ1110+AQ1096+AQ1082+AQ1068+AQ1055+AQ1041+AQ1027+AQ1014+AQ1000+AQ987+AQ973+AQ960+AQ946+AQ933+AQ919+AQ906+AQ892+AQ879+AQ865+AQ852+AQ838+AQ825+AQ811+AQ797+AQ784+AQ770+AQ756+AQ742+AQ729+AQ715+AQ702+AQ689+AQ675+AQ662+AQ648+AQ634+AQ621+AQ607+AQ593+AQ580+AQ566+AQ553+AQ539+AQ526+AQ512+AQ499+AQ485+AQ472+AQ458+AQ445+AQ431+AQ418+AQ404+AQ390+AQ377+AQ363+AQ349+AQ336+AQ322+AQ308+AQ295+AQ281+AQ267+AQ254+AQ240+AQ226+AQ213+AQ199+AQ186+AQ172+AQ159+AQ145+AQ132+AQ118+AQ78+AQ64+AQ51+AQ37+AQ23+AQ9+AQ105+AQ91</f>
        <v>0</v>
      </c>
      <c r="AR1199" s="163">
        <f t="shared" si="2167"/>
        <v>2000</v>
      </c>
      <c r="AS1199" s="163">
        <f t="shared" si="2167"/>
        <v>5150</v>
      </c>
      <c r="AT1199" s="163">
        <f t="shared" si="2167"/>
        <v>7850</v>
      </c>
      <c r="AU1199" s="163">
        <f t="shared" si="2167"/>
        <v>2500</v>
      </c>
      <c r="AV1199" s="166">
        <f>SUM(AQ1199:AU1199)</f>
        <v>17500</v>
      </c>
    </row>
    <row r="1200" spans="1:48" ht="25.15" customHeight="1">
      <c r="B1200" s="167"/>
      <c r="C1200" s="168"/>
      <c r="D1200" s="169"/>
      <c r="E1200" s="170"/>
      <c r="F1200" s="171"/>
      <c r="G1200" s="171"/>
      <c r="H1200" s="171"/>
      <c r="I1200" s="171"/>
      <c r="J1200" s="171"/>
      <c r="K1200" s="163"/>
      <c r="L1200" s="171"/>
      <c r="AJ1200" s="164"/>
      <c r="AK1200" s="164"/>
      <c r="AL1200" s="1519"/>
      <c r="AM1200" s="1519"/>
      <c r="AN1200" s="1519"/>
      <c r="AO1200" s="1093"/>
      <c r="AP1200" s="172" t="s">
        <v>94</v>
      </c>
      <c r="AQ1200" s="171">
        <f>AQ1180+AQ1166+AQ1152+AQ1139+AQ1125+AQ1111+AQ1097+AQ1083+AQ1069+AQ1056+AQ1042+AQ1028+AQ1015+AQ1001+AQ988+AQ974+AQ961+AQ947+AQ934+AQ920+AQ907+AQ893+AQ880+AQ866+AQ853+AQ839+AQ826+AQ812+AQ798+AQ785+AQ771+AQ757+AQ743+AQ730+AQ716+AQ703+AQ690+AQ676+AQ663+AQ649+AQ635+AQ622+AQ608+AQ594+AQ581+AQ567+AQ554+AQ540+AQ527+AQ513+AQ500+AQ486+AQ473+AQ459+AQ446+AQ432+AQ419+AQ405+AQ391+AQ378+AQ364+AQ350+AQ337+AQ323+AQ309+AQ296+AQ282+AQ268+AQ255+AQ241+AQ227+AQ214+AQ200+AQ187+AQ173+AQ160+AQ146+AQ133+AQ119+AQ79+AQ65+AQ52+AQ38+AQ24+AQ10+AQ106+AQ92</f>
        <v>480</v>
      </c>
      <c r="AR1200" s="171">
        <f t="shared" si="2167"/>
        <v>2380</v>
      </c>
      <c r="AS1200" s="171">
        <f t="shared" si="2167"/>
        <v>7160</v>
      </c>
      <c r="AT1200" s="171">
        <f t="shared" si="2167"/>
        <v>7100</v>
      </c>
      <c r="AU1200" s="171">
        <f t="shared" si="2167"/>
        <v>0</v>
      </c>
      <c r="AV1200" s="173">
        <f>SUM(AQ1200:AU1200)</f>
        <v>17120</v>
      </c>
    </row>
    <row r="1201" spans="2:48" ht="25.15" customHeight="1">
      <c r="B1201" s="159"/>
      <c r="C1201" s="160"/>
      <c r="D1201" s="174"/>
      <c r="E1201" s="151"/>
      <c r="F1201" s="175"/>
      <c r="G1201" s="175"/>
      <c r="H1201" s="175"/>
      <c r="I1201" s="175"/>
      <c r="J1201" s="175"/>
      <c r="K1201" s="163"/>
      <c r="L1201" s="175"/>
      <c r="AJ1201" s="164"/>
      <c r="AK1201" s="164"/>
      <c r="AL1201" s="1093"/>
      <c r="AM1201" s="1093"/>
      <c r="AN1201" s="1093"/>
      <c r="AO1201" s="1093"/>
      <c r="AP1201" s="176" t="s">
        <v>237</v>
      </c>
      <c r="AQ1201" s="177">
        <f t="shared" si="2167"/>
        <v>480</v>
      </c>
      <c r="AR1201" s="177">
        <f t="shared" si="2167"/>
        <v>380</v>
      </c>
      <c r="AS1201" s="177">
        <f t="shared" si="2167"/>
        <v>2010</v>
      </c>
      <c r="AT1201" s="177">
        <f t="shared" si="2167"/>
        <v>-750</v>
      </c>
      <c r="AU1201" s="177">
        <f t="shared" si="2167"/>
        <v>-2500</v>
      </c>
      <c r="AV1201" s="178">
        <f>SUM(AQ1201:AU1201)</f>
        <v>-380</v>
      </c>
    </row>
    <row r="1202" spans="2:48" ht="25.15" customHeight="1">
      <c r="D1202" s="161"/>
      <c r="F1202" s="177"/>
      <c r="G1202" s="177"/>
      <c r="H1202" s="177"/>
      <c r="I1202" s="177"/>
      <c r="J1202" s="177"/>
      <c r="K1202" s="163"/>
      <c r="L1202" s="175"/>
      <c r="M1202" s="179"/>
      <c r="AJ1202" s="180"/>
      <c r="AK1202" s="180"/>
      <c r="AL1202" s="181"/>
      <c r="AM1202" s="181"/>
      <c r="AN1202" s="182"/>
      <c r="AO1202" s="182"/>
      <c r="AP1202" s="165" t="s">
        <v>238</v>
      </c>
      <c r="AQ1202" s="177">
        <f t="shared" si="2167"/>
        <v>0</v>
      </c>
      <c r="AR1202" s="177">
        <f t="shared" si="2167"/>
        <v>170</v>
      </c>
      <c r="AS1202" s="177">
        <f t="shared" si="2167"/>
        <v>170</v>
      </c>
      <c r="AT1202" s="177">
        <f t="shared" si="2167"/>
        <v>100</v>
      </c>
      <c r="AU1202" s="177">
        <f t="shared" si="2167"/>
        <v>0</v>
      </c>
      <c r="AV1202" s="178">
        <f>SUM(AQ1202:AU1202)</f>
        <v>440</v>
      </c>
    </row>
    <row r="1203" spans="2:48" ht="25.15" customHeight="1">
      <c r="D1203" s="183"/>
      <c r="E1203" s="184"/>
      <c r="F1203" s="185"/>
      <c r="G1203" s="185"/>
      <c r="H1203" s="185"/>
      <c r="I1203" s="185"/>
      <c r="J1203" s="185"/>
      <c r="K1203" s="163"/>
      <c r="L1203" s="185"/>
      <c r="M1203" s="179"/>
      <c r="AJ1203" s="180"/>
      <c r="AK1203" s="180"/>
      <c r="AL1203" s="186"/>
      <c r="AM1203" s="186"/>
      <c r="AN1203" s="187"/>
      <c r="AO1203" s="187"/>
      <c r="AP1203" s="188" t="s">
        <v>97</v>
      </c>
      <c r="AQ1203" s="185">
        <f>AQ1202/AQ1200</f>
        <v>0</v>
      </c>
      <c r="AR1203" s="185">
        <f t="shared" ref="AR1203:AV1203" si="2168">AR1202/AR1200</f>
        <v>7.1428571428571425E-2</v>
      </c>
      <c r="AS1203" s="185">
        <f t="shared" si="2168"/>
        <v>2.3743016759776536E-2</v>
      </c>
      <c r="AT1203" s="185">
        <f t="shared" si="2168"/>
        <v>1.4084507042253521E-2</v>
      </c>
      <c r="AU1203" s="185" t="e">
        <f t="shared" si="2168"/>
        <v>#DIV/0!</v>
      </c>
      <c r="AV1203" s="189">
        <f t="shared" si="2168"/>
        <v>2.5700934579439252E-2</v>
      </c>
    </row>
    <row r="1204" spans="2:48" ht="25.15" customHeight="1">
      <c r="D1204" s="190"/>
      <c r="E1204" s="191"/>
      <c r="F1204" s="192"/>
      <c r="G1204" s="192"/>
      <c r="H1204" s="192"/>
      <c r="I1204" s="192"/>
      <c r="J1204" s="192"/>
      <c r="K1204" s="163"/>
      <c r="L1204" s="193"/>
      <c r="M1204" s="179"/>
      <c r="AJ1204" s="154"/>
      <c r="AK1204" s="154"/>
      <c r="AL1204" s="2"/>
      <c r="AM1204" s="2"/>
      <c r="AN1204" s="155"/>
      <c r="AO1204" s="155"/>
      <c r="AP1204" s="194" t="s">
        <v>19</v>
      </c>
      <c r="AQ1204" s="177">
        <f t="shared" ref="AQ1204:AU1205" si="2169">AQ1183+AQ1169+AQ1155+AQ1142+AQ1128+AQ1114+AQ1100+AQ1086+AQ1072+AQ1059+AQ1045+AQ1031+AQ1018+AQ1004+AQ991+AQ977+AQ964+AQ950+AQ937+AQ923+AQ910+AQ896+AQ883+AQ869+AQ856+AQ842+AQ829+AQ815+AQ801+AQ788+AQ774+AQ760+AQ746+AQ733+AQ719+AQ706+AQ693+AQ679+AQ666+AQ652+AQ638+AQ625+AQ611+AQ597+AQ584+AQ570+AQ557+AQ543+AQ530+AQ516+AQ503+AQ489+AQ476+AQ462+AQ449+AQ435+AQ422+AQ408+AQ394+AQ381+AQ367+AQ353+AQ340+AQ326+AQ312+AQ299+AQ285+AQ271+AQ258+AQ244+AQ230+AQ217+AQ203+AQ190+AQ176+AQ163+AQ149+AQ136+AQ122+AQ82+AQ68+AQ55+AQ41+AQ27+AQ13+AQ109+AQ95</f>
        <v>0</v>
      </c>
      <c r="AR1204" s="177">
        <f t="shared" si="2169"/>
        <v>0</v>
      </c>
      <c r="AS1204" s="177">
        <f t="shared" si="2169"/>
        <v>0</v>
      </c>
      <c r="AT1204" s="177">
        <f t="shared" si="2169"/>
        <v>0</v>
      </c>
      <c r="AU1204" s="177">
        <f t="shared" si="2169"/>
        <v>0</v>
      </c>
      <c r="AV1204" s="178">
        <f>SUM(AQ1204:AU1204)</f>
        <v>0</v>
      </c>
    </row>
    <row r="1205" spans="2:48" ht="25.15" customHeight="1">
      <c r="K1205" s="163"/>
      <c r="M1205" s="179"/>
      <c r="AJ1205" s="196"/>
      <c r="AK1205" s="196"/>
      <c r="AL1205" s="181"/>
      <c r="AM1205" s="181"/>
      <c r="AN1205" s="182"/>
      <c r="AO1205" s="182"/>
      <c r="AP1205" s="197" t="s">
        <v>106</v>
      </c>
      <c r="AQ1205" s="171">
        <f t="shared" si="2169"/>
        <v>25204.6512</v>
      </c>
      <c r="AR1205" s="171">
        <f t="shared" si="2169"/>
        <v>0</v>
      </c>
      <c r="AS1205" s="171">
        <f t="shared" si="2169"/>
        <v>0</v>
      </c>
      <c r="AT1205" s="171">
        <f t="shared" si="2169"/>
        <v>0</v>
      </c>
      <c r="AU1205" s="171">
        <f t="shared" si="2169"/>
        <v>0</v>
      </c>
      <c r="AV1205" s="173">
        <f>SUM(AQ1205:AU1205)</f>
        <v>25204.6512</v>
      </c>
    </row>
    <row r="1206" spans="2:48" ht="16.350000000000001" customHeight="1">
      <c r="K1206" s="163"/>
      <c r="M1206" s="179"/>
      <c r="AJ1206" s="196"/>
      <c r="AK1206" s="196"/>
      <c r="AL1206" s="186"/>
      <c r="AM1206" s="186"/>
      <c r="AN1206" s="187"/>
      <c r="AO1206" s="187"/>
    </row>
    <row r="1207" spans="2:48">
      <c r="K1207" s="163"/>
    </row>
  </sheetData>
  <sheetProtection selectLockedCells="1" selectUnlockedCells="1"/>
  <mergeCells count="4">
    <mergeCell ref="D3:D4"/>
    <mergeCell ref="N3:O3"/>
    <mergeCell ref="P5:Q5"/>
    <mergeCell ref="AL1199:AN1200"/>
  </mergeCells>
  <phoneticPr fontId="143" type="noConversion"/>
  <printOptions horizontalCentered="1"/>
  <pageMargins left="0.11" right="0.17" top="0.38" bottom="0.12" header="0.12" footer="0.12"/>
  <pageSetup paperSize="9" scale="30" orientation="landscape" horizontalDpi="4294967294" verticalDpi="300" r:id="rId1"/>
  <headerFooter alignWithMargins="0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90A230-A6E8-40B0-9C46-9B8D064039FF}">
  <dimension ref="A1:O47"/>
  <sheetViews>
    <sheetView zoomScale="110" zoomScaleNormal="110" workbookViewId="0">
      <selection activeCell="N7" sqref="N7"/>
    </sheetView>
  </sheetViews>
  <sheetFormatPr defaultColWidth="8.85546875" defaultRowHeight="31.9" customHeight="1"/>
  <cols>
    <col min="1" max="1" width="8.85546875" style="612"/>
    <col min="2" max="2" width="19.28515625" style="612" customWidth="1"/>
    <col min="3" max="3" width="14.28515625" style="612" customWidth="1"/>
    <col min="4" max="4" width="17.5703125" style="612" customWidth="1"/>
    <col min="5" max="5" width="17" style="612" bestFit="1" customWidth="1"/>
    <col min="6" max="6" width="12.85546875" style="612" customWidth="1"/>
    <col min="7" max="7" width="12.85546875" style="612" hidden="1" customWidth="1"/>
    <col min="8" max="8" width="13.7109375" style="612" hidden="1" customWidth="1"/>
    <col min="9" max="9" width="17.7109375" style="612" customWidth="1"/>
    <col min="10" max="10" width="14.28515625" style="612" hidden="1" customWidth="1"/>
    <col min="11" max="11" width="22.42578125" style="612" hidden="1" customWidth="1"/>
    <col min="12" max="12" width="9.42578125" style="612" customWidth="1"/>
    <col min="13" max="13" width="16.28515625" style="612" customWidth="1"/>
    <col min="14" max="14" width="12.7109375" style="612" customWidth="1"/>
    <col min="15" max="15" width="11.42578125" style="612" bestFit="1" customWidth="1"/>
    <col min="16" max="16384" width="8.85546875" style="612"/>
  </cols>
  <sheetData>
    <row r="1" spans="1:15" ht="31.9" customHeight="1">
      <c r="B1" s="613" t="s">
        <v>0</v>
      </c>
      <c r="C1" s="614"/>
      <c r="D1" s="615"/>
      <c r="E1" s="616"/>
      <c r="F1" s="616"/>
      <c r="G1" s="616"/>
      <c r="H1" s="616"/>
      <c r="I1" s="558"/>
    </row>
    <row r="2" spans="1:15" ht="6.6" customHeight="1">
      <c r="B2" s="613"/>
      <c r="C2" s="614"/>
      <c r="D2" s="615"/>
      <c r="E2" s="616"/>
      <c r="F2" s="616"/>
      <c r="G2" s="616"/>
      <c r="H2" s="616"/>
      <c r="I2" s="558"/>
    </row>
    <row r="3" spans="1:15" ht="39.6" customHeight="1">
      <c r="B3" s="848" t="s">
        <v>1</v>
      </c>
      <c r="C3" s="848" t="s">
        <v>2</v>
      </c>
      <c r="D3" s="849" t="s">
        <v>535</v>
      </c>
      <c r="E3" s="850" t="s">
        <v>3</v>
      </c>
      <c r="F3" s="851" t="s">
        <v>4</v>
      </c>
      <c r="G3" s="852" t="s">
        <v>5</v>
      </c>
      <c r="H3" s="852"/>
      <c r="I3" s="853" t="s">
        <v>6</v>
      </c>
      <c r="J3" s="783" t="s">
        <v>7</v>
      </c>
      <c r="K3" s="784" t="s">
        <v>8</v>
      </c>
    </row>
    <row r="4" spans="1:15" ht="25.9" customHeight="1">
      <c r="A4" s="876" t="s">
        <v>9</v>
      </c>
      <c r="B4" s="854" t="s">
        <v>10</v>
      </c>
      <c r="C4" s="855">
        <f>'Daily Ramp'!AJ520</f>
        <v>3120000</v>
      </c>
      <c r="D4" s="855">
        <f>'Daily WDC'!AJ583+'Daily Nidec'!AJ50+'Daily Fujikura'!AJ51+'Daily Belton'!AJ65</f>
        <v>4039000</v>
      </c>
      <c r="E4" s="856">
        <f>'Daily Advics'!AJ79+'Daily TRT '!AJ237+'Daily Yazaki'!AJ177</f>
        <v>850000</v>
      </c>
      <c r="F4" s="856">
        <f>'Daily Seagate'!AJ23</f>
        <v>0</v>
      </c>
      <c r="G4" s="857"/>
      <c r="H4" s="857"/>
      <c r="I4" s="858">
        <f>SUM(C4:F4)</f>
        <v>8009000</v>
      </c>
      <c r="J4" s="785"/>
      <c r="K4" s="786">
        <f>I4+J4</f>
        <v>8009000</v>
      </c>
      <c r="L4" s="845" t="s">
        <v>11</v>
      </c>
    </row>
    <row r="5" spans="1:15" ht="25.9" customHeight="1">
      <c r="A5" s="876"/>
      <c r="B5" s="859" t="s">
        <v>12</v>
      </c>
      <c r="C5" s="860">
        <f>'Daily Ramp'!AJ521</f>
        <v>2793222</v>
      </c>
      <c r="D5" s="860">
        <f>'Daily WDC'!AJ584+'Daily Nidec'!AJ51+'Daily Fujikura'!AJ52+'Daily Belton'!AJ66</f>
        <v>3423884</v>
      </c>
      <c r="E5" s="860">
        <f>'Daily Advics'!AJ80+'Daily TRT '!AJ238+'Daily Yazaki'!AJ178</f>
        <v>719124</v>
      </c>
      <c r="F5" s="860">
        <f>'Daily Seagate'!AJ24</f>
        <v>0</v>
      </c>
      <c r="G5" s="861"/>
      <c r="H5" s="861"/>
      <c r="I5" s="862">
        <f>SUM(C5:F5)</f>
        <v>6936230</v>
      </c>
      <c r="J5" s="785"/>
      <c r="K5" s="786">
        <f>I5+J5</f>
        <v>6936230</v>
      </c>
      <c r="L5" s="845" t="s">
        <v>11</v>
      </c>
      <c r="M5" s="809"/>
      <c r="N5" s="809"/>
    </row>
    <row r="6" spans="1:15" ht="25.9" customHeight="1">
      <c r="A6" s="876"/>
      <c r="B6" s="863" t="s">
        <v>13</v>
      </c>
      <c r="C6" s="864">
        <f>C5-C4</f>
        <v>-326778</v>
      </c>
      <c r="D6" s="864">
        <f t="shared" ref="D6:I6" si="0">D5-D4</f>
        <v>-615116</v>
      </c>
      <c r="E6" s="864">
        <f t="shared" si="0"/>
        <v>-130876</v>
      </c>
      <c r="F6" s="864">
        <f t="shared" ref="F6" si="1">F5-F4</f>
        <v>0</v>
      </c>
      <c r="G6" s="865"/>
      <c r="H6" s="865"/>
      <c r="I6" s="866">
        <f t="shared" si="0"/>
        <v>-1072770</v>
      </c>
      <c r="J6" s="785"/>
      <c r="K6" s="786">
        <f>K5-K4</f>
        <v>-1072770</v>
      </c>
      <c r="L6" s="846"/>
      <c r="M6" s="809"/>
      <c r="N6" s="809"/>
    </row>
    <row r="7" spans="1:15" ht="25.9" customHeight="1">
      <c r="A7" s="885"/>
      <c r="B7" s="867" t="s">
        <v>14</v>
      </c>
      <c r="C7" s="868">
        <f>C5/C4</f>
        <v>0.89526346153846159</v>
      </c>
      <c r="D7" s="868">
        <f t="shared" ref="D7:E7" si="2">D5/D4</f>
        <v>0.84770586778905666</v>
      </c>
      <c r="E7" s="868">
        <f t="shared" si="2"/>
        <v>0.84602823529411764</v>
      </c>
      <c r="F7" s="868" t="e">
        <f>F5/F4</f>
        <v>#DIV/0!</v>
      </c>
      <c r="G7" s="868"/>
      <c r="H7" s="868"/>
      <c r="I7" s="868">
        <f>I5/I4</f>
        <v>0.86605443875639909</v>
      </c>
      <c r="J7" s="787"/>
      <c r="K7" s="788">
        <f>K5/K4</f>
        <v>0.86605443875639909</v>
      </c>
      <c r="L7" s="846"/>
      <c r="M7" s="807"/>
      <c r="N7" s="808"/>
    </row>
    <row r="8" spans="1:15" ht="25.9" customHeight="1">
      <c r="A8" s="876" t="s">
        <v>15</v>
      </c>
      <c r="B8" s="871" t="s">
        <v>10</v>
      </c>
      <c r="C8" s="877">
        <f>'Daily Ramp'!AL520</f>
        <v>16104081</v>
      </c>
      <c r="D8" s="877">
        <f>'Daily WDC'!AL583+'Daily Nidec'!AL50+'Daily Fujikura'!AL51+'Daily Belton'!AL65</f>
        <v>16162855.140000002</v>
      </c>
      <c r="E8" s="877">
        <f>'Daily Advics'!AL79+'Daily TRT '!AL237+'Daily Yazaki'!AL177</f>
        <v>2773007</v>
      </c>
      <c r="F8" s="877">
        <f>'Daily Seagate'!AL23</f>
        <v>0</v>
      </c>
      <c r="G8" s="878"/>
      <c r="H8" s="878"/>
      <c r="I8" s="879">
        <f>SUM(C8:F8)</f>
        <v>35039943.140000001</v>
      </c>
      <c r="J8" s="814"/>
      <c r="K8" s="788"/>
      <c r="L8" s="847" t="s">
        <v>16</v>
      </c>
      <c r="M8" s="811"/>
      <c r="N8" s="808"/>
    </row>
    <row r="9" spans="1:15" ht="25.9" customHeight="1">
      <c r="B9" s="880" t="s">
        <v>12</v>
      </c>
      <c r="C9" s="869">
        <f>'Daily Ramp'!AL521</f>
        <v>13371258.582500001</v>
      </c>
      <c r="D9" s="869">
        <f>'Daily WDC'!AL584+'Daily Nidec'!AL51+'Daily Fujikura'!AL52+'Daily Belton'!AL66</f>
        <v>14120181.1328</v>
      </c>
      <c r="E9" s="875">
        <f>'Daily Advics'!AL80+'Daily TRT '!AL238+'Daily Yazaki'!AL178</f>
        <v>2007694.7853600001</v>
      </c>
      <c r="F9" s="869">
        <f>'Daily Seagate'!AV37</f>
        <v>0</v>
      </c>
      <c r="G9" s="870"/>
      <c r="H9" s="870"/>
      <c r="I9" s="881">
        <f>SUM(C9:F9)</f>
        <v>29499134.500660002</v>
      </c>
      <c r="J9" s="814"/>
      <c r="K9" s="786">
        <f>I9+J9</f>
        <v>29499134.500660002</v>
      </c>
      <c r="L9" s="847" t="s">
        <v>16</v>
      </c>
      <c r="M9" s="810"/>
    </row>
    <row r="10" spans="1:15" ht="25.9" customHeight="1">
      <c r="B10" s="871" t="s">
        <v>17</v>
      </c>
      <c r="C10" s="872">
        <f>C9-C8</f>
        <v>-2732822.4174999986</v>
      </c>
      <c r="D10" s="872">
        <f t="shared" ref="D10:I10" si="3">D9-D8</f>
        <v>-2042674.0072000027</v>
      </c>
      <c r="E10" s="872">
        <f t="shared" si="3"/>
        <v>-765312.2146399999</v>
      </c>
      <c r="F10" s="872">
        <f t="shared" si="3"/>
        <v>0</v>
      </c>
      <c r="G10" s="872">
        <f t="shared" si="3"/>
        <v>0</v>
      </c>
      <c r="H10" s="872">
        <f t="shared" si="3"/>
        <v>0</v>
      </c>
      <c r="I10" s="872">
        <f t="shared" si="3"/>
        <v>-5540808.6393399984</v>
      </c>
      <c r="J10" s="812"/>
      <c r="K10" s="813"/>
      <c r="M10" s="810"/>
    </row>
    <row r="11" spans="1:15" ht="25.9" customHeight="1">
      <c r="B11" s="882" t="s">
        <v>18</v>
      </c>
      <c r="C11" s="883">
        <f>C9/C8</f>
        <v>0.83030249180316473</v>
      </c>
      <c r="D11" s="883">
        <f t="shared" ref="D11:I11" si="4">D9/D8</f>
        <v>0.87361923437989786</v>
      </c>
      <c r="E11" s="883">
        <f>E9/E8</f>
        <v>0.72401360161009332</v>
      </c>
      <c r="F11" s="883" t="e">
        <f t="shared" si="4"/>
        <v>#DIV/0!</v>
      </c>
      <c r="G11" s="884" t="e">
        <f t="shared" si="4"/>
        <v>#DIV/0!</v>
      </c>
      <c r="H11" s="884" t="e">
        <f t="shared" si="4"/>
        <v>#DIV/0!</v>
      </c>
      <c r="I11" s="883">
        <f t="shared" si="4"/>
        <v>0.84187164296465811</v>
      </c>
      <c r="J11" s="812"/>
      <c r="K11" s="813"/>
      <c r="M11" s="810"/>
    </row>
    <row r="12" spans="1:15" ht="36.6" hidden="1" customHeight="1" thickTop="1">
      <c r="B12" s="789" t="s">
        <v>19</v>
      </c>
      <c r="C12" s="790">
        <f>'Daily Ramp'!AV532</f>
        <v>559415.34746000008</v>
      </c>
      <c r="D12" s="790">
        <f>'Daily WDC'!AV596+'Daily Nidec'!AV63+'Daily Fujikura'!AV64+'Daily Belton'!AV78</f>
        <v>170940.23788</v>
      </c>
      <c r="E12" s="790">
        <f>'Daily Advics'!AV91+'Daily TRT '!AV249+'Daily Yazaki'!AV190</f>
        <v>41092.455159999998</v>
      </c>
      <c r="F12" s="790">
        <f>'Daily Seagate'!AV36</f>
        <v>0</v>
      </c>
      <c r="G12" s="791"/>
      <c r="H12" s="791"/>
      <c r="I12" s="792">
        <f>SUM(C12:F12)</f>
        <v>771448.04050000012</v>
      </c>
    </row>
    <row r="13" spans="1:15" ht="31.9" hidden="1" customHeight="1">
      <c r="B13" s="617" t="s">
        <v>20</v>
      </c>
      <c r="C13" s="618">
        <f>C12/C9</f>
        <v>4.1837149734891083E-2</v>
      </c>
      <c r="D13" s="618">
        <f t="shared" ref="D13:F13" si="5">D12/D9</f>
        <v>1.2106093843436621E-2</v>
      </c>
      <c r="E13" s="618">
        <f t="shared" si="5"/>
        <v>2.0467481142872872E-2</v>
      </c>
      <c r="F13" s="618" t="e">
        <f t="shared" si="5"/>
        <v>#DIV/0!</v>
      </c>
      <c r="G13" s="618" t="e">
        <f t="shared" ref="G13" si="6">G12/G9</f>
        <v>#DIV/0!</v>
      </c>
      <c r="H13" s="618" t="e">
        <f t="shared" ref="H13" si="7">H12/H9</f>
        <v>#DIV/0!</v>
      </c>
      <c r="I13" s="782">
        <f t="shared" ref="I13" si="8">I12/I9</f>
        <v>2.6151548293145348E-2</v>
      </c>
    </row>
    <row r="15" spans="1:15" ht="16.899999999999999" customHeight="1">
      <c r="A15" s="820" t="s">
        <v>21</v>
      </c>
      <c r="B15" s="815" t="s">
        <v>12</v>
      </c>
      <c r="C15" s="816" t="str">
        <f t="shared" ref="C15:E16" si="9">ROUND(C5/1000000,1)&amp;" Mpcs."</f>
        <v>2.8 Mpcs.</v>
      </c>
      <c r="D15" s="816" t="str">
        <f t="shared" si="9"/>
        <v>3.4 Mpcs.</v>
      </c>
      <c r="E15" s="816" t="str">
        <f t="shared" si="9"/>
        <v>0.7 Mpcs.</v>
      </c>
      <c r="F15" s="816" t="str">
        <f>ROUND(F5/1000,1)&amp;" Kpcs."</f>
        <v>0 Kpcs.</v>
      </c>
      <c r="G15" s="816" t="str">
        <f>ROUND(G4/1000000,1)&amp;" Mpcs."</f>
        <v>0 Mpcs.</v>
      </c>
      <c r="H15" s="816" t="str">
        <f>ROUND(H4/1000000,1)&amp;" Mpcs."</f>
        <v>0 Mpcs.</v>
      </c>
      <c r="I15" s="816" t="str">
        <f>ROUND(I5/1000000,1)&amp;" Mpcs."</f>
        <v>6.9 Mpcs.</v>
      </c>
      <c r="N15" s="830"/>
    </row>
    <row r="16" spans="1:15" ht="16.899999999999999" customHeight="1">
      <c r="B16" s="817" t="s">
        <v>22</v>
      </c>
      <c r="C16" s="818" t="str">
        <f t="shared" si="9"/>
        <v>-0.3 Mpcs.</v>
      </c>
      <c r="D16" s="818" t="str">
        <f t="shared" si="9"/>
        <v>-0.6 Mpcs.</v>
      </c>
      <c r="E16" s="818" t="str">
        <f t="shared" si="9"/>
        <v>-0.1 Mpcs.</v>
      </c>
      <c r="F16" s="818" t="str">
        <f>ROUND(F6/1000,1)&amp;" Kpcs."</f>
        <v>0 Kpcs.</v>
      </c>
      <c r="G16" s="818" t="str">
        <f>ROUND(G6/1000000,1)&amp;" Mpcs."</f>
        <v>0 Mpcs.</v>
      </c>
      <c r="H16" s="818" t="str">
        <f>ROUND(H6/1000000,1)&amp;" Mpcs."</f>
        <v>0 Mpcs.</v>
      </c>
      <c r="I16" s="818" t="str">
        <f>ROUND(I6/1000000,1)&amp;" Mpcs."</f>
        <v>-1.1 Mpcs.</v>
      </c>
      <c r="N16" s="565"/>
      <c r="O16" s="829"/>
    </row>
    <row r="17" spans="1:15" ht="16.899999999999999" customHeight="1">
      <c r="B17" s="819" t="s">
        <v>10</v>
      </c>
      <c r="C17" s="816" t="str">
        <f>ROUND(C4/1000000,1)&amp;" Mpcs."</f>
        <v>3.1 Mpcs.</v>
      </c>
      <c r="D17" s="816" t="str">
        <f>ROUND(D4/1000000,1)&amp;" Mpcs."</f>
        <v>4 Mpcs.</v>
      </c>
      <c r="E17" s="816" t="str">
        <f>ROUND(E4/1000000,1)&amp;" Mpcs."</f>
        <v>0.9 Mpcs.</v>
      </c>
      <c r="F17" s="816" t="str">
        <f>ROUND(F4/1000,1)&amp;" Kpcs."</f>
        <v>0 Kpcs.</v>
      </c>
      <c r="G17" s="816" t="str">
        <f>ROUND(G4/1000000,1)&amp;" Mpcs."</f>
        <v>0 Mpcs.</v>
      </c>
      <c r="H17" s="816" t="str">
        <f>ROUND(H4/1000000,1)&amp;" Mpcs."</f>
        <v>0 Mpcs.</v>
      </c>
      <c r="I17" s="816" t="str">
        <f>ROUND(I4/1000000,1)&amp;" Mpcs."</f>
        <v>8 Mpcs.</v>
      </c>
      <c r="N17" s="565"/>
    </row>
    <row r="18" spans="1:15" ht="16.899999999999999" customHeight="1" thickBot="1">
      <c r="A18" s="823"/>
      <c r="B18" s="824" t="s">
        <v>14</v>
      </c>
      <c r="C18" s="825">
        <f>C7</f>
        <v>0.89526346153846159</v>
      </c>
      <c r="D18" s="825">
        <f t="shared" ref="D18:I18" si="10">D7</f>
        <v>0.84770586778905666</v>
      </c>
      <c r="E18" s="825">
        <f t="shared" si="10"/>
        <v>0.84602823529411764</v>
      </c>
      <c r="F18" s="825" t="e">
        <f t="shared" si="10"/>
        <v>#DIV/0!</v>
      </c>
      <c r="G18" s="825">
        <f t="shared" si="10"/>
        <v>0</v>
      </c>
      <c r="H18" s="825">
        <f t="shared" si="10"/>
        <v>0</v>
      </c>
      <c r="I18" s="825">
        <f t="shared" si="10"/>
        <v>0.86605443875639909</v>
      </c>
    </row>
    <row r="19" spans="1:15" ht="16.899999999999999" customHeight="1" thickTop="1">
      <c r="A19" s="821" t="s">
        <v>15</v>
      </c>
      <c r="B19" s="822" t="s">
        <v>12</v>
      </c>
      <c r="C19" s="826" t="str">
        <f>ROUND(C9/1000000,1)&amp;" MB"</f>
        <v>13.4 MB</v>
      </c>
      <c r="D19" s="826" t="str">
        <f t="shared" ref="D19:I19" si="11">ROUND(D9/1000000,1)&amp;" MB"</f>
        <v>14.1 MB</v>
      </c>
      <c r="E19" s="826" t="str">
        <f t="shared" si="11"/>
        <v>2 MB</v>
      </c>
      <c r="F19" s="826" t="str">
        <f t="shared" si="11"/>
        <v>0 MB</v>
      </c>
      <c r="G19" s="826" t="str">
        <f t="shared" si="11"/>
        <v>0 MB</v>
      </c>
      <c r="H19" s="826" t="str">
        <f t="shared" si="11"/>
        <v>0 MB</v>
      </c>
      <c r="I19" s="826" t="str">
        <f t="shared" si="11"/>
        <v>29.5 MB</v>
      </c>
    </row>
    <row r="20" spans="1:15" ht="16.899999999999999" customHeight="1">
      <c r="B20" s="817" t="s">
        <v>22</v>
      </c>
      <c r="C20" s="827" t="str">
        <f>ROUND(C10/1000000,1)&amp;" MB"</f>
        <v>-2.7 MB</v>
      </c>
      <c r="D20" s="827" t="str">
        <f t="shared" ref="D20:I20" si="12">ROUND(D10/1000000,1)&amp;" MB"</f>
        <v>-2 MB</v>
      </c>
      <c r="E20" s="827" t="str">
        <f t="shared" si="12"/>
        <v>-0.8 MB</v>
      </c>
      <c r="F20" s="827" t="str">
        <f t="shared" si="12"/>
        <v>0 MB</v>
      </c>
      <c r="G20" s="827" t="str">
        <f t="shared" si="12"/>
        <v>0 MB</v>
      </c>
      <c r="H20" s="827" t="str">
        <f t="shared" si="12"/>
        <v>0 MB</v>
      </c>
      <c r="I20" s="827" t="str">
        <f t="shared" si="12"/>
        <v>-5.5 MB</v>
      </c>
    </row>
    <row r="21" spans="1:15" ht="16.899999999999999" customHeight="1">
      <c r="B21" s="819" t="s">
        <v>10</v>
      </c>
      <c r="C21" s="816" t="str">
        <f>ROUND(C8/1000000,1)&amp;" MB"</f>
        <v>16.1 MB</v>
      </c>
      <c r="D21" s="816" t="str">
        <f t="shared" ref="D21:I21" si="13">ROUND(D8/1000000,1)&amp;" MB"</f>
        <v>16.2 MB</v>
      </c>
      <c r="E21" s="816" t="str">
        <f t="shared" si="13"/>
        <v>2.8 MB</v>
      </c>
      <c r="F21" s="816" t="str">
        <f t="shared" si="13"/>
        <v>0 MB</v>
      </c>
      <c r="G21" s="816" t="str">
        <f t="shared" si="13"/>
        <v>0 MB</v>
      </c>
      <c r="H21" s="816" t="str">
        <f t="shared" si="13"/>
        <v>0 MB</v>
      </c>
      <c r="I21" s="816" t="str">
        <f t="shared" si="13"/>
        <v>35 MB</v>
      </c>
    </row>
    <row r="22" spans="1:15" ht="16.899999999999999" customHeight="1">
      <c r="B22" s="815" t="s">
        <v>14</v>
      </c>
      <c r="C22" s="828">
        <f>C11</f>
        <v>0.83030249180316473</v>
      </c>
      <c r="D22" s="828">
        <f t="shared" ref="D22:I22" si="14">D11</f>
        <v>0.87361923437989786</v>
      </c>
      <c r="E22" s="828">
        <f t="shared" si="14"/>
        <v>0.72401360161009332</v>
      </c>
      <c r="F22" s="828" t="e">
        <f t="shared" si="14"/>
        <v>#DIV/0!</v>
      </c>
      <c r="G22" s="828" t="e">
        <f t="shared" si="14"/>
        <v>#DIV/0!</v>
      </c>
      <c r="H22" s="828" t="e">
        <f t="shared" si="14"/>
        <v>#DIV/0!</v>
      </c>
      <c r="I22" s="874">
        <f t="shared" si="14"/>
        <v>0.84187164296465811</v>
      </c>
    </row>
    <row r="23" spans="1:15" ht="24" customHeight="1">
      <c r="N23" s="565"/>
      <c r="O23" s="829"/>
    </row>
    <row r="24" spans="1:15" ht="24" customHeight="1">
      <c r="N24" s="830"/>
      <c r="O24" s="831"/>
    </row>
    <row r="25" spans="1:15" ht="24" customHeight="1">
      <c r="N25" s="565"/>
      <c r="O25" s="831"/>
    </row>
    <row r="26" spans="1:15" ht="24" customHeight="1"/>
    <row r="27" spans="1:15" ht="24" customHeight="1"/>
    <row r="28" spans="1:15" ht="24" customHeight="1"/>
    <row r="29" spans="1:15" ht="24" customHeight="1"/>
    <row r="30" spans="1:15" ht="24" customHeight="1"/>
    <row r="31" spans="1:15" ht="24" customHeight="1"/>
    <row r="32" spans="1:15" ht="24" customHeight="1"/>
    <row r="33" spans="1:6" ht="24" customHeight="1"/>
    <row r="34" spans="1:6" ht="24" customHeight="1"/>
    <row r="35" spans="1:6" ht="24" customHeight="1"/>
    <row r="37" spans="1:6" ht="31.9" hidden="1" customHeight="1">
      <c r="B37" s="613" t="s">
        <v>23</v>
      </c>
    </row>
    <row r="38" spans="1:6" s="761" customFormat="1" ht="22.9" hidden="1" customHeight="1">
      <c r="A38" s="762" t="s">
        <v>24</v>
      </c>
      <c r="B38" s="773" t="s">
        <v>25</v>
      </c>
      <c r="C38" s="762" t="s">
        <v>26</v>
      </c>
      <c r="D38" s="762" t="s">
        <v>27</v>
      </c>
      <c r="E38" s="762" t="s">
        <v>28</v>
      </c>
      <c r="F38" s="762" t="s">
        <v>29</v>
      </c>
    </row>
    <row r="39" spans="1:6" s="761" customFormat="1" ht="19.899999999999999" hidden="1" customHeight="1">
      <c r="A39" s="774">
        <v>1</v>
      </c>
      <c r="B39" s="775" t="s">
        <v>30</v>
      </c>
      <c r="C39" s="776">
        <v>1</v>
      </c>
      <c r="D39" s="775"/>
      <c r="E39" s="775"/>
      <c r="F39" s="775"/>
    </row>
    <row r="40" spans="1:6" s="761" customFormat="1" ht="19.899999999999999" hidden="1" customHeight="1">
      <c r="A40" s="777">
        <v>2</v>
      </c>
      <c r="B40" s="778" t="s">
        <v>30</v>
      </c>
      <c r="C40" s="779" t="s">
        <v>31</v>
      </c>
      <c r="D40" s="778"/>
      <c r="E40" s="778"/>
      <c r="F40" s="778"/>
    </row>
    <row r="41" spans="1:6" s="761" customFormat="1" ht="19.899999999999999" hidden="1" customHeight="1">
      <c r="A41" s="778"/>
      <c r="B41" s="778"/>
      <c r="C41" s="778"/>
      <c r="D41" s="778"/>
      <c r="E41" s="778"/>
      <c r="F41" s="778"/>
    </row>
    <row r="42" spans="1:6" s="761" customFormat="1" ht="19.899999999999999" hidden="1" customHeight="1">
      <c r="A42" s="778"/>
      <c r="B42" s="778"/>
      <c r="C42" s="778"/>
      <c r="D42" s="778"/>
      <c r="E42" s="778"/>
      <c r="F42" s="778"/>
    </row>
    <row r="43" spans="1:6" s="761" customFormat="1" ht="19.899999999999999" hidden="1" customHeight="1">
      <c r="A43" s="778"/>
      <c r="B43" s="778"/>
      <c r="C43" s="778"/>
      <c r="D43" s="778"/>
      <c r="E43" s="778"/>
      <c r="F43" s="778"/>
    </row>
    <row r="44" spans="1:6" s="761" customFormat="1" ht="19.899999999999999" hidden="1" customHeight="1">
      <c r="A44" s="780"/>
      <c r="B44" s="780"/>
      <c r="C44" s="780"/>
      <c r="D44" s="780"/>
      <c r="E44" s="780"/>
      <c r="F44" s="780"/>
    </row>
    <row r="45" spans="1:6" ht="19.899999999999999" customHeight="1"/>
    <row r="46" spans="1:6" ht="19.899999999999999" customHeight="1"/>
    <row r="47" spans="1:6" ht="19.899999999999999" customHeight="1"/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74873-5D8F-44CA-A3D3-C551852CC2F6}">
  <sheetPr codeName="Sheet2">
    <tabColor theme="4" tint="0.39997558519241921"/>
  </sheetPr>
  <dimension ref="A1:AV565"/>
  <sheetViews>
    <sheetView showGridLines="0" zoomScale="70" zoomScaleNormal="70" zoomScaleSheetLayoutView="50" workbookViewId="0">
      <pane xSplit="5" ySplit="8" topLeftCell="S23" activePane="bottomRight" state="frozen"/>
      <selection pane="topRight" activeCell="B167" sqref="B167"/>
      <selection pane="bottomLeft" activeCell="B167" sqref="B167"/>
      <selection pane="bottomRight" activeCell="Z30" sqref="Z30"/>
    </sheetView>
  </sheetViews>
  <sheetFormatPr defaultColWidth="9.42578125" defaultRowHeight="15.75"/>
  <cols>
    <col min="1" max="1" width="32.140625" style="4" customWidth="1"/>
    <col min="2" max="2" width="40.7109375" style="2" customWidth="1"/>
    <col min="3" max="3" width="34.42578125" style="3" customWidth="1"/>
    <col min="4" max="4" width="42.28515625" style="195" customWidth="1"/>
    <col min="5" max="34" width="13.42578125" style="1" customWidth="1"/>
    <col min="35" max="35" width="12.140625" style="1" hidden="1" customWidth="1"/>
    <col min="36" max="36" width="17.5703125" style="1" customWidth="1"/>
    <col min="37" max="37" width="18.5703125" style="1" customWidth="1"/>
    <col min="38" max="38" width="17.5703125" style="1" customWidth="1"/>
    <col min="39" max="39" width="22.28515625" style="1" customWidth="1"/>
    <col min="40" max="40" width="17.5703125" style="1" customWidth="1"/>
    <col min="41" max="41" width="13.5703125" style="1" customWidth="1"/>
    <col min="42" max="42" width="32.7109375" style="1" customWidth="1"/>
    <col min="43" max="43" width="13" style="1" customWidth="1"/>
    <col min="44" max="44" width="15.140625" style="1" customWidth="1"/>
    <col min="45" max="45" width="15.5703125" style="1" customWidth="1"/>
    <col min="46" max="46" width="14.7109375" style="1" customWidth="1"/>
    <col min="47" max="47" width="14.85546875" style="1" customWidth="1"/>
    <col min="48" max="48" width="17.140625" style="1" customWidth="1"/>
    <col min="49" max="16384" width="9.42578125" style="1"/>
  </cols>
  <sheetData>
    <row r="1" spans="1:48" ht="11.25">
      <c r="D1" s="4"/>
    </row>
    <row r="2" spans="1:48" ht="11.25">
      <c r="D2" s="4"/>
    </row>
    <row r="3" spans="1:48" ht="30.75" customHeight="1">
      <c r="D3" s="198"/>
      <c r="F3" s="4"/>
      <c r="G3" s="4"/>
    </row>
    <row r="4" spans="1:48" ht="11.1" customHeight="1">
      <c r="D4" s="1520" t="s">
        <v>32</v>
      </c>
      <c r="F4" s="4"/>
      <c r="G4" s="4"/>
    </row>
    <row r="5" spans="1:48" ht="25.35" customHeight="1">
      <c r="A5" s="199" t="s">
        <v>565</v>
      </c>
      <c r="D5" s="1520"/>
      <c r="F5" s="4"/>
      <c r="G5" s="4"/>
    </row>
    <row r="6" spans="1:48" s="7" customFormat="1" ht="25.35" customHeight="1" thickBot="1">
      <c r="A6" s="6" t="s">
        <v>33</v>
      </c>
      <c r="C6" s="8"/>
      <c r="D6" s="9"/>
      <c r="Q6" s="1518"/>
      <c r="R6" s="1518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48" ht="31.5" customHeight="1" thickTop="1" thickBot="1">
      <c r="A7" s="200" t="s">
        <v>34</v>
      </c>
      <c r="B7" s="200" t="s">
        <v>35</v>
      </c>
      <c r="C7" s="201" t="s">
        <v>36</v>
      </c>
      <c r="D7" s="202" t="s">
        <v>37</v>
      </c>
      <c r="E7" s="13" t="s">
        <v>561</v>
      </c>
      <c r="F7" s="203" t="s">
        <v>38</v>
      </c>
      <c r="G7" s="203" t="s">
        <v>39</v>
      </c>
      <c r="H7" s="203" t="s">
        <v>40</v>
      </c>
      <c r="I7" s="203" t="s">
        <v>41</v>
      </c>
      <c r="J7" s="203" t="s">
        <v>42</v>
      </c>
      <c r="K7" s="203" t="s">
        <v>43</v>
      </c>
      <c r="L7" s="203" t="s">
        <v>44</v>
      </c>
      <c r="M7" s="203" t="s">
        <v>45</v>
      </c>
      <c r="N7" s="203" t="s">
        <v>46</v>
      </c>
      <c r="O7" s="203" t="s">
        <v>47</v>
      </c>
      <c r="P7" s="203" t="s">
        <v>48</v>
      </c>
      <c r="Q7" s="203" t="s">
        <v>49</v>
      </c>
      <c r="R7" s="203" t="s">
        <v>50</v>
      </c>
      <c r="S7" s="203" t="s">
        <v>51</v>
      </c>
      <c r="T7" s="203" t="s">
        <v>52</v>
      </c>
      <c r="U7" s="203" t="s">
        <v>53</v>
      </c>
      <c r="V7" s="203" t="s">
        <v>54</v>
      </c>
      <c r="W7" s="203" t="s">
        <v>55</v>
      </c>
      <c r="X7" s="203" t="s">
        <v>56</v>
      </c>
      <c r="Y7" s="203" t="s">
        <v>57</v>
      </c>
      <c r="Z7" s="203" t="s">
        <v>58</v>
      </c>
      <c r="AA7" s="203" t="s">
        <v>59</v>
      </c>
      <c r="AB7" s="203" t="s">
        <v>60</v>
      </c>
      <c r="AC7" s="203" t="s">
        <v>61</v>
      </c>
      <c r="AD7" s="203" t="s">
        <v>65</v>
      </c>
      <c r="AE7" s="203" t="s">
        <v>66</v>
      </c>
      <c r="AF7" s="203" t="s">
        <v>239</v>
      </c>
      <c r="AG7" s="203" t="s">
        <v>240</v>
      </c>
      <c r="AH7" s="203" t="s">
        <v>241</v>
      </c>
      <c r="AI7" s="203" t="s">
        <v>67</v>
      </c>
      <c r="AJ7" s="727" t="s">
        <v>68</v>
      </c>
      <c r="AK7" s="1013" t="s">
        <v>69</v>
      </c>
      <c r="AL7" s="204" t="s">
        <v>70</v>
      </c>
      <c r="AM7" s="1018" t="s">
        <v>71</v>
      </c>
      <c r="AN7" s="16" t="s">
        <v>72</v>
      </c>
      <c r="AO7" s="620" t="s">
        <v>73</v>
      </c>
      <c r="AP7" s="1" t="s">
        <v>74</v>
      </c>
      <c r="AQ7" s="1" t="s">
        <v>75</v>
      </c>
      <c r="AR7" s="1" t="s">
        <v>76</v>
      </c>
      <c r="AS7" s="1" t="s">
        <v>77</v>
      </c>
      <c r="AT7" s="1" t="s">
        <v>78</v>
      </c>
      <c r="AU7" s="1" t="s">
        <v>79</v>
      </c>
      <c r="AV7" s="1" t="s">
        <v>80</v>
      </c>
    </row>
    <row r="8" spans="1:48" s="1307" customFormat="1" ht="21" customHeight="1" thickBot="1">
      <c r="A8" s="93"/>
      <c r="B8" s="93"/>
      <c r="C8" s="205"/>
      <c r="D8" s="206"/>
      <c r="E8" s="1320">
        <v>46174</v>
      </c>
      <c r="F8" s="1153">
        <f>Table5[[#This Row],[June''2026]]+1</f>
        <v>46175</v>
      </c>
      <c r="G8" s="1234">
        <f>Table5[[#This Row],[Column1]]+1</f>
        <v>46176</v>
      </c>
      <c r="H8" s="1153">
        <f>Table5[[#This Row],[Column2]]+1</f>
        <v>46177</v>
      </c>
      <c r="I8" s="1153">
        <f>Table5[[#This Row],[Column3]]+1</f>
        <v>46178</v>
      </c>
      <c r="J8" s="1234">
        <f>Table5[[#This Row],[Column4]]+1</f>
        <v>46179</v>
      </c>
      <c r="K8" s="1234">
        <f>Table5[[#This Row],[Column5]]+1</f>
        <v>46180</v>
      </c>
      <c r="L8" s="1153">
        <f>Table5[[#This Row],[Column6]]+1</f>
        <v>46181</v>
      </c>
      <c r="M8" s="1153">
        <f>Table5[[#This Row],[Column7]]+1</f>
        <v>46182</v>
      </c>
      <c r="N8" s="1153">
        <f>Table5[[#This Row],[Column8]]+1</f>
        <v>46183</v>
      </c>
      <c r="O8" s="1153">
        <f>Table5[[#This Row],[Column9]]+1</f>
        <v>46184</v>
      </c>
      <c r="P8" s="1153">
        <f>Table5[[#This Row],[Column10]]+1</f>
        <v>46185</v>
      </c>
      <c r="Q8" s="1234">
        <f>Table5[[#This Row],[Column11]]+1</f>
        <v>46186</v>
      </c>
      <c r="R8" s="1234">
        <f>Table5[[#This Row],[Column12]]+1</f>
        <v>46187</v>
      </c>
      <c r="S8" s="1153">
        <f>Table5[[#This Row],[Column13]]+1</f>
        <v>46188</v>
      </c>
      <c r="T8" s="1153">
        <f>Table5[[#This Row],[Column14]]+1</f>
        <v>46189</v>
      </c>
      <c r="U8" s="1153">
        <f>Table5[[#This Row],[Column15]]+1</f>
        <v>46190</v>
      </c>
      <c r="V8" s="1153">
        <f>Table5[[#This Row],[Column16]]+1</f>
        <v>46191</v>
      </c>
      <c r="W8" s="1153">
        <f>Table5[[#This Row],[Column17]]+1</f>
        <v>46192</v>
      </c>
      <c r="X8" s="1234">
        <f>Table5[[#This Row],[Column18]]+1</f>
        <v>46193</v>
      </c>
      <c r="Y8" s="1234">
        <f>Table5[[#This Row],[Column19]]+1</f>
        <v>46194</v>
      </c>
      <c r="Z8" s="1153">
        <f>Table5[[#This Row],[Column20]]+1</f>
        <v>46195</v>
      </c>
      <c r="AA8" s="1153">
        <f>Table5[[#This Row],[Column21]]+1</f>
        <v>46196</v>
      </c>
      <c r="AB8" s="1153">
        <f>Table5[[#This Row],[Column22]]+1</f>
        <v>46197</v>
      </c>
      <c r="AC8" s="1153">
        <f>Table5[[#This Row],[Column23]]+1</f>
        <v>46198</v>
      </c>
      <c r="AD8" s="1153">
        <f>Table5[[#This Row],[Column24]]+1</f>
        <v>46199</v>
      </c>
      <c r="AE8" s="1234">
        <f>Table5[[#This Row],[Column25]]+1</f>
        <v>46200</v>
      </c>
      <c r="AF8" s="1234">
        <f>Table5[[#This Row],[Column26]]+1</f>
        <v>46201</v>
      </c>
      <c r="AG8" s="1153">
        <f>Table5[[#This Row],[Column262]]+1</f>
        <v>46202</v>
      </c>
      <c r="AH8" s="1153">
        <f>Table5[[#This Row],[Column263]]+1</f>
        <v>46203</v>
      </c>
      <c r="AI8" s="1321">
        <f>Table5[[#This Row],[Column264]]+1</f>
        <v>46204</v>
      </c>
      <c r="AJ8" s="20"/>
      <c r="AK8" s="944"/>
      <c r="AL8" s="207"/>
      <c r="AM8" s="945"/>
      <c r="AN8" s="22"/>
      <c r="AO8" s="1305"/>
      <c r="AP8" s="1306"/>
      <c r="AQ8" s="1306"/>
      <c r="AR8" s="1306"/>
      <c r="AS8" s="1306"/>
      <c r="AT8" s="1306"/>
      <c r="AU8" s="1306"/>
      <c r="AV8" s="1306"/>
    </row>
    <row r="9" spans="1:48" ht="25.15" hidden="1" customHeight="1" thickTop="1">
      <c r="A9" s="950" t="s">
        <v>248</v>
      </c>
      <c r="B9" s="208" t="s">
        <v>670</v>
      </c>
      <c r="C9" s="1495" t="str">
        <f>Table5[[#This Row],[M/C No.]]</f>
        <v>A3(50Ton)</v>
      </c>
      <c r="D9" s="37" t="s">
        <v>82</v>
      </c>
      <c r="E9" s="1139"/>
      <c r="F9" s="1139"/>
      <c r="G9" s="1231"/>
      <c r="H9" s="1139"/>
      <c r="I9" s="1139"/>
      <c r="J9" s="1231"/>
      <c r="K9" s="1231"/>
      <c r="L9" s="1139"/>
      <c r="M9" s="1139"/>
      <c r="N9" s="1139"/>
      <c r="O9" s="1139"/>
      <c r="P9" s="1139"/>
      <c r="Q9" s="1231"/>
      <c r="R9" s="1231"/>
      <c r="S9" s="1139"/>
      <c r="T9" s="1139"/>
      <c r="U9" s="1139"/>
      <c r="V9" s="1139"/>
      <c r="W9" s="1139"/>
      <c r="X9" s="1231"/>
      <c r="Y9" s="1231"/>
      <c r="Z9" s="1139"/>
      <c r="AA9" s="1139"/>
      <c r="AB9" s="1139"/>
      <c r="AC9" s="1139"/>
      <c r="AD9" s="1139"/>
      <c r="AE9" s="1231"/>
      <c r="AF9" s="1231"/>
      <c r="AG9" s="1139"/>
      <c r="AH9" s="1139"/>
      <c r="AI9" s="1139"/>
      <c r="AJ9" s="661">
        <f>SUM(E9:AI9)</f>
        <v>0</v>
      </c>
      <c r="AK9" s="1015">
        <f t="shared" ref="AK9:AK39" si="0">AJ11</f>
        <v>0</v>
      </c>
      <c r="AL9" s="572">
        <f>+AJ9*AN9</f>
        <v>0</v>
      </c>
      <c r="AM9" s="1002">
        <f t="shared" ref="AM9:AM39" si="1">AL11</f>
        <v>0</v>
      </c>
      <c r="AN9" s="31">
        <v>1.8897699999999999</v>
      </c>
      <c r="AO9" s="622">
        <f>Table5[[#This Row],[Total]]*B13/1000</f>
        <v>0</v>
      </c>
      <c r="AP9" s="32" t="s">
        <v>243</v>
      </c>
      <c r="AQ9" s="33" t="s">
        <v>84</v>
      </c>
      <c r="AR9" s="33" t="s">
        <v>85</v>
      </c>
      <c r="AS9" s="33" t="s">
        <v>86</v>
      </c>
      <c r="AT9" s="33" t="s">
        <v>87</v>
      </c>
      <c r="AU9" s="33" t="s">
        <v>88</v>
      </c>
      <c r="AV9" s="34" t="s">
        <v>68</v>
      </c>
    </row>
    <row r="10" spans="1:48" ht="25.15" hidden="1" customHeight="1">
      <c r="A10" s="229"/>
      <c r="B10" s="208" t="s">
        <v>244</v>
      </c>
      <c r="C10" s="36"/>
      <c r="D10" s="37" t="s">
        <v>90</v>
      </c>
      <c r="E10" s="1323">
        <f>IF(E9="",0,+ E9/E16)</f>
        <v>0</v>
      </c>
      <c r="F10" s="1096">
        <f t="shared" ref="F10:AA10" si="2">IF(F9="",0, E10+F9/F16)</f>
        <v>0</v>
      </c>
      <c r="G10" s="1207">
        <f t="shared" si="2"/>
        <v>0</v>
      </c>
      <c r="H10" s="1096">
        <f t="shared" si="2"/>
        <v>0</v>
      </c>
      <c r="I10" s="1096">
        <f t="shared" si="2"/>
        <v>0</v>
      </c>
      <c r="J10" s="1207">
        <f t="shared" si="2"/>
        <v>0</v>
      </c>
      <c r="K10" s="1207">
        <f t="shared" si="2"/>
        <v>0</v>
      </c>
      <c r="L10" s="1096">
        <f t="shared" si="2"/>
        <v>0</v>
      </c>
      <c r="M10" s="1096">
        <f t="shared" si="2"/>
        <v>0</v>
      </c>
      <c r="N10" s="1096">
        <f t="shared" si="2"/>
        <v>0</v>
      </c>
      <c r="O10" s="1096">
        <f t="shared" si="2"/>
        <v>0</v>
      </c>
      <c r="P10" s="1096">
        <f t="shared" si="2"/>
        <v>0</v>
      </c>
      <c r="Q10" s="1207">
        <f t="shared" si="2"/>
        <v>0</v>
      </c>
      <c r="R10" s="1207">
        <f t="shared" si="2"/>
        <v>0</v>
      </c>
      <c r="S10" s="1096">
        <f t="shared" si="2"/>
        <v>0</v>
      </c>
      <c r="T10" s="1096">
        <f t="shared" si="2"/>
        <v>0</v>
      </c>
      <c r="U10" s="1096">
        <f t="shared" si="2"/>
        <v>0</v>
      </c>
      <c r="V10" s="1096">
        <f t="shared" si="2"/>
        <v>0</v>
      </c>
      <c r="W10" s="1096">
        <f t="shared" si="2"/>
        <v>0</v>
      </c>
      <c r="X10" s="1207">
        <f t="shared" si="2"/>
        <v>0</v>
      </c>
      <c r="Y10" s="1207">
        <f t="shared" si="2"/>
        <v>0</v>
      </c>
      <c r="Z10" s="1096">
        <f t="shared" si="2"/>
        <v>0</v>
      </c>
      <c r="AA10" s="1096">
        <f t="shared" si="2"/>
        <v>0</v>
      </c>
      <c r="AB10" s="1096">
        <f>IF(AB9="",0, AA10+AB9/AB16)</f>
        <v>0</v>
      </c>
      <c r="AC10" s="1096">
        <f>IF(AC9="",0, AB10+AC9/AC16)</f>
        <v>0</v>
      </c>
      <c r="AD10" s="1096">
        <f>IF(AD9="",0, Z10+AD9/AD16)</f>
        <v>0</v>
      </c>
      <c r="AE10" s="1207">
        <f>IF(AE9="",0, AA10+AE9/AE16)</f>
        <v>0</v>
      </c>
      <c r="AF10" s="1207">
        <f>IF(AF9="",0, AB10+AF9/AF16)</f>
        <v>0</v>
      </c>
      <c r="AG10" s="1096">
        <f>IF(AG9="",0, AC10+AG9/AG16)</f>
        <v>0</v>
      </c>
      <c r="AH10" s="1096">
        <f>IF(AH9="",0, AD10+AH9/AH16)</f>
        <v>0</v>
      </c>
      <c r="AI10" s="1324">
        <f>IF(AI9="",0, AH10+AI9/AI16)</f>
        <v>0</v>
      </c>
      <c r="AJ10" s="716"/>
      <c r="AK10" s="982">
        <f t="shared" si="0"/>
        <v>0</v>
      </c>
      <c r="AL10" s="209"/>
      <c r="AM10" s="987">
        <f t="shared" si="1"/>
        <v>0</v>
      </c>
      <c r="AN10" s="91"/>
      <c r="AO10" s="630"/>
      <c r="AP10" s="39" t="s">
        <v>91</v>
      </c>
      <c r="AQ10" s="40">
        <f>SUM(E9:I9)</f>
        <v>0</v>
      </c>
      <c r="AR10" s="41">
        <f>SUM(J9:P9)</f>
        <v>0</v>
      </c>
      <c r="AS10" s="41">
        <f>SUM(Q9:W9)</f>
        <v>0</v>
      </c>
      <c r="AT10" s="41">
        <f>SUM(X9:AD9)</f>
        <v>0</v>
      </c>
      <c r="AU10" s="41">
        <f>SUM(AE9:AI9)</f>
        <v>0</v>
      </c>
      <c r="AV10" s="34">
        <f t="shared" ref="AV10:AV15" si="3">SUM(AQ10:AU10)</f>
        <v>0</v>
      </c>
    </row>
    <row r="11" spans="1:48" ht="25.15" hidden="1" customHeight="1">
      <c r="A11" s="210" t="s">
        <v>245</v>
      </c>
      <c r="B11" s="211" t="s">
        <v>246</v>
      </c>
      <c r="C11" s="42"/>
      <c r="D11" s="43" t="s">
        <v>93</v>
      </c>
      <c r="E11" s="1108"/>
      <c r="F11" s="1108"/>
      <c r="G11" s="44"/>
      <c r="H11" s="1089"/>
      <c r="I11" s="1089"/>
      <c r="J11" s="44"/>
      <c r="K11" s="44"/>
      <c r="L11" s="1089"/>
      <c r="M11" s="1089"/>
      <c r="N11" s="1089"/>
      <c r="O11" s="1089"/>
      <c r="P11" s="1089"/>
      <c r="Q11" s="44"/>
      <c r="R11" s="44"/>
      <c r="S11" s="1089"/>
      <c r="T11" s="1089"/>
      <c r="U11" s="1089"/>
      <c r="V11" s="1089"/>
      <c r="W11" s="1089"/>
      <c r="X11" s="44"/>
      <c r="Y11" s="44"/>
      <c r="Z11" s="1089"/>
      <c r="AA11" s="1089"/>
      <c r="AB11" s="1089"/>
      <c r="AC11" s="1089"/>
      <c r="AD11" s="1089"/>
      <c r="AE11" s="44"/>
      <c r="AF11" s="44"/>
      <c r="AG11" s="1089"/>
      <c r="AH11" s="1089"/>
      <c r="AI11" s="1326"/>
      <c r="AJ11" s="45">
        <f>SUM(E11:AI11)</f>
        <v>0</v>
      </c>
      <c r="AK11" s="983">
        <f t="shared" si="0"/>
        <v>0</v>
      </c>
      <c r="AL11" s="46">
        <f>+AJ11*AN9</f>
        <v>0</v>
      </c>
      <c r="AM11" s="988">
        <f t="shared" si="1"/>
        <v>0</v>
      </c>
      <c r="AN11" s="31"/>
      <c r="AO11" s="632">
        <f>(AJ11+AJ13+AJ14+AJ15)*B13/1000</f>
        <v>0</v>
      </c>
      <c r="AP11" s="47" t="s">
        <v>94</v>
      </c>
      <c r="AQ11" s="48">
        <f>SUM(E11:I11)</f>
        <v>0</v>
      </c>
      <c r="AR11" s="49">
        <f>SUM(J11:P11)</f>
        <v>0</v>
      </c>
      <c r="AS11" s="49">
        <f>SUM(Q11:W11)</f>
        <v>0</v>
      </c>
      <c r="AT11" s="49">
        <f>SUM(X11:AD11)</f>
        <v>0</v>
      </c>
      <c r="AU11" s="49">
        <f>SUM(AE11:AI11)</f>
        <v>0</v>
      </c>
      <c r="AV11" s="50">
        <f t="shared" si="3"/>
        <v>0</v>
      </c>
    </row>
    <row r="12" spans="1:48" ht="25.15" hidden="1" customHeight="1">
      <c r="A12" s="210" t="s">
        <v>245</v>
      </c>
      <c r="B12" s="763" t="s">
        <v>247</v>
      </c>
      <c r="C12" s="52" t="s">
        <v>95</v>
      </c>
      <c r="D12" s="53" t="s">
        <v>96</v>
      </c>
      <c r="E12" s="1137">
        <f t="shared" ref="E12:P12" si="4">+E11-E9</f>
        <v>0</v>
      </c>
      <c r="F12" s="1097">
        <f t="shared" si="4"/>
        <v>0</v>
      </c>
      <c r="G12" s="1205">
        <f t="shared" si="4"/>
        <v>0</v>
      </c>
      <c r="H12" s="1097">
        <f t="shared" si="4"/>
        <v>0</v>
      </c>
      <c r="I12" s="1097">
        <f t="shared" si="4"/>
        <v>0</v>
      </c>
      <c r="J12" s="1205">
        <f t="shared" si="4"/>
        <v>0</v>
      </c>
      <c r="K12" s="1205">
        <f t="shared" si="4"/>
        <v>0</v>
      </c>
      <c r="L12" s="1097">
        <f t="shared" si="4"/>
        <v>0</v>
      </c>
      <c r="M12" s="1097">
        <f t="shared" si="4"/>
        <v>0</v>
      </c>
      <c r="N12" s="1097">
        <f t="shared" si="4"/>
        <v>0</v>
      </c>
      <c r="O12" s="1097">
        <f t="shared" si="4"/>
        <v>0</v>
      </c>
      <c r="P12" s="1097">
        <f t="shared" si="4"/>
        <v>0</v>
      </c>
      <c r="Q12" s="1205">
        <f>+Q11-Q9</f>
        <v>0</v>
      </c>
      <c r="R12" s="1205">
        <f t="shared" ref="R12:X12" si="5">+R11-R9</f>
        <v>0</v>
      </c>
      <c r="S12" s="1097">
        <f t="shared" si="5"/>
        <v>0</v>
      </c>
      <c r="T12" s="1097">
        <f t="shared" si="5"/>
        <v>0</v>
      </c>
      <c r="U12" s="1097">
        <f t="shared" si="5"/>
        <v>0</v>
      </c>
      <c r="V12" s="1097">
        <f t="shared" si="5"/>
        <v>0</v>
      </c>
      <c r="W12" s="1097">
        <f t="shared" si="5"/>
        <v>0</v>
      </c>
      <c r="X12" s="1205">
        <f t="shared" si="5"/>
        <v>0</v>
      </c>
      <c r="Y12" s="1205">
        <f>+Y11-Y9</f>
        <v>0</v>
      </c>
      <c r="Z12" s="1097">
        <f>+Z11-Z9</f>
        <v>0</v>
      </c>
      <c r="AA12" s="1097">
        <f t="shared" ref="AA12:AJ12" si="6">+AA11-AA9</f>
        <v>0</v>
      </c>
      <c r="AB12" s="1097">
        <f>+AB11-AB9</f>
        <v>0</v>
      </c>
      <c r="AC12" s="1097">
        <f>+AC11-AC9</f>
        <v>0</v>
      </c>
      <c r="AD12" s="1097">
        <f t="shared" si="6"/>
        <v>0</v>
      </c>
      <c r="AE12" s="1205">
        <f t="shared" si="6"/>
        <v>0</v>
      </c>
      <c r="AF12" s="1205">
        <f t="shared" si="6"/>
        <v>0</v>
      </c>
      <c r="AG12" s="1097">
        <f t="shared" si="6"/>
        <v>0</v>
      </c>
      <c r="AH12" s="1097">
        <f t="shared" si="6"/>
        <v>0</v>
      </c>
      <c r="AI12" s="1328">
        <f t="shared" si="6"/>
        <v>0</v>
      </c>
      <c r="AJ12" s="79">
        <f t="shared" si="6"/>
        <v>0</v>
      </c>
      <c r="AK12" s="983">
        <f t="shared" si="0"/>
        <v>0</v>
      </c>
      <c r="AL12" s="55">
        <f>+AJ12*AN9</f>
        <v>0</v>
      </c>
      <c r="AM12" s="988">
        <f t="shared" si="1"/>
        <v>0</v>
      </c>
      <c r="AN12" s="31" t="s">
        <v>97</v>
      </c>
      <c r="AO12" s="622"/>
      <c r="AP12" s="39" t="s">
        <v>98</v>
      </c>
      <c r="AQ12" s="56">
        <f>AQ11-AQ10</f>
        <v>0</v>
      </c>
      <c r="AR12" s="70">
        <f>AR11-AR10</f>
        <v>0</v>
      </c>
      <c r="AS12" s="70">
        <f>AS11-AS10</f>
        <v>0</v>
      </c>
      <c r="AT12" s="70">
        <f>AT11-AT10</f>
        <v>0</v>
      </c>
      <c r="AU12" s="70">
        <f>AU11-AU10</f>
        <v>0</v>
      </c>
      <c r="AV12" s="57">
        <f t="shared" si="3"/>
        <v>0</v>
      </c>
    </row>
    <row r="13" spans="1:48" ht="25.15" hidden="1" customHeight="1">
      <c r="A13" s="212"/>
      <c r="B13" s="763">
        <v>0.33900000000000002</v>
      </c>
      <c r="C13" s="60" t="s">
        <v>100</v>
      </c>
      <c r="D13" s="61" t="s">
        <v>101</v>
      </c>
      <c r="E13" s="1098"/>
      <c r="F13" s="1099"/>
      <c r="G13" s="1208"/>
      <c r="H13" s="1099"/>
      <c r="I13" s="1099"/>
      <c r="J13" s="1208"/>
      <c r="K13" s="1208"/>
      <c r="L13" s="1099"/>
      <c r="M13" s="1099"/>
      <c r="N13" s="1099"/>
      <c r="O13" s="1099"/>
      <c r="P13" s="1099"/>
      <c r="Q13" s="1208"/>
      <c r="R13" s="1208"/>
      <c r="S13" s="1099"/>
      <c r="T13" s="1099"/>
      <c r="U13" s="1099"/>
      <c r="V13" s="1099"/>
      <c r="W13" s="1099"/>
      <c r="X13" s="1208"/>
      <c r="Y13" s="1208"/>
      <c r="Z13" s="1099"/>
      <c r="AA13" s="1099"/>
      <c r="AB13" s="1099"/>
      <c r="AC13" s="1099"/>
      <c r="AD13" s="1099"/>
      <c r="AE13" s="1208"/>
      <c r="AF13" s="1208"/>
      <c r="AG13" s="1099"/>
      <c r="AH13" s="1099"/>
      <c r="AI13" s="1330"/>
      <c r="AJ13" s="62">
        <f>SUM(E13:AI13)</f>
        <v>0</v>
      </c>
      <c r="AK13" s="983">
        <f t="shared" si="0"/>
        <v>0</v>
      </c>
      <c r="AL13" s="63">
        <f>+AJ13*AN9</f>
        <v>0</v>
      </c>
      <c r="AM13" s="989">
        <f t="shared" si="1"/>
        <v>0</v>
      </c>
      <c r="AN13" s="64" t="e">
        <f>+AJ13/AJ11*100</f>
        <v>#DIV/0!</v>
      </c>
      <c r="AO13" s="635" t="e">
        <f>AO11/AO9</f>
        <v>#DIV/0!</v>
      </c>
      <c r="AP13" s="39" t="s">
        <v>102</v>
      </c>
      <c r="AQ13" s="56">
        <f>SUM(E13:I13)</f>
        <v>0</v>
      </c>
      <c r="AR13" s="70">
        <f>SUM(J13:P13)</f>
        <v>0</v>
      </c>
      <c r="AS13" s="70">
        <f>SUM(Q13:W13)</f>
        <v>0</v>
      </c>
      <c r="AT13" s="70">
        <f>SUM(X13:AD13)</f>
        <v>0</v>
      </c>
      <c r="AU13" s="70">
        <f>SUM(AE13:AI13)</f>
        <v>0</v>
      </c>
      <c r="AV13" s="57">
        <f t="shared" si="3"/>
        <v>0</v>
      </c>
    </row>
    <row r="14" spans="1:48" ht="25.15" hidden="1" customHeight="1">
      <c r="A14" s="210" t="s">
        <v>245</v>
      </c>
      <c r="B14" s="213" t="s">
        <v>249</v>
      </c>
      <c r="C14" s="66"/>
      <c r="D14" s="67" t="s">
        <v>103</v>
      </c>
      <c r="E14" s="1100"/>
      <c r="F14" s="1101"/>
      <c r="G14" s="1209"/>
      <c r="H14" s="1101"/>
      <c r="I14" s="1101"/>
      <c r="J14" s="1209"/>
      <c r="K14" s="1209"/>
      <c r="L14" s="1101"/>
      <c r="M14" s="1101"/>
      <c r="N14" s="1101"/>
      <c r="O14" s="1101"/>
      <c r="P14" s="1101"/>
      <c r="Q14" s="1209"/>
      <c r="R14" s="1209"/>
      <c r="S14" s="1101"/>
      <c r="T14" s="1101"/>
      <c r="U14" s="1101"/>
      <c r="V14" s="1101"/>
      <c r="W14" s="1101"/>
      <c r="X14" s="1209"/>
      <c r="Y14" s="1209"/>
      <c r="Z14" s="1101"/>
      <c r="AA14" s="1101"/>
      <c r="AB14" s="1101"/>
      <c r="AC14" s="1101"/>
      <c r="AD14" s="1101"/>
      <c r="AE14" s="1209"/>
      <c r="AF14" s="1209"/>
      <c r="AG14" s="1101"/>
      <c r="AH14" s="1101"/>
      <c r="AI14" s="1332"/>
      <c r="AJ14" s="68">
        <f>SUM(E14:AI14)</f>
        <v>0</v>
      </c>
      <c r="AK14" s="983">
        <f t="shared" si="0"/>
        <v>0</v>
      </c>
      <c r="AL14" s="69">
        <f>+AJ14*AN9</f>
        <v>0</v>
      </c>
      <c r="AM14" s="989">
        <f t="shared" si="1"/>
        <v>0</v>
      </c>
      <c r="AN14" s="31"/>
      <c r="AO14" s="622"/>
      <c r="AP14" s="39" t="s">
        <v>19</v>
      </c>
      <c r="AQ14" s="56">
        <f>AQ13*AN9</f>
        <v>0</v>
      </c>
      <c r="AR14" s="56">
        <f>AR13*AN9</f>
        <v>0</v>
      </c>
      <c r="AS14" s="56">
        <f>AS13*AN9</f>
        <v>0</v>
      </c>
      <c r="AT14" s="56">
        <f>AT13*AN9</f>
        <v>0</v>
      </c>
      <c r="AU14" s="56">
        <f>AU13*AN9</f>
        <v>0</v>
      </c>
      <c r="AV14" s="57">
        <f t="shared" si="3"/>
        <v>0</v>
      </c>
    </row>
    <row r="15" spans="1:48" ht="25.15" hidden="1" customHeight="1">
      <c r="A15" s="210" t="s">
        <v>245</v>
      </c>
      <c r="B15" s="213"/>
      <c r="C15" s="72" t="s">
        <v>104</v>
      </c>
      <c r="D15" s="73" t="s">
        <v>105</v>
      </c>
      <c r="E15" s="1102"/>
      <c r="F15" s="1103"/>
      <c r="G15" s="1210"/>
      <c r="H15" s="1103"/>
      <c r="I15" s="1103"/>
      <c r="J15" s="1210"/>
      <c r="K15" s="1210"/>
      <c r="L15" s="1103"/>
      <c r="M15" s="1103"/>
      <c r="N15" s="1103"/>
      <c r="O15" s="1103"/>
      <c r="P15" s="1103"/>
      <c r="Q15" s="1210"/>
      <c r="R15" s="1210"/>
      <c r="S15" s="1103"/>
      <c r="T15" s="1103"/>
      <c r="U15" s="1103"/>
      <c r="V15" s="1103"/>
      <c r="W15" s="1103"/>
      <c r="X15" s="1210"/>
      <c r="Y15" s="1210"/>
      <c r="Z15" s="1103"/>
      <c r="AA15" s="1103"/>
      <c r="AB15" s="1103"/>
      <c r="AC15" s="1103"/>
      <c r="AD15" s="1103"/>
      <c r="AE15" s="1210"/>
      <c r="AF15" s="1210"/>
      <c r="AG15" s="1103"/>
      <c r="AH15" s="1103"/>
      <c r="AI15" s="1352"/>
      <c r="AJ15" s="74">
        <f>SUM(E15:AI15)</f>
        <v>0</v>
      </c>
      <c r="AK15" s="983">
        <f>AJ17</f>
        <v>0</v>
      </c>
      <c r="AL15" s="75">
        <f>+AJ15*AN9</f>
        <v>0</v>
      </c>
      <c r="AM15" s="989">
        <f>AL17</f>
        <v>0</v>
      </c>
      <c r="AN15" s="31"/>
      <c r="AO15" s="622"/>
      <c r="AP15" s="47" t="s">
        <v>106</v>
      </c>
      <c r="AQ15" s="48">
        <f>AQ11*AN9</f>
        <v>0</v>
      </c>
      <c r="AR15" s="48">
        <f>AR11*AN9</f>
        <v>0</v>
      </c>
      <c r="AS15" s="48">
        <f>AS11*AN9</f>
        <v>0</v>
      </c>
      <c r="AT15" s="48">
        <f>AT11*AN9</f>
        <v>0</v>
      </c>
      <c r="AU15" s="48">
        <f>AU11*AN9</f>
        <v>0</v>
      </c>
      <c r="AV15" s="50">
        <f t="shared" si="3"/>
        <v>0</v>
      </c>
    </row>
    <row r="16" spans="1:48" ht="25.15" hidden="1" customHeight="1">
      <c r="A16" s="210" t="s">
        <v>245</v>
      </c>
      <c r="B16" s="65"/>
      <c r="C16" s="77">
        <v>300000</v>
      </c>
      <c r="D16" s="78" t="s">
        <v>107</v>
      </c>
      <c r="E16" s="1137">
        <v>4</v>
      </c>
      <c r="F16" s="1097">
        <v>4</v>
      </c>
      <c r="G16" s="1205">
        <v>4</v>
      </c>
      <c r="H16" s="1097">
        <v>4</v>
      </c>
      <c r="I16" s="1097">
        <v>4</v>
      </c>
      <c r="J16" s="1205">
        <v>4</v>
      </c>
      <c r="K16" s="1205">
        <v>4</v>
      </c>
      <c r="L16" s="1097">
        <v>4</v>
      </c>
      <c r="M16" s="1097">
        <v>4</v>
      </c>
      <c r="N16" s="1097">
        <v>4</v>
      </c>
      <c r="O16" s="1097">
        <v>4</v>
      </c>
      <c r="P16" s="1097">
        <v>4</v>
      </c>
      <c r="Q16" s="1205">
        <v>4</v>
      </c>
      <c r="R16" s="1205">
        <v>4</v>
      </c>
      <c r="S16" s="1097">
        <v>4</v>
      </c>
      <c r="T16" s="1097">
        <v>4</v>
      </c>
      <c r="U16" s="1097">
        <v>4</v>
      </c>
      <c r="V16" s="1097">
        <v>4</v>
      </c>
      <c r="W16" s="1097">
        <v>4</v>
      </c>
      <c r="X16" s="1205">
        <v>4</v>
      </c>
      <c r="Y16" s="1205">
        <v>4</v>
      </c>
      <c r="Z16" s="1097">
        <v>4</v>
      </c>
      <c r="AA16" s="1097">
        <v>4</v>
      </c>
      <c r="AB16" s="1097">
        <v>4</v>
      </c>
      <c r="AC16" s="1097">
        <v>4</v>
      </c>
      <c r="AD16" s="1097">
        <v>4</v>
      </c>
      <c r="AE16" s="1205">
        <v>4</v>
      </c>
      <c r="AF16" s="1205">
        <v>4</v>
      </c>
      <c r="AG16" s="1097">
        <v>4</v>
      </c>
      <c r="AH16" s="1097">
        <v>4</v>
      </c>
      <c r="AI16" s="1328">
        <v>4</v>
      </c>
      <c r="AJ16" s="79"/>
      <c r="AK16" s="983">
        <f>AJ18</f>
        <v>0</v>
      </c>
      <c r="AL16" s="55"/>
      <c r="AM16" s="988">
        <f>AL18</f>
        <v>0</v>
      </c>
      <c r="AN16" s="31"/>
      <c r="AO16" s="622"/>
      <c r="AP16" s="47"/>
      <c r="AQ16" s="48"/>
      <c r="AR16" s="48"/>
      <c r="AS16" s="48"/>
      <c r="AT16" s="48"/>
      <c r="AU16" s="48"/>
      <c r="AV16" s="214"/>
    </row>
    <row r="17" spans="1:48" ht="25.15" hidden="1" customHeight="1">
      <c r="A17" s="210" t="s">
        <v>245</v>
      </c>
      <c r="B17" s="65"/>
      <c r="C17" s="80" t="s">
        <v>108</v>
      </c>
      <c r="D17" s="81" t="s">
        <v>109</v>
      </c>
      <c r="E17" s="1125">
        <f t="shared" ref="E17:AI17" si="7">SUM(E11+E13+E15+E14)/E16</f>
        <v>0</v>
      </c>
      <c r="F17" s="1125">
        <f t="shared" si="7"/>
        <v>0</v>
      </c>
      <c r="G17" s="1233">
        <f t="shared" si="7"/>
        <v>0</v>
      </c>
      <c r="H17" s="1125">
        <f t="shared" si="7"/>
        <v>0</v>
      </c>
      <c r="I17" s="1125">
        <f t="shared" si="7"/>
        <v>0</v>
      </c>
      <c r="J17" s="1233">
        <f t="shared" si="7"/>
        <v>0</v>
      </c>
      <c r="K17" s="1233">
        <f t="shared" si="7"/>
        <v>0</v>
      </c>
      <c r="L17" s="1125">
        <f t="shared" si="7"/>
        <v>0</v>
      </c>
      <c r="M17" s="1125">
        <f t="shared" si="7"/>
        <v>0</v>
      </c>
      <c r="N17" s="1125">
        <f t="shared" si="7"/>
        <v>0</v>
      </c>
      <c r="O17" s="1125">
        <f t="shared" si="7"/>
        <v>0</v>
      </c>
      <c r="P17" s="1125">
        <f t="shared" si="7"/>
        <v>0</v>
      </c>
      <c r="Q17" s="1233">
        <f t="shared" si="7"/>
        <v>0</v>
      </c>
      <c r="R17" s="1233">
        <f t="shared" si="7"/>
        <v>0</v>
      </c>
      <c r="S17" s="1125">
        <f t="shared" si="7"/>
        <v>0</v>
      </c>
      <c r="T17" s="1125">
        <f t="shared" si="7"/>
        <v>0</v>
      </c>
      <c r="U17" s="1125">
        <f t="shared" si="7"/>
        <v>0</v>
      </c>
      <c r="V17" s="1125">
        <f t="shared" si="7"/>
        <v>0</v>
      </c>
      <c r="W17" s="1125">
        <f t="shared" si="7"/>
        <v>0</v>
      </c>
      <c r="X17" s="1233">
        <f t="shared" si="7"/>
        <v>0</v>
      </c>
      <c r="Y17" s="1233">
        <f t="shared" si="7"/>
        <v>0</v>
      </c>
      <c r="Z17" s="1125">
        <f t="shared" si="7"/>
        <v>0</v>
      </c>
      <c r="AA17" s="1125">
        <f t="shared" si="7"/>
        <v>0</v>
      </c>
      <c r="AB17" s="1125">
        <f t="shared" si="7"/>
        <v>0</v>
      </c>
      <c r="AC17" s="1125">
        <f t="shared" si="7"/>
        <v>0</v>
      </c>
      <c r="AD17" s="1125">
        <f t="shared" si="7"/>
        <v>0</v>
      </c>
      <c r="AE17" s="1233">
        <f t="shared" si="7"/>
        <v>0</v>
      </c>
      <c r="AF17" s="1233">
        <f t="shared" si="7"/>
        <v>0</v>
      </c>
      <c r="AG17" s="1125">
        <f t="shared" si="7"/>
        <v>0</v>
      </c>
      <c r="AH17" s="1125">
        <f t="shared" si="7"/>
        <v>0</v>
      </c>
      <c r="AI17" s="1409">
        <f t="shared" si="7"/>
        <v>0</v>
      </c>
      <c r="AJ17" s="515">
        <f>SUM(E17:AI17)</f>
        <v>0</v>
      </c>
      <c r="AK17" s="984">
        <f t="shared" si="0"/>
        <v>0</v>
      </c>
      <c r="AL17" s="83"/>
      <c r="AM17" s="989">
        <f t="shared" si="1"/>
        <v>0</v>
      </c>
      <c r="AN17" s="31"/>
      <c r="AO17" s="622"/>
      <c r="AP17" s="164"/>
      <c r="AQ17" s="164"/>
      <c r="AR17" s="164"/>
      <c r="AS17" s="164"/>
      <c r="AT17" s="164"/>
      <c r="AU17" s="164"/>
      <c r="AV17" s="164"/>
    </row>
    <row r="18" spans="1:48" ht="25.15" hidden="1" customHeight="1">
      <c r="A18" s="215"/>
      <c r="B18" s="89"/>
      <c r="C18" s="84">
        <f>+C16*0.8</f>
        <v>240000</v>
      </c>
      <c r="D18" s="85" t="s">
        <v>110</v>
      </c>
      <c r="E18" s="1336"/>
      <c r="F18" s="1107"/>
      <c r="G18" s="1228"/>
      <c r="H18" s="1107"/>
      <c r="I18" s="1107"/>
      <c r="J18" s="1228"/>
      <c r="K18" s="1228"/>
      <c r="L18" s="1107"/>
      <c r="M18" s="1107"/>
      <c r="N18" s="1107"/>
      <c r="O18" s="1107"/>
      <c r="P18" s="1107"/>
      <c r="Q18" s="1228"/>
      <c r="R18" s="1228"/>
      <c r="S18" s="1107"/>
      <c r="T18" s="1107"/>
      <c r="U18" s="1107"/>
      <c r="V18" s="1107"/>
      <c r="W18" s="1107"/>
      <c r="X18" s="1228"/>
      <c r="Y18" s="1228"/>
      <c r="Z18" s="1107"/>
      <c r="AA18" s="1107"/>
      <c r="AB18" s="1107"/>
      <c r="AC18" s="1107"/>
      <c r="AD18" s="1107"/>
      <c r="AE18" s="1228"/>
      <c r="AF18" s="1228"/>
      <c r="AG18" s="1107"/>
      <c r="AH18" s="1107"/>
      <c r="AI18" s="1353"/>
      <c r="AJ18" s="738"/>
      <c r="AK18" s="983">
        <f t="shared" si="0"/>
        <v>0</v>
      </c>
      <c r="AL18" s="63"/>
      <c r="AM18" s="989">
        <f t="shared" si="1"/>
        <v>0</v>
      </c>
      <c r="AN18" s="31"/>
      <c r="AO18" s="622"/>
      <c r="AP18" s="164"/>
      <c r="AQ18" s="164"/>
      <c r="AR18" s="164"/>
      <c r="AS18" s="164"/>
      <c r="AT18" s="164"/>
      <c r="AU18" s="164"/>
      <c r="AV18" s="164"/>
    </row>
    <row r="19" spans="1:48" ht="25.15" hidden="1" customHeight="1">
      <c r="A19" s="215"/>
      <c r="B19" s="89"/>
      <c r="C19" s="77"/>
      <c r="D19" s="88" t="s">
        <v>111</v>
      </c>
      <c r="E19" s="1125">
        <f>IF(E18="O/H",E17,0+E17)</f>
        <v>0</v>
      </c>
      <c r="F19" s="1126">
        <f>IF(F18="O/H",F17,+E19+F17)</f>
        <v>0</v>
      </c>
      <c r="G19" s="1235">
        <f t="shared" ref="G19:AI19" si="8">IF(G18="O/H",G17,+F19+G17)</f>
        <v>0</v>
      </c>
      <c r="H19" s="1126">
        <f t="shared" si="8"/>
        <v>0</v>
      </c>
      <c r="I19" s="1126">
        <f t="shared" si="8"/>
        <v>0</v>
      </c>
      <c r="J19" s="1235">
        <f t="shared" si="8"/>
        <v>0</v>
      </c>
      <c r="K19" s="1235">
        <f t="shared" si="8"/>
        <v>0</v>
      </c>
      <c r="L19" s="1126">
        <f t="shared" si="8"/>
        <v>0</v>
      </c>
      <c r="M19" s="1126">
        <f t="shared" si="8"/>
        <v>0</v>
      </c>
      <c r="N19" s="1126">
        <f t="shared" si="8"/>
        <v>0</v>
      </c>
      <c r="O19" s="1126">
        <f t="shared" si="8"/>
        <v>0</v>
      </c>
      <c r="P19" s="1126">
        <f t="shared" si="8"/>
        <v>0</v>
      </c>
      <c r="Q19" s="1235">
        <f t="shared" si="8"/>
        <v>0</v>
      </c>
      <c r="R19" s="1235">
        <f t="shared" si="8"/>
        <v>0</v>
      </c>
      <c r="S19" s="1126">
        <f t="shared" si="8"/>
        <v>0</v>
      </c>
      <c r="T19" s="1126">
        <f t="shared" si="8"/>
        <v>0</v>
      </c>
      <c r="U19" s="1126">
        <f t="shared" si="8"/>
        <v>0</v>
      </c>
      <c r="V19" s="1126">
        <f t="shared" si="8"/>
        <v>0</v>
      </c>
      <c r="W19" s="1126">
        <f t="shared" si="8"/>
        <v>0</v>
      </c>
      <c r="X19" s="1235">
        <f t="shared" si="8"/>
        <v>0</v>
      </c>
      <c r="Y19" s="1235">
        <f t="shared" si="8"/>
        <v>0</v>
      </c>
      <c r="Z19" s="1126">
        <f t="shared" si="8"/>
        <v>0</v>
      </c>
      <c r="AA19" s="1126">
        <f t="shared" si="8"/>
        <v>0</v>
      </c>
      <c r="AB19" s="1126">
        <f t="shared" si="8"/>
        <v>0</v>
      </c>
      <c r="AC19" s="1126">
        <f t="shared" si="8"/>
        <v>0</v>
      </c>
      <c r="AD19" s="1126">
        <f t="shared" si="8"/>
        <v>0</v>
      </c>
      <c r="AE19" s="1235">
        <f t="shared" si="8"/>
        <v>0</v>
      </c>
      <c r="AF19" s="1235">
        <f t="shared" si="8"/>
        <v>0</v>
      </c>
      <c r="AG19" s="1126">
        <f t="shared" si="8"/>
        <v>0</v>
      </c>
      <c r="AH19" s="1126">
        <f t="shared" si="8"/>
        <v>0</v>
      </c>
      <c r="AI19" s="1335">
        <f t="shared" si="8"/>
        <v>0</v>
      </c>
      <c r="AJ19" s="515"/>
      <c r="AK19" s="984">
        <f t="shared" si="0"/>
        <v>0</v>
      </c>
      <c r="AL19" s="83"/>
      <c r="AM19" s="989">
        <f t="shared" si="1"/>
        <v>0</v>
      </c>
      <c r="AN19" s="31"/>
      <c r="AO19" s="622"/>
      <c r="AP19" s="164"/>
      <c r="AQ19" s="164"/>
      <c r="AR19" s="164"/>
      <c r="AS19" s="164"/>
      <c r="AT19" s="164"/>
      <c r="AU19" s="164"/>
      <c r="AV19" s="164"/>
    </row>
    <row r="20" spans="1:48" s="23" customFormat="1" ht="20.65" hidden="1" customHeight="1">
      <c r="A20" s="274"/>
      <c r="B20" s="312"/>
      <c r="C20" s="308"/>
      <c r="D20" s="795" t="s">
        <v>112</v>
      </c>
      <c r="E20" s="1117" t="b">
        <f>IF(AND(ISNUMBER(E11)),1767483+E17)</f>
        <v>0</v>
      </c>
      <c r="F20" s="1118" t="str">
        <f t="shared" ref="F20:AI20" si="9">IF(AND(ISNUMBER(F11)),E20+F17,"")</f>
        <v/>
      </c>
      <c r="G20" s="1216" t="str">
        <f t="shared" si="9"/>
        <v/>
      </c>
      <c r="H20" s="1118" t="str">
        <f t="shared" si="9"/>
        <v/>
      </c>
      <c r="I20" s="1118" t="str">
        <f t="shared" si="9"/>
        <v/>
      </c>
      <c r="J20" s="1216" t="str">
        <f t="shared" si="9"/>
        <v/>
      </c>
      <c r="K20" s="1216" t="str">
        <f t="shared" si="9"/>
        <v/>
      </c>
      <c r="L20" s="1118" t="str">
        <f t="shared" si="9"/>
        <v/>
      </c>
      <c r="M20" s="1118" t="str">
        <f t="shared" si="9"/>
        <v/>
      </c>
      <c r="N20" s="1118" t="str">
        <f t="shared" si="9"/>
        <v/>
      </c>
      <c r="O20" s="1118" t="str">
        <f t="shared" si="9"/>
        <v/>
      </c>
      <c r="P20" s="1118" t="str">
        <f t="shared" si="9"/>
        <v/>
      </c>
      <c r="Q20" s="1216" t="str">
        <f t="shared" si="9"/>
        <v/>
      </c>
      <c r="R20" s="1216" t="str">
        <f t="shared" si="9"/>
        <v/>
      </c>
      <c r="S20" s="1118" t="str">
        <f t="shared" si="9"/>
        <v/>
      </c>
      <c r="T20" s="1118" t="str">
        <f t="shared" si="9"/>
        <v/>
      </c>
      <c r="U20" s="1118" t="str">
        <f t="shared" si="9"/>
        <v/>
      </c>
      <c r="V20" s="1118" t="str">
        <f t="shared" si="9"/>
        <v/>
      </c>
      <c r="W20" s="1118" t="str">
        <f t="shared" si="9"/>
        <v/>
      </c>
      <c r="X20" s="1216" t="str">
        <f t="shared" si="9"/>
        <v/>
      </c>
      <c r="Y20" s="1216" t="str">
        <f t="shared" si="9"/>
        <v/>
      </c>
      <c r="Z20" s="1118" t="str">
        <f t="shared" si="9"/>
        <v/>
      </c>
      <c r="AA20" s="1118" t="str">
        <f t="shared" si="9"/>
        <v/>
      </c>
      <c r="AB20" s="1118" t="str">
        <f t="shared" si="9"/>
        <v/>
      </c>
      <c r="AC20" s="1118" t="str">
        <f t="shared" si="9"/>
        <v/>
      </c>
      <c r="AD20" s="1118" t="str">
        <f t="shared" si="9"/>
        <v/>
      </c>
      <c r="AE20" s="1216" t="str">
        <f t="shared" si="9"/>
        <v/>
      </c>
      <c r="AF20" s="1216" t="str">
        <f t="shared" si="9"/>
        <v/>
      </c>
      <c r="AG20" s="1118" t="str">
        <f t="shared" si="9"/>
        <v/>
      </c>
      <c r="AH20" s="1118" t="str">
        <f t="shared" si="9"/>
        <v/>
      </c>
      <c r="AI20" s="1089" t="str">
        <f t="shared" si="9"/>
        <v/>
      </c>
      <c r="AJ20" s="793"/>
      <c r="AK20" s="985">
        <f>AJ22</f>
        <v>0</v>
      </c>
      <c r="AL20" s="909"/>
      <c r="AM20" s="987">
        <f>AL22</f>
        <v>0</v>
      </c>
      <c r="AN20" s="76"/>
      <c r="AO20" s="630"/>
      <c r="AP20" s="285"/>
      <c r="AQ20" s="285"/>
      <c r="AR20" s="285"/>
      <c r="AS20" s="285"/>
      <c r="AT20" s="286"/>
      <c r="AU20" s="285"/>
      <c r="AV20" s="287"/>
    </row>
    <row r="21" spans="1:48" ht="25.15" hidden="1" customHeight="1">
      <c r="A21" s="215" t="s">
        <v>242</v>
      </c>
      <c r="B21" s="65" t="s">
        <v>250</v>
      </c>
      <c r="C21" s="80"/>
      <c r="D21" s="90" t="s">
        <v>104</v>
      </c>
      <c r="E21" s="1452"/>
      <c r="F21" s="1127"/>
      <c r="G21" s="1302"/>
      <c r="H21" s="1127"/>
      <c r="I21" s="1127"/>
      <c r="J21" s="1302"/>
      <c r="K21" s="1302"/>
      <c r="L21" s="1127"/>
      <c r="M21" s="1127"/>
      <c r="N21" s="1127"/>
      <c r="O21" s="1127"/>
      <c r="P21" s="1127"/>
      <c r="Q21" s="1302"/>
      <c r="R21" s="1302"/>
      <c r="S21" s="1127"/>
      <c r="T21" s="1127"/>
      <c r="U21" s="1127"/>
      <c r="V21" s="1127"/>
      <c r="W21" s="1127"/>
      <c r="X21" s="1302"/>
      <c r="Y21" s="1302"/>
      <c r="Z21" s="1127"/>
      <c r="AA21" s="1127"/>
      <c r="AB21" s="1127"/>
      <c r="AC21" s="1127"/>
      <c r="AD21" s="1127"/>
      <c r="AE21" s="1302"/>
      <c r="AF21" s="1302"/>
      <c r="AG21" s="1127"/>
      <c r="AH21" s="1127"/>
      <c r="AI21" s="1328"/>
      <c r="AJ21" s="62"/>
      <c r="AK21" s="983">
        <f>AJ23</f>
        <v>0</v>
      </c>
      <c r="AL21" s="55"/>
      <c r="AM21" s="988">
        <f>AL23</f>
        <v>0</v>
      </c>
      <c r="AN21" s="31"/>
      <c r="AO21" s="622"/>
      <c r="AP21" s="164"/>
      <c r="AQ21" s="164"/>
      <c r="AR21" s="164"/>
      <c r="AS21" s="164"/>
      <c r="AT21" s="164"/>
      <c r="AU21" s="164"/>
      <c r="AV21" s="164"/>
    </row>
    <row r="22" spans="1:48" ht="20.25" hidden="1" customHeight="1" thickBot="1">
      <c r="A22" s="216" t="s">
        <v>242</v>
      </c>
      <c r="B22" s="93"/>
      <c r="C22" s="94"/>
      <c r="D22" s="95" t="s">
        <v>111</v>
      </c>
      <c r="E22" s="1109">
        <f>IF(E21="O/H",E17,295442+E17)</f>
        <v>295442</v>
      </c>
      <c r="F22" s="1110">
        <f t="shared" ref="F22:AI22" si="10">IF(F21="O/H",F17,+E22+F17)</f>
        <v>295442</v>
      </c>
      <c r="G22" s="1212">
        <f t="shared" si="10"/>
        <v>295442</v>
      </c>
      <c r="H22" s="1110">
        <f t="shared" si="10"/>
        <v>295442</v>
      </c>
      <c r="I22" s="1110">
        <f t="shared" si="10"/>
        <v>295442</v>
      </c>
      <c r="J22" s="1212">
        <f t="shared" si="10"/>
        <v>295442</v>
      </c>
      <c r="K22" s="1212">
        <f t="shared" si="10"/>
        <v>295442</v>
      </c>
      <c r="L22" s="1110">
        <f t="shared" si="10"/>
        <v>295442</v>
      </c>
      <c r="M22" s="1110">
        <f t="shared" si="10"/>
        <v>295442</v>
      </c>
      <c r="N22" s="1110">
        <f t="shared" si="10"/>
        <v>295442</v>
      </c>
      <c r="O22" s="1110">
        <f t="shared" si="10"/>
        <v>295442</v>
      </c>
      <c r="P22" s="1110">
        <f t="shared" si="10"/>
        <v>295442</v>
      </c>
      <c r="Q22" s="1212">
        <f t="shared" si="10"/>
        <v>295442</v>
      </c>
      <c r="R22" s="1212">
        <f t="shared" si="10"/>
        <v>295442</v>
      </c>
      <c r="S22" s="1110">
        <f t="shared" si="10"/>
        <v>295442</v>
      </c>
      <c r="T22" s="1110">
        <f t="shared" si="10"/>
        <v>295442</v>
      </c>
      <c r="U22" s="1110">
        <f t="shared" si="10"/>
        <v>295442</v>
      </c>
      <c r="V22" s="1110">
        <f t="shared" si="10"/>
        <v>295442</v>
      </c>
      <c r="W22" s="1110">
        <f t="shared" si="10"/>
        <v>295442</v>
      </c>
      <c r="X22" s="1212">
        <f t="shared" si="10"/>
        <v>295442</v>
      </c>
      <c r="Y22" s="1212">
        <f t="shared" si="10"/>
        <v>295442</v>
      </c>
      <c r="Z22" s="1110">
        <f t="shared" si="10"/>
        <v>295442</v>
      </c>
      <c r="AA22" s="1110">
        <f t="shared" si="10"/>
        <v>295442</v>
      </c>
      <c r="AB22" s="1110">
        <f t="shared" si="10"/>
        <v>295442</v>
      </c>
      <c r="AC22" s="1110">
        <f t="shared" si="10"/>
        <v>295442</v>
      </c>
      <c r="AD22" s="1110">
        <f t="shared" si="10"/>
        <v>295442</v>
      </c>
      <c r="AE22" s="1212">
        <f t="shared" si="10"/>
        <v>295442</v>
      </c>
      <c r="AF22" s="1212">
        <f t="shared" si="10"/>
        <v>295442</v>
      </c>
      <c r="AG22" s="1110">
        <f t="shared" si="10"/>
        <v>295442</v>
      </c>
      <c r="AH22" s="1110">
        <f t="shared" si="10"/>
        <v>295442</v>
      </c>
      <c r="AI22" s="1340">
        <f t="shared" si="10"/>
        <v>295442</v>
      </c>
      <c r="AJ22" s="739"/>
      <c r="AK22" s="986">
        <f>AJ24</f>
        <v>0</v>
      </c>
      <c r="AL22" s="217"/>
      <c r="AM22" s="990">
        <f>AL24</f>
        <v>0</v>
      </c>
      <c r="AN22" s="98"/>
      <c r="AO22" s="625"/>
      <c r="AP22" s="164"/>
      <c r="AQ22" s="164"/>
      <c r="AR22" s="164"/>
      <c r="AS22" s="164"/>
      <c r="AT22" s="164"/>
      <c r="AU22" s="164"/>
      <c r="AV22" s="164"/>
    </row>
    <row r="23" spans="1:48" ht="21" thickTop="1">
      <c r="A23" s="943" t="s">
        <v>253</v>
      </c>
      <c r="B23" s="211" t="s">
        <v>671</v>
      </c>
      <c r="C23" s="1495" t="str">
        <f>Table5[[#This Row],[M/C No.]]</f>
        <v>A15(50Ton)</v>
      </c>
      <c r="D23" s="28" t="s">
        <v>82</v>
      </c>
      <c r="E23" s="1124"/>
      <c r="F23" s="1124"/>
      <c r="G23" s="1242"/>
      <c r="H23" s="1124"/>
      <c r="I23" s="1124"/>
      <c r="J23" s="1242"/>
      <c r="K23" s="1242"/>
      <c r="L23" s="1124"/>
      <c r="M23" s="1124"/>
      <c r="N23" s="1124"/>
      <c r="O23" s="1124"/>
      <c r="P23" s="1124"/>
      <c r="Q23" s="1242"/>
      <c r="R23" s="1242"/>
      <c r="S23" s="1124"/>
      <c r="T23" s="1124"/>
      <c r="U23" s="1124"/>
      <c r="V23" s="1124"/>
      <c r="W23" s="1124"/>
      <c r="X23" s="1242"/>
      <c r="Y23" s="1242"/>
      <c r="Z23" s="1124"/>
      <c r="AA23" s="1124"/>
      <c r="AB23" s="1124"/>
      <c r="AC23" s="1124"/>
      <c r="AD23" s="1124"/>
      <c r="AE23" s="1242"/>
      <c r="AF23" s="1242"/>
      <c r="AG23" s="1124"/>
      <c r="AH23" s="1124"/>
      <c r="AI23" s="1124"/>
      <c r="AJ23" s="570">
        <f>SUM(E23:AI23)</f>
        <v>0</v>
      </c>
      <c r="AK23" s="991">
        <f>AJ25</f>
        <v>0</v>
      </c>
      <c r="AL23" s="571">
        <f>+AJ23*AN23</f>
        <v>0</v>
      </c>
      <c r="AM23" s="1002">
        <f t="shared" si="1"/>
        <v>0</v>
      </c>
      <c r="AN23" s="102">
        <v>2.8899899999999996</v>
      </c>
      <c r="AO23" s="622">
        <f>Table5[[#This Row],[Total]]*B27/1000</f>
        <v>0</v>
      </c>
      <c r="AP23" s="32" t="s">
        <v>251</v>
      </c>
      <c r="AQ23" s="33" t="s">
        <v>84</v>
      </c>
      <c r="AR23" s="33" t="s">
        <v>85</v>
      </c>
      <c r="AS23" s="33" t="s">
        <v>86</v>
      </c>
      <c r="AT23" s="33" t="s">
        <v>87</v>
      </c>
      <c r="AU23" s="33" t="s">
        <v>88</v>
      </c>
      <c r="AV23" s="34" t="s">
        <v>68</v>
      </c>
    </row>
    <row r="24" spans="1:48" ht="20.85" customHeight="1">
      <c r="A24" s="229"/>
      <c r="B24" s="89" t="s">
        <v>252</v>
      </c>
      <c r="C24" s="36"/>
      <c r="D24" s="37" t="s">
        <v>90</v>
      </c>
      <c r="E24" s="1323">
        <f>IF(E23="",0,+ E23/E30)</f>
        <v>0</v>
      </c>
      <c r="F24" s="1096">
        <f t="shared" ref="F24:AC24" si="11">IF(F23="",0, E24+F23/F30)</f>
        <v>0</v>
      </c>
      <c r="G24" s="1207">
        <f t="shared" si="11"/>
        <v>0</v>
      </c>
      <c r="H24" s="1096">
        <f t="shared" si="11"/>
        <v>0</v>
      </c>
      <c r="I24" s="1096">
        <f t="shared" si="11"/>
        <v>0</v>
      </c>
      <c r="J24" s="1207">
        <f t="shared" si="11"/>
        <v>0</v>
      </c>
      <c r="K24" s="1207">
        <f t="shared" si="11"/>
        <v>0</v>
      </c>
      <c r="L24" s="1096">
        <f t="shared" si="11"/>
        <v>0</v>
      </c>
      <c r="M24" s="1096">
        <f t="shared" si="11"/>
        <v>0</v>
      </c>
      <c r="N24" s="1096">
        <f t="shared" si="11"/>
        <v>0</v>
      </c>
      <c r="O24" s="1096">
        <f t="shared" si="11"/>
        <v>0</v>
      </c>
      <c r="P24" s="1096">
        <f t="shared" si="11"/>
        <v>0</v>
      </c>
      <c r="Q24" s="1207">
        <f t="shared" si="11"/>
        <v>0</v>
      </c>
      <c r="R24" s="1207">
        <f t="shared" si="11"/>
        <v>0</v>
      </c>
      <c r="S24" s="1096">
        <f t="shared" si="11"/>
        <v>0</v>
      </c>
      <c r="T24" s="1096">
        <f t="shared" si="11"/>
        <v>0</v>
      </c>
      <c r="U24" s="1096">
        <f t="shared" si="11"/>
        <v>0</v>
      </c>
      <c r="V24" s="1096">
        <f t="shared" si="11"/>
        <v>0</v>
      </c>
      <c r="W24" s="1096">
        <f t="shared" si="11"/>
        <v>0</v>
      </c>
      <c r="X24" s="1207">
        <f t="shared" si="11"/>
        <v>0</v>
      </c>
      <c r="Y24" s="1207">
        <f t="shared" si="11"/>
        <v>0</v>
      </c>
      <c r="Z24" s="1096">
        <f t="shared" si="11"/>
        <v>0</v>
      </c>
      <c r="AA24" s="1096">
        <f t="shared" si="11"/>
        <v>0</v>
      </c>
      <c r="AB24" s="1096">
        <f t="shared" si="11"/>
        <v>0</v>
      </c>
      <c r="AC24" s="1096">
        <f t="shared" si="11"/>
        <v>0</v>
      </c>
      <c r="AD24" s="1096">
        <f>IF(AD23="",0, Z24+AD23/AD30)</f>
        <v>0</v>
      </c>
      <c r="AE24" s="1207">
        <f>IF(AE23="",0, AA24+AE23/AE30)</f>
        <v>0</v>
      </c>
      <c r="AF24" s="1207">
        <f>IF(AF23="",0, AB24+AF23/AF30)</f>
        <v>0</v>
      </c>
      <c r="AG24" s="1096">
        <f>IF(AG23="",0, AC24+AG23/AG30)</f>
        <v>0</v>
      </c>
      <c r="AH24" s="1096">
        <f>IF(AH23="",0, AD24+AH23/AH30)</f>
        <v>0</v>
      </c>
      <c r="AI24" s="1324">
        <f>IF(AI23="",0, AH24+AI23/AI30)</f>
        <v>0</v>
      </c>
      <c r="AJ24" s="716"/>
      <c r="AK24" s="982">
        <f t="shared" si="0"/>
        <v>0</v>
      </c>
      <c r="AL24" s="209"/>
      <c r="AM24" s="987">
        <f t="shared" si="1"/>
        <v>0</v>
      </c>
      <c r="AN24" s="91"/>
      <c r="AO24" s="630"/>
      <c r="AP24" s="39" t="s">
        <v>91</v>
      </c>
      <c r="AQ24" s="40">
        <f>SUM(E23:I23)</f>
        <v>0</v>
      </c>
      <c r="AR24" s="41">
        <f>SUM(J23:P23)</f>
        <v>0</v>
      </c>
      <c r="AS24" s="41">
        <f>SUM(Q23:W23)</f>
        <v>0</v>
      </c>
      <c r="AT24" s="41">
        <f>SUM(X23:AD23)</f>
        <v>0</v>
      </c>
      <c r="AU24" s="41">
        <f>SUM(AE23:AI23)</f>
        <v>0</v>
      </c>
      <c r="AV24" s="34">
        <f t="shared" ref="AV24:AV29" si="12">SUM(AQ24:AU24)</f>
        <v>0</v>
      </c>
    </row>
    <row r="25" spans="1:48" ht="18.75">
      <c r="A25" s="210" t="s">
        <v>245</v>
      </c>
      <c r="B25" s="211" t="s">
        <v>246</v>
      </c>
      <c r="C25" s="42"/>
      <c r="D25" s="43" t="s">
        <v>93</v>
      </c>
      <c r="E25" s="1325">
        <v>0</v>
      </c>
      <c r="F25" s="1089">
        <v>0</v>
      </c>
      <c r="G25" s="44">
        <v>0</v>
      </c>
      <c r="H25" s="1089">
        <v>0</v>
      </c>
      <c r="I25" s="1089">
        <v>0</v>
      </c>
      <c r="J25" s="44">
        <v>0</v>
      </c>
      <c r="K25" s="44">
        <v>0</v>
      </c>
      <c r="L25" s="1089">
        <v>0</v>
      </c>
      <c r="M25" s="1089">
        <v>0</v>
      </c>
      <c r="N25" s="1089">
        <v>0</v>
      </c>
      <c r="O25" s="1089">
        <v>0</v>
      </c>
      <c r="P25" s="1089">
        <v>0</v>
      </c>
      <c r="Q25" s="44">
        <v>0</v>
      </c>
      <c r="R25" s="44">
        <v>0</v>
      </c>
      <c r="S25" s="1089">
        <v>0</v>
      </c>
      <c r="T25" s="1089">
        <v>0</v>
      </c>
      <c r="U25" s="1089">
        <v>0</v>
      </c>
      <c r="V25" s="1089">
        <v>0</v>
      </c>
      <c r="W25" s="1089">
        <v>0</v>
      </c>
      <c r="X25" s="44">
        <v>0</v>
      </c>
      <c r="Y25" s="44">
        <v>0</v>
      </c>
      <c r="Z25" s="1089">
        <v>0</v>
      </c>
      <c r="AA25" s="1089">
        <v>0</v>
      </c>
      <c r="AB25" s="1089"/>
      <c r="AC25" s="1089"/>
      <c r="AD25" s="1089"/>
      <c r="AE25" s="44"/>
      <c r="AF25" s="44"/>
      <c r="AG25" s="1089"/>
      <c r="AH25" s="1089"/>
      <c r="AI25" s="1326"/>
      <c r="AJ25" s="45">
        <f>SUM(E25:AI25)</f>
        <v>0</v>
      </c>
      <c r="AK25" s="983">
        <f t="shared" si="0"/>
        <v>360</v>
      </c>
      <c r="AL25" s="46">
        <f>+AJ25*AN23</f>
        <v>0</v>
      </c>
      <c r="AM25" s="988">
        <f t="shared" si="1"/>
        <v>1040.3963999999999</v>
      </c>
      <c r="AN25" s="31"/>
      <c r="AO25" s="632">
        <f>(AJ25+AJ27+AJ28+AJ29)*B27/1000</f>
        <v>0.47232000000000002</v>
      </c>
      <c r="AP25" s="47" t="s">
        <v>94</v>
      </c>
      <c r="AQ25" s="48">
        <f>SUM(E25:I25)</f>
        <v>0</v>
      </c>
      <c r="AR25" s="49">
        <f>SUM(J25:P25)</f>
        <v>0</v>
      </c>
      <c r="AS25" s="49">
        <f>SUM(Q25:W25)</f>
        <v>0</v>
      </c>
      <c r="AT25" s="49">
        <f>SUM(X25:AD25)</f>
        <v>0</v>
      </c>
      <c r="AU25" s="49">
        <f>SUM(AE25:AI25)</f>
        <v>0</v>
      </c>
      <c r="AV25" s="50">
        <f t="shared" si="12"/>
        <v>0</v>
      </c>
    </row>
    <row r="26" spans="1:48" ht="18.75">
      <c r="A26" s="210" t="s">
        <v>245</v>
      </c>
      <c r="B26" s="638" t="s">
        <v>247</v>
      </c>
      <c r="C26" s="52" t="s">
        <v>95</v>
      </c>
      <c r="D26" s="53" t="s">
        <v>96</v>
      </c>
      <c r="E26" s="1137">
        <f t="shared" ref="E26:AJ26" si="13">+E25-E23</f>
        <v>0</v>
      </c>
      <c r="F26" s="1097">
        <f t="shared" si="13"/>
        <v>0</v>
      </c>
      <c r="G26" s="1205">
        <f t="shared" si="13"/>
        <v>0</v>
      </c>
      <c r="H26" s="1097">
        <f t="shared" si="13"/>
        <v>0</v>
      </c>
      <c r="I26" s="1097">
        <f t="shared" si="13"/>
        <v>0</v>
      </c>
      <c r="J26" s="1205">
        <f>+J25-J23</f>
        <v>0</v>
      </c>
      <c r="K26" s="1205">
        <f>+K25-K23</f>
        <v>0</v>
      </c>
      <c r="L26" s="1097">
        <f t="shared" si="13"/>
        <v>0</v>
      </c>
      <c r="M26" s="1097">
        <f t="shared" si="13"/>
        <v>0</v>
      </c>
      <c r="N26" s="1097">
        <f t="shared" si="13"/>
        <v>0</v>
      </c>
      <c r="O26" s="1097">
        <f t="shared" si="13"/>
        <v>0</v>
      </c>
      <c r="P26" s="1097">
        <f t="shared" si="13"/>
        <v>0</v>
      </c>
      <c r="Q26" s="1205">
        <f t="shared" si="13"/>
        <v>0</v>
      </c>
      <c r="R26" s="1205">
        <f t="shared" si="13"/>
        <v>0</v>
      </c>
      <c r="S26" s="1097">
        <f t="shared" si="13"/>
        <v>0</v>
      </c>
      <c r="T26" s="1097">
        <f t="shared" si="13"/>
        <v>0</v>
      </c>
      <c r="U26" s="1097">
        <f t="shared" si="13"/>
        <v>0</v>
      </c>
      <c r="V26" s="1097">
        <f t="shared" si="13"/>
        <v>0</v>
      </c>
      <c r="W26" s="1097">
        <f t="shared" si="13"/>
        <v>0</v>
      </c>
      <c r="X26" s="1205">
        <f t="shared" si="13"/>
        <v>0</v>
      </c>
      <c r="Y26" s="1205">
        <f t="shared" ref="Y26:Z26" si="14">+Y25-Y23</f>
        <v>0</v>
      </c>
      <c r="Z26" s="1097">
        <f t="shared" si="14"/>
        <v>0</v>
      </c>
      <c r="AA26" s="1097">
        <f t="shared" si="13"/>
        <v>0</v>
      </c>
      <c r="AB26" s="1097">
        <f t="shared" si="13"/>
        <v>0</v>
      </c>
      <c r="AC26" s="1097">
        <f t="shared" si="13"/>
        <v>0</v>
      </c>
      <c r="AD26" s="1097">
        <f t="shared" si="13"/>
        <v>0</v>
      </c>
      <c r="AE26" s="1205">
        <f t="shared" si="13"/>
        <v>0</v>
      </c>
      <c r="AF26" s="1205">
        <f t="shared" si="13"/>
        <v>0</v>
      </c>
      <c r="AG26" s="1097">
        <f t="shared" si="13"/>
        <v>0</v>
      </c>
      <c r="AH26" s="1097">
        <f t="shared" si="13"/>
        <v>0</v>
      </c>
      <c r="AI26" s="1328">
        <f t="shared" si="13"/>
        <v>0</v>
      </c>
      <c r="AJ26" s="79">
        <f t="shared" si="13"/>
        <v>0</v>
      </c>
      <c r="AK26" s="983">
        <f t="shared" si="0"/>
        <v>0</v>
      </c>
      <c r="AL26" s="55">
        <f>+AJ26*AN23</f>
        <v>0</v>
      </c>
      <c r="AM26" s="988">
        <f t="shared" si="1"/>
        <v>0</v>
      </c>
      <c r="AN26" s="31" t="s">
        <v>97</v>
      </c>
      <c r="AO26" s="622"/>
      <c r="AP26" s="39" t="s">
        <v>98</v>
      </c>
      <c r="AQ26" s="56">
        <f>AQ25-AQ24</f>
        <v>0</v>
      </c>
      <c r="AR26" s="70">
        <f>AR25-AR24</f>
        <v>0</v>
      </c>
      <c r="AS26" s="70">
        <f>AS25-AS24</f>
        <v>0</v>
      </c>
      <c r="AT26" s="70">
        <f>AT25-AT24</f>
        <v>0</v>
      </c>
      <c r="AU26" s="70">
        <f>AU25-AU24</f>
        <v>0</v>
      </c>
      <c r="AV26" s="57">
        <f t="shared" si="12"/>
        <v>0</v>
      </c>
    </row>
    <row r="27" spans="1:48" ht="18.75">
      <c r="A27" s="212"/>
      <c r="B27" s="638">
        <v>1.3120000000000001</v>
      </c>
      <c r="C27" s="60" t="s">
        <v>100</v>
      </c>
      <c r="D27" s="61" t="s">
        <v>101</v>
      </c>
      <c r="E27" s="1367">
        <v>0</v>
      </c>
      <c r="F27" s="1099">
        <v>0</v>
      </c>
      <c r="G27" s="1208">
        <v>0</v>
      </c>
      <c r="H27" s="1099">
        <v>0</v>
      </c>
      <c r="I27" s="1099">
        <v>0</v>
      </c>
      <c r="J27" s="1208">
        <v>0</v>
      </c>
      <c r="K27" s="1208">
        <v>0</v>
      </c>
      <c r="L27" s="1099">
        <v>0</v>
      </c>
      <c r="M27" s="1099">
        <v>0</v>
      </c>
      <c r="N27" s="1099">
        <v>0</v>
      </c>
      <c r="O27" s="1099">
        <v>0</v>
      </c>
      <c r="P27" s="1099">
        <v>0</v>
      </c>
      <c r="Q27" s="1208">
        <v>0</v>
      </c>
      <c r="R27" s="1208">
        <v>0</v>
      </c>
      <c r="S27" s="1099">
        <v>0</v>
      </c>
      <c r="T27" s="1099">
        <v>0</v>
      </c>
      <c r="U27" s="1099">
        <v>0</v>
      </c>
      <c r="V27" s="1099">
        <v>0</v>
      </c>
      <c r="W27" s="1099">
        <v>0</v>
      </c>
      <c r="X27" s="1208">
        <v>0</v>
      </c>
      <c r="Y27" s="1208">
        <v>0</v>
      </c>
      <c r="Z27" s="1099">
        <v>0</v>
      </c>
      <c r="AA27" s="1099">
        <v>360</v>
      </c>
      <c r="AB27" s="1099"/>
      <c r="AC27" s="1099"/>
      <c r="AD27" s="1099"/>
      <c r="AE27" s="1208"/>
      <c r="AF27" s="1208"/>
      <c r="AG27" s="1099"/>
      <c r="AH27" s="1099"/>
      <c r="AI27" s="1330"/>
      <c r="AJ27" s="62">
        <f>SUM(E27:AI27)</f>
        <v>360</v>
      </c>
      <c r="AK27" s="983">
        <f t="shared" si="0"/>
        <v>0</v>
      </c>
      <c r="AL27" s="63">
        <f>+AJ27*AN23</f>
        <v>1040.3963999999999</v>
      </c>
      <c r="AM27" s="989">
        <f t="shared" si="1"/>
        <v>0</v>
      </c>
      <c r="AN27" s="64" t="e">
        <f>+AJ27/AJ25*100</f>
        <v>#DIV/0!</v>
      </c>
      <c r="AO27" s="635" t="e">
        <f>AO25/AO23</f>
        <v>#DIV/0!</v>
      </c>
      <c r="AP27" s="39" t="s">
        <v>102</v>
      </c>
      <c r="AQ27" s="56">
        <f>SUM(E27:I27)</f>
        <v>0</v>
      </c>
      <c r="AR27" s="70">
        <f>SUM(J27:P27)</f>
        <v>0</v>
      </c>
      <c r="AS27" s="70">
        <f>SUM(Q27:W27)</f>
        <v>0</v>
      </c>
      <c r="AT27" s="70">
        <f>SUM(X27:AD27)</f>
        <v>360</v>
      </c>
      <c r="AU27" s="70">
        <f>SUM(AE27:AI27)</f>
        <v>0</v>
      </c>
      <c r="AV27" s="57">
        <f t="shared" si="12"/>
        <v>360</v>
      </c>
    </row>
    <row r="28" spans="1:48" ht="18.75">
      <c r="A28" s="210" t="s">
        <v>245</v>
      </c>
      <c r="B28" s="213"/>
      <c r="C28" s="66"/>
      <c r="D28" s="67" t="s">
        <v>103</v>
      </c>
      <c r="E28" s="1113">
        <v>0</v>
      </c>
      <c r="F28" s="1101">
        <v>0</v>
      </c>
      <c r="G28" s="1209">
        <v>0</v>
      </c>
      <c r="H28" s="1101">
        <v>0</v>
      </c>
      <c r="I28" s="1101">
        <v>0</v>
      </c>
      <c r="J28" s="1209">
        <v>0</v>
      </c>
      <c r="K28" s="1209">
        <v>0</v>
      </c>
      <c r="L28" s="1101">
        <v>0</v>
      </c>
      <c r="M28" s="1101">
        <v>0</v>
      </c>
      <c r="N28" s="1101">
        <v>0</v>
      </c>
      <c r="O28" s="1101">
        <v>0</v>
      </c>
      <c r="P28" s="1101">
        <v>0</v>
      </c>
      <c r="Q28" s="1209">
        <v>0</v>
      </c>
      <c r="R28" s="1209">
        <v>0</v>
      </c>
      <c r="S28" s="1101">
        <v>0</v>
      </c>
      <c r="T28" s="1101">
        <v>0</v>
      </c>
      <c r="U28" s="1101">
        <v>0</v>
      </c>
      <c r="V28" s="1101">
        <v>0</v>
      </c>
      <c r="W28" s="1101">
        <v>0</v>
      </c>
      <c r="X28" s="1209">
        <v>0</v>
      </c>
      <c r="Y28" s="1209">
        <v>0</v>
      </c>
      <c r="Z28" s="1101">
        <v>0</v>
      </c>
      <c r="AA28" s="1101">
        <v>0</v>
      </c>
      <c r="AB28" s="1101"/>
      <c r="AC28" s="1101"/>
      <c r="AD28" s="1101"/>
      <c r="AE28" s="1209"/>
      <c r="AF28" s="1209"/>
      <c r="AG28" s="1101"/>
      <c r="AH28" s="1101"/>
      <c r="AI28" s="1332"/>
      <c r="AJ28" s="68">
        <f>SUM(E28:AI28)</f>
        <v>0</v>
      </c>
      <c r="AK28" s="983">
        <f t="shared" si="0"/>
        <v>0</v>
      </c>
      <c r="AL28" s="233">
        <f>+AJ28*AN23</f>
        <v>0</v>
      </c>
      <c r="AM28" s="989">
        <f t="shared" si="1"/>
        <v>0</v>
      </c>
      <c r="AN28" s="31"/>
      <c r="AO28" s="622"/>
      <c r="AP28" s="39" t="s">
        <v>19</v>
      </c>
      <c r="AQ28" s="56">
        <f>AQ27*AN23</f>
        <v>0</v>
      </c>
      <c r="AR28" s="56">
        <f>AR27*AN23</f>
        <v>0</v>
      </c>
      <c r="AS28" s="56">
        <f>AS27*AN23</f>
        <v>0</v>
      </c>
      <c r="AT28" s="56">
        <f>AT27*AN23</f>
        <v>1040.3963999999999</v>
      </c>
      <c r="AU28" s="56">
        <f>AU27*AN23</f>
        <v>0</v>
      </c>
      <c r="AV28" s="57">
        <f t="shared" si="12"/>
        <v>1040.3963999999999</v>
      </c>
    </row>
    <row r="29" spans="1:48" ht="18.75">
      <c r="A29" s="210" t="s">
        <v>245</v>
      </c>
      <c r="B29" s="213"/>
      <c r="C29" s="72" t="s">
        <v>104</v>
      </c>
      <c r="D29" s="73" t="s">
        <v>105</v>
      </c>
      <c r="E29" s="1115">
        <v>0</v>
      </c>
      <c r="F29" s="1103">
        <v>0</v>
      </c>
      <c r="G29" s="1210">
        <v>0</v>
      </c>
      <c r="H29" s="1103">
        <v>0</v>
      </c>
      <c r="I29" s="1103">
        <v>0</v>
      </c>
      <c r="J29" s="1210">
        <v>0</v>
      </c>
      <c r="K29" s="1210">
        <v>0</v>
      </c>
      <c r="L29" s="1103">
        <v>0</v>
      </c>
      <c r="M29" s="1103">
        <v>0</v>
      </c>
      <c r="N29" s="1103">
        <v>0</v>
      </c>
      <c r="O29" s="1103">
        <v>0</v>
      </c>
      <c r="P29" s="1103">
        <v>0</v>
      </c>
      <c r="Q29" s="1210">
        <v>0</v>
      </c>
      <c r="R29" s="1210">
        <v>0</v>
      </c>
      <c r="S29" s="1103">
        <v>0</v>
      </c>
      <c r="T29" s="1103">
        <v>0</v>
      </c>
      <c r="U29" s="1103">
        <v>0</v>
      </c>
      <c r="V29" s="1103">
        <v>0</v>
      </c>
      <c r="W29" s="1103">
        <v>0</v>
      </c>
      <c r="X29" s="1210">
        <v>0</v>
      </c>
      <c r="Y29" s="1210">
        <v>0</v>
      </c>
      <c r="Z29" s="1103">
        <v>0</v>
      </c>
      <c r="AA29" s="1103">
        <v>0</v>
      </c>
      <c r="AB29" s="1103"/>
      <c r="AC29" s="1103"/>
      <c r="AD29" s="1103"/>
      <c r="AE29" s="1210"/>
      <c r="AF29" s="1210"/>
      <c r="AG29" s="1103"/>
      <c r="AH29" s="1103"/>
      <c r="AI29" s="1352"/>
      <c r="AJ29" s="74">
        <f>SUM(E29:AI29)</f>
        <v>0</v>
      </c>
      <c r="AK29" s="983">
        <f t="shared" si="0"/>
        <v>90</v>
      </c>
      <c r="AL29" s="75">
        <f>+AJ29*AN23</f>
        <v>0</v>
      </c>
      <c r="AM29" s="989">
        <f t="shared" si="1"/>
        <v>0</v>
      </c>
      <c r="AN29" s="31"/>
      <c r="AO29" s="622"/>
      <c r="AP29" s="47" t="s">
        <v>106</v>
      </c>
      <c r="AQ29" s="48">
        <f>AQ25*AN23</f>
        <v>0</v>
      </c>
      <c r="AR29" s="48">
        <f>AR25*AN23</f>
        <v>0</v>
      </c>
      <c r="AS29" s="48">
        <f>AS25*AN23</f>
        <v>0</v>
      </c>
      <c r="AT29" s="48">
        <f>AT25*AN23</f>
        <v>0</v>
      </c>
      <c r="AU29" s="48">
        <f>AU25*AN23</f>
        <v>0</v>
      </c>
      <c r="AV29" s="50">
        <f t="shared" si="12"/>
        <v>0</v>
      </c>
    </row>
    <row r="30" spans="1:48" ht="18.75">
      <c r="A30" s="212"/>
      <c r="B30" s="89"/>
      <c r="C30" s="77">
        <v>300000</v>
      </c>
      <c r="D30" s="78" t="s">
        <v>107</v>
      </c>
      <c r="E30" s="1137">
        <v>4</v>
      </c>
      <c r="F30" s="1097">
        <v>4</v>
      </c>
      <c r="G30" s="1205">
        <v>4</v>
      </c>
      <c r="H30" s="1097">
        <v>4</v>
      </c>
      <c r="I30" s="1097">
        <v>4</v>
      </c>
      <c r="J30" s="1205">
        <v>4</v>
      </c>
      <c r="K30" s="1205">
        <v>4</v>
      </c>
      <c r="L30" s="1097">
        <v>4</v>
      </c>
      <c r="M30" s="1097">
        <v>4</v>
      </c>
      <c r="N30" s="1097">
        <v>4</v>
      </c>
      <c r="O30" s="1097">
        <v>4</v>
      </c>
      <c r="P30" s="1097">
        <v>4</v>
      </c>
      <c r="Q30" s="1205">
        <v>4</v>
      </c>
      <c r="R30" s="1205">
        <v>4</v>
      </c>
      <c r="S30" s="1097">
        <v>4</v>
      </c>
      <c r="T30" s="1097">
        <v>4</v>
      </c>
      <c r="U30" s="1097">
        <v>4</v>
      </c>
      <c r="V30" s="1097">
        <v>4</v>
      </c>
      <c r="W30" s="1097">
        <v>4</v>
      </c>
      <c r="X30" s="1205">
        <v>4</v>
      </c>
      <c r="Y30" s="1205">
        <v>4</v>
      </c>
      <c r="Z30" s="1097">
        <v>4</v>
      </c>
      <c r="AA30" s="1097">
        <v>4</v>
      </c>
      <c r="AB30" s="1097">
        <v>4</v>
      </c>
      <c r="AC30" s="1097">
        <v>4</v>
      </c>
      <c r="AD30" s="1097">
        <v>4</v>
      </c>
      <c r="AE30" s="1205">
        <v>4</v>
      </c>
      <c r="AF30" s="1205">
        <v>4</v>
      </c>
      <c r="AG30" s="1097">
        <v>4</v>
      </c>
      <c r="AH30" s="1097">
        <v>4</v>
      </c>
      <c r="AI30" s="1328">
        <v>4</v>
      </c>
      <c r="AJ30" s="79"/>
      <c r="AK30" s="983">
        <f t="shared" si="0"/>
        <v>0</v>
      </c>
      <c r="AL30" s="55"/>
      <c r="AM30" s="988">
        <f t="shared" si="1"/>
        <v>0</v>
      </c>
      <c r="AN30" s="31"/>
      <c r="AO30" s="622"/>
      <c r="AP30" s="47"/>
      <c r="AQ30" s="48"/>
      <c r="AR30" s="48"/>
      <c r="AS30" s="48"/>
      <c r="AT30" s="48"/>
      <c r="AU30" s="48"/>
      <c r="AV30" s="214"/>
    </row>
    <row r="31" spans="1:48" ht="18.75">
      <c r="A31" s="210" t="s">
        <v>245</v>
      </c>
      <c r="B31" s="89"/>
      <c r="C31" s="80" t="s">
        <v>108</v>
      </c>
      <c r="D31" s="81" t="s">
        <v>109</v>
      </c>
      <c r="E31" s="1125">
        <f>SUM(E25+E27+E29+E28)/E30</f>
        <v>0</v>
      </c>
      <c r="F31" s="1125">
        <f>SUM(F25+F27+F29+F28)/F30</f>
        <v>0</v>
      </c>
      <c r="G31" s="1233">
        <f>SUM(G25+G27+G29+G28)/G30</f>
        <v>0</v>
      </c>
      <c r="H31" s="1125">
        <f t="shared" ref="H31:AI31" si="15">SUM(H25+H27+H29+H28)/H30</f>
        <v>0</v>
      </c>
      <c r="I31" s="1125">
        <f t="shared" si="15"/>
        <v>0</v>
      </c>
      <c r="J31" s="1233">
        <f t="shared" si="15"/>
        <v>0</v>
      </c>
      <c r="K31" s="1233">
        <f t="shared" si="15"/>
        <v>0</v>
      </c>
      <c r="L31" s="1125">
        <f t="shared" si="15"/>
        <v>0</v>
      </c>
      <c r="M31" s="1125">
        <f t="shared" si="15"/>
        <v>0</v>
      </c>
      <c r="N31" s="1125">
        <f t="shared" si="15"/>
        <v>0</v>
      </c>
      <c r="O31" s="1125">
        <f t="shared" si="15"/>
        <v>0</v>
      </c>
      <c r="P31" s="1125">
        <f t="shared" si="15"/>
        <v>0</v>
      </c>
      <c r="Q31" s="1233">
        <f t="shared" si="15"/>
        <v>0</v>
      </c>
      <c r="R31" s="1233">
        <f t="shared" si="15"/>
        <v>0</v>
      </c>
      <c r="S31" s="1125">
        <f t="shared" si="15"/>
        <v>0</v>
      </c>
      <c r="T31" s="1125">
        <f t="shared" si="15"/>
        <v>0</v>
      </c>
      <c r="U31" s="1125">
        <f t="shared" si="15"/>
        <v>0</v>
      </c>
      <c r="V31" s="1125">
        <f t="shared" si="15"/>
        <v>0</v>
      </c>
      <c r="W31" s="1125">
        <f t="shared" si="15"/>
        <v>0</v>
      </c>
      <c r="X31" s="1233">
        <f t="shared" si="15"/>
        <v>0</v>
      </c>
      <c r="Y31" s="1233">
        <f t="shared" si="15"/>
        <v>0</v>
      </c>
      <c r="Z31" s="1125">
        <f t="shared" si="15"/>
        <v>0</v>
      </c>
      <c r="AA31" s="1125">
        <f t="shared" si="15"/>
        <v>90</v>
      </c>
      <c r="AB31" s="1125">
        <f t="shared" si="15"/>
        <v>0</v>
      </c>
      <c r="AC31" s="1125">
        <f t="shared" si="15"/>
        <v>0</v>
      </c>
      <c r="AD31" s="1125">
        <f t="shared" si="15"/>
        <v>0</v>
      </c>
      <c r="AE31" s="1233">
        <f t="shared" si="15"/>
        <v>0</v>
      </c>
      <c r="AF31" s="1233">
        <f t="shared" si="15"/>
        <v>0</v>
      </c>
      <c r="AG31" s="1125">
        <f t="shared" si="15"/>
        <v>0</v>
      </c>
      <c r="AH31" s="1125">
        <f t="shared" si="15"/>
        <v>0</v>
      </c>
      <c r="AI31" s="1409">
        <f t="shared" si="15"/>
        <v>0</v>
      </c>
      <c r="AJ31" s="104">
        <f>SUM(E31:AI31)</f>
        <v>90</v>
      </c>
      <c r="AK31" s="993">
        <f t="shared" si="0"/>
        <v>0</v>
      </c>
      <c r="AL31" s="83"/>
      <c r="AM31" s="989">
        <f t="shared" si="1"/>
        <v>0</v>
      </c>
      <c r="AN31" s="31"/>
      <c r="AO31" s="622"/>
      <c r="AP31" s="164"/>
      <c r="AQ31" s="164"/>
      <c r="AR31" s="164"/>
      <c r="AS31" s="164"/>
      <c r="AT31" s="164"/>
      <c r="AU31" s="164"/>
      <c r="AV31" s="164"/>
    </row>
    <row r="32" spans="1:48" ht="18.75">
      <c r="A32" s="215"/>
      <c r="B32" s="89"/>
      <c r="C32" s="84">
        <f>+C30*0.8</f>
        <v>240000</v>
      </c>
      <c r="D32" s="85" t="s">
        <v>110</v>
      </c>
      <c r="E32" s="1105"/>
      <c r="F32" s="1104"/>
      <c r="G32" s="1228"/>
      <c r="H32" s="1104"/>
      <c r="I32" s="1104"/>
      <c r="J32" s="1211"/>
      <c r="K32" s="1228"/>
      <c r="L32" s="1104"/>
      <c r="M32" s="1104"/>
      <c r="N32" s="1104"/>
      <c r="O32" s="1107"/>
      <c r="P32" s="1104"/>
      <c r="Q32" s="1228"/>
      <c r="R32" s="1211"/>
      <c r="S32" s="1107"/>
      <c r="T32" s="1104"/>
      <c r="U32" s="1104"/>
      <c r="V32" s="1104"/>
      <c r="W32" s="1104"/>
      <c r="X32" s="1211"/>
      <c r="Y32" s="1211"/>
      <c r="Z32" s="1104"/>
      <c r="AA32" s="1104"/>
      <c r="AB32" s="1104"/>
      <c r="AC32" s="1104"/>
      <c r="AD32" s="1104"/>
      <c r="AE32" s="1211"/>
      <c r="AF32" s="1211"/>
      <c r="AG32" s="1104"/>
      <c r="AH32" s="1104"/>
      <c r="AI32" s="1353"/>
      <c r="AJ32" s="738"/>
      <c r="AK32" s="983">
        <f t="shared" si="0"/>
        <v>0</v>
      </c>
      <c r="AL32" s="63"/>
      <c r="AM32" s="989">
        <f t="shared" si="1"/>
        <v>0</v>
      </c>
      <c r="AN32" s="31"/>
      <c r="AO32" s="622"/>
      <c r="AP32" s="164"/>
      <c r="AQ32" s="164"/>
      <c r="AR32" s="164"/>
      <c r="AS32" s="164"/>
      <c r="AT32" s="164"/>
      <c r="AU32" s="164"/>
      <c r="AV32" s="164"/>
    </row>
    <row r="33" spans="1:48" ht="18.75">
      <c r="A33" s="215"/>
      <c r="B33" s="89"/>
      <c r="C33" s="77"/>
      <c r="D33" s="88" t="s">
        <v>111</v>
      </c>
      <c r="E33" s="1125">
        <f>IF(E32="O/H",E31,83423+E31)</f>
        <v>83423</v>
      </c>
      <c r="F33" s="1126">
        <f>IF(F32="O/H",F31,+E33+F31)</f>
        <v>83423</v>
      </c>
      <c r="G33" s="1235">
        <f t="shared" ref="G33:AI33" si="16">IF(G32="O/H",G31,+F33+G31)</f>
        <v>83423</v>
      </c>
      <c r="H33" s="1126">
        <f t="shared" si="16"/>
        <v>83423</v>
      </c>
      <c r="I33" s="1126">
        <f t="shared" si="16"/>
        <v>83423</v>
      </c>
      <c r="J33" s="1235">
        <f t="shared" si="16"/>
        <v>83423</v>
      </c>
      <c r="K33" s="1235">
        <f t="shared" si="16"/>
        <v>83423</v>
      </c>
      <c r="L33" s="1126">
        <f t="shared" si="16"/>
        <v>83423</v>
      </c>
      <c r="M33" s="1126">
        <f t="shared" si="16"/>
        <v>83423</v>
      </c>
      <c r="N33" s="1126">
        <f t="shared" si="16"/>
        <v>83423</v>
      </c>
      <c r="O33" s="1126">
        <f t="shared" si="16"/>
        <v>83423</v>
      </c>
      <c r="P33" s="1126">
        <f t="shared" si="16"/>
        <v>83423</v>
      </c>
      <c r="Q33" s="1235">
        <f t="shared" si="16"/>
        <v>83423</v>
      </c>
      <c r="R33" s="1235">
        <f t="shared" si="16"/>
        <v>83423</v>
      </c>
      <c r="S33" s="1126">
        <f t="shared" si="16"/>
        <v>83423</v>
      </c>
      <c r="T33" s="1126">
        <f t="shared" si="16"/>
        <v>83423</v>
      </c>
      <c r="U33" s="1126">
        <f t="shared" si="16"/>
        <v>83423</v>
      </c>
      <c r="V33" s="1126">
        <f t="shared" si="16"/>
        <v>83423</v>
      </c>
      <c r="W33" s="1126">
        <f t="shared" si="16"/>
        <v>83423</v>
      </c>
      <c r="X33" s="1235">
        <f t="shared" si="16"/>
        <v>83423</v>
      </c>
      <c r="Y33" s="1235">
        <f t="shared" si="16"/>
        <v>83423</v>
      </c>
      <c r="Z33" s="1126">
        <f t="shared" si="16"/>
        <v>83423</v>
      </c>
      <c r="AA33" s="1126">
        <f t="shared" si="16"/>
        <v>83513</v>
      </c>
      <c r="AB33" s="1126">
        <f t="shared" si="16"/>
        <v>83513</v>
      </c>
      <c r="AC33" s="1126">
        <f t="shared" si="16"/>
        <v>83513</v>
      </c>
      <c r="AD33" s="1126">
        <f t="shared" si="16"/>
        <v>83513</v>
      </c>
      <c r="AE33" s="1235">
        <f t="shared" si="16"/>
        <v>83513</v>
      </c>
      <c r="AF33" s="1235">
        <f t="shared" si="16"/>
        <v>83513</v>
      </c>
      <c r="AG33" s="1126">
        <f t="shared" si="16"/>
        <v>83513</v>
      </c>
      <c r="AH33" s="1126">
        <f t="shared" si="16"/>
        <v>83513</v>
      </c>
      <c r="AI33" s="1335">
        <f t="shared" si="16"/>
        <v>83513</v>
      </c>
      <c r="AJ33" s="515"/>
      <c r="AK33" s="984">
        <f t="shared" si="0"/>
        <v>0</v>
      </c>
      <c r="AL33" s="83"/>
      <c r="AM33" s="989">
        <f t="shared" si="1"/>
        <v>0</v>
      </c>
      <c r="AN33" s="31"/>
      <c r="AO33" s="622"/>
      <c r="AP33" s="164"/>
      <c r="AQ33" s="164"/>
      <c r="AR33" s="164"/>
      <c r="AS33" s="164"/>
      <c r="AT33" s="164"/>
      <c r="AU33" s="164"/>
      <c r="AV33" s="164"/>
    </row>
    <row r="34" spans="1:48" s="23" customFormat="1">
      <c r="A34" s="274"/>
      <c r="B34" s="312"/>
      <c r="C34" s="308"/>
      <c r="D34" s="795" t="s">
        <v>112</v>
      </c>
      <c r="E34" s="1117">
        <f>IF(AND(ISNUMBER(E25)),1722748+E31)</f>
        <v>1722748</v>
      </c>
      <c r="F34" s="1118">
        <f>IF(AND(ISNUMBER(F25)),E34+F31,"")</f>
        <v>1722748</v>
      </c>
      <c r="G34" s="1216">
        <f t="shared" ref="G34:H34" si="17">IF(AND(ISNUMBER(G25)),F34+G31,"")</f>
        <v>1722748</v>
      </c>
      <c r="H34" s="1118">
        <f t="shared" si="17"/>
        <v>1722748</v>
      </c>
      <c r="I34" s="1118">
        <f>IF(AND(ISNUMBER(I25)),H34+I31,"")</f>
        <v>1722748</v>
      </c>
      <c r="J34" s="1216">
        <f>IF(AND(ISNUMBER(J25)),I34+J31,"")</f>
        <v>1722748</v>
      </c>
      <c r="K34" s="1216">
        <f>IF(AND(ISNUMBER(K25)),J34+K31,"")</f>
        <v>1722748</v>
      </c>
      <c r="L34" s="1118">
        <f t="shared" ref="L34:AI34" si="18">IF(AND(ISNUMBER(L25)),K34+L31,"")</f>
        <v>1722748</v>
      </c>
      <c r="M34" s="1118">
        <f t="shared" si="18"/>
        <v>1722748</v>
      </c>
      <c r="N34" s="1118">
        <f t="shared" si="18"/>
        <v>1722748</v>
      </c>
      <c r="O34" s="1118">
        <f t="shared" si="18"/>
        <v>1722748</v>
      </c>
      <c r="P34" s="1118">
        <f t="shared" si="18"/>
        <v>1722748</v>
      </c>
      <c r="Q34" s="1216">
        <f t="shared" si="18"/>
        <v>1722748</v>
      </c>
      <c r="R34" s="1216">
        <f t="shared" si="18"/>
        <v>1722748</v>
      </c>
      <c r="S34" s="1118">
        <f t="shared" si="18"/>
        <v>1722748</v>
      </c>
      <c r="T34" s="1118">
        <f t="shared" si="18"/>
        <v>1722748</v>
      </c>
      <c r="U34" s="1118">
        <f t="shared" si="18"/>
        <v>1722748</v>
      </c>
      <c r="V34" s="1118">
        <f t="shared" si="18"/>
        <v>1722748</v>
      </c>
      <c r="W34" s="1118">
        <f t="shared" si="18"/>
        <v>1722748</v>
      </c>
      <c r="X34" s="1216">
        <f t="shared" si="18"/>
        <v>1722748</v>
      </c>
      <c r="Y34" s="1216">
        <f t="shared" si="18"/>
        <v>1722748</v>
      </c>
      <c r="Z34" s="1118">
        <f t="shared" si="18"/>
        <v>1722748</v>
      </c>
      <c r="AA34" s="1118">
        <f t="shared" si="18"/>
        <v>1722838</v>
      </c>
      <c r="AB34" s="1118" t="str">
        <f t="shared" si="18"/>
        <v/>
      </c>
      <c r="AC34" s="1118" t="str">
        <f t="shared" si="18"/>
        <v/>
      </c>
      <c r="AD34" s="1118" t="str">
        <f t="shared" si="18"/>
        <v/>
      </c>
      <c r="AE34" s="1216" t="str">
        <f t="shared" si="18"/>
        <v/>
      </c>
      <c r="AF34" s="1216" t="str">
        <f t="shared" si="18"/>
        <v/>
      </c>
      <c r="AG34" s="1118" t="str">
        <f t="shared" si="18"/>
        <v/>
      </c>
      <c r="AH34" s="1118" t="str">
        <f t="shared" si="18"/>
        <v/>
      </c>
      <c r="AI34" s="1089" t="str">
        <f t="shared" si="18"/>
        <v/>
      </c>
      <c r="AJ34" s="793"/>
      <c r="AK34" s="985">
        <f t="shared" si="0"/>
        <v>0</v>
      </c>
      <c r="AL34" s="909"/>
      <c r="AM34" s="987">
        <f t="shared" si="1"/>
        <v>0</v>
      </c>
      <c r="AN34" s="76"/>
      <c r="AO34" s="630"/>
      <c r="AP34" s="285"/>
      <c r="AQ34" s="285"/>
      <c r="AR34" s="285"/>
      <c r="AS34" s="285"/>
      <c r="AT34" s="286"/>
      <c r="AU34" s="285"/>
      <c r="AV34" s="287"/>
    </row>
    <row r="35" spans="1:48" ht="18.75">
      <c r="A35" s="215" t="s">
        <v>242</v>
      </c>
      <c r="B35" s="89" t="s">
        <v>254</v>
      </c>
      <c r="C35" s="80"/>
      <c r="D35" s="90" t="s">
        <v>104</v>
      </c>
      <c r="E35" s="1137"/>
      <c r="F35" s="1097"/>
      <c r="G35" s="1205"/>
      <c r="H35" s="1097"/>
      <c r="I35" s="1097"/>
      <c r="J35" s="1205"/>
      <c r="K35" s="1205"/>
      <c r="L35" s="1097"/>
      <c r="M35" s="1097"/>
      <c r="N35" s="1097"/>
      <c r="O35" s="1097"/>
      <c r="P35" s="1097"/>
      <c r="Q35" s="1205"/>
      <c r="R35" s="1205"/>
      <c r="S35" s="1097"/>
      <c r="T35" s="1097"/>
      <c r="U35" s="1097"/>
      <c r="V35" s="1097"/>
      <c r="W35" s="1097"/>
      <c r="X35" s="1205"/>
      <c r="Y35" s="1205"/>
      <c r="Z35" s="1097"/>
      <c r="AA35" s="1097"/>
      <c r="AB35" s="1097"/>
      <c r="AC35" s="1097"/>
      <c r="AD35" s="1097"/>
      <c r="AE35" s="1205"/>
      <c r="AF35" s="1205"/>
      <c r="AG35" s="1097"/>
      <c r="AH35" s="1097"/>
      <c r="AI35" s="1328"/>
      <c r="AJ35" s="62"/>
      <c r="AK35" s="983">
        <f t="shared" si="0"/>
        <v>0</v>
      </c>
      <c r="AL35" s="55"/>
      <c r="AM35" s="988">
        <f t="shared" si="1"/>
        <v>0</v>
      </c>
      <c r="AN35" s="31"/>
      <c r="AO35" s="622"/>
      <c r="AP35" s="164"/>
      <c r="AQ35" s="164"/>
      <c r="AR35" s="164"/>
      <c r="AS35" s="164"/>
      <c r="AT35" s="164"/>
      <c r="AU35" s="164"/>
      <c r="AV35" s="164"/>
    </row>
    <row r="36" spans="1:48" ht="19.5" thickBot="1">
      <c r="A36" s="216" t="s">
        <v>242</v>
      </c>
      <c r="B36" s="93"/>
      <c r="C36" s="94"/>
      <c r="D36" s="95" t="s">
        <v>111</v>
      </c>
      <c r="E36" s="1109">
        <f>IF(E35="O/H",E31,357644+E31)</f>
        <v>357644</v>
      </c>
      <c r="F36" s="1110">
        <f t="shared" ref="F36:AI36" si="19">IF(F35="O/H",F31,+E36+F31)</f>
        <v>357644</v>
      </c>
      <c r="G36" s="1212">
        <f t="shared" si="19"/>
        <v>357644</v>
      </c>
      <c r="H36" s="1110">
        <f t="shared" si="19"/>
        <v>357644</v>
      </c>
      <c r="I36" s="1110">
        <f t="shared" si="19"/>
        <v>357644</v>
      </c>
      <c r="J36" s="1212">
        <f t="shared" si="19"/>
        <v>357644</v>
      </c>
      <c r="K36" s="1212">
        <f t="shared" si="19"/>
        <v>357644</v>
      </c>
      <c r="L36" s="1110">
        <f t="shared" si="19"/>
        <v>357644</v>
      </c>
      <c r="M36" s="1110">
        <f t="shared" si="19"/>
        <v>357644</v>
      </c>
      <c r="N36" s="1110">
        <f t="shared" si="19"/>
        <v>357644</v>
      </c>
      <c r="O36" s="1110">
        <f t="shared" si="19"/>
        <v>357644</v>
      </c>
      <c r="P36" s="1110">
        <f t="shared" si="19"/>
        <v>357644</v>
      </c>
      <c r="Q36" s="1212">
        <f t="shared" si="19"/>
        <v>357644</v>
      </c>
      <c r="R36" s="1212">
        <f t="shared" si="19"/>
        <v>357644</v>
      </c>
      <c r="S36" s="1110">
        <f t="shared" si="19"/>
        <v>357644</v>
      </c>
      <c r="T36" s="1110">
        <f t="shared" si="19"/>
        <v>357644</v>
      </c>
      <c r="U36" s="1110">
        <f t="shared" si="19"/>
        <v>357644</v>
      </c>
      <c r="V36" s="1110">
        <f t="shared" si="19"/>
        <v>357644</v>
      </c>
      <c r="W36" s="1110">
        <f t="shared" si="19"/>
        <v>357644</v>
      </c>
      <c r="X36" s="1212">
        <f t="shared" si="19"/>
        <v>357644</v>
      </c>
      <c r="Y36" s="1212">
        <f t="shared" si="19"/>
        <v>357644</v>
      </c>
      <c r="Z36" s="1110">
        <f t="shared" si="19"/>
        <v>357644</v>
      </c>
      <c r="AA36" s="1110">
        <f t="shared" si="19"/>
        <v>357734</v>
      </c>
      <c r="AB36" s="1110">
        <f t="shared" si="19"/>
        <v>357734</v>
      </c>
      <c r="AC36" s="1110">
        <f t="shared" si="19"/>
        <v>357734</v>
      </c>
      <c r="AD36" s="1110">
        <f t="shared" si="19"/>
        <v>357734</v>
      </c>
      <c r="AE36" s="1212">
        <f t="shared" si="19"/>
        <v>357734</v>
      </c>
      <c r="AF36" s="1212">
        <f t="shared" si="19"/>
        <v>357734</v>
      </c>
      <c r="AG36" s="1110">
        <f t="shared" si="19"/>
        <v>357734</v>
      </c>
      <c r="AH36" s="1110">
        <f t="shared" si="19"/>
        <v>357734</v>
      </c>
      <c r="AI36" s="1340">
        <f t="shared" si="19"/>
        <v>357734</v>
      </c>
      <c r="AJ36" s="739"/>
      <c r="AK36" s="986">
        <f t="shared" si="0"/>
        <v>0</v>
      </c>
      <c r="AL36" s="217"/>
      <c r="AM36" s="990">
        <f t="shared" si="1"/>
        <v>0</v>
      </c>
      <c r="AN36" s="98"/>
      <c r="AO36" s="625"/>
      <c r="AP36" s="164"/>
      <c r="AQ36" s="164"/>
      <c r="AR36" s="164"/>
      <c r="AS36" s="164"/>
      <c r="AT36" s="164"/>
      <c r="AU36" s="164"/>
      <c r="AV36" s="164"/>
    </row>
    <row r="37" spans="1:48" ht="20.65" hidden="1" customHeight="1" thickTop="1">
      <c r="A37" s="943" t="s">
        <v>253</v>
      </c>
      <c r="B37" s="234" t="s">
        <v>672</v>
      </c>
      <c r="C37" s="1495" t="str">
        <f>Table5[[#This Row],[M/C No.]]</f>
        <v>A15(50Ton)</v>
      </c>
      <c r="D37" s="28" t="s">
        <v>82</v>
      </c>
      <c r="E37" s="1124"/>
      <c r="F37" s="1124"/>
      <c r="G37" s="1242"/>
      <c r="H37" s="1124"/>
      <c r="I37" s="1124"/>
      <c r="J37" s="1242"/>
      <c r="K37" s="1242"/>
      <c r="L37" s="1124"/>
      <c r="M37" s="1124"/>
      <c r="N37" s="1124"/>
      <c r="O37" s="1124"/>
      <c r="P37" s="1124"/>
      <c r="Q37" s="1242"/>
      <c r="R37" s="1242"/>
      <c r="S37" s="1124"/>
      <c r="T37" s="1124"/>
      <c r="U37" s="1124"/>
      <c r="V37" s="1124"/>
      <c r="W37" s="1124"/>
      <c r="X37" s="1242"/>
      <c r="Y37" s="1242"/>
      <c r="Z37" s="1124"/>
      <c r="AA37" s="1124"/>
      <c r="AB37" s="1124"/>
      <c r="AC37" s="1124"/>
      <c r="AD37" s="1124"/>
      <c r="AE37" s="1242"/>
      <c r="AF37" s="1242"/>
      <c r="AG37" s="1124"/>
      <c r="AH37" s="1124"/>
      <c r="AI37" s="1350"/>
      <c r="AJ37" s="100">
        <f>SUM(E37:AI37)</f>
        <v>0</v>
      </c>
      <c r="AK37" s="1000">
        <f t="shared" si="0"/>
        <v>0</v>
      </c>
      <c r="AL37" s="101">
        <f>+AJ37*AN37</f>
        <v>0</v>
      </c>
      <c r="AM37" s="1001">
        <f t="shared" si="1"/>
        <v>0</v>
      </c>
      <c r="AN37" s="102">
        <v>2.05559</v>
      </c>
      <c r="AO37" s="622">
        <f>Table5[[#This Row],[Total]]*B41/1000</f>
        <v>0</v>
      </c>
      <c r="AP37" s="32" t="s">
        <v>251</v>
      </c>
      <c r="AQ37" s="33" t="s">
        <v>84</v>
      </c>
      <c r="AR37" s="33" t="s">
        <v>85</v>
      </c>
      <c r="AS37" s="33" t="s">
        <v>86</v>
      </c>
      <c r="AT37" s="33" t="s">
        <v>87</v>
      </c>
      <c r="AU37" s="33" t="s">
        <v>88</v>
      </c>
      <c r="AV37" s="34" t="s">
        <v>68</v>
      </c>
    </row>
    <row r="38" spans="1:48" ht="29.25" hidden="1" customHeight="1">
      <c r="A38" s="229"/>
      <c r="B38" s="211" t="s">
        <v>255</v>
      </c>
      <c r="C38" s="36"/>
      <c r="D38" s="37" t="s">
        <v>90</v>
      </c>
      <c r="E38" s="1323">
        <f>IF(E37="",0,+ E37/E44)</f>
        <v>0</v>
      </c>
      <c r="F38" s="1096">
        <f t="shared" ref="F38:AC38" si="20">IF(F37="",0, E38+F37/F44)</f>
        <v>0</v>
      </c>
      <c r="G38" s="1207">
        <f t="shared" si="20"/>
        <v>0</v>
      </c>
      <c r="H38" s="1096">
        <f t="shared" si="20"/>
        <v>0</v>
      </c>
      <c r="I38" s="1096">
        <f t="shared" si="20"/>
        <v>0</v>
      </c>
      <c r="J38" s="1207">
        <f t="shared" si="20"/>
        <v>0</v>
      </c>
      <c r="K38" s="1207">
        <f t="shared" si="20"/>
        <v>0</v>
      </c>
      <c r="L38" s="1096">
        <f t="shared" si="20"/>
        <v>0</v>
      </c>
      <c r="M38" s="1096">
        <f t="shared" si="20"/>
        <v>0</v>
      </c>
      <c r="N38" s="1096">
        <f t="shared" si="20"/>
        <v>0</v>
      </c>
      <c r="O38" s="1096">
        <f t="shared" si="20"/>
        <v>0</v>
      </c>
      <c r="P38" s="1096">
        <f t="shared" si="20"/>
        <v>0</v>
      </c>
      <c r="Q38" s="1207">
        <f t="shared" si="20"/>
        <v>0</v>
      </c>
      <c r="R38" s="1207">
        <f t="shared" si="20"/>
        <v>0</v>
      </c>
      <c r="S38" s="1096">
        <f t="shared" si="20"/>
        <v>0</v>
      </c>
      <c r="T38" s="1096">
        <f t="shared" si="20"/>
        <v>0</v>
      </c>
      <c r="U38" s="1096">
        <f t="shared" si="20"/>
        <v>0</v>
      </c>
      <c r="V38" s="1096">
        <f t="shared" si="20"/>
        <v>0</v>
      </c>
      <c r="W38" s="1096">
        <f t="shared" si="20"/>
        <v>0</v>
      </c>
      <c r="X38" s="1207">
        <f t="shared" si="20"/>
        <v>0</v>
      </c>
      <c r="Y38" s="1207">
        <f t="shared" si="20"/>
        <v>0</v>
      </c>
      <c r="Z38" s="1096">
        <f t="shared" si="20"/>
        <v>0</v>
      </c>
      <c r="AA38" s="1096">
        <f t="shared" si="20"/>
        <v>0</v>
      </c>
      <c r="AB38" s="1096">
        <f t="shared" si="20"/>
        <v>0</v>
      </c>
      <c r="AC38" s="1096">
        <f t="shared" si="20"/>
        <v>0</v>
      </c>
      <c r="AD38" s="1096">
        <f>IF(AD37="",0, Z38+AD37/AD44)</f>
        <v>0</v>
      </c>
      <c r="AE38" s="1207">
        <f>IF(AE37="",0, AA38+AE37/AE44)</f>
        <v>0</v>
      </c>
      <c r="AF38" s="1207">
        <f>IF(AF37="",0, AB38+AF37/AF44)</f>
        <v>0</v>
      </c>
      <c r="AG38" s="1096">
        <f>IF(AG37="",0, AC38+AG37/AG44)</f>
        <v>0</v>
      </c>
      <c r="AH38" s="1096">
        <f>IF(AH37="",0, AD38+AH37/AH44)</f>
        <v>0</v>
      </c>
      <c r="AI38" s="1324">
        <f>IF(AI37="",0, AH38+AI37/AI44)</f>
        <v>0</v>
      </c>
      <c r="AJ38" s="716"/>
      <c r="AK38" s="982">
        <f t="shared" si="0"/>
        <v>0</v>
      </c>
      <c r="AL38" s="209"/>
      <c r="AM38" s="987">
        <f t="shared" si="1"/>
        <v>0</v>
      </c>
      <c r="AN38" s="91"/>
      <c r="AO38" s="630"/>
      <c r="AP38" s="39" t="s">
        <v>91</v>
      </c>
      <c r="AQ38" s="40">
        <f>SUM(E37:I37)</f>
        <v>0</v>
      </c>
      <c r="AR38" s="41">
        <f>SUM(J37:P37)</f>
        <v>0</v>
      </c>
      <c r="AS38" s="41">
        <f>SUM(Q37:W37)</f>
        <v>0</v>
      </c>
      <c r="AT38" s="41">
        <f>SUM(X37:AD37)</f>
        <v>0</v>
      </c>
      <c r="AU38" s="41">
        <f>SUM(AE37:AI37)</f>
        <v>0</v>
      </c>
      <c r="AV38" s="34">
        <f t="shared" ref="AV38:AV43" si="21">SUM(AQ38:AU38)</f>
        <v>0</v>
      </c>
    </row>
    <row r="39" spans="1:48" ht="27.75" hidden="1" customHeight="1">
      <c r="A39" s="210" t="s">
        <v>245</v>
      </c>
      <c r="B39" s="211" t="s">
        <v>246</v>
      </c>
      <c r="C39" s="42"/>
      <c r="D39" s="43" t="s">
        <v>93</v>
      </c>
      <c r="E39" s="1325"/>
      <c r="F39" s="1089"/>
      <c r="G39" s="44"/>
      <c r="H39" s="1089"/>
      <c r="I39" s="1089"/>
      <c r="J39" s="44"/>
      <c r="K39" s="44"/>
      <c r="L39" s="1089"/>
      <c r="M39" s="1089"/>
      <c r="N39" s="1089"/>
      <c r="O39" s="1089"/>
      <c r="P39" s="1089"/>
      <c r="Q39" s="44"/>
      <c r="R39" s="44"/>
      <c r="S39" s="1089"/>
      <c r="T39" s="1089"/>
      <c r="U39" s="1089"/>
      <c r="V39" s="1089"/>
      <c r="W39" s="1089"/>
      <c r="X39" s="44"/>
      <c r="Y39" s="44"/>
      <c r="Z39" s="1089"/>
      <c r="AA39" s="1089"/>
      <c r="AB39" s="1089"/>
      <c r="AC39" s="1089"/>
      <c r="AD39" s="1089"/>
      <c r="AE39" s="44"/>
      <c r="AF39" s="44"/>
      <c r="AG39" s="1089"/>
      <c r="AH39" s="1089"/>
      <c r="AI39" s="1326"/>
      <c r="AJ39" s="45">
        <f>SUM(E39:AI39)</f>
        <v>0</v>
      </c>
      <c r="AK39" s="983">
        <f t="shared" si="0"/>
        <v>0</v>
      </c>
      <c r="AL39" s="46">
        <f>+AJ39*AN37</f>
        <v>0</v>
      </c>
      <c r="AM39" s="988">
        <f t="shared" si="1"/>
        <v>0</v>
      </c>
      <c r="AN39" s="31"/>
      <c r="AO39" s="632">
        <f>(AJ39+AJ41+AJ42+AJ43)*B41/1000</f>
        <v>0</v>
      </c>
      <c r="AP39" s="47" t="s">
        <v>94</v>
      </c>
      <c r="AQ39" s="48">
        <f>SUM(E39:I39)</f>
        <v>0</v>
      </c>
      <c r="AR39" s="49">
        <f>SUM(J39:P39)</f>
        <v>0</v>
      </c>
      <c r="AS39" s="49">
        <f>SUM(Q39:W39)</f>
        <v>0</v>
      </c>
      <c r="AT39" s="49">
        <f>SUM(X39:AD39)</f>
        <v>0</v>
      </c>
      <c r="AU39" s="49">
        <f>SUM(AE39:AI39)</f>
        <v>0</v>
      </c>
      <c r="AV39" s="50">
        <f t="shared" si="21"/>
        <v>0</v>
      </c>
    </row>
    <row r="40" spans="1:48" ht="20.65" hidden="1" customHeight="1">
      <c r="A40" s="210" t="s">
        <v>245</v>
      </c>
      <c r="B40" s="763" t="s">
        <v>247</v>
      </c>
      <c r="C40" s="52" t="s">
        <v>95</v>
      </c>
      <c r="D40" s="53" t="s">
        <v>96</v>
      </c>
      <c r="E40" s="1327">
        <f t="shared" ref="E40" si="22">+E39-E37</f>
        <v>0</v>
      </c>
      <c r="F40" s="1097">
        <f t="shared" ref="F40:AJ40" si="23">+F39-F37</f>
        <v>0</v>
      </c>
      <c r="G40" s="1205">
        <f t="shared" si="23"/>
        <v>0</v>
      </c>
      <c r="H40" s="1097">
        <f t="shared" si="23"/>
        <v>0</v>
      </c>
      <c r="I40" s="1097">
        <f t="shared" si="23"/>
        <v>0</v>
      </c>
      <c r="J40" s="1205">
        <f t="shared" si="23"/>
        <v>0</v>
      </c>
      <c r="K40" s="1205">
        <f t="shared" si="23"/>
        <v>0</v>
      </c>
      <c r="L40" s="1097">
        <f t="shared" si="23"/>
        <v>0</v>
      </c>
      <c r="M40" s="1097">
        <f t="shared" ref="M40:P40" si="24">+M39-M37</f>
        <v>0</v>
      </c>
      <c r="N40" s="1097">
        <f t="shared" si="24"/>
        <v>0</v>
      </c>
      <c r="O40" s="1097">
        <f t="shared" si="24"/>
        <v>0</v>
      </c>
      <c r="P40" s="1097">
        <f t="shared" si="24"/>
        <v>0</v>
      </c>
      <c r="Q40" s="1205">
        <f t="shared" si="23"/>
        <v>0</v>
      </c>
      <c r="R40" s="1205">
        <f t="shared" si="23"/>
        <v>0</v>
      </c>
      <c r="S40" s="1097">
        <f t="shared" si="23"/>
        <v>0</v>
      </c>
      <c r="T40" s="1097">
        <f t="shared" si="23"/>
        <v>0</v>
      </c>
      <c r="U40" s="1097">
        <f t="shared" si="23"/>
        <v>0</v>
      </c>
      <c r="V40" s="1097">
        <f t="shared" ref="V40" si="25">+V39-V37</f>
        <v>0</v>
      </c>
      <c r="W40" s="1097">
        <f t="shared" si="23"/>
        <v>0</v>
      </c>
      <c r="X40" s="1205">
        <f t="shared" si="23"/>
        <v>0</v>
      </c>
      <c r="Y40" s="1205">
        <f t="shared" ref="Y40:Z40" si="26">+Y39-Y37</f>
        <v>0</v>
      </c>
      <c r="Z40" s="1097">
        <f t="shared" si="26"/>
        <v>0</v>
      </c>
      <c r="AA40" s="1097">
        <f t="shared" si="23"/>
        <v>0</v>
      </c>
      <c r="AB40" s="1097">
        <f t="shared" si="23"/>
        <v>0</v>
      </c>
      <c r="AC40" s="1097">
        <f t="shared" si="23"/>
        <v>0</v>
      </c>
      <c r="AD40" s="1097">
        <f t="shared" si="23"/>
        <v>0</v>
      </c>
      <c r="AE40" s="1205">
        <f t="shared" si="23"/>
        <v>0</v>
      </c>
      <c r="AF40" s="1205">
        <f t="shared" si="23"/>
        <v>0</v>
      </c>
      <c r="AG40" s="1097">
        <f t="shared" si="23"/>
        <v>0</v>
      </c>
      <c r="AH40" s="1097">
        <f t="shared" si="23"/>
        <v>0</v>
      </c>
      <c r="AI40" s="1328">
        <f t="shared" si="23"/>
        <v>0</v>
      </c>
      <c r="AJ40" s="79">
        <f t="shared" si="23"/>
        <v>0</v>
      </c>
      <c r="AK40" s="983">
        <f t="shared" ref="AK40:AK85" si="27">AJ42</f>
        <v>0</v>
      </c>
      <c r="AL40" s="55">
        <f>+AJ40*AN37</f>
        <v>0</v>
      </c>
      <c r="AM40" s="988">
        <f t="shared" ref="AM40:AM84" si="28">AL42</f>
        <v>0</v>
      </c>
      <c r="AN40" s="31" t="s">
        <v>97</v>
      </c>
      <c r="AO40" s="622"/>
      <c r="AP40" s="39" t="s">
        <v>98</v>
      </c>
      <c r="AQ40" s="56">
        <f>AQ39-AQ38</f>
        <v>0</v>
      </c>
      <c r="AR40" s="70">
        <f>AR39-AR38</f>
        <v>0</v>
      </c>
      <c r="AS40" s="70">
        <f>AS39-AS38</f>
        <v>0</v>
      </c>
      <c r="AT40" s="70">
        <f>AT39-AT38</f>
        <v>0</v>
      </c>
      <c r="AU40" s="70">
        <f>AU39-AU38</f>
        <v>0</v>
      </c>
      <c r="AV40" s="57">
        <f t="shared" si="21"/>
        <v>0</v>
      </c>
    </row>
    <row r="41" spans="1:48" ht="20.65" hidden="1" customHeight="1">
      <c r="A41" s="212"/>
      <c r="B41" s="763">
        <v>0.41499999999999998</v>
      </c>
      <c r="C41" s="60" t="s">
        <v>100</v>
      </c>
      <c r="D41" s="61" t="s">
        <v>101</v>
      </c>
      <c r="E41" s="1367"/>
      <c r="F41" s="1099"/>
      <c r="G41" s="1208"/>
      <c r="H41" s="1099"/>
      <c r="I41" s="1099"/>
      <c r="J41" s="1208"/>
      <c r="K41" s="1208"/>
      <c r="L41" s="1099"/>
      <c r="M41" s="1099"/>
      <c r="N41" s="1099"/>
      <c r="O41" s="1099"/>
      <c r="P41" s="1099"/>
      <c r="Q41" s="1208"/>
      <c r="R41" s="1208"/>
      <c r="S41" s="1099"/>
      <c r="T41" s="1099"/>
      <c r="U41" s="1099"/>
      <c r="V41" s="1099"/>
      <c r="W41" s="1099"/>
      <c r="X41" s="1208"/>
      <c r="Y41" s="1208"/>
      <c r="Z41" s="1099"/>
      <c r="AA41" s="1099"/>
      <c r="AB41" s="1099"/>
      <c r="AC41" s="1099"/>
      <c r="AD41" s="1099"/>
      <c r="AE41" s="1208"/>
      <c r="AF41" s="1208"/>
      <c r="AG41" s="1099"/>
      <c r="AH41" s="1099"/>
      <c r="AI41" s="1330"/>
      <c r="AJ41" s="62">
        <f>SUM(E41:AI41)</f>
        <v>0</v>
      </c>
      <c r="AK41" s="983">
        <f t="shared" si="27"/>
        <v>0</v>
      </c>
      <c r="AL41" s="63">
        <f>+AJ41*AN37</f>
        <v>0</v>
      </c>
      <c r="AM41" s="989">
        <f t="shared" si="28"/>
        <v>0</v>
      </c>
      <c r="AN41" s="64" t="e">
        <f>+AJ41/AJ39*100</f>
        <v>#DIV/0!</v>
      </c>
      <c r="AO41" s="635" t="e">
        <f>AO39/AO37</f>
        <v>#DIV/0!</v>
      </c>
      <c r="AP41" s="39" t="s">
        <v>102</v>
      </c>
      <c r="AQ41" s="56">
        <f>SUM(E41:I41)</f>
        <v>0</v>
      </c>
      <c r="AR41" s="70">
        <f>SUM(J41:P41)</f>
        <v>0</v>
      </c>
      <c r="AS41" s="70">
        <f>SUM(Q41:W41)</f>
        <v>0</v>
      </c>
      <c r="AT41" s="70">
        <f>SUM(X41:AD41)</f>
        <v>0</v>
      </c>
      <c r="AU41" s="70">
        <f>SUM(AE41:AI41)</f>
        <v>0</v>
      </c>
      <c r="AV41" s="57">
        <f t="shared" si="21"/>
        <v>0</v>
      </c>
    </row>
    <row r="42" spans="1:48" ht="20.65" hidden="1" customHeight="1">
      <c r="A42" s="210" t="s">
        <v>245</v>
      </c>
      <c r="B42" s="213" t="s">
        <v>256</v>
      </c>
      <c r="C42" s="66"/>
      <c r="D42" s="67" t="s">
        <v>103</v>
      </c>
      <c r="E42" s="1113"/>
      <c r="F42" s="1101"/>
      <c r="G42" s="1209"/>
      <c r="H42" s="1101"/>
      <c r="I42" s="1101"/>
      <c r="J42" s="1209"/>
      <c r="K42" s="1209"/>
      <c r="L42" s="1101"/>
      <c r="M42" s="1101"/>
      <c r="N42" s="1101"/>
      <c r="O42" s="1101"/>
      <c r="P42" s="1101"/>
      <c r="Q42" s="1209"/>
      <c r="R42" s="1209"/>
      <c r="S42" s="1101"/>
      <c r="T42" s="1101"/>
      <c r="U42" s="1101"/>
      <c r="V42" s="1101"/>
      <c r="W42" s="1101"/>
      <c r="X42" s="1209"/>
      <c r="Y42" s="1209"/>
      <c r="Z42" s="1101"/>
      <c r="AA42" s="1101"/>
      <c r="AB42" s="1101"/>
      <c r="AC42" s="1101"/>
      <c r="AD42" s="1101"/>
      <c r="AE42" s="1209"/>
      <c r="AF42" s="1209"/>
      <c r="AG42" s="1101"/>
      <c r="AH42" s="1101"/>
      <c r="AI42" s="1332"/>
      <c r="AJ42" s="68">
        <f>SUM(E42:AI42)</f>
        <v>0</v>
      </c>
      <c r="AK42" s="983">
        <f t="shared" si="27"/>
        <v>0</v>
      </c>
      <c r="AL42" s="69">
        <f>+AJ42*AN37</f>
        <v>0</v>
      </c>
      <c r="AM42" s="989">
        <f t="shared" si="28"/>
        <v>0</v>
      </c>
      <c r="AN42" s="31"/>
      <c r="AO42" s="622"/>
      <c r="AP42" s="39" t="s">
        <v>19</v>
      </c>
      <c r="AQ42" s="56">
        <f>AQ41*AN37</f>
        <v>0</v>
      </c>
      <c r="AR42" s="56">
        <f>AR41*AN37</f>
        <v>0</v>
      </c>
      <c r="AS42" s="56">
        <f>AS41*AN37</f>
        <v>0</v>
      </c>
      <c r="AT42" s="56">
        <f>AT41*AN37</f>
        <v>0</v>
      </c>
      <c r="AU42" s="56">
        <f>AU41*AN37</f>
        <v>0</v>
      </c>
      <c r="AV42" s="57">
        <f t="shared" si="21"/>
        <v>0</v>
      </c>
    </row>
    <row r="43" spans="1:48" ht="20.65" hidden="1" customHeight="1">
      <c r="A43" s="210" t="s">
        <v>245</v>
      </c>
      <c r="B43" s="213"/>
      <c r="C43" s="72" t="s">
        <v>104</v>
      </c>
      <c r="D43" s="73" t="s">
        <v>105</v>
      </c>
      <c r="E43" s="1115"/>
      <c r="F43" s="1103"/>
      <c r="G43" s="1210"/>
      <c r="H43" s="1103"/>
      <c r="I43" s="1103"/>
      <c r="J43" s="1210"/>
      <c r="K43" s="1210"/>
      <c r="L43" s="1103"/>
      <c r="M43" s="1103"/>
      <c r="N43" s="1103"/>
      <c r="O43" s="1103"/>
      <c r="P43" s="1103"/>
      <c r="Q43" s="1210"/>
      <c r="R43" s="1210"/>
      <c r="S43" s="1103"/>
      <c r="T43" s="1103"/>
      <c r="U43" s="1103"/>
      <c r="V43" s="1103"/>
      <c r="W43" s="1103"/>
      <c r="X43" s="1210"/>
      <c r="Y43" s="1210"/>
      <c r="Z43" s="1103"/>
      <c r="AA43" s="1103"/>
      <c r="AB43" s="1103"/>
      <c r="AC43" s="1103"/>
      <c r="AD43" s="1103"/>
      <c r="AE43" s="1210"/>
      <c r="AF43" s="1210"/>
      <c r="AG43" s="1103"/>
      <c r="AH43" s="1103"/>
      <c r="AI43" s="1352"/>
      <c r="AJ43" s="74">
        <f>SUM(E43:AI43)</f>
        <v>0</v>
      </c>
      <c r="AK43" s="983">
        <f t="shared" si="27"/>
        <v>0</v>
      </c>
      <c r="AL43" s="75">
        <f>+AJ43*AN37</f>
        <v>0</v>
      </c>
      <c r="AM43" s="989">
        <f t="shared" si="28"/>
        <v>0</v>
      </c>
      <c r="AN43" s="31"/>
      <c r="AO43" s="622"/>
      <c r="AP43" s="47" t="s">
        <v>106</v>
      </c>
      <c r="AQ43" s="48">
        <f>AQ39*AN37</f>
        <v>0</v>
      </c>
      <c r="AR43" s="48">
        <f>AR39*AN37</f>
        <v>0</v>
      </c>
      <c r="AS43" s="48">
        <f>AS39*AN37</f>
        <v>0</v>
      </c>
      <c r="AT43" s="48">
        <f>AT39*AN37</f>
        <v>0</v>
      </c>
      <c r="AU43" s="48">
        <f>AU39*AN37</f>
        <v>0</v>
      </c>
      <c r="AV43" s="50">
        <f t="shared" si="21"/>
        <v>0</v>
      </c>
    </row>
    <row r="44" spans="1:48" ht="20.65" hidden="1" customHeight="1">
      <c r="A44" s="212"/>
      <c r="B44" s="235"/>
      <c r="C44" s="77">
        <v>300000</v>
      </c>
      <c r="D44" s="78" t="s">
        <v>107</v>
      </c>
      <c r="E44" s="1137">
        <v>4</v>
      </c>
      <c r="F44" s="1097">
        <v>4</v>
      </c>
      <c r="G44" s="1205">
        <v>4</v>
      </c>
      <c r="H44" s="1097">
        <v>4</v>
      </c>
      <c r="I44" s="1097">
        <v>4</v>
      </c>
      <c r="J44" s="1205">
        <v>4</v>
      </c>
      <c r="K44" s="1205">
        <v>4</v>
      </c>
      <c r="L44" s="1097">
        <v>4</v>
      </c>
      <c r="M44" s="1097">
        <v>4</v>
      </c>
      <c r="N44" s="1097">
        <v>4</v>
      </c>
      <c r="O44" s="1097">
        <v>4</v>
      </c>
      <c r="P44" s="1097">
        <v>4</v>
      </c>
      <c r="Q44" s="1205">
        <v>4</v>
      </c>
      <c r="R44" s="1205">
        <v>4</v>
      </c>
      <c r="S44" s="1097">
        <v>4</v>
      </c>
      <c r="T44" s="1097">
        <v>4</v>
      </c>
      <c r="U44" s="1097">
        <v>4</v>
      </c>
      <c r="V44" s="1097">
        <v>4</v>
      </c>
      <c r="W44" s="1097">
        <v>4</v>
      </c>
      <c r="X44" s="1205">
        <v>4</v>
      </c>
      <c r="Y44" s="1205">
        <v>4</v>
      </c>
      <c r="Z44" s="1097">
        <v>4</v>
      </c>
      <c r="AA44" s="1097">
        <v>4</v>
      </c>
      <c r="AB44" s="1097">
        <v>4</v>
      </c>
      <c r="AC44" s="1097">
        <v>4</v>
      </c>
      <c r="AD44" s="1097">
        <v>4</v>
      </c>
      <c r="AE44" s="1205">
        <v>4</v>
      </c>
      <c r="AF44" s="1205">
        <v>4</v>
      </c>
      <c r="AG44" s="1097">
        <v>4</v>
      </c>
      <c r="AH44" s="1097">
        <v>4</v>
      </c>
      <c r="AI44" s="1328">
        <v>4</v>
      </c>
      <c r="AJ44" s="79"/>
      <c r="AK44" s="983">
        <f t="shared" si="27"/>
        <v>0</v>
      </c>
      <c r="AL44" s="55"/>
      <c r="AM44" s="988">
        <f t="shared" si="28"/>
        <v>0</v>
      </c>
      <c r="AN44" s="31"/>
      <c r="AO44" s="622"/>
      <c r="AP44" s="47"/>
      <c r="AQ44" s="48"/>
      <c r="AR44" s="48"/>
      <c r="AS44" s="48"/>
      <c r="AT44" s="48"/>
      <c r="AU44" s="48"/>
      <c r="AV44" s="214"/>
    </row>
    <row r="45" spans="1:48" ht="20.65" hidden="1" customHeight="1">
      <c r="A45" s="210" t="s">
        <v>245</v>
      </c>
      <c r="B45" s="89"/>
      <c r="C45" s="80" t="s">
        <v>108</v>
      </c>
      <c r="D45" s="81" t="s">
        <v>109</v>
      </c>
      <c r="E45" s="1125">
        <f>SUM(E39+E41+E43+E42)/E44</f>
        <v>0</v>
      </c>
      <c r="F45" s="1125">
        <f>SUM(F39+F41+F43+F42)/F44</f>
        <v>0</v>
      </c>
      <c r="G45" s="1233">
        <f>SUM(G39+G41+G43+G42)/G44</f>
        <v>0</v>
      </c>
      <c r="H45" s="1125">
        <f t="shared" ref="H45:AI45" si="29">SUM(H39+H41+H43+H42)/H44</f>
        <v>0</v>
      </c>
      <c r="I45" s="1125">
        <f t="shared" si="29"/>
        <v>0</v>
      </c>
      <c r="J45" s="1233">
        <f t="shared" si="29"/>
        <v>0</v>
      </c>
      <c r="K45" s="1233">
        <f t="shared" si="29"/>
        <v>0</v>
      </c>
      <c r="L45" s="1125">
        <f t="shared" si="29"/>
        <v>0</v>
      </c>
      <c r="M45" s="1125">
        <f t="shared" si="29"/>
        <v>0</v>
      </c>
      <c r="N45" s="1125">
        <f t="shared" si="29"/>
        <v>0</v>
      </c>
      <c r="O45" s="1125">
        <f>SUM(O39+O41+O43+O42)/O44</f>
        <v>0</v>
      </c>
      <c r="P45" s="1125">
        <f t="shared" si="29"/>
        <v>0</v>
      </c>
      <c r="Q45" s="1233">
        <f t="shared" si="29"/>
        <v>0</v>
      </c>
      <c r="R45" s="1233">
        <f t="shared" si="29"/>
        <v>0</v>
      </c>
      <c r="S45" s="1125">
        <f t="shared" si="29"/>
        <v>0</v>
      </c>
      <c r="T45" s="1125">
        <f t="shared" si="29"/>
        <v>0</v>
      </c>
      <c r="U45" s="1125">
        <f t="shared" si="29"/>
        <v>0</v>
      </c>
      <c r="V45" s="1125">
        <f t="shared" si="29"/>
        <v>0</v>
      </c>
      <c r="W45" s="1125">
        <f t="shared" si="29"/>
        <v>0</v>
      </c>
      <c r="X45" s="1233">
        <f t="shared" si="29"/>
        <v>0</v>
      </c>
      <c r="Y45" s="1233">
        <f t="shared" si="29"/>
        <v>0</v>
      </c>
      <c r="Z45" s="1125">
        <f t="shared" si="29"/>
        <v>0</v>
      </c>
      <c r="AA45" s="1125">
        <f t="shared" si="29"/>
        <v>0</v>
      </c>
      <c r="AB45" s="1125">
        <f t="shared" si="29"/>
        <v>0</v>
      </c>
      <c r="AC45" s="1125">
        <f t="shared" si="29"/>
        <v>0</v>
      </c>
      <c r="AD45" s="1125">
        <f t="shared" si="29"/>
        <v>0</v>
      </c>
      <c r="AE45" s="1233">
        <f t="shared" si="29"/>
        <v>0</v>
      </c>
      <c r="AF45" s="1233">
        <f t="shared" si="29"/>
        <v>0</v>
      </c>
      <c r="AG45" s="1125">
        <f t="shared" si="29"/>
        <v>0</v>
      </c>
      <c r="AH45" s="1125">
        <f t="shared" si="29"/>
        <v>0</v>
      </c>
      <c r="AI45" s="1409">
        <f t="shared" si="29"/>
        <v>0</v>
      </c>
      <c r="AJ45" s="515">
        <f>SUM(E45:AI45)</f>
        <v>0</v>
      </c>
      <c r="AK45" s="984">
        <f t="shared" si="27"/>
        <v>0</v>
      </c>
      <c r="AL45" s="83"/>
      <c r="AM45" s="989">
        <f t="shared" si="28"/>
        <v>0</v>
      </c>
      <c r="AN45" s="31"/>
      <c r="AO45" s="622"/>
      <c r="AP45" s="164"/>
      <c r="AQ45" s="164"/>
      <c r="AR45" s="164"/>
      <c r="AS45" s="164"/>
      <c r="AT45" s="164"/>
      <c r="AU45" s="164"/>
      <c r="AV45" s="164"/>
    </row>
    <row r="46" spans="1:48" ht="20.65" hidden="1" customHeight="1">
      <c r="A46" s="215"/>
      <c r="B46" s="89"/>
      <c r="C46" s="84">
        <f>+C44*0.8</f>
        <v>240000</v>
      </c>
      <c r="D46" s="85" t="s">
        <v>110</v>
      </c>
      <c r="E46" s="1105"/>
      <c r="F46" s="1107"/>
      <c r="G46" s="1211"/>
      <c r="H46" s="1104"/>
      <c r="I46" s="1104"/>
      <c r="J46" s="1211"/>
      <c r="K46" s="1228"/>
      <c r="L46" s="1104"/>
      <c r="M46" s="1104"/>
      <c r="N46" s="1104"/>
      <c r="O46" s="1104"/>
      <c r="P46" s="1104"/>
      <c r="Q46" s="1211"/>
      <c r="R46" s="1211"/>
      <c r="S46" s="1104"/>
      <c r="T46" s="1104"/>
      <c r="U46" s="1104"/>
      <c r="V46" s="1104"/>
      <c r="W46" s="1104"/>
      <c r="X46" s="1211"/>
      <c r="Y46" s="1211"/>
      <c r="Z46" s="1104"/>
      <c r="AA46" s="1104"/>
      <c r="AB46" s="1104"/>
      <c r="AC46" s="1104"/>
      <c r="AD46" s="1104"/>
      <c r="AE46" s="1211"/>
      <c r="AF46" s="1211"/>
      <c r="AG46" s="1104"/>
      <c r="AH46" s="1104"/>
      <c r="AI46" s="1353"/>
      <c r="AJ46" s="738"/>
      <c r="AK46" s="983">
        <f t="shared" si="27"/>
        <v>0</v>
      </c>
      <c r="AL46" s="63"/>
      <c r="AM46" s="989">
        <f t="shared" si="28"/>
        <v>0</v>
      </c>
      <c r="AN46" s="31"/>
      <c r="AO46" s="622"/>
      <c r="AP46" s="164"/>
      <c r="AQ46" s="164"/>
      <c r="AR46" s="164"/>
      <c r="AS46" s="164"/>
      <c r="AT46" s="164"/>
      <c r="AU46" s="164"/>
      <c r="AV46" s="164"/>
    </row>
    <row r="47" spans="1:48" ht="20.65" hidden="1" customHeight="1">
      <c r="A47" s="215"/>
      <c r="B47" s="89"/>
      <c r="C47" s="77"/>
      <c r="D47" s="88" t="s">
        <v>111</v>
      </c>
      <c r="E47" s="1125">
        <f>IF(E46="O/H",E45,0+E45)</f>
        <v>0</v>
      </c>
      <c r="F47" s="1126">
        <f>IF(F46="O/H",F45,+E47+F45)</f>
        <v>0</v>
      </c>
      <c r="G47" s="1235">
        <f t="shared" ref="G47" si="30">IF(G46="O/H",G45,+F47+G45)</f>
        <v>0</v>
      </c>
      <c r="H47" s="1126">
        <f t="shared" ref="H47" si="31">IF(H46="O/H",H45,+G47+H45)</f>
        <v>0</v>
      </c>
      <c r="I47" s="1126">
        <f t="shared" ref="I47" si="32">IF(I46="O/H",I45,+H47+I45)</f>
        <v>0</v>
      </c>
      <c r="J47" s="1235">
        <f t="shared" ref="J47" si="33">IF(J46="O/H",J45,+I47+J45)</f>
        <v>0</v>
      </c>
      <c r="K47" s="1235">
        <f t="shared" ref="K47" si="34">IF(K46="O/H",K45,+J47+K45)</f>
        <v>0</v>
      </c>
      <c r="L47" s="1126">
        <f t="shared" ref="L47" si="35">IF(L46="O/H",L45,+K47+L45)</f>
        <v>0</v>
      </c>
      <c r="M47" s="1126">
        <f t="shared" ref="M47" si="36">IF(M46="O/H",M45,+L47+M45)</f>
        <v>0</v>
      </c>
      <c r="N47" s="1126">
        <f t="shared" ref="N47" si="37">IF(N46="O/H",N45,+M47+N45)</f>
        <v>0</v>
      </c>
      <c r="O47" s="1126">
        <f t="shared" ref="O47" si="38">IF(O46="O/H",O45,+N47+O45)</f>
        <v>0</v>
      </c>
      <c r="P47" s="1126">
        <f t="shared" ref="P47" si="39">IF(P46="O/H",P45,+O47+P45)</f>
        <v>0</v>
      </c>
      <c r="Q47" s="1235">
        <f t="shared" ref="Q47" si="40">IF(Q46="O/H",Q45,+P47+Q45)</f>
        <v>0</v>
      </c>
      <c r="R47" s="1235">
        <f t="shared" ref="R47" si="41">IF(R46="O/H",R45,+Q47+R45)</f>
        <v>0</v>
      </c>
      <c r="S47" s="1126">
        <f t="shared" ref="S47" si="42">IF(S46="O/H",S45,+R47+S45)</f>
        <v>0</v>
      </c>
      <c r="T47" s="1126">
        <f t="shared" ref="T47" si="43">IF(T46="O/H",T45,+S47+T45)</f>
        <v>0</v>
      </c>
      <c r="U47" s="1126">
        <f t="shared" ref="U47" si="44">IF(U46="O/H",U45,+T47+U45)</f>
        <v>0</v>
      </c>
      <c r="V47" s="1126">
        <f t="shared" ref="V47" si="45">IF(V46="O/H",V45,+U47+V45)</f>
        <v>0</v>
      </c>
      <c r="W47" s="1126">
        <f t="shared" ref="W47" si="46">IF(W46="O/H",W45,+V47+W45)</f>
        <v>0</v>
      </c>
      <c r="X47" s="1235">
        <f t="shared" ref="X47" si="47">IF(X46="O/H",X45,+W47+X45)</f>
        <v>0</v>
      </c>
      <c r="Y47" s="1235">
        <f t="shared" ref="Y47" si="48">IF(Y46="O/H",Y45,+X47+Y45)</f>
        <v>0</v>
      </c>
      <c r="Z47" s="1126">
        <f t="shared" ref="Z47" si="49">IF(Z46="O/H",Z45,+Y47+Z45)</f>
        <v>0</v>
      </c>
      <c r="AA47" s="1126">
        <f t="shared" ref="AA47" si="50">IF(AA46="O/H",AA45,+Z47+AA45)</f>
        <v>0</v>
      </c>
      <c r="AB47" s="1126">
        <f t="shared" ref="AB47" si="51">IF(AB46="O/H",AB45,+AA47+AB45)</f>
        <v>0</v>
      </c>
      <c r="AC47" s="1126">
        <f t="shared" ref="AC47" si="52">IF(AC46="O/H",AC45,+AB47+AC45)</f>
        <v>0</v>
      </c>
      <c r="AD47" s="1126">
        <f t="shared" ref="AD47" si="53">IF(AD46="O/H",AD45,+AC47+AD45)</f>
        <v>0</v>
      </c>
      <c r="AE47" s="1235">
        <f t="shared" ref="AE47" si="54">IF(AE46="O/H",AE45,+AD47+AE45)</f>
        <v>0</v>
      </c>
      <c r="AF47" s="1235">
        <f t="shared" ref="AF47" si="55">IF(AF46="O/H",AF45,+AE47+AF45)</f>
        <v>0</v>
      </c>
      <c r="AG47" s="1126">
        <f t="shared" ref="AG47" si="56">IF(AG46="O/H",AG45,+AF47+AG45)</f>
        <v>0</v>
      </c>
      <c r="AH47" s="1126">
        <f t="shared" ref="AH47" si="57">IF(AH46="O/H",AH45,+AG47+AH45)</f>
        <v>0</v>
      </c>
      <c r="AI47" s="1335">
        <f t="shared" ref="AI47" si="58">IF(AI46="O/H",AI45,+AH47+AI45)</f>
        <v>0</v>
      </c>
      <c r="AJ47" s="515"/>
      <c r="AK47" s="984">
        <f t="shared" si="27"/>
        <v>0</v>
      </c>
      <c r="AL47" s="83"/>
      <c r="AM47" s="989">
        <f t="shared" si="28"/>
        <v>0</v>
      </c>
      <c r="AN47" s="31"/>
      <c r="AO47" s="622"/>
      <c r="AP47" s="164"/>
      <c r="AQ47" s="164"/>
      <c r="AR47" s="164"/>
      <c r="AS47" s="164"/>
      <c r="AT47" s="164"/>
      <c r="AU47" s="164"/>
      <c r="AV47" s="164"/>
    </row>
    <row r="48" spans="1:48" s="23" customFormat="1" ht="20.65" hidden="1" customHeight="1">
      <c r="A48" s="274"/>
      <c r="B48" s="312"/>
      <c r="C48" s="308"/>
      <c r="D48" s="795" t="s">
        <v>112</v>
      </c>
      <c r="E48" s="1117" t="b">
        <f>IF(AND(ISNUMBER(E39)),1471751+E45)</f>
        <v>0</v>
      </c>
      <c r="F48" s="1118" t="str">
        <f>IF(AND(ISNUMBER(F39)),E48+F45,"")</f>
        <v/>
      </c>
      <c r="G48" s="1216" t="str">
        <f t="shared" ref="G48:H48" si="59">IF(AND(ISNUMBER(G39)),F48+G45,"")</f>
        <v/>
      </c>
      <c r="H48" s="1118" t="str">
        <f t="shared" si="59"/>
        <v/>
      </c>
      <c r="I48" s="1118" t="str">
        <f>IF(AND(ISNUMBER(I39)),H48+I45,"")</f>
        <v/>
      </c>
      <c r="J48" s="1216" t="str">
        <f>IF(AND(ISNUMBER(J39)),I48+J45,"")</f>
        <v/>
      </c>
      <c r="K48" s="1216" t="str">
        <f>IF(AND(ISNUMBER(K39)),J48+K45,"")</f>
        <v/>
      </c>
      <c r="L48" s="1118" t="str">
        <f t="shared" ref="L48:AI48" si="60">IF(AND(ISNUMBER(L39)),K48+L45,"")</f>
        <v/>
      </c>
      <c r="M48" s="1118" t="str">
        <f t="shared" si="60"/>
        <v/>
      </c>
      <c r="N48" s="1118" t="str">
        <f t="shared" si="60"/>
        <v/>
      </c>
      <c r="O48" s="1118" t="str">
        <f t="shared" si="60"/>
        <v/>
      </c>
      <c r="P48" s="1118" t="str">
        <f t="shared" si="60"/>
        <v/>
      </c>
      <c r="Q48" s="1216" t="str">
        <f t="shared" si="60"/>
        <v/>
      </c>
      <c r="R48" s="1216" t="str">
        <f t="shared" si="60"/>
        <v/>
      </c>
      <c r="S48" s="1118" t="str">
        <f t="shared" si="60"/>
        <v/>
      </c>
      <c r="T48" s="1118" t="str">
        <f t="shared" si="60"/>
        <v/>
      </c>
      <c r="U48" s="1118" t="str">
        <f t="shared" si="60"/>
        <v/>
      </c>
      <c r="V48" s="1118" t="str">
        <f t="shared" si="60"/>
        <v/>
      </c>
      <c r="W48" s="1118" t="str">
        <f t="shared" si="60"/>
        <v/>
      </c>
      <c r="X48" s="1216" t="str">
        <f t="shared" si="60"/>
        <v/>
      </c>
      <c r="Y48" s="1216" t="str">
        <f t="shared" si="60"/>
        <v/>
      </c>
      <c r="Z48" s="1118" t="str">
        <f t="shared" si="60"/>
        <v/>
      </c>
      <c r="AA48" s="1118" t="str">
        <f t="shared" si="60"/>
        <v/>
      </c>
      <c r="AB48" s="1118" t="str">
        <f t="shared" si="60"/>
        <v/>
      </c>
      <c r="AC48" s="1118" t="str">
        <f t="shared" si="60"/>
        <v/>
      </c>
      <c r="AD48" s="1118" t="str">
        <f t="shared" si="60"/>
        <v/>
      </c>
      <c r="AE48" s="1216" t="str">
        <f t="shared" si="60"/>
        <v/>
      </c>
      <c r="AF48" s="1216" t="str">
        <f t="shared" si="60"/>
        <v/>
      </c>
      <c r="AG48" s="1118" t="str">
        <f t="shared" si="60"/>
        <v/>
      </c>
      <c r="AH48" s="1118" t="str">
        <f t="shared" si="60"/>
        <v/>
      </c>
      <c r="AI48" s="1118" t="str">
        <f t="shared" si="60"/>
        <v/>
      </c>
      <c r="AJ48" s="793"/>
      <c r="AK48" s="985">
        <f t="shared" si="27"/>
        <v>0</v>
      </c>
      <c r="AL48" s="909"/>
      <c r="AM48" s="987">
        <f t="shared" si="28"/>
        <v>0</v>
      </c>
      <c r="AN48" s="76"/>
      <c r="AO48" s="630"/>
      <c r="AP48" s="285"/>
      <c r="AQ48" s="285"/>
      <c r="AR48" s="285"/>
      <c r="AS48" s="285"/>
      <c r="AT48" s="286"/>
      <c r="AU48" s="285"/>
      <c r="AV48" s="287"/>
    </row>
    <row r="49" spans="1:48" ht="20.65" hidden="1" customHeight="1">
      <c r="A49" s="215" t="s">
        <v>242</v>
      </c>
      <c r="B49" s="89" t="s">
        <v>257</v>
      </c>
      <c r="C49" s="80"/>
      <c r="D49" s="90" t="s">
        <v>104</v>
      </c>
      <c r="E49" s="1137"/>
      <c r="F49" s="1097"/>
      <c r="G49" s="1205"/>
      <c r="H49" s="1097"/>
      <c r="I49" s="1097"/>
      <c r="J49" s="1205"/>
      <c r="K49" s="1205"/>
      <c r="L49" s="1097"/>
      <c r="M49" s="1097" t="s">
        <v>534</v>
      </c>
      <c r="N49" s="1097"/>
      <c r="O49" s="1097"/>
      <c r="P49" s="1097"/>
      <c r="Q49" s="1205"/>
      <c r="R49" s="1205"/>
      <c r="S49" s="1097"/>
      <c r="T49" s="1097"/>
      <c r="U49" s="1097"/>
      <c r="V49" s="1097"/>
      <c r="W49" s="1097"/>
      <c r="X49" s="1205"/>
      <c r="Y49" s="1205"/>
      <c r="Z49" s="1097"/>
      <c r="AA49" s="1097"/>
      <c r="AB49" s="1097"/>
      <c r="AC49" s="1097"/>
      <c r="AD49" s="1097"/>
      <c r="AE49" s="1205"/>
      <c r="AF49" s="1205"/>
      <c r="AG49" s="1097"/>
      <c r="AH49" s="1097"/>
      <c r="AI49" s="1328"/>
      <c r="AJ49" s="62"/>
      <c r="AK49" s="983">
        <f t="shared" si="27"/>
        <v>0</v>
      </c>
      <c r="AL49" s="55"/>
      <c r="AM49" s="988">
        <f t="shared" si="28"/>
        <v>0</v>
      </c>
      <c r="AN49" s="31"/>
      <c r="AO49" s="622"/>
      <c r="AP49" s="164"/>
      <c r="AQ49" s="164"/>
      <c r="AR49" s="164"/>
      <c r="AS49" s="164"/>
      <c r="AT49" s="164"/>
      <c r="AU49" s="164"/>
      <c r="AV49" s="164"/>
    </row>
    <row r="50" spans="1:48" ht="20.65" hidden="1" customHeight="1" thickBot="1">
      <c r="A50" s="216" t="s">
        <v>242</v>
      </c>
      <c r="B50" s="93"/>
      <c r="C50" s="94"/>
      <c r="D50" s="230" t="s">
        <v>258</v>
      </c>
      <c r="E50" s="1109">
        <f>IF(E49="O/H",E45,94980+E45)</f>
        <v>94980</v>
      </c>
      <c r="F50" s="1110">
        <f t="shared" ref="F50:AI50" si="61">IF(F49="O/H",F45,+E50+F45)</f>
        <v>94980</v>
      </c>
      <c r="G50" s="1212">
        <f t="shared" si="61"/>
        <v>94980</v>
      </c>
      <c r="H50" s="1110">
        <f t="shared" si="61"/>
        <v>94980</v>
      </c>
      <c r="I50" s="1110">
        <f t="shared" si="61"/>
        <v>94980</v>
      </c>
      <c r="J50" s="1212">
        <f t="shared" si="61"/>
        <v>94980</v>
      </c>
      <c r="K50" s="1212">
        <f t="shared" si="61"/>
        <v>94980</v>
      </c>
      <c r="L50" s="1110">
        <f t="shared" si="61"/>
        <v>94980</v>
      </c>
      <c r="M50" s="1110">
        <f t="shared" si="61"/>
        <v>0</v>
      </c>
      <c r="N50" s="1110">
        <f t="shared" si="61"/>
        <v>0</v>
      </c>
      <c r="O50" s="1110">
        <f t="shared" si="61"/>
        <v>0</v>
      </c>
      <c r="P50" s="1110">
        <f t="shared" si="61"/>
        <v>0</v>
      </c>
      <c r="Q50" s="1212">
        <f t="shared" si="61"/>
        <v>0</v>
      </c>
      <c r="R50" s="1212">
        <f t="shared" si="61"/>
        <v>0</v>
      </c>
      <c r="S50" s="1110">
        <f t="shared" si="61"/>
        <v>0</v>
      </c>
      <c r="T50" s="1110">
        <f t="shared" si="61"/>
        <v>0</v>
      </c>
      <c r="U50" s="1110">
        <f t="shared" si="61"/>
        <v>0</v>
      </c>
      <c r="V50" s="1110">
        <f t="shared" si="61"/>
        <v>0</v>
      </c>
      <c r="W50" s="1110">
        <f t="shared" si="61"/>
        <v>0</v>
      </c>
      <c r="X50" s="1212">
        <f t="shared" si="61"/>
        <v>0</v>
      </c>
      <c r="Y50" s="1212">
        <f t="shared" si="61"/>
        <v>0</v>
      </c>
      <c r="Z50" s="1110">
        <f t="shared" si="61"/>
        <v>0</v>
      </c>
      <c r="AA50" s="1110">
        <f t="shared" si="61"/>
        <v>0</v>
      </c>
      <c r="AB50" s="1110">
        <f t="shared" si="61"/>
        <v>0</v>
      </c>
      <c r="AC50" s="1110">
        <f t="shared" si="61"/>
        <v>0</v>
      </c>
      <c r="AD50" s="1110">
        <f t="shared" si="61"/>
        <v>0</v>
      </c>
      <c r="AE50" s="1212">
        <f t="shared" si="61"/>
        <v>0</v>
      </c>
      <c r="AF50" s="1212">
        <f t="shared" si="61"/>
        <v>0</v>
      </c>
      <c r="AG50" s="1110">
        <f t="shared" si="61"/>
        <v>0</v>
      </c>
      <c r="AH50" s="1110">
        <f t="shared" si="61"/>
        <v>0</v>
      </c>
      <c r="AI50" s="1340">
        <f t="shared" si="61"/>
        <v>0</v>
      </c>
      <c r="AJ50" s="739"/>
      <c r="AK50" s="986">
        <f t="shared" si="27"/>
        <v>0</v>
      </c>
      <c r="AL50" s="217"/>
      <c r="AM50" s="990">
        <f t="shared" si="28"/>
        <v>0</v>
      </c>
      <c r="AN50" s="98"/>
      <c r="AO50" s="625"/>
      <c r="AP50" s="164"/>
      <c r="AQ50" s="164"/>
      <c r="AR50" s="164"/>
      <c r="AS50" s="164"/>
      <c r="AT50" s="164"/>
      <c r="AU50" s="164"/>
      <c r="AV50" s="164"/>
    </row>
    <row r="51" spans="1:48" ht="24.75" hidden="1" customHeight="1" thickTop="1">
      <c r="A51" s="943" t="s">
        <v>253</v>
      </c>
      <c r="B51" s="208" t="s">
        <v>670</v>
      </c>
      <c r="C51" s="1495" t="str">
        <f>Table5[[#This Row],[M/C No.]]</f>
        <v>A15(50Ton)</v>
      </c>
      <c r="D51" s="28" t="s">
        <v>82</v>
      </c>
      <c r="E51" s="1124"/>
      <c r="F51" s="1124"/>
      <c r="G51" s="1242"/>
      <c r="H51" s="1124"/>
      <c r="I51" s="1124"/>
      <c r="J51" s="1242"/>
      <c r="K51" s="1242"/>
      <c r="L51" s="1124"/>
      <c r="M51" s="1124"/>
      <c r="N51" s="1124"/>
      <c r="O51" s="1124"/>
      <c r="P51" s="1124"/>
      <c r="Q51" s="1242"/>
      <c r="R51" s="1242"/>
      <c r="S51" s="1124"/>
      <c r="T51" s="1124"/>
      <c r="U51" s="1124"/>
      <c r="V51" s="1124"/>
      <c r="W51" s="1124"/>
      <c r="X51" s="1242"/>
      <c r="Y51" s="1242"/>
      <c r="Z51" s="1124"/>
      <c r="AA51" s="1124"/>
      <c r="AB51" s="1124"/>
      <c r="AC51" s="1124"/>
      <c r="AD51" s="1124"/>
      <c r="AE51" s="1242"/>
      <c r="AF51" s="1242"/>
      <c r="AG51" s="1124"/>
      <c r="AH51" s="1124"/>
      <c r="AI51" s="1350"/>
      <c r="AJ51" s="100">
        <f>SUM(E51:AI51)</f>
        <v>0</v>
      </c>
      <c r="AK51" s="1000">
        <f t="shared" si="27"/>
        <v>0</v>
      </c>
      <c r="AL51" s="101">
        <f>+AJ51*AN51</f>
        <v>0</v>
      </c>
      <c r="AM51" s="1001">
        <f t="shared" si="28"/>
        <v>0</v>
      </c>
      <c r="AN51" s="102">
        <v>1.8897699999999999</v>
      </c>
      <c r="AO51" s="622">
        <f>Table5[[#This Row],[Total]]*B55/1000</f>
        <v>0</v>
      </c>
      <c r="AP51" s="32" t="s">
        <v>251</v>
      </c>
      <c r="AQ51" s="33" t="s">
        <v>84</v>
      </c>
      <c r="AR51" s="33" t="s">
        <v>85</v>
      </c>
      <c r="AS51" s="33" t="s">
        <v>86</v>
      </c>
      <c r="AT51" s="33" t="s">
        <v>87</v>
      </c>
      <c r="AU51" s="33" t="s">
        <v>88</v>
      </c>
      <c r="AV51" s="34" t="s">
        <v>68</v>
      </c>
    </row>
    <row r="52" spans="1:48" ht="25.15" hidden="1" customHeight="1">
      <c r="A52" s="229"/>
      <c r="B52" s="208" t="s">
        <v>244</v>
      </c>
      <c r="C52" s="36"/>
      <c r="D52" s="37" t="s">
        <v>90</v>
      </c>
      <c r="E52" s="1323">
        <f>IF(E51="",0,+ E51/E58)</f>
        <v>0</v>
      </c>
      <c r="F52" s="1096">
        <f t="shared" ref="F52:AC52" si="62">IF(F51="",0, E52+F51/F58)</f>
        <v>0</v>
      </c>
      <c r="G52" s="1207">
        <f t="shared" si="62"/>
        <v>0</v>
      </c>
      <c r="H52" s="1096">
        <f t="shared" si="62"/>
        <v>0</v>
      </c>
      <c r="I52" s="1096">
        <f t="shared" si="62"/>
        <v>0</v>
      </c>
      <c r="J52" s="1207">
        <f t="shared" si="62"/>
        <v>0</v>
      </c>
      <c r="K52" s="1207">
        <f t="shared" si="62"/>
        <v>0</v>
      </c>
      <c r="L52" s="1096">
        <f t="shared" si="62"/>
        <v>0</v>
      </c>
      <c r="M52" s="1096">
        <f t="shared" si="62"/>
        <v>0</v>
      </c>
      <c r="N52" s="1096">
        <f t="shared" si="62"/>
        <v>0</v>
      </c>
      <c r="O52" s="1096">
        <f t="shared" si="62"/>
        <v>0</v>
      </c>
      <c r="P52" s="1096">
        <f t="shared" si="62"/>
        <v>0</v>
      </c>
      <c r="Q52" s="1207">
        <f t="shared" si="62"/>
        <v>0</v>
      </c>
      <c r="R52" s="1207">
        <f t="shared" si="62"/>
        <v>0</v>
      </c>
      <c r="S52" s="1096">
        <f t="shared" si="62"/>
        <v>0</v>
      </c>
      <c r="T52" s="1096">
        <f t="shared" si="62"/>
        <v>0</v>
      </c>
      <c r="U52" s="1096">
        <f t="shared" si="62"/>
        <v>0</v>
      </c>
      <c r="V52" s="1096">
        <f t="shared" si="62"/>
        <v>0</v>
      </c>
      <c r="W52" s="1096">
        <f t="shared" si="62"/>
        <v>0</v>
      </c>
      <c r="X52" s="1207">
        <f t="shared" si="62"/>
        <v>0</v>
      </c>
      <c r="Y52" s="1207">
        <f t="shared" si="62"/>
        <v>0</v>
      </c>
      <c r="Z52" s="1096">
        <f t="shared" si="62"/>
        <v>0</v>
      </c>
      <c r="AA52" s="1096">
        <f t="shared" si="62"/>
        <v>0</v>
      </c>
      <c r="AB52" s="1096">
        <f t="shared" si="62"/>
        <v>0</v>
      </c>
      <c r="AC52" s="1096">
        <f t="shared" si="62"/>
        <v>0</v>
      </c>
      <c r="AD52" s="1096">
        <f>IF(AD51="",0, Z52+AD51/AD58)</f>
        <v>0</v>
      </c>
      <c r="AE52" s="1207">
        <f>IF(AE51="",0, AA52+AE51/AE58)</f>
        <v>0</v>
      </c>
      <c r="AF52" s="1207">
        <f>IF(AF51="",0, AB52+AF51/AF58)</f>
        <v>0</v>
      </c>
      <c r="AG52" s="1096">
        <f>IF(AG51="",0, AC52+AG51/AG58)</f>
        <v>0</v>
      </c>
      <c r="AH52" s="1096">
        <f>IF(AH51="",0, AD52+AH51/AH58)</f>
        <v>0</v>
      </c>
      <c r="AI52" s="1324">
        <f>IF(AI51="",0, AH52+AI51/AI58)</f>
        <v>0</v>
      </c>
      <c r="AJ52" s="716"/>
      <c r="AK52" s="982">
        <f t="shared" si="27"/>
        <v>0</v>
      </c>
      <c r="AL52" s="209"/>
      <c r="AM52" s="987">
        <f t="shared" si="28"/>
        <v>0</v>
      </c>
      <c r="AN52" s="91"/>
      <c r="AO52" s="630"/>
      <c r="AP52" s="39" t="s">
        <v>91</v>
      </c>
      <c r="AQ52" s="40">
        <f>SUM(E51:K51)</f>
        <v>0</v>
      </c>
      <c r="AR52" s="41">
        <f>SUM(L51:R51)</f>
        <v>0</v>
      </c>
      <c r="AS52" s="41">
        <f>SUM(S51:Y51)</f>
        <v>0</v>
      </c>
      <c r="AT52" s="41">
        <f>SUM(Z51:AF51)</f>
        <v>0</v>
      </c>
      <c r="AU52" s="41">
        <f>SUM(AG51:AI51)</f>
        <v>0</v>
      </c>
      <c r="AV52" s="34">
        <f t="shared" ref="AV52:AV57" si="63">SUM(AQ52:AU52)</f>
        <v>0</v>
      </c>
    </row>
    <row r="53" spans="1:48" ht="25.15" hidden="1" customHeight="1">
      <c r="A53" s="210" t="s">
        <v>245</v>
      </c>
      <c r="B53" s="211" t="s">
        <v>246</v>
      </c>
      <c r="C53" s="42"/>
      <c r="D53" s="43" t="s">
        <v>93</v>
      </c>
      <c r="E53" s="1108"/>
      <c r="F53" s="1460"/>
      <c r="G53" s="44"/>
      <c r="H53" s="1089"/>
      <c r="I53" s="1089"/>
      <c r="J53" s="44"/>
      <c r="K53" s="44"/>
      <c r="L53" s="1089"/>
      <c r="M53" s="1089"/>
      <c r="N53" s="1089"/>
      <c r="O53" s="1089"/>
      <c r="P53" s="1089"/>
      <c r="Q53" s="44"/>
      <c r="R53" s="44"/>
      <c r="S53" s="1089"/>
      <c r="T53" s="1089"/>
      <c r="U53" s="1089"/>
      <c r="V53" s="1089"/>
      <c r="W53" s="1089"/>
      <c r="X53" s="44"/>
      <c r="Y53" s="44"/>
      <c r="Z53" s="1089"/>
      <c r="AA53" s="1089"/>
      <c r="AB53" s="1089"/>
      <c r="AC53" s="1089"/>
      <c r="AD53" s="1089"/>
      <c r="AE53" s="44"/>
      <c r="AF53" s="44"/>
      <c r="AG53" s="1089"/>
      <c r="AH53" s="1089"/>
      <c r="AI53" s="1326"/>
      <c r="AJ53" s="45">
        <f>SUM(E53:AI53)</f>
        <v>0</v>
      </c>
      <c r="AK53" s="983">
        <f t="shared" si="27"/>
        <v>0</v>
      </c>
      <c r="AL53" s="46">
        <f>+AJ53*AN51</f>
        <v>0</v>
      </c>
      <c r="AM53" s="988">
        <f t="shared" si="28"/>
        <v>0</v>
      </c>
      <c r="AN53" s="31"/>
      <c r="AO53" s="632">
        <f>(AJ53+AJ55+AJ56+AJ57)*B55/1000</f>
        <v>0</v>
      </c>
      <c r="AP53" s="47" t="s">
        <v>94</v>
      </c>
      <c r="AQ53" s="48">
        <f>SUM(E53:K53)</f>
        <v>0</v>
      </c>
      <c r="AR53" s="49">
        <f>SUM(L53:R53)</f>
        <v>0</v>
      </c>
      <c r="AS53" s="49">
        <f>SUM(S53:Y53)</f>
        <v>0</v>
      </c>
      <c r="AT53" s="49">
        <f>SUM(Z53:AF53)</f>
        <v>0</v>
      </c>
      <c r="AU53" s="49">
        <f>SUM(AG53:AI53)</f>
        <v>0</v>
      </c>
      <c r="AV53" s="50">
        <f t="shared" si="63"/>
        <v>0</v>
      </c>
    </row>
    <row r="54" spans="1:48" ht="25.15" hidden="1" customHeight="1">
      <c r="A54" s="210" t="s">
        <v>245</v>
      </c>
      <c r="B54" s="211" t="s">
        <v>247</v>
      </c>
      <c r="C54" s="52" t="s">
        <v>95</v>
      </c>
      <c r="D54" s="53" t="s">
        <v>96</v>
      </c>
      <c r="E54" s="1137">
        <f t="shared" ref="E54:AJ54" si="64">+E53-E51</f>
        <v>0</v>
      </c>
      <c r="F54" s="1097">
        <f t="shared" si="64"/>
        <v>0</v>
      </c>
      <c r="G54" s="1205">
        <f t="shared" si="64"/>
        <v>0</v>
      </c>
      <c r="H54" s="1097">
        <f t="shared" si="64"/>
        <v>0</v>
      </c>
      <c r="I54" s="1097">
        <f t="shared" si="64"/>
        <v>0</v>
      </c>
      <c r="J54" s="1205">
        <f t="shared" si="64"/>
        <v>0</v>
      </c>
      <c r="K54" s="1205">
        <f t="shared" si="64"/>
        <v>0</v>
      </c>
      <c r="L54" s="1097">
        <f t="shared" si="64"/>
        <v>0</v>
      </c>
      <c r="M54" s="1097">
        <f t="shared" si="64"/>
        <v>0</v>
      </c>
      <c r="N54" s="1097">
        <f t="shared" si="64"/>
        <v>0</v>
      </c>
      <c r="O54" s="1097">
        <f>+O53-O51</f>
        <v>0</v>
      </c>
      <c r="P54" s="1097">
        <f>+P53-P51</f>
        <v>0</v>
      </c>
      <c r="Q54" s="1205">
        <f>+Q53-Q51</f>
        <v>0</v>
      </c>
      <c r="R54" s="1205">
        <f t="shared" si="64"/>
        <v>0</v>
      </c>
      <c r="S54" s="1097">
        <f t="shared" si="64"/>
        <v>0</v>
      </c>
      <c r="T54" s="1097">
        <f t="shared" si="64"/>
        <v>0</v>
      </c>
      <c r="U54" s="1097">
        <f t="shared" si="64"/>
        <v>0</v>
      </c>
      <c r="V54" s="1097">
        <f t="shared" si="64"/>
        <v>0</v>
      </c>
      <c r="W54" s="1097">
        <f t="shared" si="64"/>
        <v>0</v>
      </c>
      <c r="X54" s="1205">
        <f t="shared" si="64"/>
        <v>0</v>
      </c>
      <c r="Y54" s="1205">
        <f>+Y53-Y51</f>
        <v>0</v>
      </c>
      <c r="Z54" s="1097">
        <f>+Z53-Z51</f>
        <v>0</v>
      </c>
      <c r="AA54" s="1097">
        <f t="shared" si="64"/>
        <v>0</v>
      </c>
      <c r="AB54" s="1097">
        <f t="shared" si="64"/>
        <v>0</v>
      </c>
      <c r="AC54" s="1097">
        <f t="shared" si="64"/>
        <v>0</v>
      </c>
      <c r="AD54" s="1097">
        <f t="shared" si="64"/>
        <v>0</v>
      </c>
      <c r="AE54" s="1205">
        <f t="shared" si="64"/>
        <v>0</v>
      </c>
      <c r="AF54" s="1205">
        <f t="shared" si="64"/>
        <v>0</v>
      </c>
      <c r="AG54" s="1097">
        <f t="shared" si="64"/>
        <v>0</v>
      </c>
      <c r="AH54" s="1097">
        <f t="shared" si="64"/>
        <v>0</v>
      </c>
      <c r="AI54" s="1328">
        <f t="shared" si="64"/>
        <v>0</v>
      </c>
      <c r="AJ54" s="79">
        <f t="shared" si="64"/>
        <v>0</v>
      </c>
      <c r="AK54" s="983">
        <f t="shared" si="27"/>
        <v>0</v>
      </c>
      <c r="AL54" s="55">
        <f>+AJ54*AN51</f>
        <v>0</v>
      </c>
      <c r="AM54" s="988">
        <f t="shared" si="28"/>
        <v>0</v>
      </c>
      <c r="AN54" s="31" t="s">
        <v>97</v>
      </c>
      <c r="AO54" s="622"/>
      <c r="AP54" s="39" t="s">
        <v>98</v>
      </c>
      <c r="AQ54" s="56">
        <f>AQ53-AQ52</f>
        <v>0</v>
      </c>
      <c r="AR54" s="70">
        <f>AR53-AR52</f>
        <v>0</v>
      </c>
      <c r="AS54" s="70">
        <f>AS53-AS52</f>
        <v>0</v>
      </c>
      <c r="AT54" s="70">
        <f>AT53-AT52</f>
        <v>0</v>
      </c>
      <c r="AU54" s="70">
        <f>AU53-AU52</f>
        <v>0</v>
      </c>
      <c r="AV54" s="57">
        <f t="shared" si="63"/>
        <v>0</v>
      </c>
    </row>
    <row r="55" spans="1:48" ht="25.15" hidden="1" customHeight="1">
      <c r="A55" s="212"/>
      <c r="B55" s="211">
        <v>0.33900000000000002</v>
      </c>
      <c r="C55" s="60" t="s">
        <v>100</v>
      </c>
      <c r="D55" s="61" t="s">
        <v>101</v>
      </c>
      <c r="E55" s="1098"/>
      <c r="F55" s="1099"/>
      <c r="G55" s="1208"/>
      <c r="H55" s="1099"/>
      <c r="I55" s="1099"/>
      <c r="J55" s="1208"/>
      <c r="K55" s="1208"/>
      <c r="L55" s="1099"/>
      <c r="M55" s="1099"/>
      <c r="N55" s="1099"/>
      <c r="O55" s="1099"/>
      <c r="P55" s="1099"/>
      <c r="Q55" s="1208"/>
      <c r="R55" s="1208"/>
      <c r="S55" s="1099"/>
      <c r="T55" s="1099"/>
      <c r="U55" s="1099"/>
      <c r="V55" s="1099"/>
      <c r="W55" s="1099"/>
      <c r="X55" s="1208"/>
      <c r="Y55" s="1208"/>
      <c r="Z55" s="1099"/>
      <c r="AA55" s="1099"/>
      <c r="AB55" s="1099"/>
      <c r="AC55" s="1099"/>
      <c r="AD55" s="1099"/>
      <c r="AE55" s="1208"/>
      <c r="AF55" s="1208"/>
      <c r="AG55" s="1099"/>
      <c r="AH55" s="1099"/>
      <c r="AI55" s="1330"/>
      <c r="AJ55" s="62">
        <f>SUM(E55:AI55)</f>
        <v>0</v>
      </c>
      <c r="AK55" s="983">
        <f t="shared" si="27"/>
        <v>0</v>
      </c>
      <c r="AL55" s="63">
        <f>+AJ55*AN51</f>
        <v>0</v>
      </c>
      <c r="AM55" s="989">
        <f t="shared" si="28"/>
        <v>0</v>
      </c>
      <c r="AN55" s="236" t="e">
        <f>+AJ55/AJ53</f>
        <v>#DIV/0!</v>
      </c>
      <c r="AO55" s="635" t="e">
        <f>AO53/AO51</f>
        <v>#DIV/0!</v>
      </c>
      <c r="AP55" s="39" t="s">
        <v>102</v>
      </c>
      <c r="AQ55" s="56">
        <f>SUM(E55:K55)</f>
        <v>0</v>
      </c>
      <c r="AR55" s="70">
        <f>SUM(L55:R55)</f>
        <v>0</v>
      </c>
      <c r="AS55" s="70">
        <f>SUM(S55:Y55)</f>
        <v>0</v>
      </c>
      <c r="AT55" s="70">
        <f>SUM(Z55:AF55)</f>
        <v>0</v>
      </c>
      <c r="AU55" s="70">
        <f>SUM(AG55:AI55)</f>
        <v>0</v>
      </c>
      <c r="AV55" s="57">
        <f t="shared" si="63"/>
        <v>0</v>
      </c>
    </row>
    <row r="56" spans="1:48" ht="25.15" hidden="1" customHeight="1">
      <c r="A56" s="210" t="s">
        <v>245</v>
      </c>
      <c r="B56" s="213"/>
      <c r="C56" s="66"/>
      <c r="D56" s="67" t="s">
        <v>103</v>
      </c>
      <c r="E56" s="1100"/>
      <c r="F56" s="1101"/>
      <c r="G56" s="1209"/>
      <c r="H56" s="1101"/>
      <c r="I56" s="1101"/>
      <c r="J56" s="1209"/>
      <c r="K56" s="1209"/>
      <c r="L56" s="1101"/>
      <c r="M56" s="1101"/>
      <c r="N56" s="1101"/>
      <c r="O56" s="1101"/>
      <c r="P56" s="1101"/>
      <c r="Q56" s="1209"/>
      <c r="R56" s="1209"/>
      <c r="S56" s="1101"/>
      <c r="T56" s="1101"/>
      <c r="U56" s="1101"/>
      <c r="V56" s="1101"/>
      <c r="W56" s="1101"/>
      <c r="X56" s="1209"/>
      <c r="Y56" s="1209"/>
      <c r="Z56" s="1101"/>
      <c r="AA56" s="1101"/>
      <c r="AB56" s="1101"/>
      <c r="AC56" s="1101"/>
      <c r="AD56" s="1101"/>
      <c r="AE56" s="1209"/>
      <c r="AF56" s="1209"/>
      <c r="AG56" s="1101"/>
      <c r="AH56" s="1101"/>
      <c r="AI56" s="1332"/>
      <c r="AJ56" s="68">
        <f>SUM(E56:AI56)</f>
        <v>0</v>
      </c>
      <c r="AK56" s="983">
        <f t="shared" si="27"/>
        <v>0</v>
      </c>
      <c r="AL56" s="69">
        <f>+AJ56*AN51</f>
        <v>0</v>
      </c>
      <c r="AM56" s="989">
        <f t="shared" si="28"/>
        <v>0</v>
      </c>
      <c r="AN56" s="31"/>
      <c r="AO56" s="622"/>
      <c r="AP56" s="39" t="s">
        <v>19</v>
      </c>
      <c r="AQ56" s="56">
        <f>AQ55*AN51</f>
        <v>0</v>
      </c>
      <c r="AR56" s="56">
        <f>AR55*AN51</f>
        <v>0</v>
      </c>
      <c r="AS56" s="56">
        <f>AS55*AN51</f>
        <v>0</v>
      </c>
      <c r="AT56" s="56">
        <f>AT55*AN51</f>
        <v>0</v>
      </c>
      <c r="AU56" s="56">
        <f>AU55*AN51</f>
        <v>0</v>
      </c>
      <c r="AV56" s="57">
        <f t="shared" si="63"/>
        <v>0</v>
      </c>
    </row>
    <row r="57" spans="1:48" ht="25.15" hidden="1" customHeight="1">
      <c r="A57" s="210" t="s">
        <v>245</v>
      </c>
      <c r="B57" s="213"/>
      <c r="C57" s="72" t="s">
        <v>104</v>
      </c>
      <c r="D57" s="73" t="s">
        <v>105</v>
      </c>
      <c r="E57" s="1102"/>
      <c r="F57" s="1103"/>
      <c r="G57" s="1210"/>
      <c r="H57" s="1103"/>
      <c r="I57" s="1103"/>
      <c r="J57" s="1210"/>
      <c r="K57" s="1210"/>
      <c r="L57" s="1103"/>
      <c r="M57" s="1103"/>
      <c r="N57" s="1103"/>
      <c r="O57" s="1103"/>
      <c r="P57" s="1103"/>
      <c r="Q57" s="1210"/>
      <c r="R57" s="1210"/>
      <c r="S57" s="1103"/>
      <c r="T57" s="1103"/>
      <c r="U57" s="1103"/>
      <c r="V57" s="1103"/>
      <c r="W57" s="1103"/>
      <c r="X57" s="1210"/>
      <c r="Y57" s="1210"/>
      <c r="Z57" s="1103"/>
      <c r="AA57" s="1103"/>
      <c r="AB57" s="1103"/>
      <c r="AC57" s="1103"/>
      <c r="AD57" s="1103"/>
      <c r="AE57" s="1210"/>
      <c r="AF57" s="1210"/>
      <c r="AG57" s="1103"/>
      <c r="AH57" s="1103"/>
      <c r="AI57" s="1352"/>
      <c r="AJ57" s="74">
        <f>SUM(E57:AI57)</f>
        <v>0</v>
      </c>
      <c r="AK57" s="983">
        <f t="shared" si="27"/>
        <v>0</v>
      </c>
      <c r="AL57" s="75">
        <f>+AJ57*AN51</f>
        <v>0</v>
      </c>
      <c r="AM57" s="989">
        <f t="shared" si="28"/>
        <v>0</v>
      </c>
      <c r="AN57" s="31"/>
      <c r="AO57" s="622"/>
      <c r="AP57" s="47" t="s">
        <v>106</v>
      </c>
      <c r="AQ57" s="48">
        <f>AQ53*AN51</f>
        <v>0</v>
      </c>
      <c r="AR57" s="48">
        <f>AR53*AN51</f>
        <v>0</v>
      </c>
      <c r="AS57" s="48">
        <f>AS53*AN51</f>
        <v>0</v>
      </c>
      <c r="AT57" s="48">
        <f>AT53*AN51</f>
        <v>0</v>
      </c>
      <c r="AU57" s="48">
        <f>AU53*AN51</f>
        <v>0</v>
      </c>
      <c r="AV57" s="50">
        <f t="shared" si="63"/>
        <v>0</v>
      </c>
    </row>
    <row r="58" spans="1:48" ht="25.15" hidden="1" customHeight="1">
      <c r="A58" s="212"/>
      <c r="B58" s="65"/>
      <c r="C58" s="77">
        <v>300000</v>
      </c>
      <c r="D58" s="78" t="s">
        <v>107</v>
      </c>
      <c r="E58" s="1137">
        <v>4</v>
      </c>
      <c r="F58" s="1097">
        <v>4</v>
      </c>
      <c r="G58" s="1205">
        <v>4</v>
      </c>
      <c r="H58" s="1097">
        <v>4</v>
      </c>
      <c r="I58" s="1097">
        <v>4</v>
      </c>
      <c r="J58" s="1205">
        <v>4</v>
      </c>
      <c r="K58" s="1205">
        <v>4</v>
      </c>
      <c r="L58" s="1097">
        <v>4</v>
      </c>
      <c r="M58" s="1097">
        <v>4</v>
      </c>
      <c r="N58" s="1097">
        <v>4</v>
      </c>
      <c r="O58" s="1097">
        <v>4</v>
      </c>
      <c r="P58" s="1097">
        <v>4</v>
      </c>
      <c r="Q58" s="1205">
        <v>4</v>
      </c>
      <c r="R58" s="1205">
        <v>4</v>
      </c>
      <c r="S58" s="1097">
        <v>4</v>
      </c>
      <c r="T58" s="1097">
        <v>4</v>
      </c>
      <c r="U58" s="1097">
        <v>4</v>
      </c>
      <c r="V58" s="1097">
        <v>4</v>
      </c>
      <c r="W58" s="1097">
        <v>4</v>
      </c>
      <c r="X58" s="1205">
        <v>4</v>
      </c>
      <c r="Y58" s="1205">
        <v>4</v>
      </c>
      <c r="Z58" s="1097">
        <v>4</v>
      </c>
      <c r="AA58" s="1097">
        <v>4</v>
      </c>
      <c r="AB58" s="1097">
        <v>4</v>
      </c>
      <c r="AC58" s="1097">
        <v>4</v>
      </c>
      <c r="AD58" s="1097">
        <v>4</v>
      </c>
      <c r="AE58" s="1205">
        <v>4</v>
      </c>
      <c r="AF58" s="1205">
        <v>4</v>
      </c>
      <c r="AG58" s="1097">
        <v>4</v>
      </c>
      <c r="AH58" s="1097">
        <v>4</v>
      </c>
      <c r="AI58" s="1328">
        <v>4</v>
      </c>
      <c r="AJ58" s="79"/>
      <c r="AK58" s="983">
        <f t="shared" si="27"/>
        <v>0</v>
      </c>
      <c r="AL58" s="55"/>
      <c r="AM58" s="988">
        <f t="shared" si="28"/>
        <v>0</v>
      </c>
      <c r="AN58" s="31"/>
      <c r="AO58" s="622"/>
      <c r="AP58" s="47"/>
      <c r="AQ58" s="48"/>
      <c r="AR58" s="48"/>
      <c r="AS58" s="48"/>
      <c r="AT58" s="48"/>
      <c r="AU58" s="48"/>
      <c r="AV58" s="214"/>
    </row>
    <row r="59" spans="1:48" ht="25.15" hidden="1" customHeight="1">
      <c r="A59" s="210" t="s">
        <v>245</v>
      </c>
      <c r="B59" s="65"/>
      <c r="C59" s="80" t="s">
        <v>108</v>
      </c>
      <c r="D59" s="81" t="s">
        <v>109</v>
      </c>
      <c r="E59" s="1125">
        <f>SUM(E53+E55+E57)/E58</f>
        <v>0</v>
      </c>
      <c r="F59" s="1126">
        <f>SUM(F53+F55+F57)/F58</f>
        <v>0</v>
      </c>
      <c r="G59" s="1235">
        <f>SUM(G53+G55+G57)/G58</f>
        <v>0</v>
      </c>
      <c r="H59" s="1126">
        <f>SUM(H53+H55+H56+H57)/H58</f>
        <v>0</v>
      </c>
      <c r="I59" s="1126">
        <f t="shared" ref="I59:AI59" si="65">SUM(I53+I55+I56+I57)/I58</f>
        <v>0</v>
      </c>
      <c r="J59" s="1235">
        <f t="shared" si="65"/>
        <v>0</v>
      </c>
      <c r="K59" s="1235">
        <f t="shared" si="65"/>
        <v>0</v>
      </c>
      <c r="L59" s="1126">
        <f t="shared" si="65"/>
        <v>0</v>
      </c>
      <c r="M59" s="1126">
        <f t="shared" si="65"/>
        <v>0</v>
      </c>
      <c r="N59" s="1126">
        <f t="shared" si="65"/>
        <v>0</v>
      </c>
      <c r="O59" s="1126">
        <f t="shared" si="65"/>
        <v>0</v>
      </c>
      <c r="P59" s="1126">
        <f t="shared" si="65"/>
        <v>0</v>
      </c>
      <c r="Q59" s="1235">
        <f t="shared" si="65"/>
        <v>0</v>
      </c>
      <c r="R59" s="1235">
        <f t="shared" si="65"/>
        <v>0</v>
      </c>
      <c r="S59" s="1126">
        <f t="shared" si="65"/>
        <v>0</v>
      </c>
      <c r="T59" s="1126">
        <f t="shared" si="65"/>
        <v>0</v>
      </c>
      <c r="U59" s="1126">
        <f t="shared" si="65"/>
        <v>0</v>
      </c>
      <c r="V59" s="1126">
        <f t="shared" si="65"/>
        <v>0</v>
      </c>
      <c r="W59" s="1126">
        <f t="shared" si="65"/>
        <v>0</v>
      </c>
      <c r="X59" s="1235">
        <f t="shared" si="65"/>
        <v>0</v>
      </c>
      <c r="Y59" s="1235">
        <f t="shared" si="65"/>
        <v>0</v>
      </c>
      <c r="Z59" s="1126">
        <f t="shared" si="65"/>
        <v>0</v>
      </c>
      <c r="AA59" s="1126">
        <f t="shared" si="65"/>
        <v>0</v>
      </c>
      <c r="AB59" s="1126">
        <f t="shared" si="65"/>
        <v>0</v>
      </c>
      <c r="AC59" s="1126">
        <f t="shared" si="65"/>
        <v>0</v>
      </c>
      <c r="AD59" s="1126">
        <f t="shared" si="65"/>
        <v>0</v>
      </c>
      <c r="AE59" s="1235">
        <f t="shared" si="65"/>
        <v>0</v>
      </c>
      <c r="AF59" s="1235">
        <f t="shared" si="65"/>
        <v>0</v>
      </c>
      <c r="AG59" s="1126">
        <f t="shared" si="65"/>
        <v>0</v>
      </c>
      <c r="AH59" s="1126">
        <f t="shared" si="65"/>
        <v>0</v>
      </c>
      <c r="AI59" s="1335">
        <f t="shared" si="65"/>
        <v>0</v>
      </c>
      <c r="AJ59" s="515">
        <f>SUM(E59:AI59)</f>
        <v>0</v>
      </c>
      <c r="AK59" s="984">
        <f t="shared" si="27"/>
        <v>0</v>
      </c>
      <c r="AL59" s="83"/>
      <c r="AM59" s="989">
        <f t="shared" si="28"/>
        <v>0</v>
      </c>
      <c r="AN59" s="31"/>
      <c r="AO59" s="622"/>
      <c r="AP59" s="164"/>
      <c r="AQ59" s="164"/>
      <c r="AR59" s="164"/>
      <c r="AS59" s="164"/>
      <c r="AT59" s="164"/>
      <c r="AU59" s="164"/>
      <c r="AV59" s="164"/>
    </row>
    <row r="60" spans="1:48" ht="25.15" hidden="1" customHeight="1">
      <c r="A60" s="215"/>
      <c r="B60" s="89"/>
      <c r="C60" s="84">
        <f>+C58*0.8</f>
        <v>240000</v>
      </c>
      <c r="D60" s="85" t="s">
        <v>110</v>
      </c>
      <c r="E60" s="1105"/>
      <c r="F60" s="1104"/>
      <c r="G60" s="1211"/>
      <c r="H60" s="1104"/>
      <c r="I60" s="1104"/>
      <c r="J60" s="1211"/>
      <c r="K60" s="1211"/>
      <c r="L60" s="1104"/>
      <c r="M60" s="1104"/>
      <c r="N60" s="1104"/>
      <c r="O60" s="1104"/>
      <c r="P60" s="1104"/>
      <c r="Q60" s="1211"/>
      <c r="R60" s="1211"/>
      <c r="S60" s="1104"/>
      <c r="T60" s="1104"/>
      <c r="U60" s="1104"/>
      <c r="V60" s="1104"/>
      <c r="W60" s="1104"/>
      <c r="X60" s="1211"/>
      <c r="Y60" s="1211"/>
      <c r="Z60" s="1104"/>
      <c r="AA60" s="1104"/>
      <c r="AB60" s="1104"/>
      <c r="AC60" s="1104"/>
      <c r="AD60" s="1104"/>
      <c r="AE60" s="1211"/>
      <c r="AF60" s="1211"/>
      <c r="AG60" s="1104"/>
      <c r="AH60" s="1104"/>
      <c r="AI60" s="1353"/>
      <c r="AJ60" s="738"/>
      <c r="AK60" s="983">
        <f t="shared" si="27"/>
        <v>0</v>
      </c>
      <c r="AL60" s="63"/>
      <c r="AM60" s="989">
        <f t="shared" si="28"/>
        <v>0</v>
      </c>
      <c r="AN60" s="31"/>
      <c r="AO60" s="622"/>
      <c r="AP60" s="164"/>
      <c r="AQ60" s="164"/>
      <c r="AR60" s="164"/>
      <c r="AS60" s="164"/>
      <c r="AT60" s="164"/>
      <c r="AU60" s="164"/>
      <c r="AV60" s="164"/>
    </row>
    <row r="61" spans="1:48" ht="25.15" hidden="1" customHeight="1">
      <c r="A61" s="215"/>
      <c r="B61" s="89"/>
      <c r="C61" s="77"/>
      <c r="D61" s="88" t="s">
        <v>111</v>
      </c>
      <c r="E61" s="1125">
        <f>IF(E60="O/H",E59,0+E59)</f>
        <v>0</v>
      </c>
      <c r="F61" s="1126">
        <f>IF(F60="O/H",F59,+E61+F59)</f>
        <v>0</v>
      </c>
      <c r="G61" s="1235">
        <f t="shared" ref="G61:AI61" si="66">IF(G60="O/H",G59,+F61+G59)</f>
        <v>0</v>
      </c>
      <c r="H61" s="1126">
        <f t="shared" si="66"/>
        <v>0</v>
      </c>
      <c r="I61" s="1126">
        <f t="shared" si="66"/>
        <v>0</v>
      </c>
      <c r="J61" s="1235">
        <f t="shared" si="66"/>
        <v>0</v>
      </c>
      <c r="K61" s="1235">
        <f t="shared" si="66"/>
        <v>0</v>
      </c>
      <c r="L61" s="1126">
        <f t="shared" si="66"/>
        <v>0</v>
      </c>
      <c r="M61" s="1126">
        <f t="shared" si="66"/>
        <v>0</v>
      </c>
      <c r="N61" s="1126">
        <f t="shared" si="66"/>
        <v>0</v>
      </c>
      <c r="O61" s="1126">
        <f t="shared" si="66"/>
        <v>0</v>
      </c>
      <c r="P61" s="1126">
        <f t="shared" si="66"/>
        <v>0</v>
      </c>
      <c r="Q61" s="1235">
        <f t="shared" si="66"/>
        <v>0</v>
      </c>
      <c r="R61" s="1235">
        <f t="shared" si="66"/>
        <v>0</v>
      </c>
      <c r="S61" s="1126">
        <f t="shared" si="66"/>
        <v>0</v>
      </c>
      <c r="T61" s="1126">
        <f t="shared" si="66"/>
        <v>0</v>
      </c>
      <c r="U61" s="1126">
        <f t="shared" si="66"/>
        <v>0</v>
      </c>
      <c r="V61" s="1126">
        <f t="shared" si="66"/>
        <v>0</v>
      </c>
      <c r="W61" s="1126">
        <f t="shared" si="66"/>
        <v>0</v>
      </c>
      <c r="X61" s="1235">
        <f t="shared" si="66"/>
        <v>0</v>
      </c>
      <c r="Y61" s="1235">
        <f t="shared" si="66"/>
        <v>0</v>
      </c>
      <c r="Z61" s="1126">
        <f t="shared" si="66"/>
        <v>0</v>
      </c>
      <c r="AA61" s="1126">
        <f t="shared" si="66"/>
        <v>0</v>
      </c>
      <c r="AB61" s="1126">
        <f t="shared" si="66"/>
        <v>0</v>
      </c>
      <c r="AC61" s="1126">
        <f t="shared" si="66"/>
        <v>0</v>
      </c>
      <c r="AD61" s="1126">
        <f t="shared" si="66"/>
        <v>0</v>
      </c>
      <c r="AE61" s="1235">
        <f t="shared" si="66"/>
        <v>0</v>
      </c>
      <c r="AF61" s="1235">
        <f t="shared" si="66"/>
        <v>0</v>
      </c>
      <c r="AG61" s="1126">
        <f t="shared" si="66"/>
        <v>0</v>
      </c>
      <c r="AH61" s="1126">
        <f t="shared" si="66"/>
        <v>0</v>
      </c>
      <c r="AI61" s="1335">
        <f t="shared" si="66"/>
        <v>0</v>
      </c>
      <c r="AJ61" s="515"/>
      <c r="AK61" s="984">
        <f t="shared" si="27"/>
        <v>0</v>
      </c>
      <c r="AL61" s="83"/>
      <c r="AM61" s="989">
        <f t="shared" si="28"/>
        <v>0</v>
      </c>
      <c r="AN61" s="31"/>
      <c r="AO61" s="622"/>
      <c r="AP61" s="164"/>
      <c r="AQ61" s="164"/>
      <c r="AR61" s="164"/>
      <c r="AS61" s="164"/>
      <c r="AT61" s="164"/>
      <c r="AU61" s="164"/>
      <c r="AV61" s="164"/>
    </row>
    <row r="62" spans="1:48" s="23" customFormat="1" ht="20.65" hidden="1" customHeight="1">
      <c r="A62" s="274"/>
      <c r="B62" s="312"/>
      <c r="C62" s="308"/>
      <c r="D62" s="795" t="s">
        <v>112</v>
      </c>
      <c r="E62" s="1108" t="b">
        <f>IF(AND(ISNUMBER(E53)),1412882+E59)</f>
        <v>0</v>
      </c>
      <c r="F62" s="1089" t="str">
        <f>IF(AND(ISNUMBER(F53)),E62+F59,"")</f>
        <v/>
      </c>
      <c r="G62" s="44" t="str">
        <f t="shared" ref="G62:H62" si="67">IF(AND(ISNUMBER(G53)),F62+G59,"")</f>
        <v/>
      </c>
      <c r="H62" s="1089" t="str">
        <f t="shared" si="67"/>
        <v/>
      </c>
      <c r="I62" s="1089" t="str">
        <f>IF(AND(ISNUMBER(I53)),H62+I59,"")</f>
        <v/>
      </c>
      <c r="J62" s="44" t="str">
        <f>IF(AND(ISNUMBER(J53)),I62+J59,"")</f>
        <v/>
      </c>
      <c r="K62" s="44" t="str">
        <f>IF(AND(ISNUMBER(K53)),J62+K59,"")</f>
        <v/>
      </c>
      <c r="L62" s="1089" t="str">
        <f t="shared" ref="L62:AI62" si="68">IF(AND(ISNUMBER(L53)),K62+L59,"")</f>
        <v/>
      </c>
      <c r="M62" s="1089" t="str">
        <f t="shared" si="68"/>
        <v/>
      </c>
      <c r="N62" s="1089" t="str">
        <f t="shared" si="68"/>
        <v/>
      </c>
      <c r="O62" s="1089" t="str">
        <f t="shared" si="68"/>
        <v/>
      </c>
      <c r="P62" s="1089" t="str">
        <f t="shared" si="68"/>
        <v/>
      </c>
      <c r="Q62" s="44" t="str">
        <f t="shared" si="68"/>
        <v/>
      </c>
      <c r="R62" s="44" t="str">
        <f t="shared" si="68"/>
        <v/>
      </c>
      <c r="S62" s="1089" t="str">
        <f t="shared" si="68"/>
        <v/>
      </c>
      <c r="T62" s="1089" t="str">
        <f t="shared" si="68"/>
        <v/>
      </c>
      <c r="U62" s="1089" t="str">
        <f t="shared" si="68"/>
        <v/>
      </c>
      <c r="V62" s="1089" t="str">
        <f t="shared" si="68"/>
        <v/>
      </c>
      <c r="W62" s="1089" t="str">
        <f t="shared" si="68"/>
        <v/>
      </c>
      <c r="X62" s="44" t="str">
        <f t="shared" si="68"/>
        <v/>
      </c>
      <c r="Y62" s="44" t="str">
        <f t="shared" si="68"/>
        <v/>
      </c>
      <c r="Z62" s="1089" t="str">
        <f t="shared" si="68"/>
        <v/>
      </c>
      <c r="AA62" s="1089" t="str">
        <f t="shared" si="68"/>
        <v/>
      </c>
      <c r="AB62" s="1089" t="str">
        <f t="shared" si="68"/>
        <v/>
      </c>
      <c r="AC62" s="1089" t="str">
        <f t="shared" si="68"/>
        <v/>
      </c>
      <c r="AD62" s="1089" t="str">
        <f t="shared" si="68"/>
        <v/>
      </c>
      <c r="AE62" s="44" t="str">
        <f t="shared" si="68"/>
        <v/>
      </c>
      <c r="AF62" s="44" t="str">
        <f t="shared" si="68"/>
        <v/>
      </c>
      <c r="AG62" s="1089" t="str">
        <f t="shared" si="68"/>
        <v/>
      </c>
      <c r="AH62" s="1089" t="str">
        <f t="shared" si="68"/>
        <v/>
      </c>
      <c r="AI62" s="1089" t="str">
        <f t="shared" si="68"/>
        <v/>
      </c>
      <c r="AJ62" s="793"/>
      <c r="AK62" s="985">
        <f t="shared" si="27"/>
        <v>0</v>
      </c>
      <c r="AL62" s="909"/>
      <c r="AM62" s="987">
        <f t="shared" si="28"/>
        <v>0</v>
      </c>
      <c r="AN62" s="76"/>
      <c r="AO62" s="630"/>
      <c r="AP62" s="285"/>
      <c r="AQ62" s="285"/>
      <c r="AR62" s="285"/>
      <c r="AS62" s="285"/>
      <c r="AT62" s="286"/>
      <c r="AU62" s="285"/>
      <c r="AV62" s="287"/>
    </row>
    <row r="63" spans="1:48" ht="25.15" hidden="1" customHeight="1">
      <c r="A63" s="215" t="s">
        <v>242</v>
      </c>
      <c r="B63" s="65" t="s">
        <v>250</v>
      </c>
      <c r="C63" s="80"/>
      <c r="D63" s="90" t="s">
        <v>104</v>
      </c>
      <c r="E63" s="1137"/>
      <c r="F63" s="1097"/>
      <c r="G63" s="1205"/>
      <c r="H63" s="1097"/>
      <c r="I63" s="1097"/>
      <c r="J63" s="1205"/>
      <c r="K63" s="1205"/>
      <c r="L63" s="1097"/>
      <c r="M63" s="1097"/>
      <c r="N63" s="1097"/>
      <c r="O63" s="1097"/>
      <c r="P63" s="1097"/>
      <c r="Q63" s="1205"/>
      <c r="R63" s="1205"/>
      <c r="S63" s="1097"/>
      <c r="T63" s="1097"/>
      <c r="U63" s="1097"/>
      <c r="V63" s="1097"/>
      <c r="W63" s="1097"/>
      <c r="X63" s="1205"/>
      <c r="Y63" s="1205"/>
      <c r="Z63" s="1097"/>
      <c r="AA63" s="1097"/>
      <c r="AB63" s="1097"/>
      <c r="AC63" s="1097"/>
      <c r="AD63" s="1097"/>
      <c r="AE63" s="1205"/>
      <c r="AF63" s="1205"/>
      <c r="AG63" s="1097"/>
      <c r="AH63" s="1097"/>
      <c r="AI63" s="1328"/>
      <c r="AJ63" s="62"/>
      <c r="AK63" s="983">
        <f>AJ79</f>
        <v>350000</v>
      </c>
      <c r="AL63" s="55"/>
      <c r="AM63" s="988">
        <f>AL79</f>
        <v>719456.5</v>
      </c>
      <c r="AN63" s="31"/>
      <c r="AO63" s="622"/>
      <c r="AP63" s="164"/>
      <c r="AQ63" s="164"/>
      <c r="AR63" s="164"/>
      <c r="AS63" s="164"/>
      <c r="AT63" s="164"/>
      <c r="AU63" s="164"/>
      <c r="AV63" s="164"/>
    </row>
    <row r="64" spans="1:48" ht="25.15" hidden="1" customHeight="1" thickBot="1">
      <c r="A64" s="216" t="s">
        <v>242</v>
      </c>
      <c r="B64" s="93"/>
      <c r="C64" s="94"/>
      <c r="D64" s="230" t="s">
        <v>258</v>
      </c>
      <c r="E64" s="1453">
        <f>IF(E63="O/H",E59,0+E59)</f>
        <v>0</v>
      </c>
      <c r="F64" s="1128">
        <f t="shared" ref="F64:AI64" si="69">IF(F63="O/H",F59,+E64+F59)</f>
        <v>0</v>
      </c>
      <c r="G64" s="1303">
        <f t="shared" si="69"/>
        <v>0</v>
      </c>
      <c r="H64" s="1128">
        <f t="shared" si="69"/>
        <v>0</v>
      </c>
      <c r="I64" s="1128">
        <f t="shared" si="69"/>
        <v>0</v>
      </c>
      <c r="J64" s="1303">
        <f t="shared" si="69"/>
        <v>0</v>
      </c>
      <c r="K64" s="1303">
        <f t="shared" si="69"/>
        <v>0</v>
      </c>
      <c r="L64" s="1128">
        <f t="shared" si="69"/>
        <v>0</v>
      </c>
      <c r="M64" s="1128">
        <f t="shared" si="69"/>
        <v>0</v>
      </c>
      <c r="N64" s="1128">
        <f t="shared" si="69"/>
        <v>0</v>
      </c>
      <c r="O64" s="1128">
        <f t="shared" si="69"/>
        <v>0</v>
      </c>
      <c r="P64" s="1128">
        <f t="shared" si="69"/>
        <v>0</v>
      </c>
      <c r="Q64" s="1303">
        <f t="shared" si="69"/>
        <v>0</v>
      </c>
      <c r="R64" s="1303">
        <f t="shared" si="69"/>
        <v>0</v>
      </c>
      <c r="S64" s="1128">
        <f t="shared" si="69"/>
        <v>0</v>
      </c>
      <c r="T64" s="1128">
        <f t="shared" si="69"/>
        <v>0</v>
      </c>
      <c r="U64" s="1128">
        <f t="shared" si="69"/>
        <v>0</v>
      </c>
      <c r="V64" s="1128">
        <f t="shared" si="69"/>
        <v>0</v>
      </c>
      <c r="W64" s="1128">
        <f t="shared" si="69"/>
        <v>0</v>
      </c>
      <c r="X64" s="1303">
        <f t="shared" si="69"/>
        <v>0</v>
      </c>
      <c r="Y64" s="1303">
        <f t="shared" si="69"/>
        <v>0</v>
      </c>
      <c r="Z64" s="1128">
        <f t="shared" si="69"/>
        <v>0</v>
      </c>
      <c r="AA64" s="1128">
        <f t="shared" si="69"/>
        <v>0</v>
      </c>
      <c r="AB64" s="1128">
        <f t="shared" si="69"/>
        <v>0</v>
      </c>
      <c r="AC64" s="1128">
        <f t="shared" si="69"/>
        <v>0</v>
      </c>
      <c r="AD64" s="1128">
        <f t="shared" si="69"/>
        <v>0</v>
      </c>
      <c r="AE64" s="1303">
        <f t="shared" si="69"/>
        <v>0</v>
      </c>
      <c r="AF64" s="1303">
        <f t="shared" si="69"/>
        <v>0</v>
      </c>
      <c r="AG64" s="1128">
        <f t="shared" si="69"/>
        <v>0</v>
      </c>
      <c r="AH64" s="1128">
        <f t="shared" si="69"/>
        <v>0</v>
      </c>
      <c r="AI64" s="1454">
        <f t="shared" si="69"/>
        <v>0</v>
      </c>
      <c r="AJ64" s="739"/>
      <c r="AK64" s="986">
        <f>AJ80</f>
        <v>406800</v>
      </c>
      <c r="AL64" s="217"/>
      <c r="AM64" s="990">
        <f>AL80</f>
        <v>836214.01199999999</v>
      </c>
      <c r="AN64" s="98"/>
      <c r="AO64" s="625"/>
      <c r="AP64" s="164"/>
      <c r="AQ64" s="164"/>
      <c r="AR64" s="164"/>
      <c r="AS64" s="164"/>
      <c r="AT64" s="164"/>
      <c r="AU64" s="164"/>
      <c r="AV64" s="164"/>
    </row>
    <row r="65" spans="1:48" ht="20.65" customHeight="1" thickTop="1">
      <c r="A65" s="943" t="s">
        <v>253</v>
      </c>
      <c r="B65" s="1496" t="s">
        <v>611</v>
      </c>
      <c r="C65" s="1495" t="str">
        <f>Table5[[#This Row],[M/C No.]]</f>
        <v>A15(50Ton)</v>
      </c>
      <c r="D65" s="28" t="s">
        <v>82</v>
      </c>
      <c r="E65" s="1124">
        <v>10000</v>
      </c>
      <c r="F65" s="1124">
        <v>20000</v>
      </c>
      <c r="G65" s="1242">
        <v>0</v>
      </c>
      <c r="H65" s="1124">
        <v>10000</v>
      </c>
      <c r="I65" s="1124">
        <v>20000</v>
      </c>
      <c r="J65" s="1242">
        <v>0</v>
      </c>
      <c r="K65" s="1242">
        <v>0</v>
      </c>
      <c r="L65" s="1124">
        <v>10000</v>
      </c>
      <c r="M65" s="1124">
        <v>20000</v>
      </c>
      <c r="N65" s="1124">
        <v>20000</v>
      </c>
      <c r="O65" s="1124">
        <v>20000</v>
      </c>
      <c r="P65" s="1124">
        <v>20000</v>
      </c>
      <c r="Q65" s="1242">
        <v>0</v>
      </c>
      <c r="R65" s="1242">
        <v>0</v>
      </c>
      <c r="S65" s="1124">
        <v>10000</v>
      </c>
      <c r="T65" s="1124">
        <v>20000</v>
      </c>
      <c r="U65" s="1124">
        <v>20000</v>
      </c>
      <c r="V65" s="1124">
        <v>20000</v>
      </c>
      <c r="W65" s="1124">
        <v>20000</v>
      </c>
      <c r="X65" s="1242">
        <v>0</v>
      </c>
      <c r="Y65" s="1242">
        <v>0</v>
      </c>
      <c r="Z65" s="1124">
        <v>10000</v>
      </c>
      <c r="AA65" s="1124">
        <v>20000</v>
      </c>
      <c r="AB65" s="1124">
        <v>20000</v>
      </c>
      <c r="AC65" s="1124">
        <v>20000</v>
      </c>
      <c r="AD65" s="1124">
        <v>20000</v>
      </c>
      <c r="AE65" s="1242">
        <v>0</v>
      </c>
      <c r="AF65" s="1242">
        <v>0</v>
      </c>
      <c r="AG65" s="1124">
        <v>10000</v>
      </c>
      <c r="AH65" s="1124">
        <v>10000</v>
      </c>
      <c r="AI65" s="1124"/>
      <c r="AJ65" s="100">
        <f>SUM(E65:AI65)</f>
        <v>350000</v>
      </c>
      <c r="AK65" s="1000">
        <f t="shared" ref="AK65:AK78" si="70">AJ67</f>
        <v>406800</v>
      </c>
      <c r="AL65" s="101">
        <f>+AJ65*AN65</f>
        <v>719456.5</v>
      </c>
      <c r="AM65" s="1001">
        <f t="shared" ref="AM65:AM78" si="71">AL67</f>
        <v>836214.01199999999</v>
      </c>
      <c r="AN65" s="102">
        <v>2.05559</v>
      </c>
      <c r="AO65" s="622">
        <f>Table5[[#This Row],[Total]]*B69/1000</f>
        <v>145.25</v>
      </c>
      <c r="AP65" s="32" t="s">
        <v>251</v>
      </c>
      <c r="AQ65" s="33" t="s">
        <v>84</v>
      </c>
      <c r="AR65" s="33" t="s">
        <v>85</v>
      </c>
      <c r="AS65" s="33" t="s">
        <v>86</v>
      </c>
      <c r="AT65" s="33" t="s">
        <v>87</v>
      </c>
      <c r="AU65" s="33" t="s">
        <v>88</v>
      </c>
      <c r="AV65" s="34" t="s">
        <v>68</v>
      </c>
    </row>
    <row r="66" spans="1:48" ht="29.25" customHeight="1">
      <c r="A66" s="229"/>
      <c r="B66" s="211" t="s">
        <v>255</v>
      </c>
      <c r="C66" s="36"/>
      <c r="D66" s="37" t="s">
        <v>90</v>
      </c>
      <c r="E66" s="1323">
        <f>IF(E65="",0,+ E65/E72)</f>
        <v>2500</v>
      </c>
      <c r="F66" s="1096">
        <f t="shared" ref="F66" si="72">IF(F65="",0, E66+F65/F72)</f>
        <v>7500</v>
      </c>
      <c r="G66" s="1207">
        <f t="shared" ref="G66" si="73">IF(G65="",0, F66+G65/G72)</f>
        <v>7500</v>
      </c>
      <c r="H66" s="1096">
        <f t="shared" ref="H66" si="74">IF(H65="",0, G66+H65/H72)</f>
        <v>10000</v>
      </c>
      <c r="I66" s="1096">
        <f t="shared" ref="I66" si="75">IF(I65="",0, H66+I65/I72)</f>
        <v>15000</v>
      </c>
      <c r="J66" s="1207">
        <f t="shared" ref="J66" si="76">IF(J65="",0, I66+J65/J72)</f>
        <v>15000</v>
      </c>
      <c r="K66" s="1207">
        <f t="shared" ref="K66" si="77">IF(K65="",0, J66+K65/K72)</f>
        <v>15000</v>
      </c>
      <c r="L66" s="1096">
        <f t="shared" ref="L66" si="78">IF(L65="",0, K66+L65/L72)</f>
        <v>17500</v>
      </c>
      <c r="M66" s="1096">
        <f t="shared" ref="M66" si="79">IF(M65="",0, L66+M65/M72)</f>
        <v>22500</v>
      </c>
      <c r="N66" s="1096">
        <f t="shared" ref="N66" si="80">IF(N65="",0, M66+N65/N72)</f>
        <v>27500</v>
      </c>
      <c r="O66" s="1096">
        <f t="shared" ref="O66" si="81">IF(O65="",0, N66+O65/O72)</f>
        <v>32500</v>
      </c>
      <c r="P66" s="1096">
        <f t="shared" ref="P66" si="82">IF(P65="",0, O66+P65/P72)</f>
        <v>37500</v>
      </c>
      <c r="Q66" s="1207">
        <f t="shared" ref="Q66" si="83">IF(Q65="",0, P66+Q65/Q72)</f>
        <v>37500</v>
      </c>
      <c r="R66" s="1207">
        <f t="shared" ref="R66" si="84">IF(R65="",0, Q66+R65/R72)</f>
        <v>37500</v>
      </c>
      <c r="S66" s="1096">
        <f t="shared" ref="S66" si="85">IF(S65="",0, R66+S65/S72)</f>
        <v>40000</v>
      </c>
      <c r="T66" s="1096">
        <f t="shared" ref="T66" si="86">IF(T65="",0, S66+T65/T72)</f>
        <v>45000</v>
      </c>
      <c r="U66" s="1096">
        <f t="shared" ref="U66" si="87">IF(U65="",0, T66+U65/U72)</f>
        <v>50000</v>
      </c>
      <c r="V66" s="1096">
        <f t="shared" ref="V66" si="88">IF(V65="",0, U66+V65/V72)</f>
        <v>55000</v>
      </c>
      <c r="W66" s="1096">
        <f t="shared" ref="W66" si="89">IF(W65="",0, V66+W65/W72)</f>
        <v>60000</v>
      </c>
      <c r="X66" s="1207">
        <f t="shared" ref="X66" si="90">IF(X65="",0, W66+X65/X72)</f>
        <v>60000</v>
      </c>
      <c r="Y66" s="1207">
        <f t="shared" ref="Y66" si="91">IF(Y65="",0, X66+Y65/Y72)</f>
        <v>60000</v>
      </c>
      <c r="Z66" s="1096">
        <f t="shared" ref="Z66" si="92">IF(Z65="",0, Y66+Z65/Z72)</f>
        <v>62500</v>
      </c>
      <c r="AA66" s="1096">
        <f t="shared" ref="AA66" si="93">IF(AA65="",0, Z66+AA65/AA72)</f>
        <v>67500</v>
      </c>
      <c r="AB66" s="1096">
        <f t="shared" ref="AB66" si="94">IF(AB65="",0, AA66+AB65/AB72)</f>
        <v>72500</v>
      </c>
      <c r="AC66" s="1096">
        <f t="shared" ref="AC66" si="95">IF(AC65="",0, AB66+AC65/AC72)</f>
        <v>77500</v>
      </c>
      <c r="AD66" s="1096">
        <f>IF(AD65="",0, Z66+AD65/AD72)</f>
        <v>67500</v>
      </c>
      <c r="AE66" s="1207">
        <f>IF(AE65="",0, AA66+AE65/AE72)</f>
        <v>67500</v>
      </c>
      <c r="AF66" s="1207">
        <f>IF(AF65="",0, AB66+AF65/AF72)</f>
        <v>72500</v>
      </c>
      <c r="AG66" s="1096">
        <f>IF(AG65="",0, AC66+AG65/AG72)</f>
        <v>80000</v>
      </c>
      <c r="AH66" s="1096">
        <f>IF(AH65="",0, AD66+AH65/AH72)</f>
        <v>70000</v>
      </c>
      <c r="AI66" s="1324">
        <f>IF(AI65="",0, AH66+AI65/AI72)</f>
        <v>0</v>
      </c>
      <c r="AJ66" s="716"/>
      <c r="AK66" s="982">
        <f t="shared" si="70"/>
        <v>56800</v>
      </c>
      <c r="AL66" s="209"/>
      <c r="AM66" s="987">
        <f t="shared" si="71"/>
        <v>116757.512</v>
      </c>
      <c r="AN66" s="91"/>
      <c r="AO66" s="630"/>
      <c r="AP66" s="39" t="s">
        <v>91</v>
      </c>
      <c r="AQ66" s="40">
        <f>SUM(E65:H65)</f>
        <v>40000</v>
      </c>
      <c r="AR66" s="41">
        <f>SUM(I65:O65)</f>
        <v>90000</v>
      </c>
      <c r="AS66" s="41">
        <f>SUM(P65:V65)</f>
        <v>90000</v>
      </c>
      <c r="AT66" s="41">
        <f>SUM(W65:AC65)</f>
        <v>90000</v>
      </c>
      <c r="AU66" s="41">
        <f>SUM(AD65:AI65)</f>
        <v>40000</v>
      </c>
      <c r="AV66" s="34">
        <f t="shared" ref="AV66:AV71" si="96">SUM(AQ66:AU66)</f>
        <v>350000</v>
      </c>
    </row>
    <row r="67" spans="1:48" ht="27.75" customHeight="1">
      <c r="A67" s="210" t="s">
        <v>245</v>
      </c>
      <c r="B67" s="211" t="s">
        <v>246</v>
      </c>
      <c r="C67" s="42"/>
      <c r="D67" s="43" t="s">
        <v>93</v>
      </c>
      <c r="E67" s="1325">
        <v>6000</v>
      </c>
      <c r="F67" s="1089">
        <v>20400</v>
      </c>
      <c r="G67" s="44">
        <v>0</v>
      </c>
      <c r="H67" s="1089">
        <v>6000</v>
      </c>
      <c r="I67" s="1089">
        <v>21600</v>
      </c>
      <c r="J67" s="44">
        <v>20400</v>
      </c>
      <c r="K67" s="44">
        <v>21600</v>
      </c>
      <c r="L67" s="1089">
        <v>20400</v>
      </c>
      <c r="M67" s="1089">
        <v>20400</v>
      </c>
      <c r="N67" s="1089">
        <v>20400</v>
      </c>
      <c r="O67" s="1089">
        <v>21600</v>
      </c>
      <c r="P67" s="1089">
        <v>19200</v>
      </c>
      <c r="Q67" s="44">
        <v>20400</v>
      </c>
      <c r="R67" s="44">
        <v>20400</v>
      </c>
      <c r="S67" s="1089">
        <v>20400</v>
      </c>
      <c r="T67" s="1089">
        <v>20400</v>
      </c>
      <c r="U67" s="1089">
        <v>18000</v>
      </c>
      <c r="V67" s="1089">
        <v>19200</v>
      </c>
      <c r="W67" s="1089">
        <v>19200</v>
      </c>
      <c r="X67" s="44">
        <v>19200</v>
      </c>
      <c r="Y67" s="44">
        <v>21600</v>
      </c>
      <c r="Z67" s="1089">
        <v>20400</v>
      </c>
      <c r="AA67" s="1089">
        <v>9600</v>
      </c>
      <c r="AB67" s="1089"/>
      <c r="AC67" s="1089"/>
      <c r="AD67" s="1089"/>
      <c r="AE67" s="44"/>
      <c r="AF67" s="44"/>
      <c r="AG67" s="1089"/>
      <c r="AH67" s="1089"/>
      <c r="AI67" s="1326"/>
      <c r="AJ67" s="45">
        <f>SUM(E67:AI67)</f>
        <v>406800</v>
      </c>
      <c r="AK67" s="983">
        <f t="shared" si="70"/>
        <v>860</v>
      </c>
      <c r="AL67" s="46">
        <f>+AJ67*AN65</f>
        <v>836214.01199999999</v>
      </c>
      <c r="AM67" s="988">
        <f t="shared" si="71"/>
        <v>1767.8073999999999</v>
      </c>
      <c r="AN67" s="31"/>
      <c r="AO67" s="632">
        <f>(AJ67+AJ69+AJ70+AJ71)*B69/1000</f>
        <v>169.99894</v>
      </c>
      <c r="AP67" s="47" t="s">
        <v>94</v>
      </c>
      <c r="AQ67" s="48">
        <f>SUM(E67:H67)</f>
        <v>32400</v>
      </c>
      <c r="AR67" s="49">
        <f>SUM(I67:O67)</f>
        <v>146400</v>
      </c>
      <c r="AS67" s="49">
        <f>SUM(P67:V67)</f>
        <v>138000</v>
      </c>
      <c r="AT67" s="49">
        <f>SUM(W67:AC67)</f>
        <v>90000</v>
      </c>
      <c r="AU67" s="49">
        <f>SUM(AD67:AI67)</f>
        <v>0</v>
      </c>
      <c r="AV67" s="50">
        <f t="shared" si="96"/>
        <v>406800</v>
      </c>
    </row>
    <row r="68" spans="1:48" ht="20.65" customHeight="1">
      <c r="A68" s="210" t="s">
        <v>245</v>
      </c>
      <c r="B68" s="763" t="s">
        <v>247</v>
      </c>
      <c r="C68" s="52" t="s">
        <v>95</v>
      </c>
      <c r="D68" s="53" t="s">
        <v>96</v>
      </c>
      <c r="E68" s="1097">
        <f t="shared" ref="E68:AJ68" si="97">+E67-E65</f>
        <v>-4000</v>
      </c>
      <c r="F68" s="1097">
        <f t="shared" si="97"/>
        <v>400</v>
      </c>
      <c r="G68" s="1205">
        <f t="shared" si="97"/>
        <v>0</v>
      </c>
      <c r="H68" s="1097">
        <f t="shared" si="97"/>
        <v>-4000</v>
      </c>
      <c r="I68" s="1097">
        <f t="shared" si="97"/>
        <v>1600</v>
      </c>
      <c r="J68" s="1205">
        <f t="shared" si="97"/>
        <v>20400</v>
      </c>
      <c r="K68" s="1205">
        <f t="shared" si="97"/>
        <v>21600</v>
      </c>
      <c r="L68" s="1097">
        <f t="shared" si="97"/>
        <v>10400</v>
      </c>
      <c r="M68" s="1097">
        <f t="shared" si="97"/>
        <v>400</v>
      </c>
      <c r="N68" s="1097">
        <f t="shared" si="97"/>
        <v>400</v>
      </c>
      <c r="O68" s="1097">
        <f t="shared" si="97"/>
        <v>1600</v>
      </c>
      <c r="P68" s="1097">
        <f t="shared" si="97"/>
        <v>-800</v>
      </c>
      <c r="Q68" s="1205">
        <f t="shared" si="97"/>
        <v>20400</v>
      </c>
      <c r="R68" s="1205">
        <f t="shared" si="97"/>
        <v>20400</v>
      </c>
      <c r="S68" s="1097">
        <f t="shared" si="97"/>
        <v>10400</v>
      </c>
      <c r="T68" s="1097">
        <f t="shared" si="97"/>
        <v>400</v>
      </c>
      <c r="U68" s="1097">
        <f t="shared" si="97"/>
        <v>-2000</v>
      </c>
      <c r="V68" s="1097">
        <f t="shared" si="97"/>
        <v>-800</v>
      </c>
      <c r="W68" s="1097">
        <f t="shared" si="97"/>
        <v>-800</v>
      </c>
      <c r="X68" s="1205">
        <f t="shared" si="97"/>
        <v>19200</v>
      </c>
      <c r="Y68" s="1205">
        <f t="shared" si="97"/>
        <v>21600</v>
      </c>
      <c r="Z68" s="1097">
        <f t="shared" si="97"/>
        <v>10400</v>
      </c>
      <c r="AA68" s="1097">
        <f t="shared" si="97"/>
        <v>-10400</v>
      </c>
      <c r="AB68" s="1097">
        <f t="shared" si="97"/>
        <v>-20000</v>
      </c>
      <c r="AC68" s="1097">
        <f t="shared" si="97"/>
        <v>-20000</v>
      </c>
      <c r="AD68" s="1097">
        <f t="shared" si="97"/>
        <v>-20000</v>
      </c>
      <c r="AE68" s="1205">
        <f t="shared" si="97"/>
        <v>0</v>
      </c>
      <c r="AF68" s="1205">
        <f t="shared" si="97"/>
        <v>0</v>
      </c>
      <c r="AG68" s="1097">
        <f t="shared" si="97"/>
        <v>-10000</v>
      </c>
      <c r="AH68" s="1097">
        <f t="shared" si="97"/>
        <v>-10000</v>
      </c>
      <c r="AI68" s="1328">
        <f t="shared" si="97"/>
        <v>0</v>
      </c>
      <c r="AJ68" s="79">
        <f t="shared" si="97"/>
        <v>56800</v>
      </c>
      <c r="AK68" s="983">
        <f t="shared" si="70"/>
        <v>1976</v>
      </c>
      <c r="AL68" s="55">
        <f>+AJ68*AN65</f>
        <v>116757.512</v>
      </c>
      <c r="AM68" s="988">
        <f t="shared" si="71"/>
        <v>4061.84584</v>
      </c>
      <c r="AN68" s="31" t="s">
        <v>97</v>
      </c>
      <c r="AO68" s="622"/>
      <c r="AP68" s="39" t="s">
        <v>98</v>
      </c>
      <c r="AQ68" s="56">
        <f>AQ67-AQ66</f>
        <v>-7600</v>
      </c>
      <c r="AR68" s="70">
        <f>AR67-AR66</f>
        <v>56400</v>
      </c>
      <c r="AS68" s="70">
        <f>AS67-AS66</f>
        <v>48000</v>
      </c>
      <c r="AT68" s="70">
        <f>AT67-AT66</f>
        <v>0</v>
      </c>
      <c r="AU68" s="70">
        <f>AU67-AU66</f>
        <v>-40000</v>
      </c>
      <c r="AV68" s="57">
        <f t="shared" si="96"/>
        <v>56800</v>
      </c>
    </row>
    <row r="69" spans="1:48" ht="20.65" customHeight="1">
      <c r="A69" s="212"/>
      <c r="B69" s="763">
        <v>0.41499999999999998</v>
      </c>
      <c r="C69" s="60" t="s">
        <v>100</v>
      </c>
      <c r="D69" s="61" t="s">
        <v>101</v>
      </c>
      <c r="E69" s="1367">
        <v>440</v>
      </c>
      <c r="F69" s="1099">
        <v>0</v>
      </c>
      <c r="G69" s="1208">
        <v>0</v>
      </c>
      <c r="H69" s="1099">
        <f>120+300</f>
        <v>420</v>
      </c>
      <c r="I69" s="1099">
        <v>0</v>
      </c>
      <c r="J69" s="1208">
        <v>0</v>
      </c>
      <c r="K69" s="1208">
        <v>0</v>
      </c>
      <c r="L69" s="1099">
        <v>0</v>
      </c>
      <c r="M69" s="1099">
        <v>0</v>
      </c>
      <c r="N69" s="1099">
        <v>0</v>
      </c>
      <c r="O69" s="1099">
        <v>0</v>
      </c>
      <c r="P69" s="1099">
        <v>0</v>
      </c>
      <c r="Q69" s="1208">
        <v>0</v>
      </c>
      <c r="R69" s="1208">
        <v>0</v>
      </c>
      <c r="S69" s="1099">
        <v>0</v>
      </c>
      <c r="T69" s="1099">
        <v>0</v>
      </c>
      <c r="U69" s="1099">
        <v>0</v>
      </c>
      <c r="V69" s="1099">
        <v>0</v>
      </c>
      <c r="W69" s="1099">
        <v>0</v>
      </c>
      <c r="X69" s="1208">
        <v>0</v>
      </c>
      <c r="Y69" s="1208">
        <v>0</v>
      </c>
      <c r="Z69" s="1099">
        <v>0</v>
      </c>
      <c r="AA69" s="1099">
        <v>0</v>
      </c>
      <c r="AB69" s="1099"/>
      <c r="AC69" s="1099"/>
      <c r="AD69" s="1099"/>
      <c r="AE69" s="1208"/>
      <c r="AF69" s="1208"/>
      <c r="AG69" s="1099"/>
      <c r="AH69" s="1099"/>
      <c r="AI69" s="1330"/>
      <c r="AJ69" s="62">
        <f>SUM(E69:AI69)</f>
        <v>860</v>
      </c>
      <c r="AK69" s="983">
        <f t="shared" si="70"/>
        <v>0</v>
      </c>
      <c r="AL69" s="63">
        <f>+AJ69*AN65</f>
        <v>1767.8073999999999</v>
      </c>
      <c r="AM69" s="989">
        <f t="shared" si="71"/>
        <v>0</v>
      </c>
      <c r="AN69" s="64">
        <f>+AJ69/AJ67*100</f>
        <v>0.21140609636184859</v>
      </c>
      <c r="AO69" s="635">
        <f>AO67/AO65</f>
        <v>1.1703885714285716</v>
      </c>
      <c r="AP69" s="39" t="s">
        <v>102</v>
      </c>
      <c r="AQ69" s="56">
        <f>SUM(E69:H69)</f>
        <v>860</v>
      </c>
      <c r="AR69" s="70">
        <f>SUM(I69:O69)</f>
        <v>0</v>
      </c>
      <c r="AS69" s="70">
        <f>SUM(P69:V69)</f>
        <v>0</v>
      </c>
      <c r="AT69" s="70">
        <f>SUM(W69:AC69)</f>
        <v>0</v>
      </c>
      <c r="AU69" s="70">
        <f>SUM(AD69:AI69)</f>
        <v>0</v>
      </c>
      <c r="AV69" s="57">
        <f t="shared" si="96"/>
        <v>860</v>
      </c>
    </row>
    <row r="70" spans="1:48" ht="20.65" customHeight="1">
      <c r="A70" s="210" t="s">
        <v>245</v>
      </c>
      <c r="B70" s="213" t="s">
        <v>256</v>
      </c>
      <c r="C70" s="66"/>
      <c r="D70" s="67" t="s">
        <v>103</v>
      </c>
      <c r="E70" s="1113">
        <v>32</v>
      </c>
      <c r="F70" s="1101">
        <v>96</v>
      </c>
      <c r="G70" s="1209">
        <v>0</v>
      </c>
      <c r="H70" s="1101">
        <v>0</v>
      </c>
      <c r="I70" s="1101">
        <v>96</v>
      </c>
      <c r="J70" s="1209">
        <v>96</v>
      </c>
      <c r="K70" s="1209">
        <v>96</v>
      </c>
      <c r="L70" s="1101">
        <v>96</v>
      </c>
      <c r="M70" s="1101">
        <v>96</v>
      </c>
      <c r="N70" s="1101">
        <v>96</v>
      </c>
      <c r="O70" s="1101">
        <v>96</v>
      </c>
      <c r="P70" s="1101">
        <v>96</v>
      </c>
      <c r="Q70" s="1209">
        <v>96</v>
      </c>
      <c r="R70" s="1209">
        <v>96</v>
      </c>
      <c r="S70" s="1101">
        <v>96</v>
      </c>
      <c r="T70" s="1101">
        <v>96</v>
      </c>
      <c r="U70" s="1101">
        <v>120</v>
      </c>
      <c r="V70" s="1101">
        <v>120</v>
      </c>
      <c r="W70" s="1101">
        <v>120</v>
      </c>
      <c r="X70" s="1209">
        <v>96</v>
      </c>
      <c r="Y70" s="1209">
        <v>96</v>
      </c>
      <c r="Z70" s="1101">
        <v>96</v>
      </c>
      <c r="AA70" s="1101">
        <v>48</v>
      </c>
      <c r="AB70" s="1101"/>
      <c r="AC70" s="1101"/>
      <c r="AD70" s="1101"/>
      <c r="AE70" s="1209"/>
      <c r="AF70" s="1209"/>
      <c r="AG70" s="1101"/>
      <c r="AH70" s="1101"/>
      <c r="AI70" s="1332"/>
      <c r="AJ70" s="68">
        <f>SUM(E70:AI70)</f>
        <v>1976</v>
      </c>
      <c r="AK70" s="983">
        <f t="shared" si="70"/>
        <v>0</v>
      </c>
      <c r="AL70" s="69">
        <f>+AJ70*AN65</f>
        <v>4061.84584</v>
      </c>
      <c r="AM70" s="989">
        <f t="shared" si="71"/>
        <v>0</v>
      </c>
      <c r="AN70" s="31"/>
      <c r="AO70" s="622"/>
      <c r="AP70" s="39" t="s">
        <v>19</v>
      </c>
      <c r="AQ70" s="56">
        <f>AQ69*AN65</f>
        <v>1767.8073999999999</v>
      </c>
      <c r="AR70" s="56">
        <f>AR69*AN65</f>
        <v>0</v>
      </c>
      <c r="AS70" s="56">
        <f>AS69*AN65</f>
        <v>0</v>
      </c>
      <c r="AT70" s="56">
        <f>AT69*AN65</f>
        <v>0</v>
      </c>
      <c r="AU70" s="56">
        <f>AU69*AN65</f>
        <v>0</v>
      </c>
      <c r="AV70" s="57">
        <f t="shared" si="96"/>
        <v>1767.8073999999999</v>
      </c>
    </row>
    <row r="71" spans="1:48" ht="20.65" customHeight="1">
      <c r="A71" s="210" t="s">
        <v>245</v>
      </c>
      <c r="B71" s="213"/>
      <c r="C71" s="72" t="s">
        <v>104</v>
      </c>
      <c r="D71" s="73" t="s">
        <v>105</v>
      </c>
      <c r="E71" s="1115">
        <v>0</v>
      </c>
      <c r="F71" s="1103">
        <v>0</v>
      </c>
      <c r="G71" s="1210">
        <v>0</v>
      </c>
      <c r="H71" s="1103">
        <v>0</v>
      </c>
      <c r="I71" s="1103">
        <v>0</v>
      </c>
      <c r="J71" s="1210">
        <v>0</v>
      </c>
      <c r="K71" s="1210">
        <v>0</v>
      </c>
      <c r="L71" s="1103">
        <v>0</v>
      </c>
      <c r="M71" s="1103">
        <v>0</v>
      </c>
      <c r="N71" s="1103">
        <v>0</v>
      </c>
      <c r="O71" s="1103">
        <v>0</v>
      </c>
      <c r="P71" s="1103">
        <v>0</v>
      </c>
      <c r="Q71" s="1210">
        <v>0</v>
      </c>
      <c r="R71" s="1210">
        <v>0</v>
      </c>
      <c r="S71" s="1103">
        <v>0</v>
      </c>
      <c r="T71" s="1103">
        <v>0</v>
      </c>
      <c r="U71" s="1103">
        <v>0</v>
      </c>
      <c r="V71" s="1103">
        <v>0</v>
      </c>
      <c r="W71" s="1103">
        <v>0</v>
      </c>
      <c r="X71" s="1210">
        <v>0</v>
      </c>
      <c r="Y71" s="1210">
        <v>0</v>
      </c>
      <c r="Z71" s="1103">
        <v>0</v>
      </c>
      <c r="AA71" s="1103">
        <v>0</v>
      </c>
      <c r="AB71" s="1103"/>
      <c r="AC71" s="1103"/>
      <c r="AD71" s="1103"/>
      <c r="AE71" s="1210"/>
      <c r="AF71" s="1210"/>
      <c r="AG71" s="1103"/>
      <c r="AH71" s="1103"/>
      <c r="AI71" s="1352"/>
      <c r="AJ71" s="74">
        <f>SUM(E71:AI71)</f>
        <v>0</v>
      </c>
      <c r="AK71" s="983">
        <f t="shared" si="70"/>
        <v>102409</v>
      </c>
      <c r="AL71" s="75">
        <f>+AJ71*AN65</f>
        <v>0</v>
      </c>
      <c r="AM71" s="989">
        <f t="shared" si="71"/>
        <v>0</v>
      </c>
      <c r="AN71" s="31"/>
      <c r="AO71" s="622"/>
      <c r="AP71" s="47" t="s">
        <v>106</v>
      </c>
      <c r="AQ71" s="48">
        <f>AQ67*AN65</f>
        <v>66601.115999999995</v>
      </c>
      <c r="AR71" s="48">
        <f>AR67*AN65</f>
        <v>300938.37599999999</v>
      </c>
      <c r="AS71" s="48">
        <f>AS67*AN65</f>
        <v>283671.42</v>
      </c>
      <c r="AT71" s="48">
        <f>AT67*AN65</f>
        <v>185003.1</v>
      </c>
      <c r="AU71" s="48">
        <f>AU67*AN65</f>
        <v>0</v>
      </c>
      <c r="AV71" s="50">
        <f t="shared" si="96"/>
        <v>836214.01199999999</v>
      </c>
    </row>
    <row r="72" spans="1:48" ht="20.65" customHeight="1">
      <c r="A72" s="212"/>
      <c r="B72" s="235"/>
      <c r="C72" s="77">
        <v>300000</v>
      </c>
      <c r="D72" s="78" t="s">
        <v>107</v>
      </c>
      <c r="E72" s="1137">
        <v>4</v>
      </c>
      <c r="F72" s="1097">
        <v>4</v>
      </c>
      <c r="G72" s="1205">
        <v>4</v>
      </c>
      <c r="H72" s="1097">
        <v>4</v>
      </c>
      <c r="I72" s="1097">
        <v>4</v>
      </c>
      <c r="J72" s="1205">
        <v>4</v>
      </c>
      <c r="K72" s="1205">
        <v>4</v>
      </c>
      <c r="L72" s="1097">
        <v>4</v>
      </c>
      <c r="M72" s="1097">
        <v>4</v>
      </c>
      <c r="N72" s="1097">
        <v>4</v>
      </c>
      <c r="O72" s="1097">
        <v>4</v>
      </c>
      <c r="P72" s="1097">
        <v>4</v>
      </c>
      <c r="Q72" s="1205">
        <v>4</v>
      </c>
      <c r="R72" s="1205">
        <v>4</v>
      </c>
      <c r="S72" s="1097">
        <v>4</v>
      </c>
      <c r="T72" s="1097">
        <v>4</v>
      </c>
      <c r="U72" s="1097">
        <v>4</v>
      </c>
      <c r="V72" s="1097">
        <v>4</v>
      </c>
      <c r="W72" s="1097">
        <v>4</v>
      </c>
      <c r="X72" s="1205">
        <v>4</v>
      </c>
      <c r="Y72" s="1205">
        <v>4</v>
      </c>
      <c r="Z72" s="1097">
        <v>4</v>
      </c>
      <c r="AA72" s="1097">
        <v>4</v>
      </c>
      <c r="AB72" s="1097">
        <v>4</v>
      </c>
      <c r="AC72" s="1097">
        <v>4</v>
      </c>
      <c r="AD72" s="1097">
        <v>4</v>
      </c>
      <c r="AE72" s="1205">
        <v>4</v>
      </c>
      <c r="AF72" s="1205">
        <v>4</v>
      </c>
      <c r="AG72" s="1097">
        <v>4</v>
      </c>
      <c r="AH72" s="1097">
        <v>4</v>
      </c>
      <c r="AI72" s="1328">
        <v>4</v>
      </c>
      <c r="AJ72" s="79"/>
      <c r="AK72" s="983">
        <f t="shared" si="70"/>
        <v>0</v>
      </c>
      <c r="AL72" s="55"/>
      <c r="AM72" s="988">
        <f t="shared" si="71"/>
        <v>0</v>
      </c>
      <c r="AN72" s="31"/>
      <c r="AO72" s="622"/>
      <c r="AP72" s="47"/>
      <c r="AQ72" s="48"/>
      <c r="AR72" s="48"/>
      <c r="AS72" s="48"/>
      <c r="AT72" s="48"/>
      <c r="AU72" s="48"/>
      <c r="AV72" s="214"/>
    </row>
    <row r="73" spans="1:48" ht="20.65" customHeight="1">
      <c r="A73" s="210" t="s">
        <v>245</v>
      </c>
      <c r="B73" s="89"/>
      <c r="C73" s="80" t="s">
        <v>108</v>
      </c>
      <c r="D73" s="81" t="s">
        <v>109</v>
      </c>
      <c r="E73" s="1125">
        <f>SUM(E67+E69+E71+E70)/E72</f>
        <v>1618</v>
      </c>
      <c r="F73" s="1125">
        <f>SUM(F67+F69+F71+F70)/F72</f>
        <v>5124</v>
      </c>
      <c r="G73" s="1233">
        <f>SUM(G67+G69+G71+G70)/G72</f>
        <v>0</v>
      </c>
      <c r="H73" s="1125">
        <f t="shared" ref="H73:N73" si="98">SUM(H67+H69+H71+H70)/H72</f>
        <v>1605</v>
      </c>
      <c r="I73" s="1125">
        <f t="shared" si="98"/>
        <v>5424</v>
      </c>
      <c r="J73" s="1233">
        <f t="shared" si="98"/>
        <v>5124</v>
      </c>
      <c r="K73" s="1233">
        <f t="shared" si="98"/>
        <v>5424</v>
      </c>
      <c r="L73" s="1125">
        <f t="shared" si="98"/>
        <v>5124</v>
      </c>
      <c r="M73" s="1125">
        <f t="shared" si="98"/>
        <v>5124</v>
      </c>
      <c r="N73" s="1125">
        <f t="shared" si="98"/>
        <v>5124</v>
      </c>
      <c r="O73" s="1125">
        <f>SUM(O67+O69+O71+O70)/O72</f>
        <v>5424</v>
      </c>
      <c r="P73" s="1125">
        <f t="shared" ref="P73:AI73" si="99">SUM(P67+P69+P71+P70)/P72</f>
        <v>4824</v>
      </c>
      <c r="Q73" s="1233">
        <f t="shared" si="99"/>
        <v>5124</v>
      </c>
      <c r="R73" s="1233">
        <f t="shared" si="99"/>
        <v>5124</v>
      </c>
      <c r="S73" s="1125">
        <f t="shared" si="99"/>
        <v>5124</v>
      </c>
      <c r="T73" s="1125">
        <f t="shared" si="99"/>
        <v>5124</v>
      </c>
      <c r="U73" s="1125">
        <f t="shared" si="99"/>
        <v>4530</v>
      </c>
      <c r="V73" s="1125">
        <f t="shared" si="99"/>
        <v>4830</v>
      </c>
      <c r="W73" s="1125">
        <f t="shared" si="99"/>
        <v>4830</v>
      </c>
      <c r="X73" s="1233">
        <f t="shared" si="99"/>
        <v>4824</v>
      </c>
      <c r="Y73" s="1233">
        <f t="shared" si="99"/>
        <v>5424</v>
      </c>
      <c r="Z73" s="1125">
        <f t="shared" si="99"/>
        <v>5124</v>
      </c>
      <c r="AA73" s="1125">
        <f t="shared" si="99"/>
        <v>2412</v>
      </c>
      <c r="AB73" s="1125">
        <f t="shared" si="99"/>
        <v>0</v>
      </c>
      <c r="AC73" s="1125">
        <f t="shared" si="99"/>
        <v>0</v>
      </c>
      <c r="AD73" s="1125">
        <f t="shared" si="99"/>
        <v>0</v>
      </c>
      <c r="AE73" s="1233">
        <f t="shared" si="99"/>
        <v>0</v>
      </c>
      <c r="AF73" s="1233">
        <f t="shared" si="99"/>
        <v>0</v>
      </c>
      <c r="AG73" s="1125">
        <f t="shared" si="99"/>
        <v>0</v>
      </c>
      <c r="AH73" s="1125">
        <f t="shared" si="99"/>
        <v>0</v>
      </c>
      <c r="AI73" s="1409">
        <f t="shared" si="99"/>
        <v>0</v>
      </c>
      <c r="AJ73" s="515">
        <f>SUM(E73:AI73)</f>
        <v>102409</v>
      </c>
      <c r="AK73" s="984">
        <f t="shared" si="70"/>
        <v>0</v>
      </c>
      <c r="AL73" s="83"/>
      <c r="AM73" s="989">
        <f t="shared" si="71"/>
        <v>0</v>
      </c>
      <c r="AN73" s="31"/>
      <c r="AO73" s="622"/>
      <c r="AP73" s="164"/>
      <c r="AQ73" s="164"/>
      <c r="AR73" s="164"/>
      <c r="AS73" s="164"/>
      <c r="AT73" s="164"/>
      <c r="AU73" s="164"/>
      <c r="AV73" s="164"/>
    </row>
    <row r="74" spans="1:48" ht="20.65" customHeight="1">
      <c r="A74" s="215"/>
      <c r="B74" s="89"/>
      <c r="C74" s="84">
        <f>+C72*0.8</f>
        <v>240000</v>
      </c>
      <c r="D74" s="85" t="s">
        <v>110</v>
      </c>
      <c r="E74" s="1105"/>
      <c r="F74" s="1107"/>
      <c r="G74" s="1211"/>
      <c r="H74" s="1104"/>
      <c r="I74" s="1104"/>
      <c r="J74" s="1211"/>
      <c r="K74" s="1228"/>
      <c r="L74" s="1104"/>
      <c r="M74" s="1104"/>
      <c r="N74" s="1104"/>
      <c r="O74" s="1104"/>
      <c r="P74" s="1104"/>
      <c r="Q74" s="1211"/>
      <c r="R74" s="1211"/>
      <c r="S74" s="1104"/>
      <c r="T74" s="1104"/>
      <c r="U74" s="1104"/>
      <c r="V74" s="1104"/>
      <c r="W74" s="1104"/>
      <c r="X74" s="1211"/>
      <c r="Y74" s="1211"/>
      <c r="Z74" s="1104"/>
      <c r="AA74" s="1104"/>
      <c r="AB74" s="1104"/>
      <c r="AC74" s="1104"/>
      <c r="AD74" s="1104"/>
      <c r="AE74" s="1211"/>
      <c r="AF74" s="1211"/>
      <c r="AG74" s="1104"/>
      <c r="AH74" s="1104"/>
      <c r="AI74" s="1353"/>
      <c r="AJ74" s="738"/>
      <c r="AK74" s="983">
        <f t="shared" si="70"/>
        <v>0</v>
      </c>
      <c r="AL74" s="63"/>
      <c r="AM74" s="989">
        <f t="shared" si="71"/>
        <v>0</v>
      </c>
      <c r="AN74" s="31"/>
      <c r="AO74" s="622"/>
      <c r="AP74" s="164"/>
      <c r="AQ74" s="164"/>
      <c r="AR74" s="164"/>
      <c r="AS74" s="164"/>
      <c r="AT74" s="164"/>
      <c r="AU74" s="164"/>
      <c r="AV74" s="164"/>
    </row>
    <row r="75" spans="1:48" ht="20.65" customHeight="1">
      <c r="A75" s="215"/>
      <c r="B75" s="89"/>
      <c r="C75" s="77"/>
      <c r="D75" s="88" t="s">
        <v>111</v>
      </c>
      <c r="E75" s="1125">
        <f>IF(E74="O/H",E73,9487+E73)</f>
        <v>11105</v>
      </c>
      <c r="F75" s="1126">
        <f>IF(F74="O/H",F73,+E75+F73)</f>
        <v>16229</v>
      </c>
      <c r="G75" s="1235">
        <f t="shared" ref="G75" si="100">IF(G74="O/H",G73,+F75+G73)</f>
        <v>16229</v>
      </c>
      <c r="H75" s="1126">
        <f t="shared" ref="H75" si="101">IF(H74="O/H",H73,+G75+H73)</f>
        <v>17834</v>
      </c>
      <c r="I75" s="1126">
        <f t="shared" ref="I75" si="102">IF(I74="O/H",I73,+H75+I73)</f>
        <v>23258</v>
      </c>
      <c r="J75" s="1235">
        <f t="shared" ref="J75" si="103">IF(J74="O/H",J73,+I75+J73)</f>
        <v>28382</v>
      </c>
      <c r="K75" s="1235">
        <f t="shared" ref="K75" si="104">IF(K74="O/H",K73,+J75+K73)</f>
        <v>33806</v>
      </c>
      <c r="L75" s="1126">
        <f t="shared" ref="L75" si="105">IF(L74="O/H",L73,+K75+L73)</f>
        <v>38930</v>
      </c>
      <c r="M75" s="1126">
        <f t="shared" ref="M75" si="106">IF(M74="O/H",M73,+L75+M73)</f>
        <v>44054</v>
      </c>
      <c r="N75" s="1126">
        <f t="shared" ref="N75" si="107">IF(N74="O/H",N73,+M75+N73)</f>
        <v>49178</v>
      </c>
      <c r="O75" s="1126">
        <f t="shared" ref="O75" si="108">IF(O74="O/H",O73,+N75+O73)</f>
        <v>54602</v>
      </c>
      <c r="P75" s="1126">
        <f t="shared" ref="P75" si="109">IF(P74="O/H",P73,+O75+P73)</f>
        <v>59426</v>
      </c>
      <c r="Q75" s="1235">
        <f t="shared" ref="Q75" si="110">IF(Q74="O/H",Q73,+P75+Q73)</f>
        <v>64550</v>
      </c>
      <c r="R75" s="1235">
        <f t="shared" ref="R75" si="111">IF(R74="O/H",R73,+Q75+R73)</f>
        <v>69674</v>
      </c>
      <c r="S75" s="1126">
        <f t="shared" ref="S75" si="112">IF(S74="O/H",S73,+R75+S73)</f>
        <v>74798</v>
      </c>
      <c r="T75" s="1126">
        <f t="shared" ref="T75" si="113">IF(T74="O/H",T73,+S75+T73)</f>
        <v>79922</v>
      </c>
      <c r="U75" s="1126">
        <f t="shared" ref="U75" si="114">IF(U74="O/H",U73,+T75+U73)</f>
        <v>84452</v>
      </c>
      <c r="V75" s="1126">
        <f t="shared" ref="V75" si="115">IF(V74="O/H",V73,+U75+V73)</f>
        <v>89282</v>
      </c>
      <c r="W75" s="1126">
        <f t="shared" ref="W75" si="116">IF(W74="O/H",W73,+V75+W73)</f>
        <v>94112</v>
      </c>
      <c r="X75" s="1235">
        <f t="shared" ref="X75" si="117">IF(X74="O/H",X73,+W75+X73)</f>
        <v>98936</v>
      </c>
      <c r="Y75" s="1235">
        <f t="shared" ref="Y75" si="118">IF(Y74="O/H",Y73,+X75+Y73)</f>
        <v>104360</v>
      </c>
      <c r="Z75" s="1126">
        <f t="shared" ref="Z75" si="119">IF(Z74="O/H",Z73,+Y75+Z73)</f>
        <v>109484</v>
      </c>
      <c r="AA75" s="1126">
        <f t="shared" ref="AA75" si="120">IF(AA74="O/H",AA73,+Z75+AA73)</f>
        <v>111896</v>
      </c>
      <c r="AB75" s="1126">
        <f t="shared" ref="AB75" si="121">IF(AB74="O/H",AB73,+AA75+AB73)</f>
        <v>111896</v>
      </c>
      <c r="AC75" s="1126">
        <f t="shared" ref="AC75" si="122">IF(AC74="O/H",AC73,+AB75+AC73)</f>
        <v>111896</v>
      </c>
      <c r="AD75" s="1126">
        <f t="shared" ref="AD75" si="123">IF(AD74="O/H",AD73,+AC75+AD73)</f>
        <v>111896</v>
      </c>
      <c r="AE75" s="1235">
        <f t="shared" ref="AE75" si="124">IF(AE74="O/H",AE73,+AD75+AE73)</f>
        <v>111896</v>
      </c>
      <c r="AF75" s="1235">
        <f t="shared" ref="AF75" si="125">IF(AF74="O/H",AF73,+AE75+AF73)</f>
        <v>111896</v>
      </c>
      <c r="AG75" s="1126">
        <f t="shared" ref="AG75" si="126">IF(AG74="O/H",AG73,+AF75+AG73)</f>
        <v>111896</v>
      </c>
      <c r="AH75" s="1126">
        <f t="shared" ref="AH75" si="127">IF(AH74="O/H",AH73,+AG75+AH73)</f>
        <v>111896</v>
      </c>
      <c r="AI75" s="1335">
        <f t="shared" ref="AI75" si="128">IF(AI74="O/H",AI73,+AH75+AI73)</f>
        <v>111896</v>
      </c>
      <c r="AJ75" s="515"/>
      <c r="AK75" s="984">
        <f t="shared" si="70"/>
        <v>0</v>
      </c>
      <c r="AL75" s="83"/>
      <c r="AM75" s="989">
        <f t="shared" si="71"/>
        <v>0</v>
      </c>
      <c r="AN75" s="31"/>
      <c r="AO75" s="622"/>
      <c r="AP75" s="164"/>
      <c r="AQ75" s="164"/>
      <c r="AR75" s="164"/>
      <c r="AS75" s="164"/>
      <c r="AT75" s="164"/>
      <c r="AU75" s="164"/>
      <c r="AV75" s="164"/>
    </row>
    <row r="76" spans="1:48" s="23" customFormat="1" ht="20.65" customHeight="1">
      <c r="A76" s="274"/>
      <c r="B76" s="312"/>
      <c r="C76" s="308"/>
      <c r="D76" s="795" t="s">
        <v>112</v>
      </c>
      <c r="E76" s="1117">
        <f>IF(AND(ISNUMBER(E67)),1609495+E73)</f>
        <v>1611113</v>
      </c>
      <c r="F76" s="1118">
        <f>IF(AND(ISNUMBER(F67)),E76+F73,"")</f>
        <v>1616237</v>
      </c>
      <c r="G76" s="1216">
        <f t="shared" ref="G76" si="129">IF(AND(ISNUMBER(G67)),F76+G73,"")</f>
        <v>1616237</v>
      </c>
      <c r="H76" s="1118">
        <f t="shared" ref="H76" si="130">IF(AND(ISNUMBER(H67)),G76+H73,"")</f>
        <v>1617842</v>
      </c>
      <c r="I76" s="1118">
        <f>IF(AND(ISNUMBER(I67)),H76+I73,"")</f>
        <v>1623266</v>
      </c>
      <c r="J76" s="1216">
        <f>IF(AND(ISNUMBER(J67)),I76+J73,"")</f>
        <v>1628390</v>
      </c>
      <c r="K76" s="1216">
        <f>IF(AND(ISNUMBER(K67)),J76+K73,"")</f>
        <v>1633814</v>
      </c>
      <c r="L76" s="1118">
        <f t="shared" ref="L76" si="131">IF(AND(ISNUMBER(L67)),K76+L73,"")</f>
        <v>1638938</v>
      </c>
      <c r="M76" s="1118">
        <f t="shared" ref="M76" si="132">IF(AND(ISNUMBER(M67)),L76+M73,"")</f>
        <v>1644062</v>
      </c>
      <c r="N76" s="1118">
        <f t="shared" ref="N76" si="133">IF(AND(ISNUMBER(N67)),M76+N73,"")</f>
        <v>1649186</v>
      </c>
      <c r="O76" s="1118">
        <f t="shared" ref="O76" si="134">IF(AND(ISNUMBER(O67)),N76+O73,"")</f>
        <v>1654610</v>
      </c>
      <c r="P76" s="1118">
        <f t="shared" ref="P76" si="135">IF(AND(ISNUMBER(P67)),O76+P73,"")</f>
        <v>1659434</v>
      </c>
      <c r="Q76" s="1216">
        <f t="shared" ref="Q76" si="136">IF(AND(ISNUMBER(Q67)),P76+Q73,"")</f>
        <v>1664558</v>
      </c>
      <c r="R76" s="1216">
        <f t="shared" ref="R76" si="137">IF(AND(ISNUMBER(R67)),Q76+R73,"")</f>
        <v>1669682</v>
      </c>
      <c r="S76" s="1118">
        <f t="shared" ref="S76" si="138">IF(AND(ISNUMBER(S67)),R76+S73,"")</f>
        <v>1674806</v>
      </c>
      <c r="T76" s="1118">
        <f t="shared" ref="T76" si="139">IF(AND(ISNUMBER(T67)),S76+T73,"")</f>
        <v>1679930</v>
      </c>
      <c r="U76" s="1118">
        <f t="shared" ref="U76" si="140">IF(AND(ISNUMBER(U67)),T76+U73,"")</f>
        <v>1684460</v>
      </c>
      <c r="V76" s="1118">
        <f t="shared" ref="V76" si="141">IF(AND(ISNUMBER(V67)),U76+V73,"")</f>
        <v>1689290</v>
      </c>
      <c r="W76" s="1118">
        <f t="shared" ref="W76" si="142">IF(AND(ISNUMBER(W67)),V76+W73,"")</f>
        <v>1694120</v>
      </c>
      <c r="X76" s="1216">
        <f t="shared" ref="X76" si="143">IF(AND(ISNUMBER(X67)),W76+X73,"")</f>
        <v>1698944</v>
      </c>
      <c r="Y76" s="1216">
        <f t="shared" ref="Y76" si="144">IF(AND(ISNUMBER(Y67)),X76+Y73,"")</f>
        <v>1704368</v>
      </c>
      <c r="Z76" s="1118">
        <f t="shared" ref="Z76" si="145">IF(AND(ISNUMBER(Z67)),Y76+Z73,"")</f>
        <v>1709492</v>
      </c>
      <c r="AA76" s="1118">
        <f t="shared" ref="AA76" si="146">IF(AND(ISNUMBER(AA67)),Z76+AA73,"")</f>
        <v>1711904</v>
      </c>
      <c r="AB76" s="1118" t="str">
        <f t="shared" ref="AB76" si="147">IF(AND(ISNUMBER(AB67)),AA76+AB73,"")</f>
        <v/>
      </c>
      <c r="AC76" s="1118" t="str">
        <f t="shared" ref="AC76" si="148">IF(AND(ISNUMBER(AC67)),AB76+AC73,"")</f>
        <v/>
      </c>
      <c r="AD76" s="1118" t="str">
        <f t="shared" ref="AD76" si="149">IF(AND(ISNUMBER(AD67)),AC76+AD73,"")</f>
        <v/>
      </c>
      <c r="AE76" s="1216" t="str">
        <f t="shared" ref="AE76" si="150">IF(AND(ISNUMBER(AE67)),AD76+AE73,"")</f>
        <v/>
      </c>
      <c r="AF76" s="1216" t="str">
        <f t="shared" ref="AF76" si="151">IF(AND(ISNUMBER(AF67)),AE76+AF73,"")</f>
        <v/>
      </c>
      <c r="AG76" s="1118" t="str">
        <f t="shared" ref="AG76" si="152">IF(AND(ISNUMBER(AG67)),AF76+AG73,"")</f>
        <v/>
      </c>
      <c r="AH76" s="1118" t="str">
        <f t="shared" ref="AH76" si="153">IF(AND(ISNUMBER(AH67)),AG76+AH73,"")</f>
        <v/>
      </c>
      <c r="AI76" s="1118" t="str">
        <f t="shared" ref="AI76" si="154">IF(AND(ISNUMBER(AI67)),AH76+AI73,"")</f>
        <v/>
      </c>
      <c r="AJ76" s="793"/>
      <c r="AK76" s="985">
        <f t="shared" si="70"/>
        <v>0</v>
      </c>
      <c r="AL76" s="909"/>
      <c r="AM76" s="987">
        <f t="shared" si="71"/>
        <v>0</v>
      </c>
      <c r="AN76" s="76"/>
      <c r="AO76" s="630"/>
      <c r="AP76" s="285"/>
      <c r="AQ76" s="285"/>
      <c r="AR76" s="285"/>
      <c r="AS76" s="285"/>
      <c r="AT76" s="286"/>
      <c r="AU76" s="285"/>
      <c r="AV76" s="287"/>
    </row>
    <row r="77" spans="1:48" ht="20.65" customHeight="1">
      <c r="A77" s="215" t="s">
        <v>242</v>
      </c>
      <c r="B77" s="89" t="s">
        <v>257</v>
      </c>
      <c r="C77" s="80"/>
      <c r="D77" s="90" t="s">
        <v>104</v>
      </c>
      <c r="E77" s="1137"/>
      <c r="F77" s="1097"/>
      <c r="G77" s="1205"/>
      <c r="H77" s="1097"/>
      <c r="I77" s="1097"/>
      <c r="J77" s="1205"/>
      <c r="K77" s="1205"/>
      <c r="L77" s="1097"/>
      <c r="M77" s="1097"/>
      <c r="N77" s="1097"/>
      <c r="O77" s="1097"/>
      <c r="P77" s="1097"/>
      <c r="Q77" s="1205"/>
      <c r="R77" s="1205"/>
      <c r="S77" s="1097"/>
      <c r="T77" s="1097"/>
      <c r="U77" s="1097"/>
      <c r="V77" s="1097"/>
      <c r="W77" s="1097"/>
      <c r="X77" s="1205"/>
      <c r="Y77" s="1205"/>
      <c r="Z77" s="1097"/>
      <c r="AA77" s="1097"/>
      <c r="AB77" s="1097"/>
      <c r="AC77" s="1097"/>
      <c r="AD77" s="1097"/>
      <c r="AE77" s="1205"/>
      <c r="AF77" s="1205"/>
      <c r="AG77" s="1097"/>
      <c r="AH77" s="1097"/>
      <c r="AI77" s="1328"/>
      <c r="AJ77" s="62"/>
      <c r="AK77" s="983">
        <f t="shared" si="70"/>
        <v>350000</v>
      </c>
      <c r="AL77" s="55"/>
      <c r="AM77" s="988">
        <f t="shared" si="71"/>
        <v>719456.5</v>
      </c>
      <c r="AN77" s="31"/>
      <c r="AO77" s="622"/>
      <c r="AP77" s="164"/>
      <c r="AQ77" s="164"/>
      <c r="AR77" s="164"/>
      <c r="AS77" s="164"/>
      <c r="AT77" s="164"/>
      <c r="AU77" s="164"/>
      <c r="AV77" s="164"/>
    </row>
    <row r="78" spans="1:48" ht="20.65" customHeight="1" thickBot="1">
      <c r="A78" s="216" t="s">
        <v>242</v>
      </c>
      <c r="B78" s="93"/>
      <c r="C78" s="94"/>
      <c r="D78" s="230" t="s">
        <v>258</v>
      </c>
      <c r="E78" s="1109">
        <f>IF(E77="O/H",E73,611986+E73)</f>
        <v>613604</v>
      </c>
      <c r="F78" s="1110">
        <f t="shared" ref="F78" si="155">IF(F77="O/H",F73,+E78+F73)</f>
        <v>618728</v>
      </c>
      <c r="G78" s="1212">
        <f t="shared" ref="G78" si="156">IF(G77="O/H",G73,+F78+G73)</f>
        <v>618728</v>
      </c>
      <c r="H78" s="1110">
        <f t="shared" ref="H78" si="157">IF(H77="O/H",H73,+G78+H73)</f>
        <v>620333</v>
      </c>
      <c r="I78" s="1110">
        <f t="shared" ref="I78" si="158">IF(I77="O/H",I73,+H78+I73)</f>
        <v>625757</v>
      </c>
      <c r="J78" s="1212">
        <f t="shared" ref="J78" si="159">IF(J77="O/H",J73,+I78+J73)</f>
        <v>630881</v>
      </c>
      <c r="K78" s="1212">
        <f t="shared" ref="K78" si="160">IF(K77="O/H",K73,+J78+K73)</f>
        <v>636305</v>
      </c>
      <c r="L78" s="1110">
        <f t="shared" ref="L78" si="161">IF(L77="O/H",L73,+K78+L73)</f>
        <v>641429</v>
      </c>
      <c r="M78" s="1110">
        <f t="shared" ref="M78" si="162">IF(M77="O/H",M73,+L78+M73)</f>
        <v>646553</v>
      </c>
      <c r="N78" s="1110">
        <f t="shared" ref="N78" si="163">IF(N77="O/H",N73,+M78+N73)</f>
        <v>651677</v>
      </c>
      <c r="O78" s="1110">
        <f t="shared" ref="O78" si="164">IF(O77="O/H",O73,+N78+O73)</f>
        <v>657101</v>
      </c>
      <c r="P78" s="1110">
        <f t="shared" ref="P78" si="165">IF(P77="O/H",P73,+O78+P73)</f>
        <v>661925</v>
      </c>
      <c r="Q78" s="1212">
        <f t="shared" ref="Q78" si="166">IF(Q77="O/H",Q73,+P78+Q73)</f>
        <v>667049</v>
      </c>
      <c r="R78" s="1212">
        <f t="shared" ref="R78" si="167">IF(R77="O/H",R73,+Q78+R73)</f>
        <v>672173</v>
      </c>
      <c r="S78" s="1110">
        <f t="shared" ref="S78" si="168">IF(S77="O/H",S73,+R78+S73)</f>
        <v>677297</v>
      </c>
      <c r="T78" s="1110">
        <f t="shared" ref="T78" si="169">IF(T77="O/H",T73,+S78+T73)</f>
        <v>682421</v>
      </c>
      <c r="U78" s="1110">
        <f t="shared" ref="U78" si="170">IF(U77="O/H",U73,+T78+U73)</f>
        <v>686951</v>
      </c>
      <c r="V78" s="1110">
        <f t="shared" ref="V78" si="171">IF(V77="O/H",V73,+U78+V73)</f>
        <v>691781</v>
      </c>
      <c r="W78" s="1110">
        <f t="shared" ref="W78" si="172">IF(W77="O/H",W73,+V78+W73)</f>
        <v>696611</v>
      </c>
      <c r="X78" s="1212">
        <f t="shared" ref="X78" si="173">IF(X77="O/H",X73,+W78+X73)</f>
        <v>701435</v>
      </c>
      <c r="Y78" s="1212">
        <f t="shared" ref="Y78" si="174">IF(Y77="O/H",Y73,+X78+Y73)</f>
        <v>706859</v>
      </c>
      <c r="Z78" s="1110">
        <f t="shared" ref="Z78" si="175">IF(Z77="O/H",Z73,+Y78+Z73)</f>
        <v>711983</v>
      </c>
      <c r="AA78" s="1110">
        <f t="shared" ref="AA78" si="176">IF(AA77="O/H",AA73,+Z78+AA73)</f>
        <v>714395</v>
      </c>
      <c r="AB78" s="1110">
        <f t="shared" ref="AB78" si="177">IF(AB77="O/H",AB73,+AA78+AB73)</f>
        <v>714395</v>
      </c>
      <c r="AC78" s="1110">
        <f t="shared" ref="AC78" si="178">IF(AC77="O/H",AC73,+AB78+AC73)</f>
        <v>714395</v>
      </c>
      <c r="AD78" s="1110">
        <f t="shared" ref="AD78" si="179">IF(AD77="O/H",AD73,+AC78+AD73)</f>
        <v>714395</v>
      </c>
      <c r="AE78" s="1212">
        <f t="shared" ref="AE78" si="180">IF(AE77="O/H",AE73,+AD78+AE73)</f>
        <v>714395</v>
      </c>
      <c r="AF78" s="1212">
        <f t="shared" ref="AF78" si="181">IF(AF77="O/H",AF73,+AE78+AF73)</f>
        <v>714395</v>
      </c>
      <c r="AG78" s="1110">
        <f t="shared" ref="AG78" si="182">IF(AG77="O/H",AG73,+AF78+AG73)</f>
        <v>714395</v>
      </c>
      <c r="AH78" s="1110">
        <f t="shared" ref="AH78" si="183">IF(AH77="O/H",AH73,+AG78+AH73)</f>
        <v>714395</v>
      </c>
      <c r="AI78" s="1340">
        <f t="shared" ref="AI78" si="184">IF(AI77="O/H",AI73,+AH78+AI73)</f>
        <v>714395</v>
      </c>
      <c r="AJ78" s="739"/>
      <c r="AK78" s="986">
        <f t="shared" si="70"/>
        <v>406800</v>
      </c>
      <c r="AL78" s="217"/>
      <c r="AM78" s="990">
        <f t="shared" si="71"/>
        <v>836214.01199999999</v>
      </c>
      <c r="AN78" s="98"/>
      <c r="AO78" s="625"/>
      <c r="AP78" s="164"/>
      <c r="AQ78" s="164"/>
      <c r="AR78" s="164"/>
      <c r="AS78" s="164"/>
      <c r="AT78" s="164"/>
      <c r="AU78" s="164"/>
      <c r="AV78" s="164"/>
    </row>
    <row r="79" spans="1:48" s="239" customFormat="1" ht="25.15" customHeight="1" thickTop="1">
      <c r="A79" s="112"/>
      <c r="B79" s="237"/>
      <c r="C79" s="238"/>
      <c r="D79" s="115" t="s">
        <v>82</v>
      </c>
      <c r="E79" s="1385">
        <f>+E9+E23+E37+E51</f>
        <v>0</v>
      </c>
      <c r="F79" s="116">
        <f t="shared" ref="F79:AI79" si="185">+F9+F23+F37+F51</f>
        <v>0</v>
      </c>
      <c r="G79" s="1217">
        <f t="shared" si="185"/>
        <v>0</v>
      </c>
      <c r="H79" s="116">
        <f t="shared" si="185"/>
        <v>0</v>
      </c>
      <c r="I79" s="116">
        <f t="shared" si="185"/>
        <v>0</v>
      </c>
      <c r="J79" s="1217">
        <f t="shared" si="185"/>
        <v>0</v>
      </c>
      <c r="K79" s="1217">
        <f t="shared" si="185"/>
        <v>0</v>
      </c>
      <c r="L79" s="116">
        <f t="shared" si="185"/>
        <v>0</v>
      </c>
      <c r="M79" s="116">
        <f t="shared" si="185"/>
        <v>0</v>
      </c>
      <c r="N79" s="116">
        <f t="shared" si="185"/>
        <v>0</v>
      </c>
      <c r="O79" s="116">
        <f t="shared" si="185"/>
        <v>0</v>
      </c>
      <c r="P79" s="116">
        <f t="shared" si="185"/>
        <v>0</v>
      </c>
      <c r="Q79" s="1217">
        <f t="shared" si="185"/>
        <v>0</v>
      </c>
      <c r="R79" s="1217">
        <f t="shared" si="185"/>
        <v>0</v>
      </c>
      <c r="S79" s="116">
        <f t="shared" si="185"/>
        <v>0</v>
      </c>
      <c r="T79" s="116">
        <f t="shared" si="185"/>
        <v>0</v>
      </c>
      <c r="U79" s="116">
        <f t="shared" si="185"/>
        <v>0</v>
      </c>
      <c r="V79" s="116">
        <f t="shared" si="185"/>
        <v>0</v>
      </c>
      <c r="W79" s="116">
        <f t="shared" si="185"/>
        <v>0</v>
      </c>
      <c r="X79" s="1217">
        <f t="shared" si="185"/>
        <v>0</v>
      </c>
      <c r="Y79" s="1217">
        <f t="shared" si="185"/>
        <v>0</v>
      </c>
      <c r="Z79" s="116">
        <f t="shared" si="185"/>
        <v>0</v>
      </c>
      <c r="AA79" s="116">
        <f t="shared" si="185"/>
        <v>0</v>
      </c>
      <c r="AB79" s="116">
        <f t="shared" si="185"/>
        <v>0</v>
      </c>
      <c r="AC79" s="116">
        <f t="shared" si="185"/>
        <v>0</v>
      </c>
      <c r="AD79" s="116">
        <f t="shared" si="185"/>
        <v>0</v>
      </c>
      <c r="AE79" s="1217">
        <f t="shared" si="185"/>
        <v>0</v>
      </c>
      <c r="AF79" s="1217">
        <f t="shared" si="185"/>
        <v>0</v>
      </c>
      <c r="AG79" s="116">
        <f t="shared" si="185"/>
        <v>0</v>
      </c>
      <c r="AH79" s="116">
        <f t="shared" si="185"/>
        <v>0</v>
      </c>
      <c r="AI79" s="1122">
        <f t="shared" si="185"/>
        <v>0</v>
      </c>
      <c r="AJ79" s="732">
        <f>+AJ9+AJ23+AJ37+AJ51+AJ65</f>
        <v>350000</v>
      </c>
      <c r="AK79" s="1088">
        <f>AJ80</f>
        <v>406800</v>
      </c>
      <c r="AL79" s="709">
        <f>+AL9+AL23+AL37+AL51+AL65</f>
        <v>719456.5</v>
      </c>
      <c r="AM79" s="1092">
        <f>AL80</f>
        <v>836214.01199999999</v>
      </c>
      <c r="AN79" s="119"/>
      <c r="AO79" s="630"/>
      <c r="AP79" s="164"/>
      <c r="AQ79" s="164"/>
      <c r="AR79" s="164"/>
      <c r="AS79" s="164"/>
      <c r="AT79" s="164"/>
      <c r="AU79" s="164"/>
      <c r="AV79" s="164"/>
    </row>
    <row r="80" spans="1:48" s="239" customFormat="1" ht="25.15" customHeight="1">
      <c r="A80" s="112"/>
      <c r="B80" s="113"/>
      <c r="C80" s="114"/>
      <c r="D80" s="120" t="s">
        <v>93</v>
      </c>
      <c r="E80" s="1387">
        <f t="shared" ref="E80:S80" si="186">+E11+E25+E39+E53</f>
        <v>0</v>
      </c>
      <c r="F80" s="1129">
        <f t="shared" si="186"/>
        <v>0</v>
      </c>
      <c r="G80" s="1259">
        <f t="shared" si="186"/>
        <v>0</v>
      </c>
      <c r="H80" s="1129">
        <f t="shared" si="186"/>
        <v>0</v>
      </c>
      <c r="I80" s="1129">
        <f t="shared" si="186"/>
        <v>0</v>
      </c>
      <c r="J80" s="1259">
        <f t="shared" si="186"/>
        <v>0</v>
      </c>
      <c r="K80" s="1259">
        <f t="shared" si="186"/>
        <v>0</v>
      </c>
      <c r="L80" s="1129">
        <f t="shared" si="186"/>
        <v>0</v>
      </c>
      <c r="M80" s="1129">
        <f t="shared" si="186"/>
        <v>0</v>
      </c>
      <c r="N80" s="1129">
        <f t="shared" si="186"/>
        <v>0</v>
      </c>
      <c r="O80" s="1129">
        <f t="shared" si="186"/>
        <v>0</v>
      </c>
      <c r="P80" s="1129">
        <f t="shared" si="186"/>
        <v>0</v>
      </c>
      <c r="Q80" s="1259">
        <f>+Q11+Q25+Q39+Q53</f>
        <v>0</v>
      </c>
      <c r="R80" s="1259">
        <f t="shared" si="186"/>
        <v>0</v>
      </c>
      <c r="S80" s="1129">
        <f t="shared" si="186"/>
        <v>0</v>
      </c>
      <c r="T80" s="1129">
        <f>+T11+T25+T39+T67+T53</f>
        <v>20400</v>
      </c>
      <c r="U80" s="1129">
        <f t="shared" ref="U80:X80" si="187">+U11+U25+U39+U67+U53</f>
        <v>18000</v>
      </c>
      <c r="V80" s="1129">
        <f t="shared" si="187"/>
        <v>19200</v>
      </c>
      <c r="W80" s="1129">
        <f t="shared" si="187"/>
        <v>19200</v>
      </c>
      <c r="X80" s="1259">
        <f t="shared" si="187"/>
        <v>19200</v>
      </c>
      <c r="Y80" s="1259">
        <f t="shared" ref="Y80:AE80" si="188">+Y11+Y25+Y39+Y67+Y53</f>
        <v>21600</v>
      </c>
      <c r="Z80" s="1129">
        <f t="shared" si="188"/>
        <v>20400</v>
      </c>
      <c r="AA80" s="1129">
        <f t="shared" si="188"/>
        <v>9600</v>
      </c>
      <c r="AB80" s="1129">
        <f t="shared" si="188"/>
        <v>0</v>
      </c>
      <c r="AC80" s="1129">
        <f t="shared" si="188"/>
        <v>0</v>
      </c>
      <c r="AD80" s="1129">
        <f t="shared" si="188"/>
        <v>0</v>
      </c>
      <c r="AE80" s="1259">
        <f t="shared" si="188"/>
        <v>0</v>
      </c>
      <c r="AF80" s="1259">
        <f t="shared" ref="AF80:AI80" si="189">+AF11+AF25+AF39+AF67+AF53</f>
        <v>0</v>
      </c>
      <c r="AG80" s="1129">
        <f t="shared" si="189"/>
        <v>0</v>
      </c>
      <c r="AH80" s="1129">
        <f t="shared" si="189"/>
        <v>0</v>
      </c>
      <c r="AI80" s="1129">
        <f t="shared" si="189"/>
        <v>0</v>
      </c>
      <c r="AJ80" s="733">
        <f>AJ53+AJ39+AJ25+AJ11+AJ67</f>
        <v>406800</v>
      </c>
      <c r="AK80" s="997">
        <f t="shared" si="27"/>
        <v>1976</v>
      </c>
      <c r="AL80" s="710">
        <f>+AL11+AL25+AL39+AL53+AL67</f>
        <v>836214.01199999999</v>
      </c>
      <c r="AM80" s="994">
        <f t="shared" si="28"/>
        <v>0</v>
      </c>
      <c r="AN80" s="124"/>
      <c r="AO80" s="627"/>
      <c r="AP80" s="164"/>
      <c r="AQ80" s="164"/>
      <c r="AR80" s="164"/>
      <c r="AS80" s="164"/>
      <c r="AT80" s="164"/>
      <c r="AU80" s="164"/>
      <c r="AV80" s="164"/>
    </row>
    <row r="81" spans="1:48" s="239" customFormat="1" ht="25.15" customHeight="1">
      <c r="A81" s="112"/>
      <c r="B81" s="125" t="s">
        <v>68</v>
      </c>
      <c r="C81" s="114"/>
      <c r="D81" s="126" t="s">
        <v>229</v>
      </c>
      <c r="E81" s="1390">
        <f t="shared" ref="E81:S81" si="190">E55+E41+E27+E13</f>
        <v>0</v>
      </c>
      <c r="F81" s="1131">
        <f t="shared" si="190"/>
        <v>0</v>
      </c>
      <c r="G81" s="1260">
        <f t="shared" si="190"/>
        <v>0</v>
      </c>
      <c r="H81" s="1131">
        <f t="shared" si="190"/>
        <v>0</v>
      </c>
      <c r="I81" s="1131">
        <f t="shared" si="190"/>
        <v>0</v>
      </c>
      <c r="J81" s="1260">
        <f t="shared" si="190"/>
        <v>0</v>
      </c>
      <c r="K81" s="1260">
        <f t="shared" si="190"/>
        <v>0</v>
      </c>
      <c r="L81" s="1131">
        <f t="shared" si="190"/>
        <v>0</v>
      </c>
      <c r="M81" s="1131">
        <f t="shared" si="190"/>
        <v>0</v>
      </c>
      <c r="N81" s="1131">
        <f t="shared" si="190"/>
        <v>0</v>
      </c>
      <c r="O81" s="1131">
        <f t="shared" si="190"/>
        <v>0</v>
      </c>
      <c r="P81" s="1131">
        <f t="shared" si="190"/>
        <v>0</v>
      </c>
      <c r="Q81" s="1260">
        <f t="shared" si="190"/>
        <v>0</v>
      </c>
      <c r="R81" s="1260">
        <f t="shared" si="190"/>
        <v>0</v>
      </c>
      <c r="S81" s="1131">
        <f t="shared" si="190"/>
        <v>0</v>
      </c>
      <c r="T81" s="1131">
        <f>T55+T41+T27+T69</f>
        <v>0</v>
      </c>
      <c r="U81" s="1131">
        <f t="shared" ref="U81:X81" si="191">U55+U41+U27+U69</f>
        <v>0</v>
      </c>
      <c r="V81" s="1131">
        <f t="shared" si="191"/>
        <v>0</v>
      </c>
      <c r="W81" s="1131">
        <f t="shared" si="191"/>
        <v>0</v>
      </c>
      <c r="X81" s="1260">
        <f t="shared" si="191"/>
        <v>0</v>
      </c>
      <c r="Y81" s="1260">
        <f t="shared" ref="Y81:AE81" si="192">Y55+Y41+Y27+Y69</f>
        <v>0</v>
      </c>
      <c r="Z81" s="1131">
        <f t="shared" si="192"/>
        <v>0</v>
      </c>
      <c r="AA81" s="1131">
        <f t="shared" si="192"/>
        <v>360</v>
      </c>
      <c r="AB81" s="1131">
        <f t="shared" si="192"/>
        <v>0</v>
      </c>
      <c r="AC81" s="1131">
        <f t="shared" si="192"/>
        <v>0</v>
      </c>
      <c r="AD81" s="1131">
        <f t="shared" si="192"/>
        <v>0</v>
      </c>
      <c r="AE81" s="1260">
        <f t="shared" si="192"/>
        <v>0</v>
      </c>
      <c r="AF81" s="1260">
        <f t="shared" ref="AF81:AI81" si="193">AF55+AF41+AF27+AF69</f>
        <v>0</v>
      </c>
      <c r="AG81" s="1131">
        <f t="shared" si="193"/>
        <v>0</v>
      </c>
      <c r="AH81" s="1131">
        <f t="shared" si="193"/>
        <v>0</v>
      </c>
      <c r="AI81" s="1131">
        <f t="shared" si="193"/>
        <v>0</v>
      </c>
      <c r="AJ81" s="734">
        <f>AJ55+AJ41+AJ27+AJ13+AJ69</f>
        <v>1220</v>
      </c>
      <c r="AK81" s="998">
        <f t="shared" si="27"/>
        <v>0</v>
      </c>
      <c r="AL81" s="711">
        <f>AL55+AL41+AL27+AL13</f>
        <v>1040.3963999999999</v>
      </c>
      <c r="AM81" s="995">
        <f t="shared" si="28"/>
        <v>0</v>
      </c>
      <c r="AN81" s="91"/>
      <c r="AO81" s="630"/>
      <c r="AP81" s="164"/>
      <c r="AQ81" s="164"/>
      <c r="AR81" s="164"/>
      <c r="AS81" s="164"/>
      <c r="AT81" s="164"/>
      <c r="AU81" s="164"/>
      <c r="AV81" s="164"/>
    </row>
    <row r="82" spans="1:48" s="239" customFormat="1" ht="25.15" customHeight="1">
      <c r="A82" s="112"/>
      <c r="B82" s="113"/>
      <c r="C82" s="114"/>
      <c r="D82" s="130" t="s">
        <v>103</v>
      </c>
      <c r="E82" s="1455">
        <f t="shared" ref="E82:S82" si="194">E56+E42+E28+E14</f>
        <v>0</v>
      </c>
      <c r="F82" s="1133">
        <f t="shared" si="194"/>
        <v>0</v>
      </c>
      <c r="G82" s="1261">
        <f t="shared" si="194"/>
        <v>0</v>
      </c>
      <c r="H82" s="1133">
        <f t="shared" si="194"/>
        <v>0</v>
      </c>
      <c r="I82" s="1133">
        <f t="shared" si="194"/>
        <v>0</v>
      </c>
      <c r="J82" s="1261">
        <f t="shared" si="194"/>
        <v>0</v>
      </c>
      <c r="K82" s="1261">
        <f t="shared" si="194"/>
        <v>0</v>
      </c>
      <c r="L82" s="1133">
        <f t="shared" si="194"/>
        <v>0</v>
      </c>
      <c r="M82" s="1133">
        <f t="shared" si="194"/>
        <v>0</v>
      </c>
      <c r="N82" s="1133">
        <f t="shared" si="194"/>
        <v>0</v>
      </c>
      <c r="O82" s="1133">
        <f t="shared" si="194"/>
        <v>0</v>
      </c>
      <c r="P82" s="1133">
        <f t="shared" si="194"/>
        <v>0</v>
      </c>
      <c r="Q82" s="1261">
        <f t="shared" si="194"/>
        <v>0</v>
      </c>
      <c r="R82" s="1261">
        <f t="shared" si="194"/>
        <v>0</v>
      </c>
      <c r="S82" s="1133">
        <f t="shared" si="194"/>
        <v>0</v>
      </c>
      <c r="T82" s="1133">
        <f>T56+T42+T28+T70</f>
        <v>96</v>
      </c>
      <c r="U82" s="1133">
        <f t="shared" ref="U82:X82" si="195">U56+U42+U28+U70</f>
        <v>120</v>
      </c>
      <c r="V82" s="1133">
        <f t="shared" si="195"/>
        <v>120</v>
      </c>
      <c r="W82" s="1133">
        <f t="shared" si="195"/>
        <v>120</v>
      </c>
      <c r="X82" s="1261">
        <f t="shared" si="195"/>
        <v>96</v>
      </c>
      <c r="Y82" s="1261">
        <f t="shared" ref="Y82:AE82" si="196">Y56+Y42+Y28+Y70</f>
        <v>96</v>
      </c>
      <c r="Z82" s="1133">
        <f t="shared" si="196"/>
        <v>96</v>
      </c>
      <c r="AA82" s="1133">
        <f t="shared" si="196"/>
        <v>48</v>
      </c>
      <c r="AB82" s="1133">
        <f t="shared" si="196"/>
        <v>0</v>
      </c>
      <c r="AC82" s="1133">
        <f t="shared" si="196"/>
        <v>0</v>
      </c>
      <c r="AD82" s="1133">
        <f t="shared" si="196"/>
        <v>0</v>
      </c>
      <c r="AE82" s="1261">
        <f t="shared" si="196"/>
        <v>0</v>
      </c>
      <c r="AF82" s="1261">
        <f t="shared" ref="AF82:AI82" si="197">AF56+AF42+AF28+AF70</f>
        <v>0</v>
      </c>
      <c r="AG82" s="1133">
        <f t="shared" si="197"/>
        <v>0</v>
      </c>
      <c r="AH82" s="1133">
        <f t="shared" si="197"/>
        <v>0</v>
      </c>
      <c r="AI82" s="1133">
        <f t="shared" si="197"/>
        <v>0</v>
      </c>
      <c r="AJ82" s="735">
        <f>AJ56+AJ42+AJ28+AJ14+AJ70</f>
        <v>1976</v>
      </c>
      <c r="AK82" s="998">
        <f t="shared" si="27"/>
        <v>2.9990167158308752E-3</v>
      </c>
      <c r="AL82" s="712">
        <f>AL56+AL42+AL28+AL14</f>
        <v>0</v>
      </c>
      <c r="AM82" s="995">
        <f t="shared" si="28"/>
        <v>1.2441747986399441E-3</v>
      </c>
      <c r="AN82" s="91"/>
      <c r="AO82" s="630"/>
      <c r="AP82" s="164"/>
      <c r="AQ82" s="164"/>
      <c r="AR82" s="164"/>
      <c r="AS82" s="164"/>
      <c r="AT82" s="164"/>
      <c r="AU82" s="164"/>
      <c r="AV82" s="164"/>
    </row>
    <row r="83" spans="1:48" s="239" customFormat="1" ht="25.15" customHeight="1">
      <c r="A83" s="112"/>
      <c r="B83" s="113"/>
      <c r="C83" s="114"/>
      <c r="D83" s="134" t="str">
        <f>D57</f>
        <v>INJ. Sample partrol (pcs.)</v>
      </c>
      <c r="E83" s="1395">
        <f t="shared" ref="E83:S83" si="198">E57+E43+E29+E15</f>
        <v>0</v>
      </c>
      <c r="F83" s="1134">
        <f t="shared" si="198"/>
        <v>0</v>
      </c>
      <c r="G83" s="1262">
        <f t="shared" si="198"/>
        <v>0</v>
      </c>
      <c r="H83" s="1134">
        <f t="shared" si="198"/>
        <v>0</v>
      </c>
      <c r="I83" s="1134">
        <f t="shared" si="198"/>
        <v>0</v>
      </c>
      <c r="J83" s="1262">
        <f t="shared" si="198"/>
        <v>0</v>
      </c>
      <c r="K83" s="1262">
        <f t="shared" si="198"/>
        <v>0</v>
      </c>
      <c r="L83" s="1134">
        <f t="shared" si="198"/>
        <v>0</v>
      </c>
      <c r="M83" s="1134">
        <f t="shared" si="198"/>
        <v>0</v>
      </c>
      <c r="N83" s="1134">
        <f t="shared" si="198"/>
        <v>0</v>
      </c>
      <c r="O83" s="1134">
        <f t="shared" si="198"/>
        <v>0</v>
      </c>
      <c r="P83" s="1134">
        <f t="shared" si="198"/>
        <v>0</v>
      </c>
      <c r="Q83" s="1262">
        <f t="shared" si="198"/>
        <v>0</v>
      </c>
      <c r="R83" s="1262">
        <f t="shared" si="198"/>
        <v>0</v>
      </c>
      <c r="S83" s="1134">
        <f t="shared" si="198"/>
        <v>0</v>
      </c>
      <c r="T83" s="1134">
        <f>T57+T43+T29+T71</f>
        <v>0</v>
      </c>
      <c r="U83" s="1134">
        <f t="shared" ref="U83:X83" si="199">U57+U43+U29+U71</f>
        <v>0</v>
      </c>
      <c r="V83" s="1134">
        <f t="shared" si="199"/>
        <v>0</v>
      </c>
      <c r="W83" s="1134">
        <f t="shared" si="199"/>
        <v>0</v>
      </c>
      <c r="X83" s="1262">
        <f t="shared" si="199"/>
        <v>0</v>
      </c>
      <c r="Y83" s="1262">
        <f t="shared" ref="Y83:AE83" si="200">Y57+Y43+Y29+Y71</f>
        <v>0</v>
      </c>
      <c r="Z83" s="1134">
        <f t="shared" si="200"/>
        <v>0</v>
      </c>
      <c r="AA83" s="1134">
        <f t="shared" si="200"/>
        <v>0</v>
      </c>
      <c r="AB83" s="1134">
        <f t="shared" si="200"/>
        <v>0</v>
      </c>
      <c r="AC83" s="1134">
        <f t="shared" si="200"/>
        <v>0</v>
      </c>
      <c r="AD83" s="1134">
        <f t="shared" si="200"/>
        <v>0</v>
      </c>
      <c r="AE83" s="1262">
        <f t="shared" si="200"/>
        <v>0</v>
      </c>
      <c r="AF83" s="1262">
        <f t="shared" ref="AF83:AI83" si="201">AF57+AF43+AF29+AF71</f>
        <v>0</v>
      </c>
      <c r="AG83" s="1134">
        <f t="shared" si="201"/>
        <v>0</v>
      </c>
      <c r="AH83" s="1134">
        <f t="shared" si="201"/>
        <v>0</v>
      </c>
      <c r="AI83" s="1134">
        <f t="shared" si="201"/>
        <v>0</v>
      </c>
      <c r="AJ83" s="736">
        <f>AJ57+AJ43+AJ29+AJ15+AJ71</f>
        <v>0</v>
      </c>
      <c r="AK83" s="998">
        <f t="shared" si="27"/>
        <v>0</v>
      </c>
      <c r="AL83" s="713">
        <f>AL57+AL43+AL29+AL15</f>
        <v>0</v>
      </c>
      <c r="AM83" s="995">
        <f t="shared" si="28"/>
        <v>0</v>
      </c>
      <c r="AN83" s="91"/>
      <c r="AO83" s="630"/>
      <c r="AP83" s="164"/>
      <c r="AQ83" s="164"/>
      <c r="AR83" s="164"/>
      <c r="AS83" s="164"/>
      <c r="AT83" s="164"/>
      <c r="AU83" s="164"/>
      <c r="AV83" s="164"/>
    </row>
    <row r="84" spans="1:48" s="239" customFormat="1" ht="25.15" customHeight="1" thickBot="1">
      <c r="A84" s="138"/>
      <c r="B84" s="139"/>
      <c r="C84" s="140"/>
      <c r="D84" s="141" t="s">
        <v>230</v>
      </c>
      <c r="E84" s="1457" t="e">
        <f>E81/E80</f>
        <v>#DIV/0!</v>
      </c>
      <c r="F84" s="1136" t="e">
        <f t="shared" ref="F84:AI84" si="202">F81/F80</f>
        <v>#DIV/0!</v>
      </c>
      <c r="G84" s="1304" t="e">
        <f t="shared" si="202"/>
        <v>#DIV/0!</v>
      </c>
      <c r="H84" s="1136" t="e">
        <f t="shared" si="202"/>
        <v>#DIV/0!</v>
      </c>
      <c r="I84" s="1136" t="e">
        <f t="shared" si="202"/>
        <v>#DIV/0!</v>
      </c>
      <c r="J84" s="1304" t="e">
        <f t="shared" si="202"/>
        <v>#DIV/0!</v>
      </c>
      <c r="K84" s="1304" t="e">
        <f t="shared" si="202"/>
        <v>#DIV/0!</v>
      </c>
      <c r="L84" s="1136" t="e">
        <f t="shared" si="202"/>
        <v>#DIV/0!</v>
      </c>
      <c r="M84" s="1136" t="e">
        <f t="shared" si="202"/>
        <v>#DIV/0!</v>
      </c>
      <c r="N84" s="1136" t="e">
        <f t="shared" si="202"/>
        <v>#DIV/0!</v>
      </c>
      <c r="O84" s="1136" t="e">
        <f t="shared" si="202"/>
        <v>#DIV/0!</v>
      </c>
      <c r="P84" s="1136" t="e">
        <f t="shared" si="202"/>
        <v>#DIV/0!</v>
      </c>
      <c r="Q84" s="1304" t="e">
        <f t="shared" si="202"/>
        <v>#DIV/0!</v>
      </c>
      <c r="R84" s="1304" t="e">
        <f t="shared" si="202"/>
        <v>#DIV/0!</v>
      </c>
      <c r="S84" s="1136" t="e">
        <f t="shared" si="202"/>
        <v>#DIV/0!</v>
      </c>
      <c r="T84" s="1136">
        <f t="shared" si="202"/>
        <v>0</v>
      </c>
      <c r="U84" s="1136">
        <f t="shared" si="202"/>
        <v>0</v>
      </c>
      <c r="V84" s="1136">
        <f t="shared" si="202"/>
        <v>0</v>
      </c>
      <c r="W84" s="1136">
        <f t="shared" si="202"/>
        <v>0</v>
      </c>
      <c r="X84" s="1304">
        <f t="shared" si="202"/>
        <v>0</v>
      </c>
      <c r="Y84" s="1304">
        <f t="shared" si="202"/>
        <v>0</v>
      </c>
      <c r="Z84" s="1136">
        <f t="shared" si="202"/>
        <v>0</v>
      </c>
      <c r="AA84" s="1136">
        <f t="shared" si="202"/>
        <v>3.7499999999999999E-2</v>
      </c>
      <c r="AB84" s="1136" t="e">
        <f t="shared" si="202"/>
        <v>#DIV/0!</v>
      </c>
      <c r="AC84" s="1136" t="e">
        <f t="shared" si="202"/>
        <v>#DIV/0!</v>
      </c>
      <c r="AD84" s="1136" t="e">
        <f t="shared" si="202"/>
        <v>#DIV/0!</v>
      </c>
      <c r="AE84" s="1304" t="e">
        <f t="shared" si="202"/>
        <v>#DIV/0!</v>
      </c>
      <c r="AF84" s="1304" t="e">
        <f t="shared" si="202"/>
        <v>#DIV/0!</v>
      </c>
      <c r="AG84" s="1136" t="e">
        <f t="shared" si="202"/>
        <v>#DIV/0!</v>
      </c>
      <c r="AH84" s="1136" t="e">
        <f t="shared" si="202"/>
        <v>#DIV/0!</v>
      </c>
      <c r="AI84" s="1461" t="e">
        <f t="shared" si="202"/>
        <v>#DIV/0!</v>
      </c>
      <c r="AJ84" s="737">
        <f>AJ81/AJ80</f>
        <v>2.9990167158308752E-3</v>
      </c>
      <c r="AK84" s="999">
        <f t="shared" si="27"/>
        <v>0</v>
      </c>
      <c r="AL84" s="714">
        <f>AL81/AL80</f>
        <v>1.2441747986399441E-3</v>
      </c>
      <c r="AM84" s="996">
        <f t="shared" si="28"/>
        <v>0</v>
      </c>
      <c r="AN84" s="145"/>
      <c r="AO84" s="631"/>
      <c r="AP84" s="164"/>
      <c r="AQ84" s="164"/>
      <c r="AR84" s="164"/>
      <c r="AS84" s="164"/>
      <c r="AT84" s="164"/>
      <c r="AU84" s="164"/>
      <c r="AV84" s="164"/>
    </row>
    <row r="85" spans="1:48" s="239" customFormat="1" ht="32.450000000000003" customHeight="1" thickTop="1">
      <c r="A85" s="36"/>
      <c r="B85" s="36"/>
      <c r="C85" s="36"/>
      <c r="D85" s="240"/>
      <c r="E85" s="164"/>
      <c r="F85" s="164"/>
      <c r="G85" s="164"/>
      <c r="H85" s="164"/>
      <c r="I85" s="164"/>
      <c r="J85" s="164"/>
      <c r="K85" s="164"/>
      <c r="L85" s="164"/>
      <c r="M85" s="164"/>
      <c r="N85" s="164"/>
      <c r="O85" s="164"/>
      <c r="P85" s="164"/>
      <c r="Q85" s="164"/>
      <c r="R85" s="164"/>
      <c r="S85" s="164"/>
      <c r="T85" s="164"/>
      <c r="U85" s="164"/>
      <c r="V85" s="164"/>
      <c r="W85" s="164"/>
      <c r="X85" s="164"/>
      <c r="Y85" s="164"/>
      <c r="Z85" s="164"/>
      <c r="AA85" s="164"/>
      <c r="AB85" s="164"/>
      <c r="AC85" s="164"/>
      <c r="AD85" s="164"/>
      <c r="AE85" s="164"/>
      <c r="AF85" s="164"/>
      <c r="AG85" s="164"/>
      <c r="AH85" s="164"/>
      <c r="AI85" s="164"/>
      <c r="AJ85" s="164"/>
      <c r="AK85" s="164">
        <f t="shared" si="27"/>
        <v>0</v>
      </c>
      <c r="AL85" s="1"/>
      <c r="AM85" s="946"/>
      <c r="AN85" s="1"/>
      <c r="AO85" s="619"/>
      <c r="AP85" s="156" t="s">
        <v>259</v>
      </c>
      <c r="AQ85" s="157" t="s">
        <v>232</v>
      </c>
      <c r="AR85" s="157" t="s">
        <v>233</v>
      </c>
      <c r="AS85" s="157" t="s">
        <v>234</v>
      </c>
      <c r="AT85" s="157" t="s">
        <v>235</v>
      </c>
      <c r="AU85" s="157" t="s">
        <v>236</v>
      </c>
      <c r="AV85" s="157" t="s">
        <v>68</v>
      </c>
    </row>
    <row r="86" spans="1:48" ht="30" customHeight="1">
      <c r="A86" s="241"/>
      <c r="B86" s="242"/>
      <c r="C86" s="242"/>
      <c r="D86" s="240"/>
      <c r="E86" s="164"/>
      <c r="F86" s="164"/>
      <c r="G86" s="164"/>
      <c r="H86" s="164"/>
      <c r="I86" s="164"/>
      <c r="J86" s="164"/>
      <c r="K86" s="164"/>
      <c r="L86" s="164"/>
      <c r="M86" s="164"/>
      <c r="N86" s="164"/>
      <c r="O86" s="164"/>
      <c r="P86" s="164"/>
      <c r="Q86" s="164"/>
      <c r="R86" s="164"/>
      <c r="S86" s="164"/>
      <c r="T86" s="164"/>
      <c r="U86" s="164"/>
      <c r="V86" s="164"/>
      <c r="W86" s="164"/>
      <c r="X86" s="164"/>
      <c r="Y86" s="164"/>
      <c r="Z86" s="164"/>
      <c r="AA86" s="164"/>
      <c r="AB86" s="164"/>
      <c r="AC86" s="164"/>
      <c r="AD86" s="164"/>
      <c r="AE86" s="164"/>
      <c r="AF86" s="164"/>
      <c r="AG86" s="164"/>
      <c r="AH86" s="164"/>
      <c r="AI86" s="164"/>
      <c r="AJ86" s="164"/>
      <c r="AK86" s="164">
        <f t="shared" ref="AK86:AK105" si="203">AJ88</f>
        <v>0</v>
      </c>
      <c r="AM86" s="946"/>
      <c r="AO86" s="619"/>
      <c r="AP86" s="165" t="s">
        <v>91</v>
      </c>
      <c r="AQ86" s="351">
        <f>AQ38+AQ24+AQ10+AQ66</f>
        <v>40000</v>
      </c>
      <c r="AR86" s="351">
        <f>AR38+AR24+AR10+AR66</f>
        <v>90000</v>
      </c>
      <c r="AS86" s="351">
        <f>AS38+AS24+AS10+AS66</f>
        <v>90000</v>
      </c>
      <c r="AT86" s="351">
        <f>AT38+AT24+AT10+AT66</f>
        <v>90000</v>
      </c>
      <c r="AU86" s="351">
        <f>AU38+AU24+AU10+AU66</f>
        <v>40000</v>
      </c>
      <c r="AV86" s="166">
        <f>SUM(AQ86:AU86)</f>
        <v>350000</v>
      </c>
    </row>
    <row r="87" spans="1:48" ht="34.9" customHeight="1">
      <c r="A87" s="244"/>
      <c r="B87" s="245"/>
      <c r="C87" s="246"/>
      <c r="D87" s="240"/>
      <c r="E87" s="164"/>
      <c r="F87" s="164"/>
      <c r="G87" s="164"/>
      <c r="H87" s="611"/>
      <c r="I87" s="610"/>
      <c r="J87" s="164"/>
      <c r="K87" s="164"/>
      <c r="L87" s="164"/>
      <c r="M87" s="164"/>
      <c r="N87" s="164"/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/>
      <c r="AB87" s="164"/>
      <c r="AC87" s="164"/>
      <c r="AD87" s="164"/>
      <c r="AE87" s="164"/>
      <c r="AF87" s="164"/>
      <c r="AG87" s="164"/>
      <c r="AH87" s="164"/>
      <c r="AI87" s="164"/>
      <c r="AJ87" s="164"/>
      <c r="AK87" s="164">
        <f t="shared" si="203"/>
        <v>0</v>
      </c>
      <c r="AM87" s="946"/>
      <c r="AO87" s="619"/>
      <c r="AP87" s="172" t="s">
        <v>94</v>
      </c>
      <c r="AQ87" s="802">
        <f>AQ39+AQ25+AQ11+AQ67</f>
        <v>32400</v>
      </c>
      <c r="AR87" s="802">
        <f>AR39+AR25+AR11+AR67</f>
        <v>146400</v>
      </c>
      <c r="AS87" s="802">
        <f>AS39+AS25+AS11+AS67</f>
        <v>138000</v>
      </c>
      <c r="AT87" s="802">
        <f>AT39+AT25+AT11+AT67</f>
        <v>90000</v>
      </c>
      <c r="AU87" s="802">
        <f>AU39+AU25+AU11+AU6+AU67</f>
        <v>0</v>
      </c>
      <c r="AV87" s="173">
        <f>SUM(AQ87:AU87)</f>
        <v>406800</v>
      </c>
    </row>
    <row r="88" spans="1:48" ht="34.9" customHeight="1">
      <c r="A88" s="247"/>
      <c r="B88" s="248"/>
      <c r="C88" s="246"/>
      <c r="D88" s="240"/>
      <c r="E88" s="164"/>
      <c r="F88" s="164"/>
      <c r="G88" s="164"/>
      <c r="H88" s="163"/>
      <c r="I88" s="164"/>
      <c r="J88" s="164"/>
      <c r="K88" s="164"/>
      <c r="L88" s="164"/>
      <c r="M88" s="164"/>
      <c r="N88" s="164"/>
      <c r="O88" s="164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  <c r="AB88" s="164"/>
      <c r="AC88" s="164"/>
      <c r="AD88" s="164"/>
      <c r="AE88" s="164"/>
      <c r="AF88" s="164"/>
      <c r="AG88" s="164"/>
      <c r="AH88" s="164"/>
      <c r="AI88" s="164"/>
      <c r="AJ88" s="164"/>
      <c r="AK88" s="164">
        <f t="shared" si="203"/>
        <v>0</v>
      </c>
      <c r="AM88" s="946"/>
      <c r="AO88" s="619"/>
      <c r="AP88" s="176" t="s">
        <v>237</v>
      </c>
      <c r="AQ88" s="803">
        <f>AQ87-AQ86</f>
        <v>-7600</v>
      </c>
      <c r="AR88" s="803">
        <f t="shared" ref="AR88:AU88" si="204">AR87-AR86</f>
        <v>56400</v>
      </c>
      <c r="AS88" s="803">
        <f t="shared" si="204"/>
        <v>48000</v>
      </c>
      <c r="AT88" s="803">
        <f>AT87-AT86</f>
        <v>0</v>
      </c>
      <c r="AU88" s="803">
        <f t="shared" si="204"/>
        <v>-40000</v>
      </c>
      <c r="AV88" s="178">
        <f>SUM(AQ88:AU88)</f>
        <v>56800</v>
      </c>
    </row>
    <row r="89" spans="1:48" ht="34.9" customHeight="1">
      <c r="A89" s="244"/>
      <c r="B89" s="249"/>
      <c r="C89" s="250"/>
      <c r="D89" s="240"/>
      <c r="E89" s="164"/>
      <c r="F89" s="164"/>
      <c r="G89" s="164"/>
      <c r="H89" s="164"/>
      <c r="I89" s="164"/>
      <c r="J89" s="164"/>
      <c r="K89" s="164"/>
      <c r="L89" s="164"/>
      <c r="M89" s="164"/>
      <c r="N89" s="164"/>
      <c r="O89" s="164"/>
      <c r="P89" s="164"/>
      <c r="Q89" s="164"/>
      <c r="R89" s="164"/>
      <c r="S89" s="164"/>
      <c r="T89" s="164"/>
      <c r="U89" s="164"/>
      <c r="V89" s="164"/>
      <c r="W89" s="164"/>
      <c r="X89" s="164"/>
      <c r="Y89" s="164"/>
      <c r="Z89" s="164"/>
      <c r="AA89" s="164"/>
      <c r="AB89" s="164"/>
      <c r="AC89" s="164"/>
      <c r="AD89" s="164"/>
      <c r="AE89" s="164"/>
      <c r="AF89" s="164"/>
      <c r="AG89" s="164"/>
      <c r="AH89" s="164"/>
      <c r="AI89" s="164"/>
      <c r="AJ89" s="164"/>
      <c r="AK89" s="164">
        <f t="shared" si="203"/>
        <v>0</v>
      </c>
      <c r="AM89" s="946"/>
      <c r="AO89" s="619"/>
      <c r="AP89" s="165" t="s">
        <v>238</v>
      </c>
      <c r="AQ89" s="803">
        <f>AQ41+AQ27+AQ13+AQ69</f>
        <v>860</v>
      </c>
      <c r="AR89" s="803">
        <f>AR41+AR27+AR13+AR69</f>
        <v>0</v>
      </c>
      <c r="AS89" s="803">
        <f>AS41+AS27+AS13+AS69</f>
        <v>0</v>
      </c>
      <c r="AT89" s="803">
        <f>AT41+AT27+AT13+AT69</f>
        <v>360</v>
      </c>
      <c r="AU89" s="803">
        <f>AU41+AU27+AU13+AU69</f>
        <v>0</v>
      </c>
      <c r="AV89" s="178">
        <f>SUM(AQ89:AU89)</f>
        <v>1220</v>
      </c>
    </row>
    <row r="90" spans="1:48" ht="34.9" customHeight="1">
      <c r="A90" s="247"/>
      <c r="B90" s="251"/>
      <c r="C90" s="36"/>
      <c r="D90" s="240"/>
      <c r="E90" s="164"/>
      <c r="F90" s="164"/>
      <c r="G90" s="164"/>
      <c r="H90" s="164"/>
      <c r="I90" s="164"/>
      <c r="J90" s="164"/>
      <c r="K90" s="164"/>
      <c r="L90" s="164"/>
      <c r="M90" s="164"/>
      <c r="N90" s="164"/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/>
      <c r="AB90" s="164"/>
      <c r="AC90" s="164"/>
      <c r="AD90" s="164"/>
      <c r="AE90" s="164"/>
      <c r="AF90" s="164"/>
      <c r="AG90" s="164"/>
      <c r="AH90" s="164"/>
      <c r="AI90" s="164"/>
      <c r="AJ90" s="164"/>
      <c r="AK90" s="164">
        <f t="shared" si="203"/>
        <v>0</v>
      </c>
      <c r="AM90" s="946"/>
      <c r="AO90" s="619"/>
      <c r="AP90" s="188" t="s">
        <v>97</v>
      </c>
      <c r="AQ90" s="804">
        <f>AQ89/AQ87</f>
        <v>2.6543209876543211E-2</v>
      </c>
      <c r="AR90" s="804">
        <f t="shared" ref="AR90:AV90" si="205">AR89/AR87</f>
        <v>0</v>
      </c>
      <c r="AS90" s="804">
        <f t="shared" si="205"/>
        <v>0</v>
      </c>
      <c r="AT90" s="804">
        <f t="shared" si="205"/>
        <v>4.0000000000000001E-3</v>
      </c>
      <c r="AU90" s="804" t="e">
        <f t="shared" si="205"/>
        <v>#DIV/0!</v>
      </c>
      <c r="AV90" s="805">
        <f t="shared" si="205"/>
        <v>2.9990167158308752E-3</v>
      </c>
    </row>
    <row r="91" spans="1:48" ht="34.9" customHeight="1">
      <c r="A91" s="252"/>
      <c r="B91" s="253"/>
      <c r="C91" s="36"/>
      <c r="D91" s="240"/>
      <c r="E91" s="164"/>
      <c r="F91" s="164"/>
      <c r="G91" s="164"/>
      <c r="H91" s="164"/>
      <c r="I91" s="164"/>
      <c r="J91" s="164"/>
      <c r="K91" s="164"/>
      <c r="L91" s="164"/>
      <c r="M91" s="164"/>
      <c r="N91" s="164"/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/>
      <c r="AB91" s="164"/>
      <c r="AC91" s="164"/>
      <c r="AD91" s="164"/>
      <c r="AE91" s="164"/>
      <c r="AF91" s="164"/>
      <c r="AG91" s="164"/>
      <c r="AH91" s="164"/>
      <c r="AI91" s="164"/>
      <c r="AJ91" s="164"/>
      <c r="AK91" s="164">
        <f t="shared" si="203"/>
        <v>0</v>
      </c>
      <c r="AM91" s="946"/>
      <c r="AO91" s="619"/>
      <c r="AP91" s="194" t="s">
        <v>19</v>
      </c>
      <c r="AQ91" s="803">
        <f t="shared" ref="AQ91:AU91" si="206">AQ56+AQ42+AQ28+AQ14</f>
        <v>0</v>
      </c>
      <c r="AR91" s="803">
        <f t="shared" si="206"/>
        <v>0</v>
      </c>
      <c r="AS91" s="803">
        <f t="shared" si="206"/>
        <v>0</v>
      </c>
      <c r="AT91" s="803">
        <f t="shared" si="206"/>
        <v>1040.3963999999999</v>
      </c>
      <c r="AU91" s="803">
        <f t="shared" si="206"/>
        <v>0</v>
      </c>
      <c r="AV91" s="178">
        <f>SUM(AQ91:AU91)</f>
        <v>1040.3963999999999</v>
      </c>
    </row>
    <row r="92" spans="1:48" ht="34.9" customHeight="1">
      <c r="A92" s="36"/>
      <c r="B92" s="254"/>
      <c r="C92" s="36"/>
      <c r="D92" s="240"/>
      <c r="E92" s="164"/>
      <c r="F92" s="164"/>
      <c r="G92" s="164"/>
      <c r="H92" s="164"/>
      <c r="I92" s="164"/>
      <c r="J92" s="164"/>
      <c r="K92" s="164"/>
      <c r="L92" s="164"/>
      <c r="M92" s="164"/>
      <c r="N92" s="164"/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/>
      <c r="AB92" s="164"/>
      <c r="AC92" s="164"/>
      <c r="AD92" s="164"/>
      <c r="AE92" s="164"/>
      <c r="AF92" s="164"/>
      <c r="AG92" s="164"/>
      <c r="AH92" s="164"/>
      <c r="AI92" s="164"/>
      <c r="AJ92" s="164"/>
      <c r="AK92" s="164">
        <f t="shared" si="203"/>
        <v>0</v>
      </c>
      <c r="AM92" s="946"/>
      <c r="AO92" s="619"/>
      <c r="AP92" s="197" t="s">
        <v>106</v>
      </c>
      <c r="AQ92" s="802">
        <f>AQ57+AQ43+AQ29+AQ15+AQ71</f>
        <v>66601.115999999995</v>
      </c>
      <c r="AR92" s="802">
        <f t="shared" ref="AR92:AU92" si="207">AR57+AR43+AR29+AR15+AR71</f>
        <v>300938.37599999999</v>
      </c>
      <c r="AS92" s="802">
        <f t="shared" si="207"/>
        <v>283671.42</v>
      </c>
      <c r="AT92" s="802">
        <f t="shared" si="207"/>
        <v>185003.1</v>
      </c>
      <c r="AU92" s="802">
        <f t="shared" si="207"/>
        <v>0</v>
      </c>
      <c r="AV92" s="173">
        <f>SUM(AQ92:AU92)</f>
        <v>836214.01199999999</v>
      </c>
    </row>
    <row r="93" spans="1:48" ht="34.9" customHeight="1">
      <c r="A93" s="36"/>
      <c r="B93" s="36"/>
      <c r="C93" s="36"/>
      <c r="D93" s="1"/>
      <c r="E93" s="164"/>
      <c r="F93" s="164"/>
      <c r="G93" s="164"/>
      <c r="H93" s="164"/>
      <c r="I93" s="164"/>
      <c r="J93" s="164"/>
      <c r="K93" s="164"/>
      <c r="L93" s="164"/>
      <c r="M93" s="164"/>
      <c r="N93" s="164"/>
      <c r="O93" s="164"/>
      <c r="P93" s="164"/>
      <c r="Q93" s="164"/>
      <c r="R93" s="164"/>
      <c r="S93" s="164"/>
      <c r="T93" s="164"/>
      <c r="U93" s="164"/>
      <c r="V93" s="164"/>
      <c r="W93" s="164"/>
      <c r="X93" s="164"/>
      <c r="Y93" s="164"/>
      <c r="Z93" s="164"/>
      <c r="AA93" s="164"/>
      <c r="AB93" s="164"/>
      <c r="AC93" s="164"/>
      <c r="AD93" s="164"/>
      <c r="AE93" s="164"/>
      <c r="AF93" s="164"/>
      <c r="AG93" s="164"/>
      <c r="AH93" s="164"/>
      <c r="AI93" s="164"/>
      <c r="AJ93" s="164"/>
      <c r="AK93" s="164">
        <f t="shared" si="203"/>
        <v>0</v>
      </c>
      <c r="AM93" s="946"/>
      <c r="AO93" s="619"/>
      <c r="AP93" s="197" t="s">
        <v>260</v>
      </c>
      <c r="AQ93" s="802">
        <f>AQ92+'Daily TRT '!AQ250+'Daily Yazaki'!AQ191+'Daily WDC'!AQ597+'Daily Nidec'!AQ64+'Daily Ramp'!AQ533+'Daily Seagate'!AQ37+'Daily Fujikura'!AQ65+'Daily Belton'!AQ79</f>
        <v>5035960.5462799994</v>
      </c>
      <c r="AR93" s="802">
        <f>AR92+'Daily TRT '!AR250+'Daily Yazaki'!AR191+'Daily WDC'!AR597+'Daily Nidec'!AR64+'Daily Ramp'!AR533+'Daily Seagate'!AR37+'Daily Fujikura'!AR65+'Daily Belton'!AR79</f>
        <v>8684013.6101600006</v>
      </c>
      <c r="AS93" s="802">
        <f>AS92+'Daily TRT '!AS250+'Daily Yazaki'!AS191+'Daily WDC'!AS597+'Daily Nidec'!AS64+'Daily Ramp'!AS533+'Daily Seagate'!AS37+'Daily Fujikura'!AS65+'Daily Belton'!AS79</f>
        <v>9017323.9251400009</v>
      </c>
      <c r="AT93" s="802">
        <f>AT92+'Daily TRT '!AT250+'Daily Yazaki'!AT191+'Daily WDC'!AT597+'Daily Nidec'!AT64+'Daily Ramp'!AT533+'Daily Seagate'!AT37+'Daily Fujikura'!AT65+'Daily Belton'!AT79</f>
        <v>6761836.4190800004</v>
      </c>
      <c r="AU93" s="802">
        <f>AU92+'Daily TRT '!AU250+'Daily Yazaki'!AU191+'Daily WDC'!AU597+'Daily Nidec'!AU64+'Daily Ramp'!AU533+'Daily Seagate'!AU37+'Daily Fujikura'!AU65+'Daily Belton'!AU79</f>
        <v>0</v>
      </c>
      <c r="AV93" s="806">
        <f>SUM(AQ93:AU93)</f>
        <v>29499134.500660002</v>
      </c>
    </row>
    <row r="94" spans="1:48" ht="51" customHeight="1">
      <c r="A94" s="36"/>
      <c r="B94" s="36"/>
      <c r="C94" s="36"/>
      <c r="D94" s="1"/>
      <c r="E94" s="164"/>
      <c r="F94" s="164"/>
      <c r="G94" s="164"/>
      <c r="H94" s="164"/>
      <c r="I94" s="164"/>
      <c r="J94" s="164"/>
      <c r="K94" s="164"/>
      <c r="L94" s="164"/>
      <c r="M94" s="164"/>
      <c r="N94" s="164"/>
      <c r="O94" s="164"/>
      <c r="P94" s="164"/>
      <c r="Q94" s="164"/>
      <c r="R94" s="164"/>
      <c r="S94" s="164"/>
      <c r="T94" s="164"/>
      <c r="U94" s="164"/>
      <c r="V94" s="164"/>
      <c r="W94" s="164"/>
      <c r="X94" s="164"/>
      <c r="Y94" s="164"/>
      <c r="Z94" s="164"/>
      <c r="AA94" s="164"/>
      <c r="AB94" s="164"/>
      <c r="AC94" s="164"/>
      <c r="AD94" s="164"/>
      <c r="AE94" s="164"/>
      <c r="AF94" s="164"/>
      <c r="AG94" s="164"/>
      <c r="AH94" s="164"/>
      <c r="AI94" s="164"/>
      <c r="AJ94" s="164"/>
      <c r="AK94" s="164">
        <f t="shared" si="203"/>
        <v>0</v>
      </c>
      <c r="AM94" s="946"/>
      <c r="AO94" s="619"/>
      <c r="AP94" s="164"/>
      <c r="AQ94" s="164"/>
      <c r="AR94" s="164"/>
      <c r="AS94" s="164"/>
      <c r="AT94" s="164"/>
      <c r="AU94" s="164"/>
      <c r="AV94" s="164"/>
    </row>
    <row r="95" spans="1:48" ht="58.9" customHeight="1">
      <c r="A95" s="36"/>
      <c r="B95" s="36"/>
      <c r="C95" s="36"/>
      <c r="D95" s="1"/>
      <c r="E95" s="164"/>
      <c r="F95" s="164"/>
      <c r="G95" s="164"/>
      <c r="H95" s="164"/>
      <c r="I95" s="164"/>
      <c r="J95" s="164"/>
      <c r="K95" s="164"/>
      <c r="L95" s="164"/>
      <c r="M95" s="164"/>
      <c r="N95" s="164"/>
      <c r="O95" s="164"/>
      <c r="P95" s="164"/>
      <c r="Q95" s="164"/>
      <c r="R95" s="164"/>
      <c r="S95" s="164"/>
      <c r="T95" s="164"/>
      <c r="U95" s="164"/>
      <c r="V95" s="164"/>
      <c r="W95" s="164"/>
      <c r="X95" s="164"/>
      <c r="Y95" s="164"/>
      <c r="Z95" s="164"/>
      <c r="AA95" s="164"/>
      <c r="AB95" s="164"/>
      <c r="AC95" s="164"/>
      <c r="AD95" s="164"/>
      <c r="AE95" s="164"/>
      <c r="AF95" s="164"/>
      <c r="AG95" s="164"/>
      <c r="AH95" s="164"/>
      <c r="AI95" s="164"/>
      <c r="AJ95" s="164"/>
      <c r="AK95" s="164">
        <f t="shared" si="203"/>
        <v>0</v>
      </c>
      <c r="AM95" s="946"/>
      <c r="AO95" s="619"/>
      <c r="AP95" s="164"/>
      <c r="AQ95" s="164"/>
      <c r="AR95" s="164"/>
      <c r="AS95" s="164"/>
      <c r="AT95" s="164"/>
      <c r="AU95" s="164"/>
      <c r="AV95" s="164"/>
    </row>
    <row r="96" spans="1:48" ht="51" customHeight="1">
      <c r="A96" s="36"/>
      <c r="B96" s="36"/>
      <c r="C96" s="36"/>
      <c r="D96" s="1"/>
      <c r="E96" s="164"/>
      <c r="F96" s="164"/>
      <c r="G96" s="164"/>
      <c r="H96" s="164"/>
      <c r="I96" s="164"/>
      <c r="J96" s="164"/>
      <c r="K96" s="164"/>
      <c r="L96" s="164"/>
      <c r="M96" s="164"/>
      <c r="N96" s="164"/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164"/>
      <c r="AC96" s="164"/>
      <c r="AD96" s="164"/>
      <c r="AE96" s="164"/>
      <c r="AF96" s="164"/>
      <c r="AG96" s="164"/>
      <c r="AH96" s="164"/>
      <c r="AI96" s="164"/>
      <c r="AJ96" s="164"/>
      <c r="AK96" s="164">
        <f t="shared" si="203"/>
        <v>0</v>
      </c>
      <c r="AM96" s="946"/>
      <c r="AO96" s="619"/>
      <c r="AP96" s="164"/>
      <c r="AQ96" s="164"/>
      <c r="AR96" s="164"/>
      <c r="AS96" s="164"/>
      <c r="AT96" s="164"/>
      <c r="AU96" s="164"/>
      <c r="AV96" s="164"/>
    </row>
    <row r="97" spans="1:48" ht="51" customHeight="1">
      <c r="A97" s="36"/>
      <c r="B97" s="36"/>
      <c r="C97" s="36"/>
      <c r="D97" s="1"/>
      <c r="E97" s="164"/>
      <c r="F97" s="164"/>
      <c r="G97" s="164"/>
      <c r="H97" s="164"/>
      <c r="I97" s="164"/>
      <c r="J97" s="164"/>
      <c r="K97" s="164"/>
      <c r="L97" s="164"/>
      <c r="M97" s="164"/>
      <c r="N97" s="164"/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  <c r="AB97" s="164"/>
      <c r="AC97" s="164"/>
      <c r="AD97" s="164"/>
      <c r="AE97" s="164"/>
      <c r="AF97" s="164"/>
      <c r="AG97" s="164"/>
      <c r="AH97" s="164"/>
      <c r="AI97" s="164"/>
      <c r="AJ97" s="164"/>
      <c r="AK97" s="164">
        <f t="shared" si="203"/>
        <v>0</v>
      </c>
      <c r="AM97" s="946"/>
      <c r="AO97" s="619"/>
      <c r="AP97" s="164"/>
      <c r="AQ97" s="164"/>
      <c r="AR97" s="164"/>
      <c r="AS97" s="164"/>
      <c r="AT97" s="164"/>
      <c r="AU97" s="164"/>
      <c r="AV97" s="164"/>
    </row>
    <row r="98" spans="1:48" ht="51" customHeight="1">
      <c r="A98" s="36"/>
      <c r="B98" s="36"/>
      <c r="C98" s="36"/>
      <c r="D98" s="1"/>
      <c r="E98" s="164"/>
      <c r="F98" s="164"/>
      <c r="G98" s="164"/>
      <c r="H98" s="164"/>
      <c r="I98" s="164"/>
      <c r="J98" s="164"/>
      <c r="K98" s="164"/>
      <c r="L98" s="164"/>
      <c r="M98" s="164"/>
      <c r="N98" s="164"/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  <c r="AB98" s="164"/>
      <c r="AC98" s="164"/>
      <c r="AD98" s="164"/>
      <c r="AE98" s="164"/>
      <c r="AF98" s="164"/>
      <c r="AG98" s="164"/>
      <c r="AH98" s="164"/>
      <c r="AI98" s="164"/>
      <c r="AJ98" s="164"/>
      <c r="AK98" s="164">
        <f t="shared" si="203"/>
        <v>0</v>
      </c>
      <c r="AM98" s="946"/>
      <c r="AO98" s="619"/>
      <c r="AP98" s="164"/>
      <c r="AQ98" s="164"/>
      <c r="AR98" s="164"/>
      <c r="AS98" s="164"/>
      <c r="AT98" s="164"/>
      <c r="AU98" s="164"/>
      <c r="AV98" s="164"/>
    </row>
    <row r="99" spans="1:48" ht="51" customHeight="1">
      <c r="A99" s="36"/>
      <c r="B99" s="36"/>
      <c r="C99" s="36"/>
      <c r="D99" s="1"/>
      <c r="E99" s="164"/>
      <c r="F99" s="164"/>
      <c r="G99" s="164"/>
      <c r="H99" s="164"/>
      <c r="I99" s="164"/>
      <c r="J99" s="164"/>
      <c r="K99" s="164"/>
      <c r="L99" s="164"/>
      <c r="M99" s="164"/>
      <c r="N99" s="164"/>
      <c r="O99" s="164"/>
      <c r="P99" s="164"/>
      <c r="Q99" s="164"/>
      <c r="R99" s="164"/>
      <c r="S99" s="164"/>
      <c r="T99" s="164"/>
      <c r="U99" s="164"/>
      <c r="V99" s="164"/>
      <c r="W99" s="164"/>
      <c r="X99" s="164"/>
      <c r="Y99" s="164"/>
      <c r="Z99" s="164"/>
      <c r="AA99" s="164"/>
      <c r="AB99" s="164"/>
      <c r="AC99" s="164"/>
      <c r="AD99" s="164"/>
      <c r="AE99" s="164"/>
      <c r="AF99" s="164"/>
      <c r="AG99" s="164"/>
      <c r="AH99" s="164"/>
      <c r="AI99" s="164"/>
      <c r="AJ99" s="164"/>
      <c r="AK99" s="164">
        <f t="shared" si="203"/>
        <v>0</v>
      </c>
      <c r="AM99" s="946"/>
      <c r="AO99" s="619"/>
      <c r="AP99" s="164"/>
      <c r="AQ99" s="164"/>
      <c r="AR99" s="164"/>
      <c r="AS99" s="164"/>
      <c r="AT99" s="164"/>
      <c r="AU99" s="164"/>
      <c r="AV99" s="164"/>
    </row>
    <row r="100" spans="1:48" ht="51" customHeight="1">
      <c r="A100" s="36"/>
      <c r="B100" s="36"/>
      <c r="C100" s="36"/>
      <c r="D100" s="1"/>
      <c r="E100" s="164"/>
      <c r="F100" s="164"/>
      <c r="G100" s="164"/>
      <c r="H100" s="164"/>
      <c r="I100" s="164"/>
      <c r="J100" s="164"/>
      <c r="K100" s="164"/>
      <c r="L100" s="164"/>
      <c r="M100" s="164"/>
      <c r="N100" s="164"/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/>
      <c r="AB100" s="164"/>
      <c r="AC100" s="164"/>
      <c r="AD100" s="164"/>
      <c r="AE100" s="164"/>
      <c r="AF100" s="164"/>
      <c r="AG100" s="164"/>
      <c r="AH100" s="164"/>
      <c r="AI100" s="164"/>
      <c r="AJ100" s="164"/>
      <c r="AK100" s="164">
        <f t="shared" si="203"/>
        <v>0</v>
      </c>
      <c r="AM100" s="946"/>
      <c r="AO100" s="619"/>
      <c r="AP100" s="164"/>
      <c r="AQ100" s="164"/>
      <c r="AR100" s="164"/>
      <c r="AS100" s="164"/>
      <c r="AT100" s="164"/>
      <c r="AU100" s="164"/>
      <c r="AV100" s="164"/>
    </row>
    <row r="101" spans="1:48" ht="60.75">
      <c r="A101" s="36"/>
      <c r="B101" s="36"/>
      <c r="C101" s="36"/>
      <c r="D101" s="1"/>
      <c r="E101" s="164"/>
      <c r="F101" s="164"/>
      <c r="G101" s="164"/>
      <c r="H101" s="164"/>
      <c r="I101" s="164"/>
      <c r="J101" s="164"/>
      <c r="K101" s="164"/>
      <c r="L101" s="164"/>
      <c r="M101" s="164"/>
      <c r="N101" s="164"/>
      <c r="O101" s="164"/>
      <c r="P101" s="164"/>
      <c r="Q101" s="164"/>
      <c r="R101" s="164"/>
      <c r="S101" s="164"/>
      <c r="T101" s="164"/>
      <c r="U101" s="164"/>
      <c r="V101" s="164"/>
      <c r="W101" s="164"/>
      <c r="X101" s="164"/>
      <c r="Y101" s="164"/>
      <c r="Z101" s="164"/>
      <c r="AA101" s="164"/>
      <c r="AB101" s="164"/>
      <c r="AC101" s="164"/>
      <c r="AD101" s="164"/>
      <c r="AE101" s="164"/>
      <c r="AF101" s="164"/>
      <c r="AG101" s="164"/>
      <c r="AH101" s="164"/>
      <c r="AI101" s="164"/>
      <c r="AJ101" s="164"/>
      <c r="AK101" s="164">
        <f t="shared" si="203"/>
        <v>0</v>
      </c>
      <c r="AM101" s="946"/>
      <c r="AO101" s="619"/>
      <c r="AP101" s="164"/>
      <c r="AQ101" s="164"/>
      <c r="AR101" s="164"/>
      <c r="AS101" s="164"/>
      <c r="AT101" s="164"/>
      <c r="AU101" s="164"/>
      <c r="AV101" s="164"/>
    </row>
    <row r="102" spans="1:48" ht="60.75">
      <c r="A102" s="36"/>
      <c r="B102" s="36"/>
      <c r="C102" s="36"/>
      <c r="D102" s="1"/>
      <c r="E102" s="164"/>
      <c r="F102" s="164"/>
      <c r="G102" s="164"/>
      <c r="H102" s="164"/>
      <c r="I102" s="164"/>
      <c r="J102" s="164"/>
      <c r="K102" s="164"/>
      <c r="L102" s="164"/>
      <c r="M102" s="164"/>
      <c r="N102" s="164"/>
      <c r="O102" s="164"/>
      <c r="P102" s="164"/>
      <c r="Q102" s="164"/>
      <c r="R102" s="164"/>
      <c r="S102" s="164"/>
      <c r="T102" s="164"/>
      <c r="U102" s="164"/>
      <c r="V102" s="164"/>
      <c r="W102" s="164"/>
      <c r="X102" s="164"/>
      <c r="Y102" s="164"/>
      <c r="Z102" s="164"/>
      <c r="AA102" s="164"/>
      <c r="AB102" s="164"/>
      <c r="AC102" s="164"/>
      <c r="AD102" s="164"/>
      <c r="AE102" s="164"/>
      <c r="AF102" s="164"/>
      <c r="AG102" s="164"/>
      <c r="AH102" s="164"/>
      <c r="AI102" s="164"/>
      <c r="AJ102" s="164"/>
      <c r="AK102" s="164">
        <f t="shared" si="203"/>
        <v>0</v>
      </c>
      <c r="AM102" s="946"/>
      <c r="AO102" s="619"/>
      <c r="AP102" s="164"/>
      <c r="AQ102" s="164"/>
      <c r="AR102" s="164"/>
      <c r="AS102" s="164"/>
      <c r="AT102" s="164"/>
      <c r="AU102" s="164"/>
      <c r="AV102" s="164"/>
    </row>
    <row r="103" spans="1:48" ht="60.75">
      <c r="A103" s="36"/>
      <c r="B103" s="36"/>
      <c r="C103" s="36"/>
      <c r="D103" s="1"/>
      <c r="E103" s="164"/>
      <c r="F103" s="164"/>
      <c r="G103" s="164"/>
      <c r="H103" s="164"/>
      <c r="I103" s="164"/>
      <c r="J103" s="164"/>
      <c r="K103" s="164"/>
      <c r="L103" s="164"/>
      <c r="M103" s="164"/>
      <c r="N103" s="164"/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/>
      <c r="AB103" s="164"/>
      <c r="AC103" s="164"/>
      <c r="AD103" s="164"/>
      <c r="AE103" s="164"/>
      <c r="AF103" s="164"/>
      <c r="AG103" s="164"/>
      <c r="AH103" s="164"/>
      <c r="AI103" s="164"/>
      <c r="AJ103" s="164"/>
      <c r="AK103" s="164">
        <f t="shared" si="203"/>
        <v>0</v>
      </c>
      <c r="AM103" s="946"/>
      <c r="AO103" s="619"/>
      <c r="AP103" s="164"/>
      <c r="AQ103" s="164"/>
      <c r="AR103" s="164"/>
      <c r="AS103" s="164"/>
      <c r="AT103" s="164"/>
      <c r="AU103" s="164"/>
      <c r="AV103" s="164"/>
    </row>
    <row r="104" spans="1:48" ht="60.75">
      <c r="A104" s="36"/>
      <c r="B104" s="36"/>
      <c r="C104" s="36"/>
      <c r="D104" s="1"/>
      <c r="E104" s="164"/>
      <c r="F104" s="164"/>
      <c r="G104" s="164"/>
      <c r="H104" s="164"/>
      <c r="I104" s="164"/>
      <c r="J104" s="164"/>
      <c r="K104" s="164"/>
      <c r="L104" s="164"/>
      <c r="M104" s="164"/>
      <c r="N104" s="164"/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  <c r="AB104" s="164"/>
      <c r="AC104" s="164"/>
      <c r="AD104" s="164"/>
      <c r="AE104" s="164"/>
      <c r="AF104" s="164"/>
      <c r="AG104" s="164"/>
      <c r="AH104" s="164"/>
      <c r="AI104" s="164"/>
      <c r="AJ104" s="164"/>
      <c r="AK104" s="164">
        <f t="shared" si="203"/>
        <v>0</v>
      </c>
      <c r="AM104" s="946"/>
      <c r="AO104" s="619"/>
      <c r="AP104" s="164"/>
      <c r="AQ104" s="164"/>
      <c r="AR104" s="164"/>
      <c r="AS104" s="164"/>
      <c r="AT104" s="164"/>
      <c r="AU104" s="164"/>
      <c r="AV104" s="164"/>
    </row>
    <row r="105" spans="1:48" ht="60.75">
      <c r="A105" s="36"/>
      <c r="B105" s="36"/>
      <c r="C105" s="36"/>
      <c r="D105" s="1"/>
      <c r="E105" s="164"/>
      <c r="F105" s="164"/>
      <c r="G105" s="164"/>
      <c r="H105" s="164"/>
      <c r="I105" s="164"/>
      <c r="J105" s="164"/>
      <c r="K105" s="164"/>
      <c r="L105" s="164"/>
      <c r="M105" s="164"/>
      <c r="N105" s="164"/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/>
      <c r="AB105" s="164"/>
      <c r="AC105" s="164"/>
      <c r="AD105" s="164"/>
      <c r="AE105" s="164"/>
      <c r="AF105" s="164"/>
      <c r="AG105" s="164"/>
      <c r="AH105" s="164"/>
      <c r="AI105" s="164"/>
      <c r="AJ105" s="164"/>
      <c r="AK105" s="164">
        <f t="shared" si="203"/>
        <v>0</v>
      </c>
      <c r="AM105" s="946"/>
      <c r="AO105" s="619"/>
      <c r="AP105" s="164"/>
      <c r="AQ105" s="164"/>
      <c r="AR105" s="164"/>
      <c r="AS105" s="164"/>
      <c r="AT105" s="164"/>
      <c r="AU105" s="164"/>
      <c r="AV105" s="164"/>
    </row>
    <row r="106" spans="1:48" ht="60.75">
      <c r="A106" s="584"/>
      <c r="B106" s="254"/>
      <c r="C106" s="36"/>
      <c r="D106" s="240"/>
      <c r="E106" s="164"/>
      <c r="AA106" s="255"/>
      <c r="AP106" s="608"/>
    </row>
    <row r="107" spans="1:48" ht="35.25">
      <c r="A107" s="585"/>
      <c r="B107" s="586"/>
      <c r="C107" s="587"/>
      <c r="D107" s="588"/>
      <c r="E107" s="589"/>
      <c r="AP107" s="326"/>
      <c r="AQ107" s="604"/>
      <c r="AR107" s="604"/>
      <c r="AS107" s="604"/>
      <c r="AT107" s="604"/>
      <c r="AU107" s="604"/>
      <c r="AV107" s="605"/>
    </row>
    <row r="108" spans="1:48" ht="33">
      <c r="A108" s="590"/>
      <c r="B108" s="591"/>
      <c r="C108" s="591"/>
      <c r="D108" s="592"/>
      <c r="E108" s="227"/>
      <c r="W108" s="1521"/>
      <c r="X108" s="1521"/>
      <c r="Y108" s="1521"/>
      <c r="Z108" s="1521"/>
      <c r="AP108" s="606"/>
      <c r="AQ108" s="603"/>
      <c r="AR108" s="603"/>
      <c r="AS108" s="603"/>
      <c r="AT108" s="603"/>
      <c r="AU108" s="603"/>
      <c r="AV108" s="605"/>
    </row>
    <row r="109" spans="1:48" ht="33">
      <c r="A109" s="593"/>
      <c r="B109" s="594"/>
      <c r="C109" s="594"/>
      <c r="D109" s="594"/>
      <c r="E109" s="227"/>
      <c r="AP109" s="607"/>
      <c r="AQ109" s="603"/>
      <c r="AR109" s="603"/>
      <c r="AS109" s="603"/>
      <c r="AT109" s="603"/>
      <c r="AU109" s="603"/>
      <c r="AV109" s="605"/>
    </row>
    <row r="110" spans="1:48" ht="33">
      <c r="A110" s="593"/>
      <c r="B110" s="595"/>
      <c r="C110" s="595"/>
      <c r="D110" s="595"/>
      <c r="E110" s="596"/>
      <c r="AP110" s="607"/>
      <c r="AQ110" s="604"/>
      <c r="AR110" s="603"/>
      <c r="AS110" s="603"/>
      <c r="AT110" s="603"/>
      <c r="AU110" s="603"/>
      <c r="AV110" s="605"/>
    </row>
    <row r="111" spans="1:48" ht="34.5">
      <c r="A111" s="597"/>
      <c r="B111" s="598"/>
      <c r="C111" s="598"/>
      <c r="D111" s="598"/>
      <c r="E111" s="599"/>
      <c r="AP111" s="573"/>
      <c r="AQ111" s="173"/>
      <c r="AR111" s="173"/>
      <c r="AS111" s="173"/>
      <c r="AT111" s="173"/>
      <c r="AU111" s="173"/>
      <c r="AV111" s="173"/>
    </row>
    <row r="112" spans="1:48" ht="30">
      <c r="A112" s="600"/>
      <c r="B112" s="601"/>
      <c r="C112" s="601"/>
      <c r="D112" s="601"/>
      <c r="E112" s="602"/>
      <c r="AR112" s="173"/>
      <c r="AS112" s="173"/>
      <c r="AT112" s="173"/>
      <c r="AU112" s="173"/>
      <c r="AV112" s="173"/>
    </row>
    <row r="115" spans="5:48">
      <c r="E115" s="580"/>
    </row>
    <row r="116" spans="5:48">
      <c r="AQ116" s="577">
        <f>AQ86+'Daily WDC'!AQ591+'Daily Ramp'!AQ527+'Daily Yazaki'!AQ185+'Daily Nidec'!AQ58</f>
        <v>1281800</v>
      </c>
      <c r="AR116" s="577">
        <f>AR86+'Daily WDC'!AR591+'Daily Ramp'!AR527+'Daily Yazaki'!AR185+'Daily Nidec'!AR58</f>
        <v>2215200</v>
      </c>
      <c r="AS116" s="577">
        <f>AS86+'Daily WDC'!AS591+'Daily Ramp'!AS527+'Daily Yazaki'!AS185+'Daily Nidec'!AS58</f>
        <v>2045600</v>
      </c>
      <c r="AT116" s="577">
        <f>AT86+'Daily WDC'!AT591+'Daily Ramp'!AT527+'Daily Yazaki'!AT185+'Daily Nidec'!AT58</f>
        <v>1026200</v>
      </c>
      <c r="AU116" s="163"/>
    </row>
    <row r="120" spans="5:48">
      <c r="AV120" s="164"/>
    </row>
    <row r="185" spans="2:2" ht="34.5">
      <c r="B185" s="744"/>
    </row>
    <row r="565" spans="36:36">
      <c r="AJ565" s="726"/>
    </row>
  </sheetData>
  <sheetProtection selectLockedCells="1" selectUnlockedCells="1"/>
  <mergeCells count="3">
    <mergeCell ref="D4:D5"/>
    <mergeCell ref="Q6:R6"/>
    <mergeCell ref="W108:Z108"/>
  </mergeCells>
  <phoneticPr fontId="143" type="noConversion"/>
  <conditionalFormatting sqref="B89">
    <cfRule type="cellIs" dxfId="611" priority="67" operator="lessThan">
      <formula>0</formula>
    </cfRule>
  </conditionalFormatting>
  <conditionalFormatting sqref="E18:AH18">
    <cfRule type="containsText" dxfId="610" priority="64" operator="containsText" text="O/H">
      <formula>NOT(ISERROR(SEARCH("O/H",E18)))</formula>
    </cfRule>
  </conditionalFormatting>
  <conditionalFormatting sqref="E21:AH21">
    <cfRule type="containsText" dxfId="609" priority="63" operator="containsText" text="O/H">
      <formula>NOT(ISERROR(SEARCH("O/H",E21)))</formula>
    </cfRule>
  </conditionalFormatting>
  <conditionalFormatting sqref="E22:AI22">
    <cfRule type="cellIs" dxfId="608" priority="60" operator="greaterThan">
      <formula>300001</formula>
    </cfRule>
    <cfRule type="cellIs" dxfId="607" priority="61" operator="greaterThan">
      <formula>240001</formula>
    </cfRule>
    <cfRule type="cellIs" dxfId="606" priority="62" operator="greaterThan">
      <formula>150001</formula>
    </cfRule>
  </conditionalFormatting>
  <conditionalFormatting sqref="E32:AI32">
    <cfRule type="containsText" dxfId="605" priority="55" operator="containsText" text="O/H">
      <formula>NOT(ISERROR(SEARCH("O/H",E32)))</formula>
    </cfRule>
  </conditionalFormatting>
  <conditionalFormatting sqref="E35:AI35">
    <cfRule type="containsText" dxfId="604" priority="54" operator="containsText" text="O/H">
      <formula>NOT(ISERROR(SEARCH("O/H",E35)))</formula>
    </cfRule>
  </conditionalFormatting>
  <conditionalFormatting sqref="E36:AI36">
    <cfRule type="cellIs" dxfId="603" priority="51" operator="greaterThan">
      <formula>300001</formula>
    </cfRule>
    <cfRule type="cellIs" dxfId="602" priority="52" operator="greaterThan">
      <formula>240001</formula>
    </cfRule>
    <cfRule type="cellIs" dxfId="601" priority="53" operator="greaterThan">
      <formula>150001</formula>
    </cfRule>
  </conditionalFormatting>
  <conditionalFormatting sqref="E74:AI74">
    <cfRule type="containsText" dxfId="600" priority="1" operator="containsText" text="O/H">
      <formula>NOT(ISERROR(SEARCH("O/H",E74)))</formula>
    </cfRule>
  </conditionalFormatting>
  <printOptions horizontalCentered="1"/>
  <pageMargins left="0.11" right="0.17" top="0.38" bottom="0.12" header="0.12" footer="0.12"/>
  <pageSetup paperSize="8" scale="30" orientation="landscape" horizontalDpi="4294967294" verticalDpi="300" r:id="rId1"/>
  <headerFooter alignWithMargins="0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9E311-CEF7-4B84-BB6D-04C810781829}">
  <sheetPr>
    <tabColor rgb="FFFFFFCC"/>
  </sheetPr>
  <dimension ref="A1:AV266"/>
  <sheetViews>
    <sheetView showGridLines="0" zoomScale="66" zoomScaleNormal="66" zoomScaleSheetLayoutView="50" workbookViewId="0">
      <pane xSplit="5" ySplit="8" topLeftCell="K120" activePane="bottomRight" state="frozen"/>
      <selection pane="topRight" activeCell="B167" sqref="B167"/>
      <selection pane="bottomLeft" activeCell="B167" sqref="B167"/>
      <selection pane="bottomRight" activeCell="A62" sqref="A62:XFD63"/>
    </sheetView>
  </sheetViews>
  <sheetFormatPr defaultColWidth="9.42578125" defaultRowHeight="15.75"/>
  <cols>
    <col min="1" max="1" width="37.28515625" style="4" customWidth="1"/>
    <col min="2" max="2" width="57" style="2" customWidth="1"/>
    <col min="3" max="3" width="34.42578125" style="3" customWidth="1"/>
    <col min="4" max="4" width="42.28515625" style="195" customWidth="1"/>
    <col min="5" max="34" width="13.42578125" style="1" customWidth="1"/>
    <col min="35" max="35" width="13.140625" style="1" hidden="1" customWidth="1"/>
    <col min="36" max="36" width="17.5703125" style="1" customWidth="1"/>
    <col min="37" max="37" width="19" style="1" customWidth="1"/>
    <col min="38" max="38" width="17.5703125" style="1" customWidth="1"/>
    <col min="39" max="39" width="21.7109375" style="1" customWidth="1"/>
    <col min="40" max="40" width="17.5703125" style="1" customWidth="1"/>
    <col min="41" max="41" width="13.5703125" style="1" customWidth="1"/>
    <col min="42" max="42" width="31.85546875" style="1" customWidth="1"/>
    <col min="43" max="43" width="18.140625" style="1" customWidth="1"/>
    <col min="44" max="44" width="23.7109375" style="1" customWidth="1"/>
    <col min="45" max="45" width="16.42578125" style="1" customWidth="1"/>
    <col min="46" max="47" width="14.42578125" style="1" customWidth="1"/>
    <col min="48" max="48" width="23.5703125" style="1" customWidth="1"/>
    <col min="49" max="16384" width="9.42578125" style="1"/>
  </cols>
  <sheetData>
    <row r="1" spans="1:48" ht="11.25">
      <c r="D1" s="4"/>
    </row>
    <row r="2" spans="1:48" ht="11.25">
      <c r="D2" s="4"/>
    </row>
    <row r="3" spans="1:48" ht="30.75" customHeight="1">
      <c r="D3" s="198"/>
      <c r="F3" s="4"/>
      <c r="G3" s="4"/>
    </row>
    <row r="4" spans="1:48" ht="11.1" customHeight="1">
      <c r="D4" s="1520" t="s">
        <v>32</v>
      </c>
      <c r="F4" s="4"/>
      <c r="G4" s="4"/>
    </row>
    <row r="5" spans="1:48" ht="25.35" customHeight="1">
      <c r="A5" s="199" t="s">
        <v>566</v>
      </c>
      <c r="D5" s="1520"/>
      <c r="F5" s="4"/>
      <c r="G5" s="4">
        <v>413134.25</v>
      </c>
    </row>
    <row r="6" spans="1:48" s="7" customFormat="1" ht="25.35" customHeight="1" thickBot="1">
      <c r="A6" s="6" t="s">
        <v>33</v>
      </c>
      <c r="C6" s="8"/>
      <c r="D6" s="9"/>
      <c r="Q6" s="1518"/>
      <c r="R6" s="1518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</row>
    <row r="7" spans="1:48" ht="41.45" customHeight="1" thickTop="1" thickBot="1">
      <c r="A7" s="200" t="s">
        <v>34</v>
      </c>
      <c r="B7" s="200" t="s">
        <v>35</v>
      </c>
      <c r="C7" s="201" t="s">
        <v>36</v>
      </c>
      <c r="D7" s="202" t="s">
        <v>37</v>
      </c>
      <c r="E7" s="13" t="s">
        <v>567</v>
      </c>
      <c r="F7" s="203" t="s">
        <v>38</v>
      </c>
      <c r="G7" s="203" t="s">
        <v>39</v>
      </c>
      <c r="H7" s="203" t="s">
        <v>40</v>
      </c>
      <c r="I7" s="203" t="s">
        <v>41</v>
      </c>
      <c r="J7" s="203" t="s">
        <v>42</v>
      </c>
      <c r="K7" s="203" t="s">
        <v>43</v>
      </c>
      <c r="L7" s="203" t="s">
        <v>44</v>
      </c>
      <c r="M7" s="203" t="s">
        <v>45</v>
      </c>
      <c r="N7" s="203" t="s">
        <v>46</v>
      </c>
      <c r="O7" s="203" t="s">
        <v>47</v>
      </c>
      <c r="P7" s="203" t="s">
        <v>48</v>
      </c>
      <c r="Q7" s="203" t="s">
        <v>49</v>
      </c>
      <c r="R7" s="203" t="s">
        <v>50</v>
      </c>
      <c r="S7" s="203" t="s">
        <v>51</v>
      </c>
      <c r="T7" s="203" t="s">
        <v>52</v>
      </c>
      <c r="U7" s="203" t="s">
        <v>53</v>
      </c>
      <c r="V7" s="203" t="s">
        <v>54</v>
      </c>
      <c r="W7" s="203" t="s">
        <v>55</v>
      </c>
      <c r="X7" s="203" t="s">
        <v>56</v>
      </c>
      <c r="Y7" s="203" t="s">
        <v>57</v>
      </c>
      <c r="Z7" s="203" t="s">
        <v>58</v>
      </c>
      <c r="AA7" s="203" t="s">
        <v>59</v>
      </c>
      <c r="AB7" s="203" t="s">
        <v>60</v>
      </c>
      <c r="AC7" s="203" t="s">
        <v>61</v>
      </c>
      <c r="AD7" s="203" t="s">
        <v>65</v>
      </c>
      <c r="AE7" s="203" t="s">
        <v>66</v>
      </c>
      <c r="AF7" s="203" t="s">
        <v>239</v>
      </c>
      <c r="AG7" s="203" t="s">
        <v>240</v>
      </c>
      <c r="AH7" s="203" t="s">
        <v>241</v>
      </c>
      <c r="AI7" s="203" t="s">
        <v>67</v>
      </c>
      <c r="AJ7" s="727" t="s">
        <v>68</v>
      </c>
      <c r="AK7" s="1013" t="s">
        <v>69</v>
      </c>
      <c r="AL7" s="204" t="s">
        <v>70</v>
      </c>
      <c r="AM7" s="1012" t="s">
        <v>71</v>
      </c>
      <c r="AN7" s="16" t="s">
        <v>72</v>
      </c>
      <c r="AO7" s="620" t="s">
        <v>73</v>
      </c>
      <c r="AP7" s="1" t="s">
        <v>74</v>
      </c>
      <c r="AQ7" s="1" t="s">
        <v>75</v>
      </c>
      <c r="AR7" s="1" t="s">
        <v>76</v>
      </c>
      <c r="AS7" s="1" t="s">
        <v>77</v>
      </c>
      <c r="AT7" s="1" t="s">
        <v>78</v>
      </c>
      <c r="AU7" s="1" t="s">
        <v>79</v>
      </c>
      <c r="AV7" s="1" t="s">
        <v>80</v>
      </c>
    </row>
    <row r="8" spans="1:48" s="24" customFormat="1" ht="29.25" customHeight="1" thickBot="1">
      <c r="A8" s="89"/>
      <c r="B8" s="93"/>
      <c r="C8" s="205"/>
      <c r="D8" s="206"/>
      <c r="E8" s="1449">
        <v>46174</v>
      </c>
      <c r="F8" s="1123">
        <f>Table511[[#This Row],[ June''2026]]+1</f>
        <v>46175</v>
      </c>
      <c r="G8" s="1301">
        <f>Table511[[#This Row],[Column1]]+1</f>
        <v>46176</v>
      </c>
      <c r="H8" s="1123">
        <f>Table511[[#This Row],[Column2]]+1</f>
        <v>46177</v>
      </c>
      <c r="I8" s="1123">
        <f>Table511[[#This Row],[Column3]]+1</f>
        <v>46178</v>
      </c>
      <c r="J8" s="1301">
        <f>Table511[[#This Row],[Column4]]+1</f>
        <v>46179</v>
      </c>
      <c r="K8" s="1301">
        <f>Table511[[#This Row],[Column5]]+1</f>
        <v>46180</v>
      </c>
      <c r="L8" s="1123">
        <f>Table511[[#This Row],[Column6]]+1</f>
        <v>46181</v>
      </c>
      <c r="M8" s="1123">
        <f>Table511[[#This Row],[Column7]]+1</f>
        <v>46182</v>
      </c>
      <c r="N8" s="1123">
        <f>Table511[[#This Row],[Column8]]+1</f>
        <v>46183</v>
      </c>
      <c r="O8" s="1123">
        <f>Table511[[#This Row],[Column9]]+1</f>
        <v>46184</v>
      </c>
      <c r="P8" s="1123">
        <f>Table511[[#This Row],[Column10]]+1</f>
        <v>46185</v>
      </c>
      <c r="Q8" s="1301">
        <f>Table511[[#This Row],[Column11]]+1</f>
        <v>46186</v>
      </c>
      <c r="R8" s="1301">
        <f>Table511[[#This Row],[Column12]]+1</f>
        <v>46187</v>
      </c>
      <c r="S8" s="1123">
        <f>Table511[[#This Row],[Column13]]+1</f>
        <v>46188</v>
      </c>
      <c r="T8" s="1123">
        <f>Table511[[#This Row],[Column14]]+1</f>
        <v>46189</v>
      </c>
      <c r="U8" s="1123">
        <f>Table511[[#This Row],[Column15]]+1</f>
        <v>46190</v>
      </c>
      <c r="V8" s="1123">
        <f>Table511[[#This Row],[Column16]]+1</f>
        <v>46191</v>
      </c>
      <c r="W8" s="1123">
        <f>Table511[[#This Row],[Column17]]+1</f>
        <v>46192</v>
      </c>
      <c r="X8" s="1301">
        <f>Table511[[#This Row],[Column18]]+1</f>
        <v>46193</v>
      </c>
      <c r="Y8" s="1301">
        <f>Table511[[#This Row],[Column19]]+1</f>
        <v>46194</v>
      </c>
      <c r="Z8" s="1123">
        <f>Table511[[#This Row],[Column20]]+1</f>
        <v>46195</v>
      </c>
      <c r="AA8" s="1123">
        <f>Table511[[#This Row],[Column21]]+1</f>
        <v>46196</v>
      </c>
      <c r="AB8" s="1123">
        <f>Table511[[#This Row],[Column22]]+1</f>
        <v>46197</v>
      </c>
      <c r="AC8" s="1123">
        <f>Table511[[#This Row],[Column23]]+1</f>
        <v>46198</v>
      </c>
      <c r="AD8" s="1123">
        <f>Table511[[#This Row],[Column24]]+1</f>
        <v>46199</v>
      </c>
      <c r="AE8" s="1301">
        <f>Table511[[#This Row],[Column25]]+1</f>
        <v>46200</v>
      </c>
      <c r="AF8" s="1301">
        <f>Table511[[#This Row],[Column26]]+1</f>
        <v>46201</v>
      </c>
      <c r="AG8" s="1123">
        <f>Table511[[#This Row],[Column262]]+1</f>
        <v>46202</v>
      </c>
      <c r="AH8" s="1123">
        <f>Table511[[#This Row],[Column263]]+1</f>
        <v>46203</v>
      </c>
      <c r="AI8" s="1450">
        <f>Table511[[#This Row],[Column264]]+1</f>
        <v>46204</v>
      </c>
      <c r="AJ8" s="20"/>
      <c r="AK8" s="944"/>
      <c r="AL8" s="207"/>
      <c r="AM8" s="951"/>
      <c r="AN8" s="22"/>
      <c r="AO8" s="621"/>
      <c r="AP8" s="164"/>
      <c r="AQ8" s="164"/>
      <c r="AR8" s="164"/>
      <c r="AS8" s="164"/>
      <c r="AT8" s="164"/>
      <c r="AU8" s="164"/>
      <c r="AV8" s="164"/>
    </row>
    <row r="9" spans="1:48" s="644" customFormat="1" ht="20.65" hidden="1" customHeight="1" thickTop="1">
      <c r="A9" s="942" t="s">
        <v>695</v>
      </c>
      <c r="B9" s="208" t="s">
        <v>674</v>
      </c>
      <c r="C9" s="1495" t="str">
        <f>Table511[[#This Row],[M/C No.]]</f>
        <v>A4(40ton)</v>
      </c>
      <c r="D9" s="28" t="s">
        <v>82</v>
      </c>
      <c r="E9" s="1124"/>
      <c r="F9" s="1124"/>
      <c r="G9" s="1242"/>
      <c r="H9" s="1124"/>
      <c r="I9" s="1124"/>
      <c r="J9" s="1242"/>
      <c r="K9" s="1242"/>
      <c r="L9" s="1124"/>
      <c r="M9" s="1124"/>
      <c r="N9" s="1124"/>
      <c r="O9" s="1124"/>
      <c r="P9" s="1124"/>
      <c r="Q9" s="1242"/>
      <c r="R9" s="1242"/>
      <c r="S9" s="1124"/>
      <c r="T9" s="1124"/>
      <c r="U9" s="1124"/>
      <c r="V9" s="1124"/>
      <c r="W9" s="1124"/>
      <c r="X9" s="1242"/>
      <c r="Y9" s="1242"/>
      <c r="Z9" s="1124"/>
      <c r="AA9" s="1124"/>
      <c r="AB9" s="1124"/>
      <c r="AC9" s="1124"/>
      <c r="AD9" s="1124"/>
      <c r="AE9" s="1242"/>
      <c r="AF9" s="1242"/>
      <c r="AG9" s="1124"/>
      <c r="AH9" s="1124"/>
      <c r="AI9" s="1350"/>
      <c r="AJ9" s="570">
        <f>SUM(E9:AI9)</f>
        <v>0</v>
      </c>
      <c r="AK9" s="991">
        <f t="shared" ref="AK9:AK71" si="0">AJ11</f>
        <v>0</v>
      </c>
      <c r="AL9" s="571">
        <f>+AJ9*AN9</f>
        <v>0</v>
      </c>
      <c r="AM9" s="992">
        <f t="shared" ref="AM9:AM71" si="1">AL11</f>
        <v>0</v>
      </c>
      <c r="AN9" s="102">
        <v>11.141958888888889</v>
      </c>
      <c r="AO9" s="622"/>
      <c r="AP9" s="32" t="s">
        <v>261</v>
      </c>
      <c r="AQ9" s="33" t="s">
        <v>84</v>
      </c>
      <c r="AR9" s="33" t="s">
        <v>85</v>
      </c>
      <c r="AS9" s="33" t="s">
        <v>86</v>
      </c>
      <c r="AT9" s="33" t="s">
        <v>87</v>
      </c>
      <c r="AU9" s="33" t="s">
        <v>88</v>
      </c>
      <c r="AV9" s="34" t="s">
        <v>68</v>
      </c>
    </row>
    <row r="10" spans="1:48" s="644" customFormat="1" ht="20.65" hidden="1" customHeight="1">
      <c r="A10" s="639"/>
      <c r="B10" s="208" t="s">
        <v>262</v>
      </c>
      <c r="C10" s="640"/>
      <c r="D10" s="37" t="s">
        <v>90</v>
      </c>
      <c r="E10" s="1323">
        <f>IF(E9="",0,+ E9/E16)</f>
        <v>0</v>
      </c>
      <c r="F10" s="1096">
        <f t="shared" ref="F10:AC10" si="2">IF(F9="",0, E10+F9/F16)</f>
        <v>0</v>
      </c>
      <c r="G10" s="1207">
        <f t="shared" si="2"/>
        <v>0</v>
      </c>
      <c r="H10" s="1096">
        <f t="shared" si="2"/>
        <v>0</v>
      </c>
      <c r="I10" s="1096">
        <f t="shared" si="2"/>
        <v>0</v>
      </c>
      <c r="J10" s="1207">
        <f t="shared" si="2"/>
        <v>0</v>
      </c>
      <c r="K10" s="1207">
        <f t="shared" si="2"/>
        <v>0</v>
      </c>
      <c r="L10" s="1096">
        <f t="shared" si="2"/>
        <v>0</v>
      </c>
      <c r="M10" s="1096">
        <f t="shared" si="2"/>
        <v>0</v>
      </c>
      <c r="N10" s="1096">
        <f t="shared" si="2"/>
        <v>0</v>
      </c>
      <c r="O10" s="1096">
        <f t="shared" si="2"/>
        <v>0</v>
      </c>
      <c r="P10" s="1096">
        <f t="shared" si="2"/>
        <v>0</v>
      </c>
      <c r="Q10" s="1207">
        <f t="shared" si="2"/>
        <v>0</v>
      </c>
      <c r="R10" s="1207">
        <f t="shared" si="2"/>
        <v>0</v>
      </c>
      <c r="S10" s="1096">
        <f t="shared" si="2"/>
        <v>0</v>
      </c>
      <c r="T10" s="1096">
        <f t="shared" si="2"/>
        <v>0</v>
      </c>
      <c r="U10" s="1096">
        <f t="shared" si="2"/>
        <v>0</v>
      </c>
      <c r="V10" s="1096">
        <f t="shared" si="2"/>
        <v>0</v>
      </c>
      <c r="W10" s="1096">
        <f t="shared" si="2"/>
        <v>0</v>
      </c>
      <c r="X10" s="1207">
        <f t="shared" si="2"/>
        <v>0</v>
      </c>
      <c r="Y10" s="1207">
        <f t="shared" si="2"/>
        <v>0</v>
      </c>
      <c r="Z10" s="1096">
        <f t="shared" si="2"/>
        <v>0</v>
      </c>
      <c r="AA10" s="1096">
        <f t="shared" si="2"/>
        <v>0</v>
      </c>
      <c r="AB10" s="1096">
        <f t="shared" si="2"/>
        <v>0</v>
      </c>
      <c r="AC10" s="1096">
        <f t="shared" si="2"/>
        <v>0</v>
      </c>
      <c r="AD10" s="1096">
        <f>IF(AD9="",0, Z10+AD9/AD16)</f>
        <v>0</v>
      </c>
      <c r="AE10" s="1207">
        <f>IF(AE9="",0, AA10+AE9/AE16)</f>
        <v>0</v>
      </c>
      <c r="AF10" s="1207">
        <f>IF(AF9="",0, AB10+AF9/AF16)</f>
        <v>0</v>
      </c>
      <c r="AG10" s="1096">
        <f>IF(AG9="",0, AC10+AG9/AG16)</f>
        <v>0</v>
      </c>
      <c r="AH10" s="1096">
        <f>IF(AH9="",0, AD10+AH9/AH16)</f>
        <v>0</v>
      </c>
      <c r="AI10" s="1324">
        <f>IF(AI9="",0, AH10+AI9/AI16)</f>
        <v>0</v>
      </c>
      <c r="AJ10" s="728"/>
      <c r="AK10" s="1003">
        <f t="shared" si="0"/>
        <v>0</v>
      </c>
      <c r="AL10" s="641"/>
      <c r="AM10" s="1006">
        <f t="shared" si="1"/>
        <v>0</v>
      </c>
      <c r="AN10" s="642"/>
      <c r="AO10" s="643"/>
      <c r="AP10" s="39" t="s">
        <v>91</v>
      </c>
      <c r="AQ10" s="40">
        <f>SUM(E9:K9)</f>
        <v>0</v>
      </c>
      <c r="AR10" s="41">
        <f>SUM(L9:R9)</f>
        <v>0</v>
      </c>
      <c r="AS10" s="41">
        <f>SUM(S9:Y9)</f>
        <v>0</v>
      </c>
      <c r="AT10" s="41">
        <f>SUM(Z9:AF9)</f>
        <v>0</v>
      </c>
      <c r="AU10" s="41">
        <f>SUM(AG9:AI9)</f>
        <v>0</v>
      </c>
      <c r="AV10" s="34">
        <f t="shared" ref="AV10:AV15" si="3">SUM(AQ10:AU10)</f>
        <v>0</v>
      </c>
    </row>
    <row r="11" spans="1:48" s="644" customFormat="1" ht="20.65" hidden="1" customHeight="1">
      <c r="A11" s="210" t="s">
        <v>245</v>
      </c>
      <c r="B11" s="211" t="s">
        <v>263</v>
      </c>
      <c r="C11" s="42"/>
      <c r="D11" s="43" t="s">
        <v>93</v>
      </c>
      <c r="E11" s="1108"/>
      <c r="F11" s="1108"/>
      <c r="G11" s="44"/>
      <c r="H11" s="1089"/>
      <c r="I11" s="1089"/>
      <c r="J11" s="44"/>
      <c r="K11" s="44"/>
      <c r="L11" s="1089"/>
      <c r="M11" s="1089"/>
      <c r="N11" s="1089"/>
      <c r="O11" s="1089"/>
      <c r="P11" s="1089"/>
      <c r="Q11" s="44"/>
      <c r="R11" s="44"/>
      <c r="S11" s="1089"/>
      <c r="T11" s="1089"/>
      <c r="U11" s="1089"/>
      <c r="V11" s="1089"/>
      <c r="W11" s="1089"/>
      <c r="X11" s="44"/>
      <c r="Y11" s="44"/>
      <c r="Z11" s="1089"/>
      <c r="AA11" s="1089"/>
      <c r="AB11" s="1089"/>
      <c r="AC11" s="1089"/>
      <c r="AD11" s="1089"/>
      <c r="AE11" s="44"/>
      <c r="AF11" s="44"/>
      <c r="AG11" s="1089"/>
      <c r="AH11" s="1089"/>
      <c r="AI11" s="1326"/>
      <c r="AJ11" s="662">
        <f>SUM(E11:AI11)</f>
        <v>0</v>
      </c>
      <c r="AK11" s="1004">
        <f t="shared" si="0"/>
        <v>0</v>
      </c>
      <c r="AL11" s="645">
        <f>+AJ11*AN9</f>
        <v>0</v>
      </c>
      <c r="AM11" s="1007">
        <f t="shared" si="1"/>
        <v>0</v>
      </c>
      <c r="AN11" s="31"/>
      <c r="AO11" s="622"/>
      <c r="AP11" s="47" t="s">
        <v>94</v>
      </c>
      <c r="AQ11" s="48">
        <f>SUM(E11:K11)</f>
        <v>0</v>
      </c>
      <c r="AR11" s="49">
        <f>SUM(L11:R11)</f>
        <v>0</v>
      </c>
      <c r="AS11" s="49">
        <f>SUM(S11:Y11)</f>
        <v>0</v>
      </c>
      <c r="AT11" s="49">
        <f>SUM(Z11:AF11)</f>
        <v>0</v>
      </c>
      <c r="AU11" s="49">
        <f>SUM(AG11:AI11)</f>
        <v>0</v>
      </c>
      <c r="AV11" s="50">
        <f t="shared" si="3"/>
        <v>0</v>
      </c>
    </row>
    <row r="12" spans="1:48" s="644" customFormat="1" ht="20.65" hidden="1" customHeight="1">
      <c r="A12" s="210" t="s">
        <v>245</v>
      </c>
      <c r="B12" s="211"/>
      <c r="C12" s="52" t="s">
        <v>95</v>
      </c>
      <c r="D12" s="53" t="s">
        <v>96</v>
      </c>
      <c r="E12" s="1137">
        <f t="shared" ref="E12:N12" si="4">+E11-E9</f>
        <v>0</v>
      </c>
      <c r="F12" s="1097">
        <f t="shared" si="4"/>
        <v>0</v>
      </c>
      <c r="G12" s="1205">
        <f t="shared" si="4"/>
        <v>0</v>
      </c>
      <c r="H12" s="1097">
        <f t="shared" si="4"/>
        <v>0</v>
      </c>
      <c r="I12" s="1097">
        <f t="shared" si="4"/>
        <v>0</v>
      </c>
      <c r="J12" s="1205">
        <f t="shared" si="4"/>
        <v>0</v>
      </c>
      <c r="K12" s="1205">
        <f t="shared" si="4"/>
        <v>0</v>
      </c>
      <c r="L12" s="1097">
        <f t="shared" si="4"/>
        <v>0</v>
      </c>
      <c r="M12" s="1097">
        <f t="shared" si="4"/>
        <v>0</v>
      </c>
      <c r="N12" s="1097">
        <f t="shared" si="4"/>
        <v>0</v>
      </c>
      <c r="O12" s="1097">
        <f>+O11-O9</f>
        <v>0</v>
      </c>
      <c r="P12" s="1097">
        <f>+P11-P9</f>
        <v>0</v>
      </c>
      <c r="Q12" s="1205">
        <f>+Q11-Q9</f>
        <v>0</v>
      </c>
      <c r="R12" s="1205">
        <f t="shared" ref="R12:X12" si="5">+R11-R9</f>
        <v>0</v>
      </c>
      <c r="S12" s="1097">
        <f t="shared" si="5"/>
        <v>0</v>
      </c>
      <c r="T12" s="1097">
        <f t="shared" si="5"/>
        <v>0</v>
      </c>
      <c r="U12" s="1097">
        <f t="shared" si="5"/>
        <v>0</v>
      </c>
      <c r="V12" s="1097">
        <f t="shared" si="5"/>
        <v>0</v>
      </c>
      <c r="W12" s="1097">
        <f t="shared" si="5"/>
        <v>0</v>
      </c>
      <c r="X12" s="1205">
        <f t="shared" si="5"/>
        <v>0</v>
      </c>
      <c r="Y12" s="1205">
        <f>+Y11-Y9</f>
        <v>0</v>
      </c>
      <c r="Z12" s="1097">
        <f>+Z11-Z9</f>
        <v>0</v>
      </c>
      <c r="AA12" s="1097">
        <f t="shared" ref="AA12:AJ12" si="6">+AA11-AA9</f>
        <v>0</v>
      </c>
      <c r="AB12" s="1097">
        <f t="shared" si="6"/>
        <v>0</v>
      </c>
      <c r="AC12" s="1097">
        <f t="shared" si="6"/>
        <v>0</v>
      </c>
      <c r="AD12" s="1097">
        <f t="shared" si="6"/>
        <v>0</v>
      </c>
      <c r="AE12" s="1205">
        <f t="shared" si="6"/>
        <v>0</v>
      </c>
      <c r="AF12" s="1205">
        <f t="shared" si="6"/>
        <v>0</v>
      </c>
      <c r="AG12" s="1097">
        <f t="shared" si="6"/>
        <v>0</v>
      </c>
      <c r="AH12" s="1097">
        <f t="shared" si="6"/>
        <v>0</v>
      </c>
      <c r="AI12" s="1328">
        <f t="shared" si="6"/>
        <v>0</v>
      </c>
      <c r="AJ12" s="663">
        <f t="shared" si="6"/>
        <v>0</v>
      </c>
      <c r="AK12" s="1004">
        <f t="shared" si="0"/>
        <v>0</v>
      </c>
      <c r="AL12" s="646">
        <f>+AJ12*AN9</f>
        <v>0</v>
      </c>
      <c r="AM12" s="1007">
        <f t="shared" si="1"/>
        <v>0</v>
      </c>
      <c r="AN12" s="31" t="s">
        <v>97</v>
      </c>
      <c r="AO12" s="622"/>
      <c r="AP12" s="39" t="s">
        <v>98</v>
      </c>
      <c r="AQ12" s="56">
        <f>AQ11-AQ10</f>
        <v>0</v>
      </c>
      <c r="AR12" s="70">
        <f>AR11-AR10</f>
        <v>0</v>
      </c>
      <c r="AS12" s="70">
        <f>AS11-AS10</f>
        <v>0</v>
      </c>
      <c r="AT12" s="70">
        <f>AT11-AT10</f>
        <v>0</v>
      </c>
      <c r="AU12" s="70">
        <f>AU11-AU10</f>
        <v>0</v>
      </c>
      <c r="AV12" s="57">
        <f t="shared" si="3"/>
        <v>0</v>
      </c>
    </row>
    <row r="13" spans="1:48" s="644" customFormat="1" ht="20.65" hidden="1" customHeight="1">
      <c r="A13" s="212"/>
      <c r="B13" s="211"/>
      <c r="C13" s="60" t="s">
        <v>100</v>
      </c>
      <c r="D13" s="61" t="s">
        <v>101</v>
      </c>
      <c r="E13" s="1098"/>
      <c r="F13" s="1099"/>
      <c r="G13" s="1208"/>
      <c r="H13" s="1099"/>
      <c r="I13" s="1099"/>
      <c r="J13" s="1208"/>
      <c r="K13" s="1208"/>
      <c r="L13" s="1099"/>
      <c r="M13" s="1099"/>
      <c r="N13" s="1099"/>
      <c r="O13" s="1099"/>
      <c r="P13" s="1099"/>
      <c r="Q13" s="1208"/>
      <c r="R13" s="1208"/>
      <c r="S13" s="1099"/>
      <c r="T13" s="1099"/>
      <c r="U13" s="1101"/>
      <c r="V13" s="1099"/>
      <c r="W13" s="1099"/>
      <c r="X13" s="1208"/>
      <c r="Y13" s="1208"/>
      <c r="Z13" s="1099"/>
      <c r="AA13" s="1099"/>
      <c r="AB13" s="1099"/>
      <c r="AC13" s="1099"/>
      <c r="AD13" s="1099"/>
      <c r="AE13" s="1208"/>
      <c r="AF13" s="1208"/>
      <c r="AG13" s="1099"/>
      <c r="AH13" s="1099"/>
      <c r="AI13" s="1330"/>
      <c r="AJ13" s="664">
        <f>SUM(E13:AI13)</f>
        <v>0</v>
      </c>
      <c r="AK13" s="1004">
        <f t="shared" si="0"/>
        <v>0</v>
      </c>
      <c r="AL13" s="647">
        <f>+AJ13*AN9</f>
        <v>0</v>
      </c>
      <c r="AM13" s="1008">
        <f t="shared" si="1"/>
        <v>0</v>
      </c>
      <c r="AN13" s="64" t="e">
        <f>+AJ13/AJ11*100</f>
        <v>#DIV/0!</v>
      </c>
      <c r="AO13" s="624"/>
      <c r="AP13" s="39" t="s">
        <v>102</v>
      </c>
      <c r="AQ13" s="56">
        <f>SUM(E13:K13)</f>
        <v>0</v>
      </c>
      <c r="AR13" s="70">
        <f>SUM(L13:R13)</f>
        <v>0</v>
      </c>
      <c r="AS13" s="70">
        <f>SUM(S13:Y13)</f>
        <v>0</v>
      </c>
      <c r="AT13" s="70">
        <f>SUM(Z13:AF13)</f>
        <v>0</v>
      </c>
      <c r="AU13" s="70">
        <f>SUM(AG13:AI13)</f>
        <v>0</v>
      </c>
      <c r="AV13" s="57">
        <f t="shared" si="3"/>
        <v>0</v>
      </c>
    </row>
    <row r="14" spans="1:48" s="644" customFormat="1" ht="20.65" hidden="1" customHeight="1">
      <c r="A14" s="210" t="s">
        <v>245</v>
      </c>
      <c r="B14" s="213"/>
      <c r="C14" s="66"/>
      <c r="D14" s="67" t="s">
        <v>103</v>
      </c>
      <c r="E14" s="1100"/>
      <c r="F14" s="1101"/>
      <c r="G14" s="1209"/>
      <c r="H14" s="1101"/>
      <c r="I14" s="1101"/>
      <c r="J14" s="1209"/>
      <c r="K14" s="1209"/>
      <c r="L14" s="1101"/>
      <c r="M14" s="1101"/>
      <c r="N14" s="1101"/>
      <c r="O14" s="1101"/>
      <c r="P14" s="1101"/>
      <c r="Q14" s="1209"/>
      <c r="R14" s="1209"/>
      <c r="S14" s="1101"/>
      <c r="T14" s="1101"/>
      <c r="U14" s="1451"/>
      <c r="V14" s="1101"/>
      <c r="W14" s="1101"/>
      <c r="X14" s="1209"/>
      <c r="Y14" s="1209"/>
      <c r="Z14" s="1101"/>
      <c r="AA14" s="1101"/>
      <c r="AB14" s="1101"/>
      <c r="AC14" s="1101"/>
      <c r="AD14" s="1101"/>
      <c r="AE14" s="1209"/>
      <c r="AF14" s="1209"/>
      <c r="AG14" s="1101"/>
      <c r="AH14" s="1101"/>
      <c r="AI14" s="1332"/>
      <c r="AJ14" s="665">
        <f>SUM(E14:AI14)</f>
        <v>0</v>
      </c>
      <c r="AK14" s="1004">
        <f t="shared" si="0"/>
        <v>0</v>
      </c>
      <c r="AL14" s="648">
        <f>+AJ14*AN9</f>
        <v>0</v>
      </c>
      <c r="AM14" s="1008">
        <f t="shared" si="1"/>
        <v>0</v>
      </c>
      <c r="AN14" s="31"/>
      <c r="AO14" s="622"/>
      <c r="AP14" s="39" t="s">
        <v>19</v>
      </c>
      <c r="AQ14" s="56">
        <f>AQ13*AN9</f>
        <v>0</v>
      </c>
      <c r="AR14" s="56">
        <f>AR13*AN9</f>
        <v>0</v>
      </c>
      <c r="AS14" s="56">
        <f>AS13*AN9</f>
        <v>0</v>
      </c>
      <c r="AT14" s="56">
        <f>AT13*AN9</f>
        <v>0</v>
      </c>
      <c r="AU14" s="56">
        <f>AU13*AN9</f>
        <v>0</v>
      </c>
      <c r="AV14" s="57">
        <f t="shared" si="3"/>
        <v>0</v>
      </c>
    </row>
    <row r="15" spans="1:48" s="644" customFormat="1" ht="20.65" hidden="1" customHeight="1">
      <c r="A15" s="210" t="s">
        <v>245</v>
      </c>
      <c r="B15" s="213"/>
      <c r="C15" s="72" t="s">
        <v>104</v>
      </c>
      <c r="D15" s="73" t="s">
        <v>105</v>
      </c>
      <c r="E15" s="1102"/>
      <c r="F15" s="1103"/>
      <c r="G15" s="1210"/>
      <c r="H15" s="1103"/>
      <c r="I15" s="1103"/>
      <c r="J15" s="1210"/>
      <c r="K15" s="1210"/>
      <c r="L15" s="1103"/>
      <c r="M15" s="1103"/>
      <c r="N15" s="1103"/>
      <c r="O15" s="1103"/>
      <c r="P15" s="1103"/>
      <c r="Q15" s="1210"/>
      <c r="R15" s="1210"/>
      <c r="S15" s="1103"/>
      <c r="T15" s="1103"/>
      <c r="U15" s="1103"/>
      <c r="V15" s="1103"/>
      <c r="W15" s="1103"/>
      <c r="X15" s="1210"/>
      <c r="Y15" s="1210"/>
      <c r="Z15" s="1103"/>
      <c r="AA15" s="1103"/>
      <c r="AB15" s="1103"/>
      <c r="AC15" s="1103"/>
      <c r="AD15" s="1103"/>
      <c r="AE15" s="1210"/>
      <c r="AF15" s="1210"/>
      <c r="AG15" s="1103"/>
      <c r="AH15" s="1103"/>
      <c r="AI15" s="1352"/>
      <c r="AJ15" s="666">
        <f>SUM(E15:AI15)</f>
        <v>0</v>
      </c>
      <c r="AK15" s="1004">
        <f t="shared" si="0"/>
        <v>0</v>
      </c>
      <c r="AL15" s="649">
        <f>+AJ15*AN9</f>
        <v>0</v>
      </c>
      <c r="AM15" s="1008">
        <f t="shared" si="1"/>
        <v>0</v>
      </c>
      <c r="AN15" s="31"/>
      <c r="AO15" s="622"/>
      <c r="AP15" s="47" t="s">
        <v>106</v>
      </c>
      <c r="AQ15" s="48">
        <f>AQ11*AN9</f>
        <v>0</v>
      </c>
      <c r="AR15" s="48">
        <f>AR11*AN9</f>
        <v>0</v>
      </c>
      <c r="AS15" s="48">
        <f>AS11*AN9</f>
        <v>0</v>
      </c>
      <c r="AT15" s="48">
        <f>AT11*AN9</f>
        <v>0</v>
      </c>
      <c r="AU15" s="48">
        <f>AU11*AN9</f>
        <v>0</v>
      </c>
      <c r="AV15" s="50">
        <f t="shared" si="3"/>
        <v>0</v>
      </c>
    </row>
    <row r="16" spans="1:48" s="644" customFormat="1" ht="20.65" hidden="1" customHeight="1">
      <c r="A16" s="210" t="s">
        <v>245</v>
      </c>
      <c r="B16" s="65"/>
      <c r="C16" s="77">
        <v>300000</v>
      </c>
      <c r="D16" s="78" t="s">
        <v>107</v>
      </c>
      <c r="E16" s="1137">
        <v>2</v>
      </c>
      <c r="F16" s="1097">
        <v>2</v>
      </c>
      <c r="G16" s="1205">
        <v>2</v>
      </c>
      <c r="H16" s="1097">
        <v>2</v>
      </c>
      <c r="I16" s="1097">
        <v>2</v>
      </c>
      <c r="J16" s="1205">
        <v>2</v>
      </c>
      <c r="K16" s="1205">
        <v>2</v>
      </c>
      <c r="L16" s="1097">
        <v>2</v>
      </c>
      <c r="M16" s="1097">
        <v>2</v>
      </c>
      <c r="N16" s="1097">
        <v>2</v>
      </c>
      <c r="O16" s="1097">
        <v>2</v>
      </c>
      <c r="P16" s="1097">
        <v>2</v>
      </c>
      <c r="Q16" s="1205">
        <v>2</v>
      </c>
      <c r="R16" s="1205">
        <v>2</v>
      </c>
      <c r="S16" s="1097">
        <v>2</v>
      </c>
      <c r="T16" s="1097">
        <v>2</v>
      </c>
      <c r="U16" s="1097">
        <v>2</v>
      </c>
      <c r="V16" s="1097">
        <v>2</v>
      </c>
      <c r="W16" s="1097">
        <v>2</v>
      </c>
      <c r="X16" s="1205">
        <v>2</v>
      </c>
      <c r="Y16" s="1205">
        <v>2</v>
      </c>
      <c r="Z16" s="1097">
        <v>2</v>
      </c>
      <c r="AA16" s="1097">
        <v>2</v>
      </c>
      <c r="AB16" s="1097">
        <v>2</v>
      </c>
      <c r="AC16" s="1097">
        <v>2</v>
      </c>
      <c r="AD16" s="1097">
        <v>2</v>
      </c>
      <c r="AE16" s="1205">
        <v>2</v>
      </c>
      <c r="AF16" s="1205">
        <v>2</v>
      </c>
      <c r="AG16" s="1097">
        <v>2</v>
      </c>
      <c r="AH16" s="1097">
        <v>2</v>
      </c>
      <c r="AI16" s="1328">
        <v>2</v>
      </c>
      <c r="AJ16" s="663"/>
      <c r="AK16" s="1004">
        <f t="shared" si="0"/>
        <v>0</v>
      </c>
      <c r="AL16" s="646"/>
      <c r="AM16" s="1007">
        <f t="shared" si="1"/>
        <v>0</v>
      </c>
      <c r="AN16" s="31"/>
      <c r="AO16" s="622"/>
      <c r="AP16" s="47"/>
      <c r="AQ16" s="48"/>
      <c r="AR16" s="48"/>
      <c r="AS16" s="48"/>
      <c r="AT16" s="48"/>
      <c r="AU16" s="48"/>
      <c r="AV16" s="214"/>
    </row>
    <row r="17" spans="1:48" s="644" customFormat="1" ht="20.65" hidden="1" customHeight="1">
      <c r="A17" s="210" t="s">
        <v>245</v>
      </c>
      <c r="B17" s="65"/>
      <c r="C17" s="80" t="s">
        <v>108</v>
      </c>
      <c r="D17" s="81" t="s">
        <v>109</v>
      </c>
      <c r="E17" s="1125">
        <f>SUM(E11+E13+E15+E14)/E16</f>
        <v>0</v>
      </c>
      <c r="F17" s="1125">
        <f t="shared" ref="F17:AI17" si="7">SUM(F11+F13+F15+F14)/F16</f>
        <v>0</v>
      </c>
      <c r="G17" s="1233">
        <f t="shared" si="7"/>
        <v>0</v>
      </c>
      <c r="H17" s="1125">
        <f t="shared" si="7"/>
        <v>0</v>
      </c>
      <c r="I17" s="1125">
        <f t="shared" si="7"/>
        <v>0</v>
      </c>
      <c r="J17" s="1233">
        <f t="shared" si="7"/>
        <v>0</v>
      </c>
      <c r="K17" s="1233">
        <f t="shared" si="7"/>
        <v>0</v>
      </c>
      <c r="L17" s="1125">
        <f t="shared" si="7"/>
        <v>0</v>
      </c>
      <c r="M17" s="1125">
        <f t="shared" si="7"/>
        <v>0</v>
      </c>
      <c r="N17" s="1125">
        <f t="shared" si="7"/>
        <v>0</v>
      </c>
      <c r="O17" s="1125">
        <f t="shared" si="7"/>
        <v>0</v>
      </c>
      <c r="P17" s="1125">
        <f t="shared" si="7"/>
        <v>0</v>
      </c>
      <c r="Q17" s="1233">
        <f t="shared" si="7"/>
        <v>0</v>
      </c>
      <c r="R17" s="1233">
        <f t="shared" si="7"/>
        <v>0</v>
      </c>
      <c r="S17" s="1125">
        <f t="shared" si="7"/>
        <v>0</v>
      </c>
      <c r="T17" s="1125">
        <f t="shared" si="7"/>
        <v>0</v>
      </c>
      <c r="U17" s="1125">
        <f t="shared" si="7"/>
        <v>0</v>
      </c>
      <c r="V17" s="1125">
        <f t="shared" si="7"/>
        <v>0</v>
      </c>
      <c r="W17" s="1125">
        <f t="shared" si="7"/>
        <v>0</v>
      </c>
      <c r="X17" s="1233">
        <f t="shared" si="7"/>
        <v>0</v>
      </c>
      <c r="Y17" s="1233">
        <f t="shared" si="7"/>
        <v>0</v>
      </c>
      <c r="Z17" s="1125">
        <f t="shared" si="7"/>
        <v>0</v>
      </c>
      <c r="AA17" s="1125">
        <f t="shared" si="7"/>
        <v>0</v>
      </c>
      <c r="AB17" s="1125">
        <f t="shared" si="7"/>
        <v>0</v>
      </c>
      <c r="AC17" s="1125">
        <f t="shared" si="7"/>
        <v>0</v>
      </c>
      <c r="AD17" s="1125">
        <f t="shared" si="7"/>
        <v>0</v>
      </c>
      <c r="AE17" s="1233">
        <f t="shared" si="7"/>
        <v>0</v>
      </c>
      <c r="AF17" s="1233">
        <f t="shared" si="7"/>
        <v>0</v>
      </c>
      <c r="AG17" s="1125">
        <f t="shared" si="7"/>
        <v>0</v>
      </c>
      <c r="AH17" s="1125">
        <f t="shared" si="7"/>
        <v>0</v>
      </c>
      <c r="AI17" s="1409">
        <f t="shared" si="7"/>
        <v>0</v>
      </c>
      <c r="AJ17" s="104">
        <f>SUM(E17:AI17)</f>
        <v>0</v>
      </c>
      <c r="AK17" s="993">
        <f t="shared" si="0"/>
        <v>0</v>
      </c>
      <c r="AL17" s="650"/>
      <c r="AM17" s="1008">
        <f t="shared" si="1"/>
        <v>0</v>
      </c>
      <c r="AN17" s="31"/>
      <c r="AO17" s="622"/>
      <c r="AP17" s="651"/>
      <c r="AQ17" s="651"/>
      <c r="AR17" s="651"/>
      <c r="AS17" s="651"/>
      <c r="AT17" s="651"/>
      <c r="AU17" s="651"/>
      <c r="AV17" s="651"/>
    </row>
    <row r="18" spans="1:48" s="644" customFormat="1" ht="20.65" hidden="1" customHeight="1">
      <c r="A18" s="215"/>
      <c r="B18" s="89"/>
      <c r="C18" s="84">
        <f>+C16*0.8</f>
        <v>240000</v>
      </c>
      <c r="D18" s="85" t="s">
        <v>110</v>
      </c>
      <c r="E18" s="1336"/>
      <c r="F18" s="1107"/>
      <c r="G18" s="1228"/>
      <c r="H18" s="1107"/>
      <c r="I18" s="1107"/>
      <c r="J18" s="1228"/>
      <c r="K18" s="1228"/>
      <c r="L18" s="1107"/>
      <c r="M18" s="1107"/>
      <c r="N18" s="1107"/>
      <c r="O18" s="1107"/>
      <c r="P18" s="1107"/>
      <c r="Q18" s="1228"/>
      <c r="R18" s="1228"/>
      <c r="S18" s="1107"/>
      <c r="T18" s="1107"/>
      <c r="U18" s="1107"/>
      <c r="V18" s="1107"/>
      <c r="W18" s="1107"/>
      <c r="X18" s="1228"/>
      <c r="Y18" s="1228"/>
      <c r="Z18" s="1107"/>
      <c r="AA18" s="1107"/>
      <c r="AB18" s="1107"/>
      <c r="AC18" s="1107"/>
      <c r="AD18" s="1107"/>
      <c r="AE18" s="1228"/>
      <c r="AF18" s="1228"/>
      <c r="AG18" s="1107"/>
      <c r="AH18" s="1107"/>
      <c r="AI18" s="1353"/>
      <c r="AJ18" s="729"/>
      <c r="AK18" s="1004">
        <f t="shared" si="0"/>
        <v>0</v>
      </c>
      <c r="AL18" s="647"/>
      <c r="AM18" s="1008">
        <f t="shared" si="1"/>
        <v>0</v>
      </c>
      <c r="AN18" s="31"/>
      <c r="AO18" s="622"/>
      <c r="AP18" s="651"/>
      <c r="AQ18" s="651"/>
      <c r="AR18" s="651"/>
      <c r="AS18" s="651"/>
      <c r="AT18" s="651"/>
      <c r="AU18" s="651"/>
      <c r="AV18" s="651"/>
    </row>
    <row r="19" spans="1:48" s="644" customFormat="1" ht="20.65" hidden="1" customHeight="1">
      <c r="A19" s="215"/>
      <c r="B19" s="89"/>
      <c r="C19" s="77"/>
      <c r="D19" s="88" t="s">
        <v>111</v>
      </c>
      <c r="E19" s="1125">
        <f>IF(E18="O/H",E17,0+E17)</f>
        <v>0</v>
      </c>
      <c r="F19" s="1126">
        <f>IF(F18="O/H",F17,+E19+F17)</f>
        <v>0</v>
      </c>
      <c r="G19" s="1235">
        <f t="shared" ref="G19:AI19" si="8">IF(G18="O/H",G17,+F19+G17)</f>
        <v>0</v>
      </c>
      <c r="H19" s="1126">
        <f t="shared" si="8"/>
        <v>0</v>
      </c>
      <c r="I19" s="1126">
        <f t="shared" si="8"/>
        <v>0</v>
      </c>
      <c r="J19" s="1235">
        <f t="shared" si="8"/>
        <v>0</v>
      </c>
      <c r="K19" s="1235">
        <f t="shared" si="8"/>
        <v>0</v>
      </c>
      <c r="L19" s="1126">
        <f t="shared" si="8"/>
        <v>0</v>
      </c>
      <c r="M19" s="1126">
        <f t="shared" si="8"/>
        <v>0</v>
      </c>
      <c r="N19" s="1126">
        <f t="shared" si="8"/>
        <v>0</v>
      </c>
      <c r="O19" s="1126">
        <f t="shared" si="8"/>
        <v>0</v>
      </c>
      <c r="P19" s="1126">
        <f t="shared" si="8"/>
        <v>0</v>
      </c>
      <c r="Q19" s="1235">
        <f t="shared" si="8"/>
        <v>0</v>
      </c>
      <c r="R19" s="1235">
        <f t="shared" si="8"/>
        <v>0</v>
      </c>
      <c r="S19" s="1126">
        <f t="shared" si="8"/>
        <v>0</v>
      </c>
      <c r="T19" s="1126">
        <f t="shared" si="8"/>
        <v>0</v>
      </c>
      <c r="U19" s="1126">
        <f t="shared" si="8"/>
        <v>0</v>
      </c>
      <c r="V19" s="1126">
        <f t="shared" si="8"/>
        <v>0</v>
      </c>
      <c r="W19" s="1126">
        <f t="shared" si="8"/>
        <v>0</v>
      </c>
      <c r="X19" s="1235">
        <f t="shared" si="8"/>
        <v>0</v>
      </c>
      <c r="Y19" s="1235">
        <f t="shared" si="8"/>
        <v>0</v>
      </c>
      <c r="Z19" s="1126">
        <f t="shared" si="8"/>
        <v>0</v>
      </c>
      <c r="AA19" s="1126">
        <f t="shared" si="8"/>
        <v>0</v>
      </c>
      <c r="AB19" s="1126">
        <f t="shared" si="8"/>
        <v>0</v>
      </c>
      <c r="AC19" s="1126">
        <f t="shared" si="8"/>
        <v>0</v>
      </c>
      <c r="AD19" s="1126">
        <f t="shared" si="8"/>
        <v>0</v>
      </c>
      <c r="AE19" s="1235">
        <f t="shared" si="8"/>
        <v>0</v>
      </c>
      <c r="AF19" s="1235">
        <f t="shared" si="8"/>
        <v>0</v>
      </c>
      <c r="AG19" s="1126">
        <f t="shared" si="8"/>
        <v>0</v>
      </c>
      <c r="AH19" s="1126">
        <f t="shared" si="8"/>
        <v>0</v>
      </c>
      <c r="AI19" s="1335">
        <f t="shared" si="8"/>
        <v>0</v>
      </c>
      <c r="AJ19" s="104"/>
      <c r="AK19" s="993">
        <f t="shared" si="0"/>
        <v>0</v>
      </c>
      <c r="AL19" s="650"/>
      <c r="AM19" s="1008">
        <f t="shared" si="1"/>
        <v>0</v>
      </c>
      <c r="AN19" s="31"/>
      <c r="AO19" s="622"/>
      <c r="AP19" s="651"/>
      <c r="AQ19" s="651"/>
      <c r="AR19" s="651"/>
      <c r="AS19" s="651"/>
      <c r="AT19" s="651"/>
      <c r="AU19" s="651"/>
      <c r="AV19" s="651"/>
    </row>
    <row r="20" spans="1:48" s="644" customFormat="1" ht="20.65" hidden="1" customHeight="1">
      <c r="A20" s="215" t="s">
        <v>242</v>
      </c>
      <c r="B20" s="65" t="s">
        <v>264</v>
      </c>
      <c r="C20" s="80"/>
      <c r="D20" s="90" t="s">
        <v>104</v>
      </c>
      <c r="E20" s="1452"/>
      <c r="F20" s="1127"/>
      <c r="G20" s="1302"/>
      <c r="H20" s="1127"/>
      <c r="I20" s="1127"/>
      <c r="J20" s="1302"/>
      <c r="K20" s="1302"/>
      <c r="L20" s="1127"/>
      <c r="M20" s="1127"/>
      <c r="N20" s="1127"/>
      <c r="O20" s="1127"/>
      <c r="P20" s="1127"/>
      <c r="Q20" s="1302"/>
      <c r="R20" s="1302"/>
      <c r="S20" s="1127"/>
      <c r="T20" s="1127"/>
      <c r="U20" s="1127"/>
      <c r="V20" s="1127"/>
      <c r="W20" s="1127"/>
      <c r="X20" s="1302"/>
      <c r="Y20" s="1302"/>
      <c r="Z20" s="1127"/>
      <c r="AA20" s="1127"/>
      <c r="AB20" s="1127"/>
      <c r="AC20" s="1127"/>
      <c r="AD20" s="1127"/>
      <c r="AE20" s="1302"/>
      <c r="AF20" s="1302"/>
      <c r="AG20" s="1127"/>
      <c r="AH20" s="1127"/>
      <c r="AI20" s="1328"/>
      <c r="AJ20" s="664"/>
      <c r="AK20" s="1004">
        <f t="shared" si="0"/>
        <v>0</v>
      </c>
      <c r="AL20" s="646"/>
      <c r="AM20" s="1007">
        <f t="shared" si="1"/>
        <v>0</v>
      </c>
      <c r="AN20" s="31"/>
      <c r="AO20" s="622"/>
      <c r="AP20" s="651"/>
      <c r="AQ20" s="651"/>
      <c r="AR20" s="651"/>
      <c r="AS20" s="651"/>
      <c r="AT20" s="651"/>
      <c r="AU20" s="651"/>
      <c r="AV20" s="651"/>
    </row>
    <row r="21" spans="1:48" s="644" customFormat="1" ht="20.65" hidden="1" customHeight="1" thickBot="1">
      <c r="A21" s="216" t="s">
        <v>242</v>
      </c>
      <c r="B21" s="93"/>
      <c r="C21" s="94"/>
      <c r="D21" s="95" t="s">
        <v>111</v>
      </c>
      <c r="E21" s="1453">
        <f>IF(E20="O/H",E17,0+E17)</f>
        <v>0</v>
      </c>
      <c r="F21" s="1128">
        <f t="shared" ref="F21:AI21" si="9">IF(F20="O/H",F17,+E21+F17)</f>
        <v>0</v>
      </c>
      <c r="G21" s="1303">
        <f t="shared" si="9"/>
        <v>0</v>
      </c>
      <c r="H21" s="1128">
        <f t="shared" si="9"/>
        <v>0</v>
      </c>
      <c r="I21" s="1128">
        <f t="shared" si="9"/>
        <v>0</v>
      </c>
      <c r="J21" s="1303">
        <f t="shared" si="9"/>
        <v>0</v>
      </c>
      <c r="K21" s="1303">
        <f t="shared" si="9"/>
        <v>0</v>
      </c>
      <c r="L21" s="1128">
        <f t="shared" si="9"/>
        <v>0</v>
      </c>
      <c r="M21" s="1128">
        <f t="shared" si="9"/>
        <v>0</v>
      </c>
      <c r="N21" s="1128">
        <f t="shared" si="9"/>
        <v>0</v>
      </c>
      <c r="O21" s="1128">
        <f t="shared" si="9"/>
        <v>0</v>
      </c>
      <c r="P21" s="1128">
        <f t="shared" si="9"/>
        <v>0</v>
      </c>
      <c r="Q21" s="1303">
        <f t="shared" si="9"/>
        <v>0</v>
      </c>
      <c r="R21" s="1303">
        <f t="shared" si="9"/>
        <v>0</v>
      </c>
      <c r="S21" s="1128">
        <f t="shared" si="9"/>
        <v>0</v>
      </c>
      <c r="T21" s="1128">
        <f t="shared" si="9"/>
        <v>0</v>
      </c>
      <c r="U21" s="1128">
        <f t="shared" si="9"/>
        <v>0</v>
      </c>
      <c r="V21" s="1128">
        <f t="shared" si="9"/>
        <v>0</v>
      </c>
      <c r="W21" s="1128">
        <f t="shared" si="9"/>
        <v>0</v>
      </c>
      <c r="X21" s="1303">
        <f t="shared" si="9"/>
        <v>0</v>
      </c>
      <c r="Y21" s="1303">
        <f t="shared" si="9"/>
        <v>0</v>
      </c>
      <c r="Z21" s="1128">
        <f t="shared" si="9"/>
        <v>0</v>
      </c>
      <c r="AA21" s="1128">
        <f t="shared" si="9"/>
        <v>0</v>
      </c>
      <c r="AB21" s="1128">
        <f t="shared" si="9"/>
        <v>0</v>
      </c>
      <c r="AC21" s="1128">
        <f t="shared" si="9"/>
        <v>0</v>
      </c>
      <c r="AD21" s="1128">
        <f t="shared" si="9"/>
        <v>0</v>
      </c>
      <c r="AE21" s="1303">
        <f t="shared" si="9"/>
        <v>0</v>
      </c>
      <c r="AF21" s="1303">
        <f t="shared" si="9"/>
        <v>0</v>
      </c>
      <c r="AG21" s="1128">
        <f t="shared" si="9"/>
        <v>0</v>
      </c>
      <c r="AH21" s="1128">
        <f t="shared" si="9"/>
        <v>0</v>
      </c>
      <c r="AI21" s="1454">
        <f t="shared" si="9"/>
        <v>0</v>
      </c>
      <c r="AJ21" s="730"/>
      <c r="AK21" s="1005">
        <f t="shared" si="0"/>
        <v>0</v>
      </c>
      <c r="AL21" s="652"/>
      <c r="AM21" s="1009">
        <f t="shared" si="1"/>
        <v>0</v>
      </c>
      <c r="AN21" s="98"/>
      <c r="AO21" s="625"/>
      <c r="AP21" s="651"/>
      <c r="AQ21" s="651"/>
      <c r="AR21" s="651"/>
      <c r="AS21" s="651"/>
      <c r="AT21" s="651"/>
      <c r="AU21" s="651"/>
      <c r="AV21" s="651"/>
    </row>
    <row r="22" spans="1:48" s="644" customFormat="1" ht="20.65" hidden="1" customHeight="1" thickTop="1">
      <c r="A22" s="947" t="s">
        <v>696</v>
      </c>
      <c r="B22" s="218" t="s">
        <v>612</v>
      </c>
      <c r="C22" s="1495" t="str">
        <f>Table511[[#This Row],[M/C No.]]</f>
        <v>A5(50ton)</v>
      </c>
      <c r="D22" s="28" t="s">
        <v>82</v>
      </c>
      <c r="E22" s="1368"/>
      <c r="F22" s="1124"/>
      <c r="G22" s="1242"/>
      <c r="H22" s="1124"/>
      <c r="I22" s="1124"/>
      <c r="J22" s="1242"/>
      <c r="K22" s="1242"/>
      <c r="L22" s="1124"/>
      <c r="M22" s="1124"/>
      <c r="N22" s="1124"/>
      <c r="O22" s="1124"/>
      <c r="P22" s="1124"/>
      <c r="Q22" s="1242"/>
      <c r="R22" s="1242"/>
      <c r="S22" s="1124"/>
      <c r="T22" s="1124"/>
      <c r="U22" s="1124"/>
      <c r="V22" s="1124"/>
      <c r="W22" s="1124"/>
      <c r="X22" s="1242"/>
      <c r="Y22" s="1242"/>
      <c r="Z22" s="1124"/>
      <c r="AA22" s="1124"/>
      <c r="AB22" s="1124"/>
      <c r="AC22" s="1124"/>
      <c r="AD22" s="1124"/>
      <c r="AE22" s="1242"/>
      <c r="AF22" s="1242"/>
      <c r="AG22" s="1124"/>
      <c r="AH22" s="1124"/>
      <c r="AI22" s="1124"/>
      <c r="AJ22" s="570">
        <f>SUM(E22:AI22)</f>
        <v>0</v>
      </c>
      <c r="AK22" s="1014">
        <f t="shared" si="0"/>
        <v>0</v>
      </c>
      <c r="AL22" s="655">
        <f>+AJ22*AN22</f>
        <v>0</v>
      </c>
      <c r="AM22" s="992">
        <f t="shared" si="1"/>
        <v>0</v>
      </c>
      <c r="AN22" s="102">
        <v>8.8293600000000012</v>
      </c>
      <c r="AO22" s="622">
        <f>Table5[[#This Row],[Total]]*B26/1000</f>
        <v>0</v>
      </c>
      <c r="AP22" s="32" t="s">
        <v>265</v>
      </c>
      <c r="AQ22" s="33" t="s">
        <v>84</v>
      </c>
      <c r="AR22" s="33" t="s">
        <v>85</v>
      </c>
      <c r="AS22" s="33" t="s">
        <v>86</v>
      </c>
      <c r="AT22" s="33" t="s">
        <v>87</v>
      </c>
      <c r="AU22" s="33" t="s">
        <v>88</v>
      </c>
      <c r="AV22" s="34" t="s">
        <v>68</v>
      </c>
    </row>
    <row r="23" spans="1:48" s="644" customFormat="1" ht="20.65" hidden="1" customHeight="1">
      <c r="A23" s="639"/>
      <c r="B23" s="219" t="s">
        <v>266</v>
      </c>
      <c r="C23" s="640"/>
      <c r="D23" s="37" t="s">
        <v>90</v>
      </c>
      <c r="E23" s="1323">
        <f>IF(E22="",0,+ E22/E29)</f>
        <v>0</v>
      </c>
      <c r="F23" s="1096">
        <f t="shared" ref="F23:AC23" si="10">IF(F22="",0, E23+F22/F29)</f>
        <v>0</v>
      </c>
      <c r="G23" s="1207">
        <f t="shared" si="10"/>
        <v>0</v>
      </c>
      <c r="H23" s="1096">
        <f t="shared" si="10"/>
        <v>0</v>
      </c>
      <c r="I23" s="1096">
        <f t="shared" si="10"/>
        <v>0</v>
      </c>
      <c r="J23" s="1207">
        <f t="shared" si="10"/>
        <v>0</v>
      </c>
      <c r="K23" s="1207">
        <f t="shared" si="10"/>
        <v>0</v>
      </c>
      <c r="L23" s="1096">
        <f t="shared" si="10"/>
        <v>0</v>
      </c>
      <c r="M23" s="1096">
        <f t="shared" si="10"/>
        <v>0</v>
      </c>
      <c r="N23" s="1096">
        <f t="shared" si="10"/>
        <v>0</v>
      </c>
      <c r="O23" s="1096">
        <f t="shared" si="10"/>
        <v>0</v>
      </c>
      <c r="P23" s="1096">
        <f t="shared" si="10"/>
        <v>0</v>
      </c>
      <c r="Q23" s="1207">
        <f t="shared" si="10"/>
        <v>0</v>
      </c>
      <c r="R23" s="1207">
        <f t="shared" si="10"/>
        <v>0</v>
      </c>
      <c r="S23" s="1096">
        <f t="shared" si="10"/>
        <v>0</v>
      </c>
      <c r="T23" s="1096">
        <f t="shared" si="10"/>
        <v>0</v>
      </c>
      <c r="U23" s="1096">
        <f t="shared" si="10"/>
        <v>0</v>
      </c>
      <c r="V23" s="1096">
        <f t="shared" si="10"/>
        <v>0</v>
      </c>
      <c r="W23" s="1096">
        <f t="shared" si="10"/>
        <v>0</v>
      </c>
      <c r="X23" s="1207">
        <f t="shared" si="10"/>
        <v>0</v>
      </c>
      <c r="Y23" s="1207">
        <f t="shared" si="10"/>
        <v>0</v>
      </c>
      <c r="Z23" s="1096">
        <f t="shared" si="10"/>
        <v>0</v>
      </c>
      <c r="AA23" s="1096">
        <f t="shared" si="10"/>
        <v>0</v>
      </c>
      <c r="AB23" s="1096">
        <f t="shared" si="10"/>
        <v>0</v>
      </c>
      <c r="AC23" s="1096">
        <f t="shared" si="10"/>
        <v>0</v>
      </c>
      <c r="AD23" s="1096">
        <f>IF(AD22="",0, Z23+AD22/AD29)</f>
        <v>0</v>
      </c>
      <c r="AE23" s="1207">
        <f>IF(AE22="",0, AA23+AE22/AE29)</f>
        <v>0</v>
      </c>
      <c r="AF23" s="1207">
        <f>IF(AF22="",0, AB23+AF22/AF29)</f>
        <v>0</v>
      </c>
      <c r="AG23" s="1096">
        <f>IF(AG22="",0, AC23+AG22/AG29)</f>
        <v>0</v>
      </c>
      <c r="AH23" s="1096">
        <f>IF(AH22="",0, AD23+AH22/AH29)</f>
        <v>0</v>
      </c>
      <c r="AI23" s="1324">
        <f>IF(AI22="",0, AH23+AI22/AI29)</f>
        <v>0</v>
      </c>
      <c r="AJ23" s="728"/>
      <c r="AK23" s="1003">
        <f t="shared" si="0"/>
        <v>0</v>
      </c>
      <c r="AL23" s="641"/>
      <c r="AM23" s="1006">
        <f t="shared" si="1"/>
        <v>0</v>
      </c>
      <c r="AN23" s="642"/>
      <c r="AO23" s="630"/>
      <c r="AP23" s="39" t="s">
        <v>91</v>
      </c>
      <c r="AQ23" s="40">
        <f>SUM(E22:I22)</f>
        <v>0</v>
      </c>
      <c r="AR23" s="41">
        <f>SUM(J22:P22)</f>
        <v>0</v>
      </c>
      <c r="AS23" s="41">
        <f>SUM(Q22:W22)</f>
        <v>0</v>
      </c>
      <c r="AT23" s="41">
        <f>SUM(X22:AD22)</f>
        <v>0</v>
      </c>
      <c r="AU23" s="41">
        <f>SUM(AE22:AI22)</f>
        <v>0</v>
      </c>
      <c r="AV23" s="34">
        <f t="shared" ref="AV23:AV28" si="11">SUM(AQ23:AU23)</f>
        <v>0</v>
      </c>
    </row>
    <row r="24" spans="1:48" s="644" customFormat="1" ht="20.65" hidden="1" customHeight="1">
      <c r="A24" s="215" t="s">
        <v>267</v>
      </c>
      <c r="B24" s="89" t="s">
        <v>268</v>
      </c>
      <c r="C24" s="42"/>
      <c r="D24" s="43" t="s">
        <v>93</v>
      </c>
      <c r="E24" s="1325"/>
      <c r="F24" s="1089"/>
      <c r="G24" s="44"/>
      <c r="H24" s="1089"/>
      <c r="I24" s="1089"/>
      <c r="J24" s="44"/>
      <c r="K24" s="44"/>
      <c r="L24" s="1089"/>
      <c r="M24" s="1089"/>
      <c r="N24" s="1089"/>
      <c r="O24" s="1089"/>
      <c r="P24" s="1089"/>
      <c r="Q24" s="44"/>
      <c r="R24" s="44"/>
      <c r="S24" s="1089"/>
      <c r="T24" s="1089"/>
      <c r="U24" s="1089"/>
      <c r="V24" s="1089"/>
      <c r="W24" s="1089"/>
      <c r="X24" s="44"/>
      <c r="Y24" s="44"/>
      <c r="Z24" s="1089"/>
      <c r="AA24" s="1089"/>
      <c r="AB24" s="1089"/>
      <c r="AC24" s="1089"/>
      <c r="AD24" s="1089"/>
      <c r="AE24" s="44"/>
      <c r="AF24" s="44"/>
      <c r="AG24" s="1089"/>
      <c r="AH24" s="1089"/>
      <c r="AI24" s="1326"/>
      <c r="AJ24" s="662">
        <f>SUM(E24:AI24)</f>
        <v>0</v>
      </c>
      <c r="AK24" s="1004">
        <f t="shared" si="0"/>
        <v>0</v>
      </c>
      <c r="AL24" s="645">
        <f>+AJ24*AN22</f>
        <v>0</v>
      </c>
      <c r="AM24" s="1007">
        <f t="shared" si="1"/>
        <v>0</v>
      </c>
      <c r="AN24" s="31"/>
      <c r="AO24" s="632">
        <f>(AJ24+AJ26+AJ27+AJ28)*B26/1000</f>
        <v>0</v>
      </c>
      <c r="AP24" s="47" t="s">
        <v>94</v>
      </c>
      <c r="AQ24" s="48">
        <f>SUM(E24:I24)</f>
        <v>0</v>
      </c>
      <c r="AR24" s="49">
        <f>SUM(J24:P24)</f>
        <v>0</v>
      </c>
      <c r="AS24" s="49">
        <f>SUM(Q24:W24)</f>
        <v>0</v>
      </c>
      <c r="AT24" s="49">
        <f>SUM(X24:AD24)</f>
        <v>0</v>
      </c>
      <c r="AU24" s="49">
        <f>SUM(AE24:AI24)</f>
        <v>0</v>
      </c>
      <c r="AV24" s="50">
        <f t="shared" si="11"/>
        <v>0</v>
      </c>
    </row>
    <row r="25" spans="1:48" s="644" customFormat="1" ht="20.65" hidden="1" customHeight="1">
      <c r="A25" s="215" t="s">
        <v>267</v>
      </c>
      <c r="B25" s="638" t="s">
        <v>247</v>
      </c>
      <c r="C25" s="52" t="s">
        <v>95</v>
      </c>
      <c r="D25" s="53" t="s">
        <v>96</v>
      </c>
      <c r="E25" s="1327">
        <f t="shared" ref="E25" si="12">+E24-E22</f>
        <v>0</v>
      </c>
      <c r="F25" s="1097">
        <f t="shared" ref="F25:AI25" si="13">+F22-F24</f>
        <v>0</v>
      </c>
      <c r="G25" s="1205">
        <f t="shared" si="13"/>
        <v>0</v>
      </c>
      <c r="H25" s="1097">
        <f t="shared" si="13"/>
        <v>0</v>
      </c>
      <c r="I25" s="1097">
        <f t="shared" si="13"/>
        <v>0</v>
      </c>
      <c r="J25" s="1205">
        <f t="shared" si="13"/>
        <v>0</v>
      </c>
      <c r="K25" s="1205">
        <f t="shared" si="13"/>
        <v>0</v>
      </c>
      <c r="L25" s="1097">
        <f t="shared" si="13"/>
        <v>0</v>
      </c>
      <c r="M25" s="1097">
        <f t="shared" si="13"/>
        <v>0</v>
      </c>
      <c r="N25" s="1097">
        <f t="shared" si="13"/>
        <v>0</v>
      </c>
      <c r="O25" s="1097">
        <f t="shared" si="13"/>
        <v>0</v>
      </c>
      <c r="P25" s="1097">
        <f t="shared" si="13"/>
        <v>0</v>
      </c>
      <c r="Q25" s="1205">
        <v>0</v>
      </c>
      <c r="R25" s="1205">
        <f t="shared" si="13"/>
        <v>0</v>
      </c>
      <c r="S25" s="1097">
        <f t="shared" si="13"/>
        <v>0</v>
      </c>
      <c r="T25" s="1097">
        <f t="shared" si="13"/>
        <v>0</v>
      </c>
      <c r="U25" s="1097">
        <f t="shared" si="13"/>
        <v>0</v>
      </c>
      <c r="V25" s="1097">
        <f t="shared" si="13"/>
        <v>0</v>
      </c>
      <c r="W25" s="1097">
        <f t="shared" si="13"/>
        <v>0</v>
      </c>
      <c r="X25" s="1205">
        <v>0</v>
      </c>
      <c r="Y25" s="1205">
        <f t="shared" si="13"/>
        <v>0</v>
      </c>
      <c r="Z25" s="1097">
        <f t="shared" si="13"/>
        <v>0</v>
      </c>
      <c r="AA25" s="1097">
        <f>+AA22-AA24</f>
        <v>0</v>
      </c>
      <c r="AB25" s="1097">
        <f t="shared" si="13"/>
        <v>0</v>
      </c>
      <c r="AC25" s="1097">
        <f t="shared" si="13"/>
        <v>0</v>
      </c>
      <c r="AD25" s="1097">
        <f t="shared" si="13"/>
        <v>0</v>
      </c>
      <c r="AE25" s="1205">
        <f t="shared" si="13"/>
        <v>0</v>
      </c>
      <c r="AF25" s="1205">
        <f t="shared" si="13"/>
        <v>0</v>
      </c>
      <c r="AG25" s="1097">
        <f t="shared" si="13"/>
        <v>0</v>
      </c>
      <c r="AH25" s="1097">
        <f t="shared" si="13"/>
        <v>0</v>
      </c>
      <c r="AI25" s="1328">
        <f t="shared" si="13"/>
        <v>0</v>
      </c>
      <c r="AJ25" s="663">
        <f>+AJ24-AJ22</f>
        <v>0</v>
      </c>
      <c r="AK25" s="1004">
        <f t="shared" si="0"/>
        <v>0</v>
      </c>
      <c r="AL25" s="646">
        <f>+AJ25*AN22</f>
        <v>0</v>
      </c>
      <c r="AM25" s="1007">
        <f t="shared" si="1"/>
        <v>0</v>
      </c>
      <c r="AN25" s="31" t="s">
        <v>97</v>
      </c>
      <c r="AO25" s="622"/>
      <c r="AP25" s="39" t="s">
        <v>98</v>
      </c>
      <c r="AQ25" s="56">
        <f>AQ24-AQ23</f>
        <v>0</v>
      </c>
      <c r="AR25" s="70">
        <f>AR24-AR23</f>
        <v>0</v>
      </c>
      <c r="AS25" s="70">
        <f>AS24-AS23</f>
        <v>0</v>
      </c>
      <c r="AT25" s="70">
        <f>AT24-AT23</f>
        <v>0</v>
      </c>
      <c r="AU25" s="70">
        <f>AU24-AU23</f>
        <v>0</v>
      </c>
      <c r="AV25" s="57">
        <f t="shared" si="11"/>
        <v>0</v>
      </c>
    </row>
    <row r="26" spans="1:48" s="644" customFormat="1" ht="20.65" hidden="1" customHeight="1">
      <c r="A26" s="215" t="s">
        <v>267</v>
      </c>
      <c r="B26" s="638">
        <v>14.286</v>
      </c>
      <c r="C26" s="60" t="s">
        <v>100</v>
      </c>
      <c r="D26" s="61" t="s">
        <v>101</v>
      </c>
      <c r="E26" s="1367"/>
      <c r="F26" s="1099"/>
      <c r="G26" s="1208"/>
      <c r="H26" s="1099"/>
      <c r="I26" s="1099"/>
      <c r="J26" s="1208"/>
      <c r="K26" s="1208"/>
      <c r="L26" s="1099"/>
      <c r="M26" s="1099"/>
      <c r="N26" s="1099"/>
      <c r="O26" s="1099"/>
      <c r="P26" s="1099"/>
      <c r="Q26" s="1208"/>
      <c r="R26" s="1208"/>
      <c r="S26" s="1099"/>
      <c r="T26" s="1099"/>
      <c r="U26" s="1099"/>
      <c r="V26" s="1099"/>
      <c r="W26" s="1099"/>
      <c r="X26" s="1208"/>
      <c r="Y26" s="1208"/>
      <c r="Z26" s="1099"/>
      <c r="AA26" s="1099"/>
      <c r="AB26" s="1099"/>
      <c r="AC26" s="1099"/>
      <c r="AD26" s="1099"/>
      <c r="AE26" s="1208"/>
      <c r="AF26" s="1208"/>
      <c r="AG26" s="1099"/>
      <c r="AH26" s="1099"/>
      <c r="AI26" s="1330"/>
      <c r="AJ26" s="664">
        <f>SUM(E26:AI26)</f>
        <v>0</v>
      </c>
      <c r="AK26" s="1004">
        <f t="shared" si="0"/>
        <v>0</v>
      </c>
      <c r="AL26" s="647">
        <f>+AJ26*AN22</f>
        <v>0</v>
      </c>
      <c r="AM26" s="1008">
        <f t="shared" si="1"/>
        <v>0</v>
      </c>
      <c r="AN26" s="64" t="e">
        <f>+AJ26/AJ24*100</f>
        <v>#DIV/0!</v>
      </c>
      <c r="AO26" s="635" t="e">
        <f>AO24/AO22</f>
        <v>#DIV/0!</v>
      </c>
      <c r="AP26" s="39" t="s">
        <v>102</v>
      </c>
      <c r="AQ26" s="56">
        <f>SUM(E26:I26)</f>
        <v>0</v>
      </c>
      <c r="AR26" s="70">
        <f>SUM(J26:P26)</f>
        <v>0</v>
      </c>
      <c r="AS26" s="70">
        <f>SUM(Q26:W26)</f>
        <v>0</v>
      </c>
      <c r="AT26" s="70">
        <f>SUM(X26:AD26)</f>
        <v>0</v>
      </c>
      <c r="AU26" s="70">
        <f>SUM(AE26:AI26)</f>
        <v>0</v>
      </c>
      <c r="AV26" s="57">
        <f t="shared" si="11"/>
        <v>0</v>
      </c>
    </row>
    <row r="27" spans="1:48" s="644" customFormat="1" ht="20.65" hidden="1" customHeight="1">
      <c r="A27" s="210" t="s">
        <v>245</v>
      </c>
      <c r="B27" s="213"/>
      <c r="C27" s="66"/>
      <c r="D27" s="67" t="s">
        <v>103</v>
      </c>
      <c r="E27" s="1113"/>
      <c r="F27" s="1101"/>
      <c r="G27" s="1209"/>
      <c r="H27" s="1101"/>
      <c r="I27" s="1101"/>
      <c r="J27" s="1209"/>
      <c r="K27" s="1209"/>
      <c r="L27" s="1101"/>
      <c r="M27" s="1101"/>
      <c r="N27" s="1101"/>
      <c r="O27" s="1101"/>
      <c r="P27" s="1101"/>
      <c r="Q27" s="1209"/>
      <c r="R27" s="1209"/>
      <c r="S27" s="1101"/>
      <c r="T27" s="1101"/>
      <c r="U27" s="1101"/>
      <c r="V27" s="1101"/>
      <c r="W27" s="1101"/>
      <c r="X27" s="1209"/>
      <c r="Y27" s="1209"/>
      <c r="Z27" s="1101"/>
      <c r="AA27" s="1101"/>
      <c r="AB27" s="1101"/>
      <c r="AC27" s="1101"/>
      <c r="AD27" s="1101"/>
      <c r="AE27" s="1209"/>
      <c r="AF27" s="1209"/>
      <c r="AG27" s="1101"/>
      <c r="AH27" s="1101"/>
      <c r="AI27" s="1332"/>
      <c r="AJ27" s="665">
        <f>SUM(E27:AI27)</f>
        <v>0</v>
      </c>
      <c r="AK27" s="1004">
        <f t="shared" si="0"/>
        <v>0</v>
      </c>
      <c r="AL27" s="648">
        <f>+AJ27*AN22</f>
        <v>0</v>
      </c>
      <c r="AM27" s="1008">
        <f t="shared" si="1"/>
        <v>0</v>
      </c>
      <c r="AN27" s="31"/>
      <c r="AO27" s="622"/>
      <c r="AP27" s="39" t="s">
        <v>19</v>
      </c>
      <c r="AQ27" s="56">
        <f>AQ26*AN22</f>
        <v>0</v>
      </c>
      <c r="AR27" s="56">
        <f>AR26*AN22</f>
        <v>0</v>
      </c>
      <c r="AS27" s="56">
        <f>AS26*AN22</f>
        <v>0</v>
      </c>
      <c r="AT27" s="56">
        <f>AT26*AN22</f>
        <v>0</v>
      </c>
      <c r="AU27" s="56">
        <f>AU26*AN22</f>
        <v>0</v>
      </c>
      <c r="AV27" s="57">
        <f t="shared" si="11"/>
        <v>0</v>
      </c>
    </row>
    <row r="28" spans="1:48" s="644" customFormat="1" ht="20.65" hidden="1" customHeight="1">
      <c r="A28" s="210" t="s">
        <v>245</v>
      </c>
      <c r="B28" s="213"/>
      <c r="C28" s="72" t="s">
        <v>104</v>
      </c>
      <c r="D28" s="73" t="s">
        <v>105</v>
      </c>
      <c r="E28" s="1115"/>
      <c r="F28" s="1116"/>
      <c r="G28" s="1215"/>
      <c r="H28" s="1116"/>
      <c r="I28" s="1116"/>
      <c r="J28" s="1215"/>
      <c r="K28" s="1215"/>
      <c r="L28" s="1116"/>
      <c r="M28" s="1116"/>
      <c r="N28" s="1116"/>
      <c r="O28" s="1116"/>
      <c r="P28" s="1116"/>
      <c r="Q28" s="1215"/>
      <c r="R28" s="1215"/>
      <c r="S28" s="1116"/>
      <c r="T28" s="1116"/>
      <c r="U28" s="1116"/>
      <c r="V28" s="1116"/>
      <c r="W28" s="1116"/>
      <c r="X28" s="1215"/>
      <c r="Y28" s="1215"/>
      <c r="Z28" s="1116"/>
      <c r="AA28" s="1116"/>
      <c r="AB28" s="1116"/>
      <c r="AC28" s="1116"/>
      <c r="AD28" s="1116"/>
      <c r="AE28" s="1215"/>
      <c r="AF28" s="1215"/>
      <c r="AG28" s="1116"/>
      <c r="AH28" s="1116"/>
      <c r="AI28" s="1334"/>
      <c r="AJ28" s="731">
        <f>SUM(E28:AI28)</f>
        <v>0</v>
      </c>
      <c r="AK28" s="1004">
        <f t="shared" si="0"/>
        <v>0</v>
      </c>
      <c r="AL28" s="653">
        <f>+AJ28*AN22</f>
        <v>0</v>
      </c>
      <c r="AM28" s="1008">
        <f t="shared" si="1"/>
        <v>0</v>
      </c>
      <c r="AN28" s="31"/>
      <c r="AO28" s="622"/>
      <c r="AP28" s="47" t="s">
        <v>106</v>
      </c>
      <c r="AQ28" s="48">
        <f>AQ24*AN22</f>
        <v>0</v>
      </c>
      <c r="AR28" s="48">
        <f>AR24*AN22</f>
        <v>0</v>
      </c>
      <c r="AS28" s="48">
        <f>AS24*AN22</f>
        <v>0</v>
      </c>
      <c r="AT28" s="48">
        <f>AT24*AN22</f>
        <v>0</v>
      </c>
      <c r="AU28" s="48">
        <f>AU24*AN22</f>
        <v>0</v>
      </c>
      <c r="AV28" s="50">
        <f t="shared" si="11"/>
        <v>0</v>
      </c>
    </row>
    <row r="29" spans="1:48" s="644" customFormat="1" ht="20.65" hidden="1" customHeight="1">
      <c r="A29" s="221"/>
      <c r="B29" s="89"/>
      <c r="C29" s="77">
        <v>300000</v>
      </c>
      <c r="D29" s="78" t="s">
        <v>107</v>
      </c>
      <c r="E29" s="1137">
        <v>2</v>
      </c>
      <c r="F29" s="1097">
        <v>2</v>
      </c>
      <c r="G29" s="1205">
        <v>2</v>
      </c>
      <c r="H29" s="1097">
        <v>2</v>
      </c>
      <c r="I29" s="1097">
        <v>2</v>
      </c>
      <c r="J29" s="1205">
        <v>2</v>
      </c>
      <c r="K29" s="1205">
        <v>2</v>
      </c>
      <c r="L29" s="1097">
        <v>2</v>
      </c>
      <c r="M29" s="1097">
        <v>2</v>
      </c>
      <c r="N29" s="1097">
        <v>2</v>
      </c>
      <c r="O29" s="1097">
        <v>2</v>
      </c>
      <c r="P29" s="1097">
        <v>2</v>
      </c>
      <c r="Q29" s="1205">
        <v>2</v>
      </c>
      <c r="R29" s="1205">
        <v>2</v>
      </c>
      <c r="S29" s="1097">
        <v>2</v>
      </c>
      <c r="T29" s="1097">
        <v>2</v>
      </c>
      <c r="U29" s="1097">
        <v>2</v>
      </c>
      <c r="V29" s="1097">
        <v>2</v>
      </c>
      <c r="W29" s="1097">
        <v>2</v>
      </c>
      <c r="X29" s="1205">
        <v>2</v>
      </c>
      <c r="Y29" s="1205">
        <v>2</v>
      </c>
      <c r="Z29" s="1097">
        <v>2</v>
      </c>
      <c r="AA29" s="1097">
        <v>2</v>
      </c>
      <c r="AB29" s="1097">
        <v>2</v>
      </c>
      <c r="AC29" s="1097">
        <v>2</v>
      </c>
      <c r="AD29" s="1097">
        <v>2</v>
      </c>
      <c r="AE29" s="1205">
        <v>2</v>
      </c>
      <c r="AF29" s="1205">
        <v>2</v>
      </c>
      <c r="AG29" s="1097">
        <v>2</v>
      </c>
      <c r="AH29" s="1097">
        <v>2</v>
      </c>
      <c r="AI29" s="1328">
        <v>2</v>
      </c>
      <c r="AJ29" s="663"/>
      <c r="AK29" s="1004">
        <f t="shared" si="0"/>
        <v>0</v>
      </c>
      <c r="AL29" s="646"/>
      <c r="AM29" s="1007">
        <f t="shared" si="1"/>
        <v>0</v>
      </c>
      <c r="AN29" s="31"/>
      <c r="AO29" s="622"/>
      <c r="AP29" s="47"/>
      <c r="AQ29" s="48"/>
      <c r="AR29" s="48"/>
      <c r="AS29" s="48"/>
      <c r="AT29" s="48"/>
      <c r="AU29" s="48"/>
      <c r="AV29" s="214"/>
    </row>
    <row r="30" spans="1:48" s="644" customFormat="1" ht="20.65" hidden="1" customHeight="1">
      <c r="A30" s="215" t="s">
        <v>267</v>
      </c>
      <c r="B30" s="89"/>
      <c r="C30" s="80" t="s">
        <v>108</v>
      </c>
      <c r="D30" s="81" t="s">
        <v>109</v>
      </c>
      <c r="E30" s="1125">
        <f t="shared" ref="E30:AI30" si="14">SUM(E24+E26+E28)/E29</f>
        <v>0</v>
      </c>
      <c r="F30" s="1126">
        <f t="shared" si="14"/>
        <v>0</v>
      </c>
      <c r="G30" s="1235">
        <f t="shared" si="14"/>
        <v>0</v>
      </c>
      <c r="H30" s="1126">
        <f t="shared" si="14"/>
        <v>0</v>
      </c>
      <c r="I30" s="1126">
        <f t="shared" si="14"/>
        <v>0</v>
      </c>
      <c r="J30" s="1235">
        <f t="shared" si="14"/>
        <v>0</v>
      </c>
      <c r="K30" s="1235">
        <f t="shared" si="14"/>
        <v>0</v>
      </c>
      <c r="L30" s="1126">
        <f t="shared" si="14"/>
        <v>0</v>
      </c>
      <c r="M30" s="1126">
        <f t="shared" si="14"/>
        <v>0</v>
      </c>
      <c r="N30" s="1126">
        <f t="shared" si="14"/>
        <v>0</v>
      </c>
      <c r="O30" s="1126">
        <f t="shared" si="14"/>
        <v>0</v>
      </c>
      <c r="P30" s="1126">
        <f t="shared" si="14"/>
        <v>0</v>
      </c>
      <c r="Q30" s="1235">
        <f t="shared" si="14"/>
        <v>0</v>
      </c>
      <c r="R30" s="1235">
        <f t="shared" si="14"/>
        <v>0</v>
      </c>
      <c r="S30" s="1126">
        <f t="shared" si="14"/>
        <v>0</v>
      </c>
      <c r="T30" s="1126">
        <f t="shared" si="14"/>
        <v>0</v>
      </c>
      <c r="U30" s="1126">
        <f t="shared" si="14"/>
        <v>0</v>
      </c>
      <c r="V30" s="1126">
        <f t="shared" si="14"/>
        <v>0</v>
      </c>
      <c r="W30" s="1126">
        <f t="shared" si="14"/>
        <v>0</v>
      </c>
      <c r="X30" s="1235">
        <f t="shared" si="14"/>
        <v>0</v>
      </c>
      <c r="Y30" s="1235">
        <f t="shared" si="14"/>
        <v>0</v>
      </c>
      <c r="Z30" s="1126">
        <f t="shared" si="14"/>
        <v>0</v>
      </c>
      <c r="AA30" s="1126">
        <f t="shared" si="14"/>
        <v>0</v>
      </c>
      <c r="AB30" s="1126">
        <f t="shared" si="14"/>
        <v>0</v>
      </c>
      <c r="AC30" s="1126">
        <f t="shared" si="14"/>
        <v>0</v>
      </c>
      <c r="AD30" s="1126">
        <f t="shared" si="14"/>
        <v>0</v>
      </c>
      <c r="AE30" s="1235">
        <f>SUM(AE24+AE26+AE28)/AE29</f>
        <v>0</v>
      </c>
      <c r="AF30" s="1235">
        <f>SUM(AF24+AF26+AF28)/AF29</f>
        <v>0</v>
      </c>
      <c r="AG30" s="1126">
        <f>SUM(AG24+AG26+AG28)/AG29</f>
        <v>0</v>
      </c>
      <c r="AH30" s="1126">
        <f t="shared" si="14"/>
        <v>0</v>
      </c>
      <c r="AI30" s="1335">
        <f t="shared" si="14"/>
        <v>0</v>
      </c>
      <c r="AJ30" s="104">
        <f>SUM(E30:AI30)</f>
        <v>0</v>
      </c>
      <c r="AK30" s="993">
        <f t="shared" si="0"/>
        <v>0</v>
      </c>
      <c r="AL30" s="650"/>
      <c r="AM30" s="1008">
        <f t="shared" si="1"/>
        <v>0</v>
      </c>
      <c r="AN30" s="31"/>
      <c r="AO30" s="622"/>
      <c r="AP30" s="651"/>
      <c r="AQ30" s="651"/>
      <c r="AR30" s="651"/>
      <c r="AS30" s="651"/>
      <c r="AT30" s="651"/>
      <c r="AU30" s="651"/>
      <c r="AV30" s="651"/>
    </row>
    <row r="31" spans="1:48" s="644" customFormat="1" ht="20.65" hidden="1" customHeight="1">
      <c r="A31" s="215" t="s">
        <v>267</v>
      </c>
      <c r="B31" s="89"/>
      <c r="C31" s="84">
        <f>+C29*0.8</f>
        <v>240000</v>
      </c>
      <c r="D31" s="85" t="s">
        <v>110</v>
      </c>
      <c r="E31" s="1125"/>
      <c r="F31" s="1126"/>
      <c r="G31" s="1235"/>
      <c r="H31" s="1126"/>
      <c r="I31" s="1126"/>
      <c r="J31" s="1235"/>
      <c r="K31" s="1235"/>
      <c r="L31" s="1126"/>
      <c r="M31" s="1126"/>
      <c r="N31" s="1126"/>
      <c r="O31" s="1126"/>
      <c r="P31" s="1126"/>
      <c r="Q31" s="1235"/>
      <c r="R31" s="1235"/>
      <c r="S31" s="1126"/>
      <c r="T31" s="1126"/>
      <c r="U31" s="1126"/>
      <c r="V31" s="1126"/>
      <c r="W31" s="1126"/>
      <c r="X31" s="1235"/>
      <c r="Y31" s="1235"/>
      <c r="Z31" s="1126"/>
      <c r="AA31" s="1126"/>
      <c r="AB31" s="1126"/>
      <c r="AC31" s="1126"/>
      <c r="AD31" s="1126"/>
      <c r="AE31" s="1235"/>
      <c r="AF31" s="1235"/>
      <c r="AG31" s="1126"/>
      <c r="AH31" s="1126"/>
      <c r="AI31" s="1335"/>
      <c r="AJ31" s="104"/>
      <c r="AK31" s="993">
        <f t="shared" si="0"/>
        <v>0</v>
      </c>
      <c r="AL31" s="650"/>
      <c r="AM31" s="1008">
        <f t="shared" si="1"/>
        <v>0</v>
      </c>
      <c r="AN31" s="222"/>
      <c r="AO31" s="637"/>
      <c r="AP31" s="651"/>
      <c r="AQ31" s="651"/>
      <c r="AR31" s="651"/>
      <c r="AS31" s="651"/>
      <c r="AT31" s="651"/>
      <c r="AU31" s="651"/>
      <c r="AV31" s="651"/>
    </row>
    <row r="32" spans="1:48" s="644" customFormat="1" ht="20.65" hidden="1" customHeight="1">
      <c r="A32" s="215" t="s">
        <v>267</v>
      </c>
      <c r="B32" s="89"/>
      <c r="C32" s="77"/>
      <c r="D32" s="88" t="s">
        <v>111</v>
      </c>
      <c r="E32" s="1125">
        <f>IF(E31="O/H",E30,0+E30)</f>
        <v>0</v>
      </c>
      <c r="F32" s="1126">
        <f>IF(F31="O/H",F30,+E32+F30)</f>
        <v>0</v>
      </c>
      <c r="G32" s="1235">
        <f t="shared" ref="G32:AI32" si="15">IF(G31="O/H",G30,+F32+G30)</f>
        <v>0</v>
      </c>
      <c r="H32" s="1126">
        <f t="shared" si="15"/>
        <v>0</v>
      </c>
      <c r="I32" s="1126">
        <f t="shared" si="15"/>
        <v>0</v>
      </c>
      <c r="J32" s="1235">
        <f t="shared" si="15"/>
        <v>0</v>
      </c>
      <c r="K32" s="1235">
        <f t="shared" si="15"/>
        <v>0</v>
      </c>
      <c r="L32" s="1126">
        <f t="shared" si="15"/>
        <v>0</v>
      </c>
      <c r="M32" s="1126">
        <f t="shared" si="15"/>
        <v>0</v>
      </c>
      <c r="N32" s="1126">
        <f t="shared" si="15"/>
        <v>0</v>
      </c>
      <c r="O32" s="1126">
        <f t="shared" si="15"/>
        <v>0</v>
      </c>
      <c r="P32" s="1126">
        <f t="shared" si="15"/>
        <v>0</v>
      </c>
      <c r="Q32" s="1235">
        <f t="shared" si="15"/>
        <v>0</v>
      </c>
      <c r="R32" s="1235">
        <f t="shared" si="15"/>
        <v>0</v>
      </c>
      <c r="S32" s="1126">
        <f t="shared" si="15"/>
        <v>0</v>
      </c>
      <c r="T32" s="1126">
        <f t="shared" si="15"/>
        <v>0</v>
      </c>
      <c r="U32" s="1126">
        <f t="shared" si="15"/>
        <v>0</v>
      </c>
      <c r="V32" s="1126">
        <f t="shared" si="15"/>
        <v>0</v>
      </c>
      <c r="W32" s="1126">
        <f t="shared" si="15"/>
        <v>0</v>
      </c>
      <c r="X32" s="1235">
        <f t="shared" si="15"/>
        <v>0</v>
      </c>
      <c r="Y32" s="1235">
        <f t="shared" si="15"/>
        <v>0</v>
      </c>
      <c r="Z32" s="1126">
        <f t="shared" si="15"/>
        <v>0</v>
      </c>
      <c r="AA32" s="1126">
        <f t="shared" si="15"/>
        <v>0</v>
      </c>
      <c r="AB32" s="1126">
        <f t="shared" si="15"/>
        <v>0</v>
      </c>
      <c r="AC32" s="1126">
        <f t="shared" si="15"/>
        <v>0</v>
      </c>
      <c r="AD32" s="1126">
        <f t="shared" si="15"/>
        <v>0</v>
      </c>
      <c r="AE32" s="1235">
        <f t="shared" si="15"/>
        <v>0</v>
      </c>
      <c r="AF32" s="1235">
        <f t="shared" si="15"/>
        <v>0</v>
      </c>
      <c r="AG32" s="1126">
        <f t="shared" si="15"/>
        <v>0</v>
      </c>
      <c r="AH32" s="1126">
        <f t="shared" si="15"/>
        <v>0</v>
      </c>
      <c r="AI32" s="1335">
        <f t="shared" si="15"/>
        <v>0</v>
      </c>
      <c r="AJ32" s="104"/>
      <c r="AK32" s="993">
        <f t="shared" si="0"/>
        <v>0</v>
      </c>
      <c r="AL32" s="650"/>
      <c r="AM32" s="1008">
        <f t="shared" si="1"/>
        <v>0</v>
      </c>
      <c r="AN32" s="222"/>
      <c r="AO32" s="637"/>
      <c r="AP32" s="651"/>
      <c r="AQ32" s="651"/>
      <c r="AR32" s="651"/>
      <c r="AS32" s="651"/>
      <c r="AT32" s="651"/>
      <c r="AU32" s="651"/>
      <c r="AV32" s="651"/>
    </row>
    <row r="33" spans="1:48" s="644" customFormat="1" ht="20.65" hidden="1" customHeight="1">
      <c r="A33" s="215" t="s">
        <v>267</v>
      </c>
      <c r="B33" s="89" t="s">
        <v>269</v>
      </c>
      <c r="C33" s="80"/>
      <c r="D33" s="90" t="s">
        <v>104</v>
      </c>
      <c r="E33" s="1108"/>
      <c r="F33" s="1097"/>
      <c r="G33" s="1205"/>
      <c r="H33" s="1097"/>
      <c r="I33" s="1097"/>
      <c r="J33" s="1205"/>
      <c r="K33" s="1205"/>
      <c r="L33" s="1097"/>
      <c r="M33" s="1097"/>
      <c r="N33" s="1097"/>
      <c r="O33" s="1097"/>
      <c r="P33" s="1097"/>
      <c r="Q33" s="1205"/>
      <c r="R33" s="1205"/>
      <c r="S33" s="1097"/>
      <c r="T33" s="1097"/>
      <c r="U33" s="1097"/>
      <c r="V33" s="1097"/>
      <c r="W33" s="1097"/>
      <c r="X33" s="1205"/>
      <c r="Y33" s="1205"/>
      <c r="Z33" s="1097"/>
      <c r="AA33" s="1097"/>
      <c r="AB33" s="1097"/>
      <c r="AC33" s="1097"/>
      <c r="AD33" s="1097"/>
      <c r="AE33" s="1205"/>
      <c r="AF33" s="1205"/>
      <c r="AG33" s="1097"/>
      <c r="AH33" s="1089"/>
      <c r="AI33" s="1089"/>
      <c r="AJ33" s="664"/>
      <c r="AK33" s="1004">
        <f t="shared" si="0"/>
        <v>0</v>
      </c>
      <c r="AL33" s="646"/>
      <c r="AM33" s="1007">
        <f t="shared" si="1"/>
        <v>0</v>
      </c>
      <c r="AN33" s="31"/>
      <c r="AO33" s="622"/>
      <c r="AP33" s="651"/>
      <c r="AQ33" s="651"/>
      <c r="AR33" s="651"/>
      <c r="AS33" s="651"/>
      <c r="AT33" s="651"/>
      <c r="AU33" s="651"/>
      <c r="AV33" s="651"/>
    </row>
    <row r="34" spans="1:48" s="644" customFormat="1" ht="20.65" hidden="1" customHeight="1" thickBot="1">
      <c r="A34" s="216" t="s">
        <v>267</v>
      </c>
      <c r="B34" s="93"/>
      <c r="C34" s="94"/>
      <c r="D34" s="95" t="s">
        <v>111</v>
      </c>
      <c r="E34" s="1109">
        <f>IF(E33="O/H",E30,0+E30)</f>
        <v>0</v>
      </c>
      <c r="F34" s="1110">
        <f t="shared" ref="F34:AI34" si="16">IF(F33="O/H",F30,+E34+F30)</f>
        <v>0</v>
      </c>
      <c r="G34" s="1212">
        <f t="shared" si="16"/>
        <v>0</v>
      </c>
      <c r="H34" s="1110">
        <f t="shared" si="16"/>
        <v>0</v>
      </c>
      <c r="I34" s="1110">
        <f t="shared" si="16"/>
        <v>0</v>
      </c>
      <c r="J34" s="1212">
        <f t="shared" si="16"/>
        <v>0</v>
      </c>
      <c r="K34" s="1212">
        <f t="shared" si="16"/>
        <v>0</v>
      </c>
      <c r="L34" s="1110">
        <f t="shared" si="16"/>
        <v>0</v>
      </c>
      <c r="M34" s="1110">
        <f t="shared" si="16"/>
        <v>0</v>
      </c>
      <c r="N34" s="1110">
        <f t="shared" si="16"/>
        <v>0</v>
      </c>
      <c r="O34" s="1110">
        <f t="shared" si="16"/>
        <v>0</v>
      </c>
      <c r="P34" s="1110">
        <f t="shared" si="16"/>
        <v>0</v>
      </c>
      <c r="Q34" s="1212">
        <f t="shared" si="16"/>
        <v>0</v>
      </c>
      <c r="R34" s="1212">
        <f t="shared" si="16"/>
        <v>0</v>
      </c>
      <c r="S34" s="1110">
        <f t="shared" si="16"/>
        <v>0</v>
      </c>
      <c r="T34" s="1110">
        <f t="shared" si="16"/>
        <v>0</v>
      </c>
      <c r="U34" s="1110">
        <f t="shared" si="16"/>
        <v>0</v>
      </c>
      <c r="V34" s="1110">
        <f t="shared" si="16"/>
        <v>0</v>
      </c>
      <c r="W34" s="1110">
        <f t="shared" si="16"/>
        <v>0</v>
      </c>
      <c r="X34" s="1212">
        <f t="shared" si="16"/>
        <v>0</v>
      </c>
      <c r="Y34" s="1212">
        <f t="shared" si="16"/>
        <v>0</v>
      </c>
      <c r="Z34" s="1110">
        <f t="shared" si="16"/>
        <v>0</v>
      </c>
      <c r="AA34" s="1110">
        <f t="shared" si="16"/>
        <v>0</v>
      </c>
      <c r="AB34" s="1110">
        <f t="shared" si="16"/>
        <v>0</v>
      </c>
      <c r="AC34" s="1110">
        <f t="shared" si="16"/>
        <v>0</v>
      </c>
      <c r="AD34" s="1110">
        <f t="shared" si="16"/>
        <v>0</v>
      </c>
      <c r="AE34" s="1212">
        <f t="shared" si="16"/>
        <v>0</v>
      </c>
      <c r="AF34" s="1212">
        <f t="shared" si="16"/>
        <v>0</v>
      </c>
      <c r="AG34" s="1110">
        <f t="shared" si="16"/>
        <v>0</v>
      </c>
      <c r="AH34" s="1110">
        <f t="shared" si="16"/>
        <v>0</v>
      </c>
      <c r="AI34" s="1110">
        <f t="shared" si="16"/>
        <v>0</v>
      </c>
      <c r="AJ34" s="730"/>
      <c r="AK34" s="1005">
        <f t="shared" si="0"/>
        <v>0</v>
      </c>
      <c r="AL34" s="652"/>
      <c r="AM34" s="1009">
        <f t="shared" si="1"/>
        <v>0</v>
      </c>
      <c r="AN34" s="98"/>
      <c r="AO34" s="625"/>
      <c r="AP34" s="651"/>
      <c r="AQ34" s="651"/>
      <c r="AR34" s="651"/>
      <c r="AS34" s="651"/>
      <c r="AT34" s="651"/>
      <c r="AU34" s="651"/>
      <c r="AV34" s="651"/>
    </row>
    <row r="35" spans="1:48" s="644" customFormat="1" ht="20.65" hidden="1" customHeight="1" thickTop="1">
      <c r="A35" s="947" t="s">
        <v>696</v>
      </c>
      <c r="B35" s="89" t="s">
        <v>270</v>
      </c>
      <c r="C35" s="1495" t="str">
        <f>Table511[[#This Row],[M/C No.]]</f>
        <v>A5(50ton)</v>
      </c>
      <c r="D35" s="28" t="s">
        <v>82</v>
      </c>
      <c r="E35" s="1124"/>
      <c r="F35" s="1124"/>
      <c r="G35" s="1242"/>
      <c r="H35" s="1124"/>
      <c r="I35" s="1124"/>
      <c r="J35" s="1242"/>
      <c r="K35" s="1242"/>
      <c r="L35" s="1124"/>
      <c r="M35" s="1124"/>
      <c r="N35" s="1124"/>
      <c r="O35" s="1124"/>
      <c r="P35" s="1124"/>
      <c r="Q35" s="1242"/>
      <c r="R35" s="1242"/>
      <c r="S35" s="1124"/>
      <c r="T35" s="1124"/>
      <c r="U35" s="1124"/>
      <c r="V35" s="1124"/>
      <c r="W35" s="1124"/>
      <c r="X35" s="1242"/>
      <c r="Y35" s="1242"/>
      <c r="Z35" s="1124"/>
      <c r="AA35" s="1124"/>
      <c r="AB35" s="1124"/>
      <c r="AC35" s="1124"/>
      <c r="AD35" s="1124"/>
      <c r="AE35" s="1242"/>
      <c r="AF35" s="1242"/>
      <c r="AG35" s="1124"/>
      <c r="AH35" s="1124"/>
      <c r="AI35" s="1350"/>
      <c r="AJ35" s="570">
        <f>SUM(E35:AI35)</f>
        <v>0</v>
      </c>
      <c r="AK35" s="991">
        <f t="shared" si="0"/>
        <v>0</v>
      </c>
      <c r="AL35" s="571">
        <f>+AJ35*AN35</f>
        <v>0</v>
      </c>
      <c r="AM35" s="992">
        <f t="shared" si="1"/>
        <v>0</v>
      </c>
      <c r="AN35" s="102">
        <v>1.9229618320610688E-2</v>
      </c>
      <c r="AO35" s="622">
        <f>Table5[[#This Row],[Total]]*B39/1000</f>
        <v>0</v>
      </c>
      <c r="AP35" s="32" t="s">
        <v>265</v>
      </c>
      <c r="AQ35" s="33" t="s">
        <v>84</v>
      </c>
      <c r="AR35" s="33" t="s">
        <v>85</v>
      </c>
      <c r="AS35" s="33" t="s">
        <v>86</v>
      </c>
      <c r="AT35" s="33" t="s">
        <v>87</v>
      </c>
      <c r="AU35" s="33" t="s">
        <v>88</v>
      </c>
      <c r="AV35" s="34" t="s">
        <v>68</v>
      </c>
    </row>
    <row r="36" spans="1:48" s="644" customFormat="1" ht="20.65" hidden="1" customHeight="1">
      <c r="A36" s="639"/>
      <c r="B36" s="89" t="s">
        <v>271</v>
      </c>
      <c r="C36" s="640"/>
      <c r="D36" s="37" t="s">
        <v>90</v>
      </c>
      <c r="E36" s="1323">
        <f>IF(E35="",0,+ E35/E42)</f>
        <v>0</v>
      </c>
      <c r="F36" s="1096">
        <f t="shared" ref="F36:AC36" si="17">IF(F35="",0, E36+F35/F42)</f>
        <v>0</v>
      </c>
      <c r="G36" s="1207">
        <f t="shared" si="17"/>
        <v>0</v>
      </c>
      <c r="H36" s="1096">
        <f t="shared" si="17"/>
        <v>0</v>
      </c>
      <c r="I36" s="1096">
        <f t="shared" si="17"/>
        <v>0</v>
      </c>
      <c r="J36" s="1207">
        <f t="shared" si="17"/>
        <v>0</v>
      </c>
      <c r="K36" s="1207">
        <f t="shared" si="17"/>
        <v>0</v>
      </c>
      <c r="L36" s="1096">
        <f t="shared" si="17"/>
        <v>0</v>
      </c>
      <c r="M36" s="1096">
        <f t="shared" si="17"/>
        <v>0</v>
      </c>
      <c r="N36" s="1096">
        <f t="shared" si="17"/>
        <v>0</v>
      </c>
      <c r="O36" s="1096">
        <f t="shared" si="17"/>
        <v>0</v>
      </c>
      <c r="P36" s="1096">
        <f t="shared" si="17"/>
        <v>0</v>
      </c>
      <c r="Q36" s="1207">
        <f t="shared" si="17"/>
        <v>0</v>
      </c>
      <c r="R36" s="1207">
        <f t="shared" si="17"/>
        <v>0</v>
      </c>
      <c r="S36" s="1096">
        <f t="shared" si="17"/>
        <v>0</v>
      </c>
      <c r="T36" s="1096">
        <f t="shared" si="17"/>
        <v>0</v>
      </c>
      <c r="U36" s="1096">
        <f t="shared" si="17"/>
        <v>0</v>
      </c>
      <c r="V36" s="1096">
        <f t="shared" si="17"/>
        <v>0</v>
      </c>
      <c r="W36" s="1096">
        <f t="shared" si="17"/>
        <v>0</v>
      </c>
      <c r="X36" s="1207">
        <f t="shared" si="17"/>
        <v>0</v>
      </c>
      <c r="Y36" s="1207">
        <f t="shared" si="17"/>
        <v>0</v>
      </c>
      <c r="Z36" s="1096">
        <f t="shared" si="17"/>
        <v>0</v>
      </c>
      <c r="AA36" s="1096">
        <f t="shared" si="17"/>
        <v>0</v>
      </c>
      <c r="AB36" s="1096">
        <f t="shared" si="17"/>
        <v>0</v>
      </c>
      <c r="AC36" s="1096">
        <f t="shared" si="17"/>
        <v>0</v>
      </c>
      <c r="AD36" s="1096">
        <f>IF(AD35="",0, Z36+AD35/AD42)</f>
        <v>0</v>
      </c>
      <c r="AE36" s="1207">
        <f>IF(AE35="",0, AA36+AE35/AE42)</f>
        <v>0</v>
      </c>
      <c r="AF36" s="1207">
        <f>IF(AF35="",0, AB36+AF35/AF42)</f>
        <v>0</v>
      </c>
      <c r="AG36" s="1096">
        <f>IF(AG35="",0, AC36+AG35/AG42)</f>
        <v>0</v>
      </c>
      <c r="AH36" s="1096">
        <f>IF(AH35="",0, AD36+AH35/AH42)</f>
        <v>0</v>
      </c>
      <c r="AI36" s="1324">
        <f>IF(AI35="",0, AH36+AI35/AI42)</f>
        <v>0</v>
      </c>
      <c r="AJ36" s="728"/>
      <c r="AK36" s="1003">
        <f t="shared" si="0"/>
        <v>0</v>
      </c>
      <c r="AL36" s="641"/>
      <c r="AM36" s="1006">
        <f t="shared" si="1"/>
        <v>0</v>
      </c>
      <c r="AN36" s="642"/>
      <c r="AO36" s="630"/>
      <c r="AP36" s="39" t="s">
        <v>91</v>
      </c>
      <c r="AQ36" s="40">
        <f>SUM(E35:K35)</f>
        <v>0</v>
      </c>
      <c r="AR36" s="41">
        <f>SUM(L35:R35)</f>
        <v>0</v>
      </c>
      <c r="AS36" s="41">
        <f>SUM(S35:Y35)</f>
        <v>0</v>
      </c>
      <c r="AT36" s="41">
        <f>SUM(Z35:AF35)</f>
        <v>0</v>
      </c>
      <c r="AU36" s="41">
        <f>SUM(AG35:AI35)</f>
        <v>0</v>
      </c>
      <c r="AV36" s="34">
        <f t="shared" ref="AV36:AV41" si="18">SUM(AQ36:AU36)</f>
        <v>0</v>
      </c>
    </row>
    <row r="37" spans="1:48" s="644" customFormat="1" ht="20.65" hidden="1" customHeight="1">
      <c r="A37" s="215" t="s">
        <v>267</v>
      </c>
      <c r="B37" s="89" t="s">
        <v>272</v>
      </c>
      <c r="C37" s="42"/>
      <c r="D37" s="43" t="s">
        <v>93</v>
      </c>
      <c r="E37" s="1108"/>
      <c r="F37" s="1089"/>
      <c r="G37" s="44"/>
      <c r="H37" s="1089"/>
      <c r="I37" s="1089"/>
      <c r="J37" s="44"/>
      <c r="K37" s="44"/>
      <c r="L37" s="1089"/>
      <c r="M37" s="1089"/>
      <c r="N37" s="1089"/>
      <c r="O37" s="1089"/>
      <c r="P37" s="1089"/>
      <c r="Q37" s="44"/>
      <c r="R37" s="44"/>
      <c r="S37" s="1089"/>
      <c r="T37" s="1089"/>
      <c r="U37" s="1089"/>
      <c r="V37" s="1089"/>
      <c r="W37" s="1089"/>
      <c r="X37" s="44"/>
      <c r="Y37" s="44"/>
      <c r="Z37" s="1089"/>
      <c r="AA37" s="1089"/>
      <c r="AB37" s="1089"/>
      <c r="AC37" s="1089"/>
      <c r="AD37" s="1089"/>
      <c r="AE37" s="44"/>
      <c r="AF37" s="44"/>
      <c r="AG37" s="1089"/>
      <c r="AH37" s="1089"/>
      <c r="AI37" s="1326"/>
      <c r="AJ37" s="662">
        <f>SUM(E37:AI37)</f>
        <v>0</v>
      </c>
      <c r="AK37" s="1004">
        <f t="shared" si="0"/>
        <v>0</v>
      </c>
      <c r="AL37" s="645">
        <f>+AJ37*AN35</f>
        <v>0</v>
      </c>
      <c r="AM37" s="1007">
        <f t="shared" si="1"/>
        <v>0</v>
      </c>
      <c r="AN37" s="31"/>
      <c r="AO37" s="632">
        <f>(AJ37+AJ39+AJ40+AJ41)*B39/1000</f>
        <v>0</v>
      </c>
      <c r="AP37" s="47" t="s">
        <v>94</v>
      </c>
      <c r="AQ37" s="48">
        <f>SUM(E37:K37)</f>
        <v>0</v>
      </c>
      <c r="AR37" s="49">
        <f>SUM(L37:R37)</f>
        <v>0</v>
      </c>
      <c r="AS37" s="49">
        <f>SUM(S37:Y37)</f>
        <v>0</v>
      </c>
      <c r="AT37" s="49">
        <f>SUM(Z37:AF37)</f>
        <v>0</v>
      </c>
      <c r="AU37" s="49">
        <f>SUM(AG37:AI37)</f>
        <v>0</v>
      </c>
      <c r="AV37" s="50">
        <f t="shared" si="18"/>
        <v>0</v>
      </c>
    </row>
    <row r="38" spans="1:48" s="644" customFormat="1" ht="20.65" hidden="1" customHeight="1">
      <c r="A38" s="215" t="s">
        <v>267</v>
      </c>
      <c r="B38" s="638" t="s">
        <v>247</v>
      </c>
      <c r="C38" s="52" t="s">
        <v>95</v>
      </c>
      <c r="D38" s="53" t="s">
        <v>96</v>
      </c>
      <c r="E38" s="1137">
        <f t="shared" ref="E38:AI38" si="19">+E35-E37</f>
        <v>0</v>
      </c>
      <c r="F38" s="1097">
        <f t="shared" si="19"/>
        <v>0</v>
      </c>
      <c r="G38" s="1205">
        <f t="shared" si="19"/>
        <v>0</v>
      </c>
      <c r="H38" s="1097">
        <f t="shared" si="19"/>
        <v>0</v>
      </c>
      <c r="I38" s="1097">
        <f t="shared" si="19"/>
        <v>0</v>
      </c>
      <c r="J38" s="1205">
        <f t="shared" si="19"/>
        <v>0</v>
      </c>
      <c r="K38" s="1205">
        <f t="shared" si="19"/>
        <v>0</v>
      </c>
      <c r="L38" s="1097">
        <f t="shared" si="19"/>
        <v>0</v>
      </c>
      <c r="M38" s="1097">
        <f t="shared" si="19"/>
        <v>0</v>
      </c>
      <c r="N38" s="1097">
        <f t="shared" si="19"/>
        <v>0</v>
      </c>
      <c r="O38" s="1097">
        <f t="shared" si="19"/>
        <v>0</v>
      </c>
      <c r="P38" s="1097">
        <f t="shared" si="19"/>
        <v>0</v>
      </c>
      <c r="Q38" s="1205">
        <f t="shared" si="19"/>
        <v>0</v>
      </c>
      <c r="R38" s="1205">
        <f t="shared" si="19"/>
        <v>0</v>
      </c>
      <c r="S38" s="1097">
        <f t="shared" si="19"/>
        <v>0</v>
      </c>
      <c r="T38" s="1097">
        <f t="shared" si="19"/>
        <v>0</v>
      </c>
      <c r="U38" s="1097">
        <f t="shared" si="19"/>
        <v>0</v>
      </c>
      <c r="V38" s="1097">
        <f t="shared" si="19"/>
        <v>0</v>
      </c>
      <c r="W38" s="1097">
        <f t="shared" si="19"/>
        <v>0</v>
      </c>
      <c r="X38" s="1205">
        <f t="shared" si="19"/>
        <v>0</v>
      </c>
      <c r="Y38" s="1205">
        <f t="shared" si="19"/>
        <v>0</v>
      </c>
      <c r="Z38" s="1097">
        <f t="shared" si="19"/>
        <v>0</v>
      </c>
      <c r="AA38" s="1097">
        <f t="shared" si="19"/>
        <v>0</v>
      </c>
      <c r="AB38" s="1097">
        <f t="shared" si="19"/>
        <v>0</v>
      </c>
      <c r="AC38" s="1097">
        <f t="shared" si="19"/>
        <v>0</v>
      </c>
      <c r="AD38" s="1097">
        <f t="shared" si="19"/>
        <v>0</v>
      </c>
      <c r="AE38" s="1205">
        <f t="shared" si="19"/>
        <v>0</v>
      </c>
      <c r="AF38" s="1205">
        <f t="shared" si="19"/>
        <v>0</v>
      </c>
      <c r="AG38" s="1097">
        <f t="shared" si="19"/>
        <v>0</v>
      </c>
      <c r="AH38" s="1097">
        <f t="shared" si="19"/>
        <v>0</v>
      </c>
      <c r="AI38" s="1328">
        <f t="shared" si="19"/>
        <v>0</v>
      </c>
      <c r="AJ38" s="663">
        <f>+AJ37-AJ35</f>
        <v>0</v>
      </c>
      <c r="AK38" s="1004">
        <f t="shared" si="0"/>
        <v>0</v>
      </c>
      <c r="AL38" s="646">
        <f>+AJ38*AN35</f>
        <v>0</v>
      </c>
      <c r="AM38" s="1007">
        <f t="shared" si="1"/>
        <v>0</v>
      </c>
      <c r="AN38" s="31" t="s">
        <v>97</v>
      </c>
      <c r="AO38" s="622"/>
      <c r="AP38" s="39" t="s">
        <v>98</v>
      </c>
      <c r="AQ38" s="56">
        <f>AQ37-AQ36</f>
        <v>0</v>
      </c>
      <c r="AR38" s="70">
        <f>AR37-AR36</f>
        <v>0</v>
      </c>
      <c r="AS38" s="70">
        <f>AS37-AS36</f>
        <v>0</v>
      </c>
      <c r="AT38" s="70">
        <f>AT37-AT36</f>
        <v>0</v>
      </c>
      <c r="AU38" s="70">
        <f>AU37-AU36</f>
        <v>0</v>
      </c>
      <c r="AV38" s="57">
        <f t="shared" si="18"/>
        <v>0</v>
      </c>
    </row>
    <row r="39" spans="1:48" s="644" customFormat="1" ht="20.65" hidden="1" customHeight="1">
      <c r="A39" s="221"/>
      <c r="B39" s="638">
        <v>0.84399999999999997</v>
      </c>
      <c r="C39" s="60" t="s">
        <v>100</v>
      </c>
      <c r="D39" s="61" t="s">
        <v>101</v>
      </c>
      <c r="E39" s="1098"/>
      <c r="F39" s="1099"/>
      <c r="G39" s="1208"/>
      <c r="H39" s="1099"/>
      <c r="I39" s="1099"/>
      <c r="J39" s="1208"/>
      <c r="K39" s="1208"/>
      <c r="L39" s="1099"/>
      <c r="M39" s="1099"/>
      <c r="N39" s="1099"/>
      <c r="O39" s="1099"/>
      <c r="P39" s="1099"/>
      <c r="Q39" s="1208"/>
      <c r="R39" s="1208"/>
      <c r="S39" s="1099"/>
      <c r="T39" s="1099"/>
      <c r="U39" s="1099"/>
      <c r="V39" s="1099"/>
      <c r="W39" s="1099"/>
      <c r="X39" s="1208"/>
      <c r="Y39" s="1208"/>
      <c r="Z39" s="1099"/>
      <c r="AA39" s="1099"/>
      <c r="AB39" s="1099"/>
      <c r="AC39" s="1099"/>
      <c r="AD39" s="1099"/>
      <c r="AE39" s="1208"/>
      <c r="AF39" s="1208"/>
      <c r="AG39" s="1099"/>
      <c r="AH39" s="1099"/>
      <c r="AI39" s="1330"/>
      <c r="AJ39" s="664">
        <f>SUM(E39:AI39)</f>
        <v>0</v>
      </c>
      <c r="AK39" s="1004">
        <f t="shared" si="0"/>
        <v>0</v>
      </c>
      <c r="AL39" s="647">
        <f>+AJ39*AN35</f>
        <v>0</v>
      </c>
      <c r="AM39" s="1008">
        <f t="shared" si="1"/>
        <v>0</v>
      </c>
      <c r="AN39" s="64" t="e">
        <f>+AJ39/AJ37*100</f>
        <v>#DIV/0!</v>
      </c>
      <c r="AO39" s="635" t="e">
        <f>AO37/AO35</f>
        <v>#DIV/0!</v>
      </c>
      <c r="AP39" s="39" t="s">
        <v>102</v>
      </c>
      <c r="AQ39" s="56">
        <f>SUM(E39:K39)</f>
        <v>0</v>
      </c>
      <c r="AR39" s="70">
        <f>SUM(L39:R39)</f>
        <v>0</v>
      </c>
      <c r="AS39" s="70">
        <f>SUM(S39:Y39)</f>
        <v>0</v>
      </c>
      <c r="AT39" s="70">
        <f>SUM(Z39:AF39)</f>
        <v>0</v>
      </c>
      <c r="AU39" s="70">
        <f>SUM(AG39:AI39)</f>
        <v>0</v>
      </c>
      <c r="AV39" s="57">
        <f t="shared" si="18"/>
        <v>0</v>
      </c>
    </row>
    <row r="40" spans="1:48" s="644" customFormat="1" ht="20.65" hidden="1" customHeight="1">
      <c r="A40" s="210" t="s">
        <v>245</v>
      </c>
      <c r="B40" s="213"/>
      <c r="C40" s="66"/>
      <c r="D40" s="67" t="s">
        <v>103</v>
      </c>
      <c r="E40" s="1100"/>
      <c r="F40" s="1101"/>
      <c r="G40" s="1209"/>
      <c r="H40" s="1101"/>
      <c r="I40" s="1101"/>
      <c r="J40" s="1209"/>
      <c r="K40" s="1209"/>
      <c r="L40" s="1101"/>
      <c r="M40" s="1101"/>
      <c r="N40" s="1101"/>
      <c r="O40" s="1101"/>
      <c r="P40" s="1101"/>
      <c r="Q40" s="1209"/>
      <c r="R40" s="1209"/>
      <c r="S40" s="1101"/>
      <c r="T40" s="1101"/>
      <c r="U40" s="1101"/>
      <c r="V40" s="1101"/>
      <c r="W40" s="1101"/>
      <c r="X40" s="1209"/>
      <c r="Y40" s="1209"/>
      <c r="Z40" s="1101"/>
      <c r="AA40" s="1101"/>
      <c r="AB40" s="1101"/>
      <c r="AC40" s="1101"/>
      <c r="AD40" s="1101"/>
      <c r="AE40" s="1209"/>
      <c r="AF40" s="1209"/>
      <c r="AG40" s="1101"/>
      <c r="AH40" s="1101"/>
      <c r="AI40" s="1332"/>
      <c r="AJ40" s="665">
        <f>SUM(E40:AI40)</f>
        <v>0</v>
      </c>
      <c r="AK40" s="1004">
        <f t="shared" si="0"/>
        <v>0</v>
      </c>
      <c r="AL40" s="648">
        <f>+AJ40*AN34</f>
        <v>0</v>
      </c>
      <c r="AM40" s="1008">
        <f t="shared" si="1"/>
        <v>0</v>
      </c>
      <c r="AN40" s="31"/>
      <c r="AO40" s="622"/>
      <c r="AP40" s="39" t="s">
        <v>19</v>
      </c>
      <c r="AQ40" s="56">
        <f>AQ39*AN35</f>
        <v>0</v>
      </c>
      <c r="AR40" s="56">
        <f>AR39*AN35</f>
        <v>0</v>
      </c>
      <c r="AS40" s="56">
        <f>AS39*AN35</f>
        <v>0</v>
      </c>
      <c r="AT40" s="56">
        <f>AT39*AN35</f>
        <v>0</v>
      </c>
      <c r="AU40" s="56">
        <f>AU39*AN35</f>
        <v>0</v>
      </c>
      <c r="AV40" s="57">
        <f t="shared" si="18"/>
        <v>0</v>
      </c>
    </row>
    <row r="41" spans="1:48" s="644" customFormat="1" ht="20.65" hidden="1" customHeight="1">
      <c r="A41" s="210" t="s">
        <v>245</v>
      </c>
      <c r="B41" s="656"/>
      <c r="C41" s="72" t="s">
        <v>104</v>
      </c>
      <c r="D41" s="73" t="s">
        <v>105</v>
      </c>
      <c r="E41" s="1115"/>
      <c r="F41" s="1116"/>
      <c r="G41" s="1215"/>
      <c r="H41" s="1116"/>
      <c r="I41" s="1116"/>
      <c r="J41" s="1215"/>
      <c r="K41" s="1215"/>
      <c r="L41" s="1116"/>
      <c r="M41" s="1116"/>
      <c r="N41" s="1116"/>
      <c r="O41" s="1116"/>
      <c r="P41" s="1116"/>
      <c r="Q41" s="1215"/>
      <c r="R41" s="1215"/>
      <c r="S41" s="1116"/>
      <c r="T41" s="1116"/>
      <c r="U41" s="1116"/>
      <c r="V41" s="1116"/>
      <c r="W41" s="1116"/>
      <c r="X41" s="1215"/>
      <c r="Y41" s="1215"/>
      <c r="Z41" s="1116"/>
      <c r="AA41" s="1116"/>
      <c r="AB41" s="1116"/>
      <c r="AC41" s="1116"/>
      <c r="AD41" s="1116"/>
      <c r="AE41" s="1215"/>
      <c r="AF41" s="1215"/>
      <c r="AG41" s="1116"/>
      <c r="AH41" s="1116"/>
      <c r="AI41" s="1334"/>
      <c r="AJ41" s="731">
        <f>SUM(E41:AI41)</f>
        <v>0</v>
      </c>
      <c r="AK41" s="1004">
        <f t="shared" si="0"/>
        <v>0</v>
      </c>
      <c r="AL41" s="653">
        <f>+AJ41*AN35</f>
        <v>0</v>
      </c>
      <c r="AM41" s="1008">
        <f t="shared" si="1"/>
        <v>0</v>
      </c>
      <c r="AN41" s="31"/>
      <c r="AO41" s="622"/>
      <c r="AP41" s="47" t="s">
        <v>106</v>
      </c>
      <c r="AQ41" s="48">
        <f>AQ37*AN35</f>
        <v>0</v>
      </c>
      <c r="AR41" s="48">
        <f>AR37*AN35</f>
        <v>0</v>
      </c>
      <c r="AS41" s="48">
        <f>AS37*AN35</f>
        <v>0</v>
      </c>
      <c r="AT41" s="48">
        <f>AT37*AN35</f>
        <v>0</v>
      </c>
      <c r="AU41" s="48">
        <f>AU37*AN35</f>
        <v>0</v>
      </c>
      <c r="AV41" s="50">
        <f t="shared" si="18"/>
        <v>0</v>
      </c>
    </row>
    <row r="42" spans="1:48" s="644" customFormat="1" ht="20.65" hidden="1" customHeight="1">
      <c r="A42" s="221"/>
      <c r="B42" s="89"/>
      <c r="C42" s="77">
        <v>300000</v>
      </c>
      <c r="D42" s="78" t="s">
        <v>107</v>
      </c>
      <c r="E42" s="1137">
        <v>7</v>
      </c>
      <c r="F42" s="1097">
        <v>7</v>
      </c>
      <c r="G42" s="1205">
        <v>7</v>
      </c>
      <c r="H42" s="1097">
        <v>7</v>
      </c>
      <c r="I42" s="1097">
        <v>7</v>
      </c>
      <c r="J42" s="1205">
        <v>7</v>
      </c>
      <c r="K42" s="1205">
        <v>7</v>
      </c>
      <c r="L42" s="1097">
        <v>7</v>
      </c>
      <c r="M42" s="1097">
        <v>7</v>
      </c>
      <c r="N42" s="1097">
        <v>7</v>
      </c>
      <c r="O42" s="1097">
        <v>7</v>
      </c>
      <c r="P42" s="1097">
        <v>7</v>
      </c>
      <c r="Q42" s="1205">
        <v>7</v>
      </c>
      <c r="R42" s="1205">
        <v>7</v>
      </c>
      <c r="S42" s="1097">
        <v>7</v>
      </c>
      <c r="T42" s="1097">
        <v>7</v>
      </c>
      <c r="U42" s="1097">
        <v>7</v>
      </c>
      <c r="V42" s="1097">
        <v>7</v>
      </c>
      <c r="W42" s="1097">
        <v>7</v>
      </c>
      <c r="X42" s="1205">
        <v>7</v>
      </c>
      <c r="Y42" s="1205">
        <v>7</v>
      </c>
      <c r="Z42" s="1097">
        <v>7</v>
      </c>
      <c r="AA42" s="1097">
        <v>7</v>
      </c>
      <c r="AB42" s="1097">
        <v>7</v>
      </c>
      <c r="AC42" s="1097">
        <v>7</v>
      </c>
      <c r="AD42" s="1097">
        <v>7</v>
      </c>
      <c r="AE42" s="1205">
        <v>7</v>
      </c>
      <c r="AF42" s="1205">
        <v>7</v>
      </c>
      <c r="AG42" s="1097">
        <v>7</v>
      </c>
      <c r="AH42" s="1097">
        <v>7</v>
      </c>
      <c r="AI42" s="1328">
        <v>7</v>
      </c>
      <c r="AJ42" s="663"/>
      <c r="AK42" s="1004">
        <f t="shared" si="0"/>
        <v>0</v>
      </c>
      <c r="AL42" s="646"/>
      <c r="AM42" s="1007">
        <f t="shared" si="1"/>
        <v>0</v>
      </c>
      <c r="AN42" s="31"/>
      <c r="AO42" s="622"/>
      <c r="AP42" s="47"/>
      <c r="AQ42" s="48"/>
      <c r="AR42" s="48"/>
      <c r="AS42" s="48"/>
      <c r="AT42" s="48"/>
      <c r="AU42" s="48"/>
      <c r="AV42" s="214"/>
    </row>
    <row r="43" spans="1:48" s="644" customFormat="1" ht="20.65" hidden="1" customHeight="1">
      <c r="A43" s="215" t="s">
        <v>267</v>
      </c>
      <c r="B43" s="89"/>
      <c r="C43" s="80" t="s">
        <v>108</v>
      </c>
      <c r="D43" s="81" t="s">
        <v>109</v>
      </c>
      <c r="E43" s="1125">
        <f t="shared" ref="E43:AI43" si="20">SUM(E37+E39+E41)/E42</f>
        <v>0</v>
      </c>
      <c r="F43" s="1126">
        <f t="shared" si="20"/>
        <v>0</v>
      </c>
      <c r="G43" s="1235">
        <f t="shared" si="20"/>
        <v>0</v>
      </c>
      <c r="H43" s="1126">
        <f t="shared" si="20"/>
        <v>0</v>
      </c>
      <c r="I43" s="1126">
        <f t="shared" si="20"/>
        <v>0</v>
      </c>
      <c r="J43" s="1235">
        <f t="shared" si="20"/>
        <v>0</v>
      </c>
      <c r="K43" s="1235">
        <f t="shared" si="20"/>
        <v>0</v>
      </c>
      <c r="L43" s="1126">
        <f t="shared" si="20"/>
        <v>0</v>
      </c>
      <c r="M43" s="1126">
        <f t="shared" si="20"/>
        <v>0</v>
      </c>
      <c r="N43" s="1126">
        <f t="shared" si="20"/>
        <v>0</v>
      </c>
      <c r="O43" s="1126">
        <f t="shared" si="20"/>
        <v>0</v>
      </c>
      <c r="P43" s="1126">
        <f t="shared" si="20"/>
        <v>0</v>
      </c>
      <c r="Q43" s="1235">
        <f t="shared" si="20"/>
        <v>0</v>
      </c>
      <c r="R43" s="1235">
        <f t="shared" si="20"/>
        <v>0</v>
      </c>
      <c r="S43" s="1126">
        <f t="shared" si="20"/>
        <v>0</v>
      </c>
      <c r="T43" s="1126">
        <f t="shared" si="20"/>
        <v>0</v>
      </c>
      <c r="U43" s="1126">
        <f t="shared" si="20"/>
        <v>0</v>
      </c>
      <c r="V43" s="1126">
        <f t="shared" si="20"/>
        <v>0</v>
      </c>
      <c r="W43" s="1126">
        <f t="shared" si="20"/>
        <v>0</v>
      </c>
      <c r="X43" s="1235">
        <f t="shared" si="20"/>
        <v>0</v>
      </c>
      <c r="Y43" s="1235">
        <f t="shared" si="20"/>
        <v>0</v>
      </c>
      <c r="Z43" s="1126">
        <f t="shared" si="20"/>
        <v>0</v>
      </c>
      <c r="AA43" s="1126">
        <f t="shared" si="20"/>
        <v>0</v>
      </c>
      <c r="AB43" s="1126">
        <f t="shared" si="20"/>
        <v>0</v>
      </c>
      <c r="AC43" s="1126">
        <f t="shared" si="20"/>
        <v>0</v>
      </c>
      <c r="AD43" s="1126">
        <f t="shared" si="20"/>
        <v>0</v>
      </c>
      <c r="AE43" s="1235">
        <f t="shared" si="20"/>
        <v>0</v>
      </c>
      <c r="AF43" s="1235">
        <f t="shared" si="20"/>
        <v>0</v>
      </c>
      <c r="AG43" s="1126">
        <f t="shared" si="20"/>
        <v>0</v>
      </c>
      <c r="AH43" s="1126">
        <f t="shared" si="20"/>
        <v>0</v>
      </c>
      <c r="AI43" s="1335">
        <f t="shared" si="20"/>
        <v>0</v>
      </c>
      <c r="AJ43" s="104">
        <f>SUM(E43:AI43)</f>
        <v>0</v>
      </c>
      <c r="AK43" s="993">
        <f t="shared" si="0"/>
        <v>0</v>
      </c>
      <c r="AL43" s="650"/>
      <c r="AM43" s="1008">
        <f t="shared" si="1"/>
        <v>0</v>
      </c>
      <c r="AN43" s="31"/>
      <c r="AO43" s="622"/>
      <c r="AP43" s="651"/>
      <c r="AQ43" s="651"/>
      <c r="AR43" s="651"/>
      <c r="AS43" s="651"/>
      <c r="AT43" s="651"/>
      <c r="AU43" s="651"/>
      <c r="AV43" s="651"/>
    </row>
    <row r="44" spans="1:48" s="644" customFormat="1" ht="20.65" hidden="1" customHeight="1">
      <c r="A44" s="215"/>
      <c r="B44" s="89"/>
      <c r="C44" s="84">
        <f>+C42*0.8</f>
        <v>240000</v>
      </c>
      <c r="D44" s="85" t="s">
        <v>110</v>
      </c>
      <c r="E44" s="1125"/>
      <c r="F44" s="1126"/>
      <c r="G44" s="1235"/>
      <c r="H44" s="1126"/>
      <c r="I44" s="1126"/>
      <c r="J44" s="1235"/>
      <c r="K44" s="1235"/>
      <c r="L44" s="1126"/>
      <c r="M44" s="1126"/>
      <c r="N44" s="1126"/>
      <c r="O44" s="1126"/>
      <c r="P44" s="1126"/>
      <c r="Q44" s="1235"/>
      <c r="R44" s="1235"/>
      <c r="S44" s="1126"/>
      <c r="T44" s="1126"/>
      <c r="U44" s="1126"/>
      <c r="V44" s="1126"/>
      <c r="W44" s="1126"/>
      <c r="X44" s="1235"/>
      <c r="Y44" s="1235"/>
      <c r="Z44" s="1126"/>
      <c r="AA44" s="1126"/>
      <c r="AB44" s="1126"/>
      <c r="AC44" s="1126"/>
      <c r="AD44" s="1126"/>
      <c r="AE44" s="1235"/>
      <c r="AF44" s="1235"/>
      <c r="AG44" s="1126"/>
      <c r="AH44" s="1126"/>
      <c r="AI44" s="1335"/>
      <c r="AJ44" s="104"/>
      <c r="AK44" s="993">
        <f t="shared" si="0"/>
        <v>0</v>
      </c>
      <c r="AL44" s="650"/>
      <c r="AM44" s="1008">
        <f t="shared" si="1"/>
        <v>0</v>
      </c>
      <c r="AN44" s="222"/>
      <c r="AO44" s="637"/>
      <c r="AP44" s="651"/>
      <c r="AQ44" s="651"/>
      <c r="AR44" s="651"/>
      <c r="AS44" s="651"/>
      <c r="AT44" s="651"/>
      <c r="AU44" s="651"/>
      <c r="AV44" s="651"/>
    </row>
    <row r="45" spans="1:48" s="644" customFormat="1" ht="20.65" hidden="1" customHeight="1">
      <c r="A45" s="215"/>
      <c r="B45" s="89"/>
      <c r="C45" s="77"/>
      <c r="D45" s="88" t="s">
        <v>111</v>
      </c>
      <c r="E45" s="1125">
        <f>IF(E44="O/H",E43,+E43)</f>
        <v>0</v>
      </c>
      <c r="F45" s="1126">
        <f>IF(F44="O/H",F43,+E45+F43)</f>
        <v>0</v>
      </c>
      <c r="G45" s="1235">
        <f t="shared" ref="G45:AI45" si="21">IF(G44="O/H",G43,+F45+G43)</f>
        <v>0</v>
      </c>
      <c r="H45" s="1126">
        <f t="shared" si="21"/>
        <v>0</v>
      </c>
      <c r="I45" s="1126">
        <f t="shared" si="21"/>
        <v>0</v>
      </c>
      <c r="J45" s="1235">
        <f t="shared" si="21"/>
        <v>0</v>
      </c>
      <c r="K45" s="1235">
        <f t="shared" si="21"/>
        <v>0</v>
      </c>
      <c r="L45" s="1126">
        <f t="shared" si="21"/>
        <v>0</v>
      </c>
      <c r="M45" s="1126">
        <f t="shared" si="21"/>
        <v>0</v>
      </c>
      <c r="N45" s="1126">
        <f t="shared" si="21"/>
        <v>0</v>
      </c>
      <c r="O45" s="1126">
        <f t="shared" si="21"/>
        <v>0</v>
      </c>
      <c r="P45" s="1126">
        <f t="shared" si="21"/>
        <v>0</v>
      </c>
      <c r="Q45" s="1235">
        <f t="shared" si="21"/>
        <v>0</v>
      </c>
      <c r="R45" s="1235">
        <f t="shared" si="21"/>
        <v>0</v>
      </c>
      <c r="S45" s="1126">
        <f t="shared" si="21"/>
        <v>0</v>
      </c>
      <c r="T45" s="1126">
        <f t="shared" si="21"/>
        <v>0</v>
      </c>
      <c r="U45" s="1126">
        <f t="shared" si="21"/>
        <v>0</v>
      </c>
      <c r="V45" s="1126">
        <f t="shared" si="21"/>
        <v>0</v>
      </c>
      <c r="W45" s="1126">
        <f t="shared" si="21"/>
        <v>0</v>
      </c>
      <c r="X45" s="1235">
        <f t="shared" si="21"/>
        <v>0</v>
      </c>
      <c r="Y45" s="1235">
        <f t="shared" si="21"/>
        <v>0</v>
      </c>
      <c r="Z45" s="1126">
        <f t="shared" si="21"/>
        <v>0</v>
      </c>
      <c r="AA45" s="1126">
        <f t="shared" si="21"/>
        <v>0</v>
      </c>
      <c r="AB45" s="1126">
        <f t="shared" si="21"/>
        <v>0</v>
      </c>
      <c r="AC45" s="1126">
        <f t="shared" si="21"/>
        <v>0</v>
      </c>
      <c r="AD45" s="1126">
        <f t="shared" si="21"/>
        <v>0</v>
      </c>
      <c r="AE45" s="1235">
        <f t="shared" si="21"/>
        <v>0</v>
      </c>
      <c r="AF45" s="1235">
        <f t="shared" si="21"/>
        <v>0</v>
      </c>
      <c r="AG45" s="1126">
        <f t="shared" si="21"/>
        <v>0</v>
      </c>
      <c r="AH45" s="1126">
        <f t="shared" si="21"/>
        <v>0</v>
      </c>
      <c r="AI45" s="1335">
        <f t="shared" si="21"/>
        <v>0</v>
      </c>
      <c r="AJ45" s="104"/>
      <c r="AK45" s="993">
        <f t="shared" si="0"/>
        <v>0</v>
      </c>
      <c r="AL45" s="650"/>
      <c r="AM45" s="1008">
        <f t="shared" si="1"/>
        <v>0</v>
      </c>
      <c r="AN45" s="222"/>
      <c r="AO45" s="637"/>
      <c r="AP45" s="651"/>
      <c r="AQ45" s="651"/>
      <c r="AR45" s="651"/>
      <c r="AS45" s="651"/>
      <c r="AT45" s="651"/>
      <c r="AU45" s="651"/>
      <c r="AV45" s="651"/>
    </row>
    <row r="46" spans="1:48" s="644" customFormat="1" ht="20.65" hidden="1" customHeight="1">
      <c r="A46" s="215" t="s">
        <v>242</v>
      </c>
      <c r="B46" s="89" t="s">
        <v>273</v>
      </c>
      <c r="C46" s="80"/>
      <c r="D46" s="90" t="s">
        <v>104</v>
      </c>
      <c r="E46" s="1137"/>
      <c r="F46" s="1097"/>
      <c r="G46" s="1205"/>
      <c r="H46" s="1097"/>
      <c r="I46" s="1097"/>
      <c r="J46" s="1205"/>
      <c r="K46" s="1205"/>
      <c r="L46" s="1097"/>
      <c r="M46" s="1097"/>
      <c r="N46" s="1097"/>
      <c r="O46" s="1097"/>
      <c r="P46" s="1097"/>
      <c r="Q46" s="1205"/>
      <c r="R46" s="1205"/>
      <c r="S46" s="1097"/>
      <c r="T46" s="1097"/>
      <c r="U46" s="1097"/>
      <c r="V46" s="1097"/>
      <c r="W46" s="1097"/>
      <c r="X46" s="1205"/>
      <c r="Y46" s="1205"/>
      <c r="Z46" s="1097"/>
      <c r="AA46" s="1097"/>
      <c r="AB46" s="1097"/>
      <c r="AC46" s="1097"/>
      <c r="AD46" s="1097"/>
      <c r="AE46" s="1205"/>
      <c r="AF46" s="1205"/>
      <c r="AG46" s="1097"/>
      <c r="AH46" s="1097"/>
      <c r="AI46" s="1328"/>
      <c r="AJ46" s="664"/>
      <c r="AK46" s="1004">
        <f t="shared" si="0"/>
        <v>0</v>
      </c>
      <c r="AL46" s="646"/>
      <c r="AM46" s="1007">
        <f t="shared" si="1"/>
        <v>0</v>
      </c>
      <c r="AN46" s="31"/>
      <c r="AO46" s="622"/>
      <c r="AP46" s="651"/>
      <c r="AQ46" s="651"/>
      <c r="AR46" s="651"/>
      <c r="AS46" s="651"/>
      <c r="AT46" s="651"/>
      <c r="AU46" s="651"/>
      <c r="AV46" s="651"/>
    </row>
    <row r="47" spans="1:48" s="644" customFormat="1" ht="20.65" hidden="1" customHeight="1" thickBot="1">
      <c r="A47" s="216" t="s">
        <v>242</v>
      </c>
      <c r="B47" s="93"/>
      <c r="C47" s="94"/>
      <c r="D47" s="95" t="s">
        <v>111</v>
      </c>
      <c r="E47" s="1453">
        <f>IF(E46="O/H",E43,+E43)</f>
        <v>0</v>
      </c>
      <c r="F47" s="1128">
        <f t="shared" ref="F47:AI47" si="22">IF(F46="O/H",F43,+E47+F43)</f>
        <v>0</v>
      </c>
      <c r="G47" s="1303">
        <f t="shared" si="22"/>
        <v>0</v>
      </c>
      <c r="H47" s="1128">
        <f t="shared" si="22"/>
        <v>0</v>
      </c>
      <c r="I47" s="1128">
        <f t="shared" si="22"/>
        <v>0</v>
      </c>
      <c r="J47" s="1303">
        <f t="shared" si="22"/>
        <v>0</v>
      </c>
      <c r="K47" s="1303">
        <f t="shared" si="22"/>
        <v>0</v>
      </c>
      <c r="L47" s="1128">
        <f t="shared" si="22"/>
        <v>0</v>
      </c>
      <c r="M47" s="1128">
        <f t="shared" si="22"/>
        <v>0</v>
      </c>
      <c r="N47" s="1128">
        <f t="shared" si="22"/>
        <v>0</v>
      </c>
      <c r="O47" s="1128">
        <f t="shared" si="22"/>
        <v>0</v>
      </c>
      <c r="P47" s="1128">
        <f t="shared" si="22"/>
        <v>0</v>
      </c>
      <c r="Q47" s="1303">
        <f t="shared" si="22"/>
        <v>0</v>
      </c>
      <c r="R47" s="1303">
        <f t="shared" si="22"/>
        <v>0</v>
      </c>
      <c r="S47" s="1128">
        <f t="shared" si="22"/>
        <v>0</v>
      </c>
      <c r="T47" s="1128">
        <f t="shared" si="22"/>
        <v>0</v>
      </c>
      <c r="U47" s="1128">
        <f t="shared" si="22"/>
        <v>0</v>
      </c>
      <c r="V47" s="1128">
        <f t="shared" si="22"/>
        <v>0</v>
      </c>
      <c r="W47" s="1128">
        <f t="shared" si="22"/>
        <v>0</v>
      </c>
      <c r="X47" s="1303">
        <f t="shared" si="22"/>
        <v>0</v>
      </c>
      <c r="Y47" s="1303">
        <f t="shared" si="22"/>
        <v>0</v>
      </c>
      <c r="Z47" s="1128">
        <f t="shared" si="22"/>
        <v>0</v>
      </c>
      <c r="AA47" s="1128">
        <f t="shared" si="22"/>
        <v>0</v>
      </c>
      <c r="AB47" s="1128">
        <f t="shared" si="22"/>
        <v>0</v>
      </c>
      <c r="AC47" s="1128">
        <f t="shared" si="22"/>
        <v>0</v>
      </c>
      <c r="AD47" s="1128">
        <f t="shared" si="22"/>
        <v>0</v>
      </c>
      <c r="AE47" s="1303">
        <f t="shared" si="22"/>
        <v>0</v>
      </c>
      <c r="AF47" s="1303">
        <f t="shared" si="22"/>
        <v>0</v>
      </c>
      <c r="AG47" s="1128">
        <f t="shared" si="22"/>
        <v>0</v>
      </c>
      <c r="AH47" s="1128">
        <f t="shared" si="22"/>
        <v>0</v>
      </c>
      <c r="AI47" s="1454">
        <f t="shared" si="22"/>
        <v>0</v>
      </c>
      <c r="AJ47" s="730"/>
      <c r="AK47" s="1005">
        <f>AJ49</f>
        <v>0</v>
      </c>
      <c r="AL47" s="652"/>
      <c r="AM47" s="1009">
        <f>AL49</f>
        <v>0</v>
      </c>
      <c r="AN47" s="98"/>
      <c r="AO47" s="625"/>
      <c r="AP47" s="651"/>
      <c r="AQ47" s="651"/>
      <c r="AR47" s="651"/>
      <c r="AS47" s="651"/>
      <c r="AT47" s="651"/>
      <c r="AU47" s="651"/>
      <c r="AV47" s="651"/>
    </row>
    <row r="48" spans="1:48" s="644" customFormat="1" ht="20.65" hidden="1" customHeight="1" thickTop="1">
      <c r="A48" s="947" t="s">
        <v>696</v>
      </c>
      <c r="B48" s="223" t="s">
        <v>274</v>
      </c>
      <c r="C48" s="1495" t="str">
        <f>Table511[[#This Row],[M/C No.]]</f>
        <v>A5(50ton)</v>
      </c>
      <c r="D48" s="28" t="s">
        <v>82</v>
      </c>
      <c r="E48" s="1124"/>
      <c r="F48" s="1124"/>
      <c r="G48" s="1242"/>
      <c r="H48" s="1124"/>
      <c r="I48" s="1124"/>
      <c r="J48" s="1242"/>
      <c r="K48" s="1242"/>
      <c r="L48" s="1124"/>
      <c r="M48" s="1124"/>
      <c r="N48" s="1124"/>
      <c r="O48" s="1124"/>
      <c r="P48" s="1124"/>
      <c r="Q48" s="1242"/>
      <c r="R48" s="1242"/>
      <c r="S48" s="1124"/>
      <c r="T48" s="1124"/>
      <c r="U48" s="1124"/>
      <c r="V48" s="1124"/>
      <c r="W48" s="1124"/>
      <c r="X48" s="1242"/>
      <c r="Y48" s="1242"/>
      <c r="Z48" s="1124"/>
      <c r="AA48" s="1124"/>
      <c r="AB48" s="1124"/>
      <c r="AC48" s="1124"/>
      <c r="AD48" s="1124"/>
      <c r="AE48" s="1242"/>
      <c r="AF48" s="1242"/>
      <c r="AG48" s="1124"/>
      <c r="AH48" s="1124"/>
      <c r="AI48" s="1350"/>
      <c r="AJ48" s="570">
        <f>SUM(E48:AI48)</f>
        <v>0</v>
      </c>
      <c r="AK48" s="991">
        <f>AJ50</f>
        <v>0</v>
      </c>
      <c r="AL48" s="571">
        <f>+AJ48*AN48</f>
        <v>0</v>
      </c>
      <c r="AM48" s="992">
        <f>AL50</f>
        <v>0</v>
      </c>
      <c r="AN48" s="102">
        <v>3.5690999999999997</v>
      </c>
      <c r="AO48" s="622">
        <f>Table511[[#This Row],[Total]]*B52/1000</f>
        <v>0</v>
      </c>
      <c r="AP48" s="32" t="s">
        <v>265</v>
      </c>
      <c r="AQ48" s="33" t="s">
        <v>84</v>
      </c>
      <c r="AR48" s="33" t="s">
        <v>85</v>
      </c>
      <c r="AS48" s="33" t="s">
        <v>86</v>
      </c>
      <c r="AT48" s="33" t="s">
        <v>87</v>
      </c>
      <c r="AU48" s="33" t="s">
        <v>88</v>
      </c>
      <c r="AV48" s="34" t="s">
        <v>68</v>
      </c>
    </row>
    <row r="49" spans="1:48" s="644" customFormat="1" ht="20.65" hidden="1" customHeight="1">
      <c r="A49" s="639"/>
      <c r="B49" s="89" t="s">
        <v>275</v>
      </c>
      <c r="C49" s="640"/>
      <c r="D49" s="37" t="s">
        <v>90</v>
      </c>
      <c r="E49" s="1323">
        <f>IF(E48="",0,+ E48/E55)</f>
        <v>0</v>
      </c>
      <c r="F49" s="1096">
        <v>0</v>
      </c>
      <c r="G49" s="1207">
        <f t="shared" ref="G49:AC49" si="23">IF(G48="",0, F49+G48/G55)</f>
        <v>0</v>
      </c>
      <c r="H49" s="1096">
        <f t="shared" si="23"/>
        <v>0</v>
      </c>
      <c r="I49" s="1096">
        <f t="shared" si="23"/>
        <v>0</v>
      </c>
      <c r="J49" s="1207">
        <f t="shared" si="23"/>
        <v>0</v>
      </c>
      <c r="K49" s="1207">
        <f t="shared" si="23"/>
        <v>0</v>
      </c>
      <c r="L49" s="1096">
        <f t="shared" si="23"/>
        <v>0</v>
      </c>
      <c r="M49" s="1096">
        <f t="shared" si="23"/>
        <v>0</v>
      </c>
      <c r="N49" s="1096">
        <f t="shared" si="23"/>
        <v>0</v>
      </c>
      <c r="O49" s="1096">
        <f t="shared" si="23"/>
        <v>0</v>
      </c>
      <c r="P49" s="1096">
        <f t="shared" si="23"/>
        <v>0</v>
      </c>
      <c r="Q49" s="1207">
        <f t="shared" si="23"/>
        <v>0</v>
      </c>
      <c r="R49" s="1207">
        <f t="shared" si="23"/>
        <v>0</v>
      </c>
      <c r="S49" s="1096">
        <f t="shared" si="23"/>
        <v>0</v>
      </c>
      <c r="T49" s="1096">
        <f t="shared" si="23"/>
        <v>0</v>
      </c>
      <c r="U49" s="1096">
        <f t="shared" si="23"/>
        <v>0</v>
      </c>
      <c r="V49" s="1096">
        <f t="shared" si="23"/>
        <v>0</v>
      </c>
      <c r="W49" s="1096">
        <f t="shared" si="23"/>
        <v>0</v>
      </c>
      <c r="X49" s="1207">
        <f t="shared" si="23"/>
        <v>0</v>
      </c>
      <c r="Y49" s="1207">
        <f t="shared" si="23"/>
        <v>0</v>
      </c>
      <c r="Z49" s="1096">
        <f t="shared" si="23"/>
        <v>0</v>
      </c>
      <c r="AA49" s="1096">
        <f t="shared" si="23"/>
        <v>0</v>
      </c>
      <c r="AB49" s="1096">
        <f t="shared" si="23"/>
        <v>0</v>
      </c>
      <c r="AC49" s="1096">
        <f t="shared" si="23"/>
        <v>0</v>
      </c>
      <c r="AD49" s="1096">
        <f>IF(AD48="",0, Z49+AD48/AD55)</f>
        <v>0</v>
      </c>
      <c r="AE49" s="1207">
        <f>IF(AE48="",0, AA49+AE48/AE55)</f>
        <v>0</v>
      </c>
      <c r="AF49" s="1207">
        <f>IF(AF48="",0, AB49+AF48/AF55)</f>
        <v>0</v>
      </c>
      <c r="AG49" s="1096">
        <f>IF(AG48="",0, AC49+AG48/AG55)</f>
        <v>0</v>
      </c>
      <c r="AH49" s="1096">
        <f>IF(AH48="",0, AD49+AH48/AH55)</f>
        <v>0</v>
      </c>
      <c r="AI49" s="1324">
        <f>IF(AI48="",0, AH49+AI48/AI55)</f>
        <v>0</v>
      </c>
      <c r="AJ49" s="728"/>
      <c r="AK49" s="1003">
        <f t="shared" si="0"/>
        <v>0</v>
      </c>
      <c r="AL49" s="641"/>
      <c r="AM49" s="1006">
        <f t="shared" si="1"/>
        <v>0</v>
      </c>
      <c r="AN49" s="642"/>
      <c r="AO49" s="630"/>
      <c r="AP49" s="39" t="s">
        <v>91</v>
      </c>
      <c r="AQ49" s="40">
        <f>SUM(E48:H48)</f>
        <v>0</v>
      </c>
      <c r="AR49" s="41">
        <f>SUM(I48:O48)</f>
        <v>0</v>
      </c>
      <c r="AS49" s="41">
        <f>SUM(P48:V48)</f>
        <v>0</v>
      </c>
      <c r="AT49" s="41">
        <f>SUM(W48:AC48)</f>
        <v>0</v>
      </c>
      <c r="AU49" s="41">
        <f>SUM(AD48:AI48)</f>
        <v>0</v>
      </c>
      <c r="AV49" s="34">
        <f t="shared" ref="AV49:AV54" si="24">SUM(AQ49:AU49)</f>
        <v>0</v>
      </c>
    </row>
    <row r="50" spans="1:48" s="644" customFormat="1" ht="20.65" hidden="1" customHeight="1">
      <c r="A50" s="215" t="s">
        <v>267</v>
      </c>
      <c r="B50" s="89" t="s">
        <v>263</v>
      </c>
      <c r="C50" s="42"/>
      <c r="D50" s="43" t="s">
        <v>93</v>
      </c>
      <c r="E50" s="1108"/>
      <c r="F50" s="1089"/>
      <c r="G50" s="44"/>
      <c r="H50" s="1089"/>
      <c r="I50" s="1089"/>
      <c r="J50" s="44"/>
      <c r="K50" s="44"/>
      <c r="L50" s="1089"/>
      <c r="M50" s="1089"/>
      <c r="N50" s="1089"/>
      <c r="O50" s="1089"/>
      <c r="P50" s="1089"/>
      <c r="Q50" s="44"/>
      <c r="R50" s="44"/>
      <c r="S50" s="1089"/>
      <c r="T50" s="1089"/>
      <c r="U50" s="1089"/>
      <c r="V50" s="1089"/>
      <c r="W50" s="1089"/>
      <c r="X50" s="44"/>
      <c r="Y50" s="44"/>
      <c r="Z50" s="1089"/>
      <c r="AA50" s="1089"/>
      <c r="AB50" s="1089"/>
      <c r="AC50" s="1089"/>
      <c r="AD50" s="1089"/>
      <c r="AE50" s="44"/>
      <c r="AF50" s="44"/>
      <c r="AG50" s="1089"/>
      <c r="AH50" s="1089"/>
      <c r="AI50" s="1326"/>
      <c r="AJ50" s="662">
        <f>SUM(E50:AI50)</f>
        <v>0</v>
      </c>
      <c r="AK50" s="1004">
        <f t="shared" si="0"/>
        <v>0</v>
      </c>
      <c r="AL50" s="645">
        <f>+AJ50*AN48</f>
        <v>0</v>
      </c>
      <c r="AM50" s="1007">
        <f t="shared" si="1"/>
        <v>0</v>
      </c>
      <c r="AN50" s="31"/>
      <c r="AO50" s="632">
        <f>(AJ50+AJ52+AJ53+AJ54)*B52/1000</f>
        <v>0</v>
      </c>
      <c r="AP50" s="47" t="s">
        <v>94</v>
      </c>
      <c r="AQ50" s="48">
        <f>SUM(E50:H50)</f>
        <v>0</v>
      </c>
      <c r="AR50" s="49">
        <f>SUM(I50:O50)</f>
        <v>0</v>
      </c>
      <c r="AS50" s="49">
        <f>SUM(P50:V50)</f>
        <v>0</v>
      </c>
      <c r="AT50" s="49">
        <f>SUM(W50:AC50)</f>
        <v>0</v>
      </c>
      <c r="AU50" s="49">
        <f>SUM(AD50:AI50)</f>
        <v>0</v>
      </c>
      <c r="AV50" s="50">
        <f t="shared" si="24"/>
        <v>0</v>
      </c>
    </row>
    <row r="51" spans="1:48" s="644" customFormat="1" ht="20.65" hidden="1" customHeight="1">
      <c r="A51" s="215" t="s">
        <v>267</v>
      </c>
      <c r="B51" s="763" t="s">
        <v>247</v>
      </c>
      <c r="C51" s="52" t="s">
        <v>95</v>
      </c>
      <c r="D51" s="53" t="s">
        <v>96</v>
      </c>
      <c r="E51" s="1097">
        <f t="shared" ref="E51:K51" si="25">+E50-E48</f>
        <v>0</v>
      </c>
      <c r="F51" s="1097">
        <f t="shared" si="25"/>
        <v>0</v>
      </c>
      <c r="G51" s="1205">
        <f t="shared" si="25"/>
        <v>0</v>
      </c>
      <c r="H51" s="1097">
        <f t="shared" si="25"/>
        <v>0</v>
      </c>
      <c r="I51" s="1097">
        <f t="shared" si="25"/>
        <v>0</v>
      </c>
      <c r="J51" s="1205">
        <f t="shared" si="25"/>
        <v>0</v>
      </c>
      <c r="K51" s="1205">
        <f t="shared" si="25"/>
        <v>0</v>
      </c>
      <c r="L51" s="1097">
        <v>0</v>
      </c>
      <c r="M51" s="1097">
        <f t="shared" ref="M51:AJ51" si="26">+M50-M48</f>
        <v>0</v>
      </c>
      <c r="N51" s="1097">
        <f t="shared" si="26"/>
        <v>0</v>
      </c>
      <c r="O51" s="1097">
        <f t="shared" si="26"/>
        <v>0</v>
      </c>
      <c r="P51" s="1097">
        <f t="shared" si="26"/>
        <v>0</v>
      </c>
      <c r="Q51" s="1205">
        <f t="shared" si="26"/>
        <v>0</v>
      </c>
      <c r="R51" s="1205">
        <f t="shared" si="26"/>
        <v>0</v>
      </c>
      <c r="S51" s="1097">
        <f t="shared" si="26"/>
        <v>0</v>
      </c>
      <c r="T51" s="1097">
        <f t="shared" si="26"/>
        <v>0</v>
      </c>
      <c r="U51" s="1097">
        <f t="shared" si="26"/>
        <v>0</v>
      </c>
      <c r="V51" s="1097">
        <f t="shared" si="26"/>
        <v>0</v>
      </c>
      <c r="W51" s="1097">
        <f t="shared" si="26"/>
        <v>0</v>
      </c>
      <c r="X51" s="1205">
        <f t="shared" si="26"/>
        <v>0</v>
      </c>
      <c r="Y51" s="1205">
        <f t="shared" si="26"/>
        <v>0</v>
      </c>
      <c r="Z51" s="1097">
        <f t="shared" si="26"/>
        <v>0</v>
      </c>
      <c r="AA51" s="1097">
        <f t="shared" si="26"/>
        <v>0</v>
      </c>
      <c r="AB51" s="1097">
        <f t="shared" si="26"/>
        <v>0</v>
      </c>
      <c r="AC51" s="1097">
        <f t="shared" si="26"/>
        <v>0</v>
      </c>
      <c r="AD51" s="1097">
        <f t="shared" si="26"/>
        <v>0</v>
      </c>
      <c r="AE51" s="1205">
        <f t="shared" si="26"/>
        <v>0</v>
      </c>
      <c r="AF51" s="1205">
        <f t="shared" si="26"/>
        <v>0</v>
      </c>
      <c r="AG51" s="1097">
        <f t="shared" si="26"/>
        <v>0</v>
      </c>
      <c r="AH51" s="1097">
        <f t="shared" si="26"/>
        <v>0</v>
      </c>
      <c r="AI51" s="1328">
        <f t="shared" si="26"/>
        <v>0</v>
      </c>
      <c r="AJ51" s="663">
        <f t="shared" si="26"/>
        <v>0</v>
      </c>
      <c r="AK51" s="1004">
        <f t="shared" si="0"/>
        <v>0</v>
      </c>
      <c r="AL51" s="646">
        <f>+AJ51*AN48</f>
        <v>0</v>
      </c>
      <c r="AM51" s="1007">
        <f t="shared" si="1"/>
        <v>0</v>
      </c>
      <c r="AN51" s="31" t="s">
        <v>97</v>
      </c>
      <c r="AO51" s="622"/>
      <c r="AP51" s="39" t="s">
        <v>98</v>
      </c>
      <c r="AQ51" s="56">
        <f>AQ50-AQ49</f>
        <v>0</v>
      </c>
      <c r="AR51" s="70">
        <f>AR50-AR49</f>
        <v>0</v>
      </c>
      <c r="AS51" s="70">
        <f>AS50-AS49</f>
        <v>0</v>
      </c>
      <c r="AT51" s="70">
        <f>AT50-AT49</f>
        <v>0</v>
      </c>
      <c r="AU51" s="70">
        <f>AU50-AU49</f>
        <v>0</v>
      </c>
      <c r="AV51" s="57">
        <f t="shared" si="24"/>
        <v>0</v>
      </c>
    </row>
    <row r="52" spans="1:48" s="644" customFormat="1" ht="20.65" hidden="1" customHeight="1">
      <c r="A52" s="221"/>
      <c r="B52" s="763">
        <v>1.0169999999999999</v>
      </c>
      <c r="C52" s="60" t="s">
        <v>100</v>
      </c>
      <c r="D52" s="61" t="s">
        <v>101</v>
      </c>
      <c r="E52" s="1098"/>
      <c r="F52" s="1099"/>
      <c r="G52" s="1208"/>
      <c r="H52" s="1099"/>
      <c r="I52" s="1099"/>
      <c r="J52" s="1208"/>
      <c r="K52" s="1208"/>
      <c r="L52" s="1099"/>
      <c r="M52" s="1099"/>
      <c r="N52" s="1099"/>
      <c r="O52" s="1099"/>
      <c r="P52" s="1099"/>
      <c r="Q52" s="1208"/>
      <c r="R52" s="1208"/>
      <c r="S52" s="1099"/>
      <c r="T52" s="1099"/>
      <c r="U52" s="1099"/>
      <c r="V52" s="1099"/>
      <c r="W52" s="1099"/>
      <c r="X52" s="1208"/>
      <c r="Y52" s="1208"/>
      <c r="Z52" s="1099"/>
      <c r="AA52" s="1099"/>
      <c r="AB52" s="1099"/>
      <c r="AC52" s="1099"/>
      <c r="AD52" s="1099"/>
      <c r="AE52" s="1208"/>
      <c r="AF52" s="1208"/>
      <c r="AG52" s="1099"/>
      <c r="AH52" s="1099"/>
      <c r="AI52" s="1330"/>
      <c r="AJ52" s="664">
        <f>SUM(E52:AI52)</f>
        <v>0</v>
      </c>
      <c r="AK52" s="1004">
        <f t="shared" si="0"/>
        <v>0</v>
      </c>
      <c r="AL52" s="647">
        <f>+AJ52*AN48</f>
        <v>0</v>
      </c>
      <c r="AM52" s="1008">
        <f t="shared" si="1"/>
        <v>0</v>
      </c>
      <c r="AN52" s="64" t="e">
        <f>+AJ52/AJ50*100</f>
        <v>#DIV/0!</v>
      </c>
      <c r="AO52" s="635" t="e">
        <f>AO50/AO48</f>
        <v>#DIV/0!</v>
      </c>
      <c r="AP52" s="39" t="s">
        <v>102</v>
      </c>
      <c r="AQ52" s="56">
        <f>SUM(E52:H52)</f>
        <v>0</v>
      </c>
      <c r="AR52" s="70">
        <f>SUM(I52:O52)</f>
        <v>0</v>
      </c>
      <c r="AS52" s="70">
        <f>SUM(P52:V52)</f>
        <v>0</v>
      </c>
      <c r="AT52" s="70">
        <f>SUM(W52:AC52)</f>
        <v>0</v>
      </c>
      <c r="AU52" s="70">
        <f>SUM(AD52:AI52)</f>
        <v>0</v>
      </c>
      <c r="AV52" s="57">
        <f t="shared" si="24"/>
        <v>0</v>
      </c>
    </row>
    <row r="53" spans="1:48" s="644" customFormat="1" ht="20.65" hidden="1" customHeight="1">
      <c r="A53" s="210" t="s">
        <v>245</v>
      </c>
      <c r="B53" s="213" t="s">
        <v>276</v>
      </c>
      <c r="C53" s="66"/>
      <c r="D53" s="67" t="s">
        <v>103</v>
      </c>
      <c r="E53" s="1100"/>
      <c r="F53" s="1101"/>
      <c r="G53" s="1209"/>
      <c r="H53" s="1101"/>
      <c r="I53" s="1101"/>
      <c r="J53" s="1209"/>
      <c r="K53" s="1209"/>
      <c r="L53" s="1101"/>
      <c r="M53" s="1101"/>
      <c r="N53" s="1101"/>
      <c r="O53" s="1101"/>
      <c r="P53" s="1101"/>
      <c r="Q53" s="1209"/>
      <c r="R53" s="1209"/>
      <c r="S53" s="1101"/>
      <c r="T53" s="1101"/>
      <c r="U53" s="1101"/>
      <c r="V53" s="1101"/>
      <c r="W53" s="1101"/>
      <c r="X53" s="1209"/>
      <c r="Y53" s="1209"/>
      <c r="Z53" s="1101"/>
      <c r="AA53" s="1101"/>
      <c r="AB53" s="1101"/>
      <c r="AC53" s="1101"/>
      <c r="AD53" s="1101"/>
      <c r="AE53" s="1209"/>
      <c r="AF53" s="1209"/>
      <c r="AG53" s="1101"/>
      <c r="AH53" s="1101"/>
      <c r="AI53" s="1332"/>
      <c r="AJ53" s="665">
        <f>SUM(E53:AI53)</f>
        <v>0</v>
      </c>
      <c r="AK53" s="1004">
        <f t="shared" si="0"/>
        <v>0</v>
      </c>
      <c r="AL53" s="648">
        <f>+AJ53*AN47</f>
        <v>0</v>
      </c>
      <c r="AM53" s="1008">
        <f t="shared" si="1"/>
        <v>0</v>
      </c>
      <c r="AN53" s="31"/>
      <c r="AO53" s="622"/>
      <c r="AP53" s="39" t="s">
        <v>19</v>
      </c>
      <c r="AQ53" s="56">
        <f>AQ52*AN48</f>
        <v>0</v>
      </c>
      <c r="AR53" s="56">
        <f>AR52*AN48</f>
        <v>0</v>
      </c>
      <c r="AS53" s="56">
        <f>AS52*AN48</f>
        <v>0</v>
      </c>
      <c r="AT53" s="56">
        <f>AT52*AN48</f>
        <v>0</v>
      </c>
      <c r="AU53" s="56">
        <f>AU52*AN48</f>
        <v>0</v>
      </c>
      <c r="AV53" s="57">
        <f t="shared" si="24"/>
        <v>0</v>
      </c>
    </row>
    <row r="54" spans="1:48" s="644" customFormat="1" ht="20.65" hidden="1" customHeight="1">
      <c r="A54" s="210" t="s">
        <v>245</v>
      </c>
      <c r="B54" s="213" t="s">
        <v>277</v>
      </c>
      <c r="C54" s="72" t="s">
        <v>104</v>
      </c>
      <c r="D54" s="73" t="s">
        <v>105</v>
      </c>
      <c r="E54" s="1102"/>
      <c r="F54" s="1103"/>
      <c r="G54" s="1210"/>
      <c r="H54" s="1103"/>
      <c r="I54" s="1103"/>
      <c r="J54" s="1210"/>
      <c r="K54" s="1210"/>
      <c r="L54" s="1103"/>
      <c r="M54" s="1103"/>
      <c r="N54" s="1103"/>
      <c r="O54" s="1103"/>
      <c r="P54" s="1103"/>
      <c r="Q54" s="1210"/>
      <c r="R54" s="1210"/>
      <c r="S54" s="1103"/>
      <c r="T54" s="1103"/>
      <c r="U54" s="1103"/>
      <c r="V54" s="1103"/>
      <c r="W54" s="1103"/>
      <c r="X54" s="1210"/>
      <c r="Y54" s="1210"/>
      <c r="Z54" s="1103"/>
      <c r="AA54" s="1103"/>
      <c r="AB54" s="1103"/>
      <c r="AC54" s="1103"/>
      <c r="AD54" s="1103"/>
      <c r="AE54" s="1210"/>
      <c r="AF54" s="1210"/>
      <c r="AG54" s="1103"/>
      <c r="AH54" s="1103"/>
      <c r="AI54" s="1352"/>
      <c r="AJ54" s="666">
        <f>SUM(E54:AI54)</f>
        <v>0</v>
      </c>
      <c r="AK54" s="1004">
        <f t="shared" si="0"/>
        <v>0</v>
      </c>
      <c r="AL54" s="649">
        <f>+AJ54*AN48</f>
        <v>0</v>
      </c>
      <c r="AM54" s="1008">
        <f t="shared" si="1"/>
        <v>0</v>
      </c>
      <c r="AN54" s="31"/>
      <c r="AO54" s="622"/>
      <c r="AP54" s="47" t="s">
        <v>106</v>
      </c>
      <c r="AQ54" s="48">
        <f>AQ50*AN48</f>
        <v>0</v>
      </c>
      <c r="AR54" s="48">
        <f>AR50*AN48</f>
        <v>0</v>
      </c>
      <c r="AS54" s="48">
        <f>AS50*AN48</f>
        <v>0</v>
      </c>
      <c r="AT54" s="48">
        <f>AT50*AN48</f>
        <v>0</v>
      </c>
      <c r="AU54" s="48">
        <f>AU50*AN48</f>
        <v>0</v>
      </c>
      <c r="AV54" s="50">
        <f t="shared" si="24"/>
        <v>0</v>
      </c>
    </row>
    <row r="55" spans="1:48" s="644" customFormat="1" ht="20.65" hidden="1" customHeight="1">
      <c r="A55" s="221"/>
      <c r="B55" s="89"/>
      <c r="C55" s="77">
        <v>300000</v>
      </c>
      <c r="D55" s="78" t="s">
        <v>107</v>
      </c>
      <c r="E55" s="1137">
        <v>2</v>
      </c>
      <c r="F55" s="1137">
        <v>2</v>
      </c>
      <c r="G55" s="1232">
        <v>2</v>
      </c>
      <c r="H55" s="1137">
        <v>2</v>
      </c>
      <c r="I55" s="1137">
        <v>2</v>
      </c>
      <c r="J55" s="1205">
        <v>2</v>
      </c>
      <c r="K55" s="1205">
        <v>2</v>
      </c>
      <c r="L55" s="1097">
        <v>2</v>
      </c>
      <c r="M55" s="1097">
        <v>2</v>
      </c>
      <c r="N55" s="1097">
        <v>2</v>
      </c>
      <c r="O55" s="1097">
        <v>2</v>
      </c>
      <c r="P55" s="1097">
        <v>2</v>
      </c>
      <c r="Q55" s="1205">
        <v>2</v>
      </c>
      <c r="R55" s="1205">
        <v>2</v>
      </c>
      <c r="S55" s="1097">
        <v>2</v>
      </c>
      <c r="T55" s="1097">
        <v>2</v>
      </c>
      <c r="U55" s="1097">
        <v>2</v>
      </c>
      <c r="V55" s="1097">
        <v>2</v>
      </c>
      <c r="W55" s="1097">
        <v>2</v>
      </c>
      <c r="X55" s="1205">
        <v>2</v>
      </c>
      <c r="Y55" s="1205">
        <v>2</v>
      </c>
      <c r="Z55" s="1097">
        <v>2</v>
      </c>
      <c r="AA55" s="1097">
        <v>2</v>
      </c>
      <c r="AB55" s="1097">
        <v>2</v>
      </c>
      <c r="AC55" s="1097">
        <v>2</v>
      </c>
      <c r="AD55" s="1097">
        <v>2</v>
      </c>
      <c r="AE55" s="1205">
        <v>2</v>
      </c>
      <c r="AF55" s="1205">
        <v>2</v>
      </c>
      <c r="AG55" s="1097">
        <v>2</v>
      </c>
      <c r="AH55" s="1097">
        <v>2</v>
      </c>
      <c r="AI55" s="1328">
        <v>1</v>
      </c>
      <c r="AJ55" s="663"/>
      <c r="AK55" s="1004">
        <f t="shared" si="0"/>
        <v>0</v>
      </c>
      <c r="AL55" s="646"/>
      <c r="AM55" s="1007">
        <f t="shared" si="1"/>
        <v>0</v>
      </c>
      <c r="AN55" s="31"/>
      <c r="AO55" s="622"/>
      <c r="AP55" s="47"/>
      <c r="AQ55" s="48"/>
      <c r="AR55" s="48"/>
      <c r="AS55" s="48"/>
      <c r="AT55" s="48"/>
      <c r="AU55" s="48"/>
      <c r="AV55" s="214"/>
    </row>
    <row r="56" spans="1:48" s="644" customFormat="1" ht="20.65" hidden="1" customHeight="1">
      <c r="A56" s="215" t="s">
        <v>267</v>
      </c>
      <c r="B56" s="89"/>
      <c r="C56" s="80" t="s">
        <v>108</v>
      </c>
      <c r="D56" s="81" t="s">
        <v>109</v>
      </c>
      <c r="E56" s="1125">
        <f>SUM(E50+E52+E54+E53)/E55</f>
        <v>0</v>
      </c>
      <c r="F56" s="1125">
        <f>SUM(F50+F52+F54+F53)/F55</f>
        <v>0</v>
      </c>
      <c r="G56" s="1233">
        <f>SUM(G50+G52+G54+G53)/G55</f>
        <v>0</v>
      </c>
      <c r="H56" s="1125">
        <f t="shared" ref="H56:AI56" si="27">SUM(H50+H52+H54+H53)/H55</f>
        <v>0</v>
      </c>
      <c r="I56" s="1125">
        <f t="shared" si="27"/>
        <v>0</v>
      </c>
      <c r="J56" s="1233">
        <f t="shared" si="27"/>
        <v>0</v>
      </c>
      <c r="K56" s="1233">
        <f t="shared" si="27"/>
        <v>0</v>
      </c>
      <c r="L56" s="1125">
        <f t="shared" si="27"/>
        <v>0</v>
      </c>
      <c r="M56" s="1125">
        <f t="shared" si="27"/>
        <v>0</v>
      </c>
      <c r="N56" s="1125">
        <f t="shared" si="27"/>
        <v>0</v>
      </c>
      <c r="O56" s="1125">
        <f t="shared" si="27"/>
        <v>0</v>
      </c>
      <c r="P56" s="1125">
        <f t="shared" si="27"/>
        <v>0</v>
      </c>
      <c r="Q56" s="1233">
        <f t="shared" si="27"/>
        <v>0</v>
      </c>
      <c r="R56" s="1233">
        <f t="shared" si="27"/>
        <v>0</v>
      </c>
      <c r="S56" s="1125">
        <f t="shared" si="27"/>
        <v>0</v>
      </c>
      <c r="T56" s="1125">
        <f t="shared" si="27"/>
        <v>0</v>
      </c>
      <c r="U56" s="1125">
        <f t="shared" si="27"/>
        <v>0</v>
      </c>
      <c r="V56" s="1125">
        <f t="shared" si="27"/>
        <v>0</v>
      </c>
      <c r="W56" s="1125">
        <f t="shared" si="27"/>
        <v>0</v>
      </c>
      <c r="X56" s="1233">
        <f t="shared" si="27"/>
        <v>0</v>
      </c>
      <c r="Y56" s="1233">
        <f t="shared" si="27"/>
        <v>0</v>
      </c>
      <c r="Z56" s="1125">
        <f t="shared" si="27"/>
        <v>0</v>
      </c>
      <c r="AA56" s="1125">
        <f t="shared" si="27"/>
        <v>0</v>
      </c>
      <c r="AB56" s="1125">
        <f t="shared" si="27"/>
        <v>0</v>
      </c>
      <c r="AC56" s="1125">
        <f t="shared" si="27"/>
        <v>0</v>
      </c>
      <c r="AD56" s="1125">
        <f t="shared" si="27"/>
        <v>0</v>
      </c>
      <c r="AE56" s="1233">
        <f t="shared" si="27"/>
        <v>0</v>
      </c>
      <c r="AF56" s="1233">
        <f t="shared" si="27"/>
        <v>0</v>
      </c>
      <c r="AG56" s="1125">
        <f t="shared" si="27"/>
        <v>0</v>
      </c>
      <c r="AH56" s="1125">
        <f t="shared" si="27"/>
        <v>0</v>
      </c>
      <c r="AI56" s="1409">
        <f t="shared" si="27"/>
        <v>0</v>
      </c>
      <c r="AJ56" s="104">
        <f>SUM(E56:AI56)</f>
        <v>0</v>
      </c>
      <c r="AK56" s="993">
        <f t="shared" si="0"/>
        <v>0</v>
      </c>
      <c r="AL56" s="650"/>
      <c r="AM56" s="1008">
        <f t="shared" si="1"/>
        <v>0</v>
      </c>
      <c r="AN56" s="31"/>
      <c r="AO56" s="622"/>
      <c r="AP56" s="651"/>
      <c r="AQ56" s="651"/>
      <c r="AR56" s="651"/>
      <c r="AS56" s="651"/>
      <c r="AT56" s="651"/>
      <c r="AU56" s="651"/>
      <c r="AV56" s="651"/>
    </row>
    <row r="57" spans="1:48" s="644" customFormat="1" ht="20.65" hidden="1" customHeight="1">
      <c r="A57" s="215"/>
      <c r="B57" s="89"/>
      <c r="C57" s="84">
        <f>+C55*0.8</f>
        <v>240000</v>
      </c>
      <c r="D57" s="85" t="s">
        <v>110</v>
      </c>
      <c r="E57" s="1125"/>
      <c r="F57" s="1126"/>
      <c r="G57" s="1235"/>
      <c r="H57" s="1126"/>
      <c r="I57" s="1126"/>
      <c r="J57" s="1235"/>
      <c r="K57" s="1235"/>
      <c r="L57" s="1126"/>
      <c r="M57" s="1126"/>
      <c r="N57" s="1126"/>
      <c r="O57" s="1126"/>
      <c r="P57" s="1126"/>
      <c r="Q57" s="1235"/>
      <c r="R57" s="1235"/>
      <c r="S57" s="1126"/>
      <c r="T57" s="1126"/>
      <c r="U57" s="1126"/>
      <c r="V57" s="1126"/>
      <c r="W57" s="1126"/>
      <c r="X57" s="1235"/>
      <c r="Y57" s="1235"/>
      <c r="Z57" s="1126"/>
      <c r="AA57" s="1126"/>
      <c r="AB57" s="1126"/>
      <c r="AC57" s="1126"/>
      <c r="AD57" s="1126"/>
      <c r="AE57" s="1235"/>
      <c r="AF57" s="1235"/>
      <c r="AG57" s="1126"/>
      <c r="AH57" s="1126"/>
      <c r="AI57" s="1335"/>
      <c r="AJ57" s="104"/>
      <c r="AK57" s="993">
        <f t="shared" si="0"/>
        <v>0</v>
      </c>
      <c r="AL57" s="650"/>
      <c r="AM57" s="1008">
        <f t="shared" si="1"/>
        <v>0</v>
      </c>
      <c r="AN57" s="222"/>
      <c r="AO57" s="637"/>
      <c r="AP57" s="651"/>
      <c r="AQ57" s="651"/>
      <c r="AR57" s="651"/>
      <c r="AS57" s="651"/>
      <c r="AT57" s="651"/>
      <c r="AU57" s="651"/>
      <c r="AV57" s="651"/>
    </row>
    <row r="58" spans="1:48" s="644" customFormat="1" ht="20.65" hidden="1" customHeight="1">
      <c r="A58" s="215"/>
      <c r="B58" s="89"/>
      <c r="C58" s="77"/>
      <c r="D58" s="88" t="s">
        <v>111</v>
      </c>
      <c r="E58" s="1125">
        <f>IF(E57="O/H",E56,0+E56)</f>
        <v>0</v>
      </c>
      <c r="F58" s="1126">
        <f>IF(F57="O/H",F56,+E58+F56)</f>
        <v>0</v>
      </c>
      <c r="G58" s="1235">
        <f t="shared" ref="G58:AI58" si="28">IF(G57="O/H",G56,+F58+G56)</f>
        <v>0</v>
      </c>
      <c r="H58" s="1126">
        <f t="shared" si="28"/>
        <v>0</v>
      </c>
      <c r="I58" s="1126">
        <f t="shared" si="28"/>
        <v>0</v>
      </c>
      <c r="J58" s="1235">
        <f t="shared" si="28"/>
        <v>0</v>
      </c>
      <c r="K58" s="1235">
        <f t="shared" si="28"/>
        <v>0</v>
      </c>
      <c r="L58" s="1126">
        <f t="shared" si="28"/>
        <v>0</v>
      </c>
      <c r="M58" s="1126">
        <f t="shared" si="28"/>
        <v>0</v>
      </c>
      <c r="N58" s="1126">
        <f t="shared" si="28"/>
        <v>0</v>
      </c>
      <c r="O58" s="1126">
        <f t="shared" si="28"/>
        <v>0</v>
      </c>
      <c r="P58" s="1126">
        <f t="shared" si="28"/>
        <v>0</v>
      </c>
      <c r="Q58" s="1235">
        <f t="shared" si="28"/>
        <v>0</v>
      </c>
      <c r="R58" s="1235">
        <f t="shared" si="28"/>
        <v>0</v>
      </c>
      <c r="S58" s="1126">
        <f t="shared" si="28"/>
        <v>0</v>
      </c>
      <c r="T58" s="1126">
        <f t="shared" si="28"/>
        <v>0</v>
      </c>
      <c r="U58" s="1126">
        <f t="shared" si="28"/>
        <v>0</v>
      </c>
      <c r="V58" s="1126">
        <f t="shared" si="28"/>
        <v>0</v>
      </c>
      <c r="W58" s="1126">
        <f t="shared" si="28"/>
        <v>0</v>
      </c>
      <c r="X58" s="1235">
        <f t="shared" si="28"/>
        <v>0</v>
      </c>
      <c r="Y58" s="1235">
        <f t="shared" si="28"/>
        <v>0</v>
      </c>
      <c r="Z58" s="1126">
        <f t="shared" si="28"/>
        <v>0</v>
      </c>
      <c r="AA58" s="1126">
        <f t="shared" si="28"/>
        <v>0</v>
      </c>
      <c r="AB58" s="1126">
        <f t="shared" si="28"/>
        <v>0</v>
      </c>
      <c r="AC58" s="1126">
        <f t="shared" si="28"/>
        <v>0</v>
      </c>
      <c r="AD58" s="1126">
        <f t="shared" si="28"/>
        <v>0</v>
      </c>
      <c r="AE58" s="1235">
        <f t="shared" si="28"/>
        <v>0</v>
      </c>
      <c r="AF58" s="1235">
        <f t="shared" si="28"/>
        <v>0</v>
      </c>
      <c r="AG58" s="1126">
        <f t="shared" si="28"/>
        <v>0</v>
      </c>
      <c r="AH58" s="1126">
        <f t="shared" si="28"/>
        <v>0</v>
      </c>
      <c r="AI58" s="1335">
        <f t="shared" si="28"/>
        <v>0</v>
      </c>
      <c r="AJ58" s="104"/>
      <c r="AK58" s="993">
        <f t="shared" si="0"/>
        <v>0</v>
      </c>
      <c r="AL58" s="650"/>
      <c r="AM58" s="1008">
        <f t="shared" si="1"/>
        <v>0</v>
      </c>
      <c r="AN58" s="222"/>
      <c r="AO58" s="637"/>
      <c r="AP58" s="651"/>
      <c r="AQ58" s="651"/>
      <c r="AR58" s="651"/>
      <c r="AS58" s="651"/>
      <c r="AT58" s="651"/>
      <c r="AU58" s="651"/>
      <c r="AV58" s="651"/>
    </row>
    <row r="59" spans="1:48" s="23" customFormat="1" ht="20.65" hidden="1" customHeight="1">
      <c r="A59" s="274"/>
      <c r="B59" s="312"/>
      <c r="C59" s="308"/>
      <c r="D59" s="795" t="s">
        <v>112</v>
      </c>
      <c r="E59" s="1117" t="b">
        <f>IF(AND(ISNUMBER(E50)),2069799+E56)</f>
        <v>0</v>
      </c>
      <c r="F59" s="1118" t="str">
        <f>IF(AND(ISNUMBER(F50)),E59+F56,"")</f>
        <v/>
      </c>
      <c r="G59" s="1216" t="str">
        <f t="shared" ref="G59:H59" si="29">IF(AND(ISNUMBER(G50)),F59+G56,"")</f>
        <v/>
      </c>
      <c r="H59" s="1118" t="str">
        <f t="shared" si="29"/>
        <v/>
      </c>
      <c r="I59" s="1118" t="str">
        <f>IF(AND(ISNUMBER(I50)),H59+I56,"")</f>
        <v/>
      </c>
      <c r="J59" s="1216" t="str">
        <f>IF(AND(ISNUMBER(J50)),I59+J56,"")</f>
        <v/>
      </c>
      <c r="K59" s="1216" t="str">
        <f>IF(AND(ISNUMBER(K50)),J59+K56,"")</f>
        <v/>
      </c>
      <c r="L59" s="1118" t="str">
        <f t="shared" ref="L59:AI59" si="30">IF(AND(ISNUMBER(L50)),K59+L56,"")</f>
        <v/>
      </c>
      <c r="M59" s="1118" t="str">
        <f t="shared" si="30"/>
        <v/>
      </c>
      <c r="N59" s="1118" t="str">
        <f t="shared" si="30"/>
        <v/>
      </c>
      <c r="O59" s="1118" t="str">
        <f t="shared" si="30"/>
        <v/>
      </c>
      <c r="P59" s="1118" t="str">
        <f t="shared" si="30"/>
        <v/>
      </c>
      <c r="Q59" s="1216" t="str">
        <f t="shared" si="30"/>
        <v/>
      </c>
      <c r="R59" s="1216" t="str">
        <f t="shared" si="30"/>
        <v/>
      </c>
      <c r="S59" s="1118" t="str">
        <f t="shared" si="30"/>
        <v/>
      </c>
      <c r="T59" s="1118" t="str">
        <f t="shared" si="30"/>
        <v/>
      </c>
      <c r="U59" s="1118" t="str">
        <f t="shared" si="30"/>
        <v/>
      </c>
      <c r="V59" s="1118" t="str">
        <f t="shared" si="30"/>
        <v/>
      </c>
      <c r="W59" s="1118" t="str">
        <f t="shared" si="30"/>
        <v/>
      </c>
      <c r="X59" s="1216" t="str">
        <f t="shared" si="30"/>
        <v/>
      </c>
      <c r="Y59" s="1216" t="str">
        <f t="shared" si="30"/>
        <v/>
      </c>
      <c r="Z59" s="1118" t="str">
        <f t="shared" si="30"/>
        <v/>
      </c>
      <c r="AA59" s="1118" t="str">
        <f t="shared" si="30"/>
        <v/>
      </c>
      <c r="AB59" s="1118" t="str">
        <f t="shared" si="30"/>
        <v/>
      </c>
      <c r="AC59" s="1118" t="str">
        <f t="shared" si="30"/>
        <v/>
      </c>
      <c r="AD59" s="1118" t="str">
        <f t="shared" si="30"/>
        <v/>
      </c>
      <c r="AE59" s="1216" t="str">
        <f t="shared" si="30"/>
        <v/>
      </c>
      <c r="AF59" s="1216" t="str">
        <f t="shared" si="30"/>
        <v/>
      </c>
      <c r="AG59" s="1118" t="str">
        <f t="shared" si="30"/>
        <v/>
      </c>
      <c r="AH59" s="1118" t="str">
        <f t="shared" si="30"/>
        <v/>
      </c>
      <c r="AI59" s="1089" t="str">
        <f t="shared" si="30"/>
        <v/>
      </c>
      <c r="AJ59" s="793"/>
      <c r="AK59" s="985">
        <f t="shared" si="0"/>
        <v>0</v>
      </c>
      <c r="AL59" s="909"/>
      <c r="AM59" s="987">
        <f t="shared" si="1"/>
        <v>0</v>
      </c>
      <c r="AN59" s="76"/>
      <c r="AO59" s="630"/>
      <c r="AP59" s="285"/>
      <c r="AQ59" s="285"/>
      <c r="AR59" s="285"/>
      <c r="AS59" s="285"/>
      <c r="AT59" s="286"/>
      <c r="AU59" s="285"/>
      <c r="AV59" s="287"/>
    </row>
    <row r="60" spans="1:48" s="644" customFormat="1" ht="20.65" hidden="1" customHeight="1">
      <c r="A60" s="215" t="s">
        <v>242</v>
      </c>
      <c r="B60" s="89" t="s">
        <v>278</v>
      </c>
      <c r="C60" s="80"/>
      <c r="D60" s="90" t="s">
        <v>104</v>
      </c>
      <c r="E60" s="1137"/>
      <c r="F60" s="1097"/>
      <c r="G60" s="1205"/>
      <c r="H60" s="1097"/>
      <c r="I60" s="1097"/>
      <c r="J60" s="1205"/>
      <c r="K60" s="1205"/>
      <c r="L60" s="1097"/>
      <c r="M60" s="1097"/>
      <c r="N60" s="1097"/>
      <c r="O60" s="1097"/>
      <c r="P60" s="1097"/>
      <c r="Q60" s="1205"/>
      <c r="R60" s="1205"/>
      <c r="S60" s="1097"/>
      <c r="T60" s="1097"/>
      <c r="U60" s="1097"/>
      <c r="V60" s="1097"/>
      <c r="W60" s="1097"/>
      <c r="X60" s="1205"/>
      <c r="Y60" s="1205"/>
      <c r="Z60" s="1097"/>
      <c r="AA60" s="1097"/>
      <c r="AB60" s="1097"/>
      <c r="AC60" s="1097"/>
      <c r="AD60" s="1097"/>
      <c r="AE60" s="1205"/>
      <c r="AF60" s="1205"/>
      <c r="AG60" s="1097"/>
      <c r="AH60" s="1097"/>
      <c r="AI60" s="1328"/>
      <c r="AJ60" s="664"/>
      <c r="AK60" s="1004">
        <f t="shared" si="0"/>
        <v>0</v>
      </c>
      <c r="AL60" s="646"/>
      <c r="AM60" s="1007">
        <f t="shared" si="1"/>
        <v>0</v>
      </c>
      <c r="AN60" s="31"/>
      <c r="AO60" s="622"/>
      <c r="AP60" s="651"/>
      <c r="AQ60" s="651"/>
      <c r="AR60" s="651"/>
      <c r="AS60" s="651"/>
      <c r="AT60" s="651"/>
      <c r="AU60" s="651"/>
      <c r="AV60" s="651"/>
    </row>
    <row r="61" spans="1:48" s="644" customFormat="1" ht="20.65" hidden="1" customHeight="1" thickBot="1">
      <c r="A61" s="216" t="s">
        <v>242</v>
      </c>
      <c r="B61" s="93"/>
      <c r="C61" s="94"/>
      <c r="D61" s="95" t="s">
        <v>111</v>
      </c>
      <c r="E61" s="1109">
        <f>IF(E60="O/H",E56,0+E56)</f>
        <v>0</v>
      </c>
      <c r="F61" s="1110">
        <f t="shared" ref="F61:AI61" si="31">IF(F60="O/H",F56,+E61+F56)</f>
        <v>0</v>
      </c>
      <c r="G61" s="1212">
        <f t="shared" si="31"/>
        <v>0</v>
      </c>
      <c r="H61" s="1110">
        <f t="shared" si="31"/>
        <v>0</v>
      </c>
      <c r="I61" s="1110">
        <f t="shared" si="31"/>
        <v>0</v>
      </c>
      <c r="J61" s="1212">
        <f t="shared" si="31"/>
        <v>0</v>
      </c>
      <c r="K61" s="1212">
        <f t="shared" si="31"/>
        <v>0</v>
      </c>
      <c r="L61" s="1110">
        <f t="shared" si="31"/>
        <v>0</v>
      </c>
      <c r="M61" s="1110">
        <f t="shared" si="31"/>
        <v>0</v>
      </c>
      <c r="N61" s="1110">
        <f t="shared" si="31"/>
        <v>0</v>
      </c>
      <c r="O61" s="1110">
        <f t="shared" si="31"/>
        <v>0</v>
      </c>
      <c r="P61" s="1110">
        <f t="shared" si="31"/>
        <v>0</v>
      </c>
      <c r="Q61" s="1212">
        <f t="shared" si="31"/>
        <v>0</v>
      </c>
      <c r="R61" s="1212">
        <f t="shared" si="31"/>
        <v>0</v>
      </c>
      <c r="S61" s="1110">
        <f t="shared" si="31"/>
        <v>0</v>
      </c>
      <c r="T61" s="1110">
        <f t="shared" si="31"/>
        <v>0</v>
      </c>
      <c r="U61" s="1110">
        <f t="shared" si="31"/>
        <v>0</v>
      </c>
      <c r="V61" s="1110">
        <f t="shared" si="31"/>
        <v>0</v>
      </c>
      <c r="W61" s="1110">
        <f t="shared" si="31"/>
        <v>0</v>
      </c>
      <c r="X61" s="1212">
        <f t="shared" si="31"/>
        <v>0</v>
      </c>
      <c r="Y61" s="1212">
        <f t="shared" si="31"/>
        <v>0</v>
      </c>
      <c r="Z61" s="1110">
        <f t="shared" si="31"/>
        <v>0</v>
      </c>
      <c r="AA61" s="1110">
        <f t="shared" si="31"/>
        <v>0</v>
      </c>
      <c r="AB61" s="1110">
        <f t="shared" si="31"/>
        <v>0</v>
      </c>
      <c r="AC61" s="1110">
        <f t="shared" si="31"/>
        <v>0</v>
      </c>
      <c r="AD61" s="1110">
        <f t="shared" si="31"/>
        <v>0</v>
      </c>
      <c r="AE61" s="1212">
        <f t="shared" si="31"/>
        <v>0</v>
      </c>
      <c r="AF61" s="1212">
        <f t="shared" si="31"/>
        <v>0</v>
      </c>
      <c r="AG61" s="1110">
        <f t="shared" si="31"/>
        <v>0</v>
      </c>
      <c r="AH61" s="1110">
        <f t="shared" si="31"/>
        <v>0</v>
      </c>
      <c r="AI61" s="1340">
        <f t="shared" si="31"/>
        <v>0</v>
      </c>
      <c r="AJ61" s="730"/>
      <c r="AK61" s="1005">
        <f t="shared" si="0"/>
        <v>0</v>
      </c>
      <c r="AL61" s="652"/>
      <c r="AM61" s="1009">
        <f t="shared" si="1"/>
        <v>0</v>
      </c>
      <c r="AN61" s="98"/>
      <c r="AO61" s="625"/>
      <c r="AP61" s="651"/>
      <c r="AQ61" s="651"/>
      <c r="AR61" s="651"/>
      <c r="AS61" s="651"/>
      <c r="AT61" s="651"/>
      <c r="AU61" s="651"/>
      <c r="AV61" s="651"/>
    </row>
    <row r="62" spans="1:48" s="644" customFormat="1" ht="20.25" customHeight="1" thickTop="1">
      <c r="A62" s="221" t="s">
        <v>695</v>
      </c>
      <c r="B62" s="218" t="s">
        <v>279</v>
      </c>
      <c r="C62" s="1495" t="str">
        <f>Table511[[#This Row],[M/C No.]]</f>
        <v>A4(40ton)</v>
      </c>
      <c r="D62" s="28" t="s">
        <v>82</v>
      </c>
      <c r="E62" s="1124"/>
      <c r="F62" s="1124"/>
      <c r="G62" s="1242"/>
      <c r="H62" s="1124"/>
      <c r="I62" s="1124"/>
      <c r="J62" s="1242"/>
      <c r="K62" s="1242"/>
      <c r="L62" s="1124"/>
      <c r="M62" s="1124"/>
      <c r="N62" s="1124"/>
      <c r="O62" s="1124"/>
      <c r="P62" s="1124"/>
      <c r="Q62" s="1242"/>
      <c r="R62" s="1242"/>
      <c r="S62" s="1124"/>
      <c r="T62" s="1124"/>
      <c r="U62" s="1124"/>
      <c r="V62" s="1124"/>
      <c r="W62" s="1124"/>
      <c r="X62" s="1242"/>
      <c r="Y62" s="1242"/>
      <c r="Z62" s="1124"/>
      <c r="AA62" s="1124"/>
      <c r="AB62" s="1124"/>
      <c r="AC62" s="1124"/>
      <c r="AD62" s="1124"/>
      <c r="AE62" s="1242"/>
      <c r="AF62" s="1242"/>
      <c r="AG62" s="1124"/>
      <c r="AH62" s="1124"/>
      <c r="AI62" s="1350"/>
      <c r="AJ62" s="570">
        <f>SUM(Table511[[#This Row],[ June''2026]:[Column264]])</f>
        <v>0</v>
      </c>
      <c r="AK62" s="991">
        <f t="shared" si="0"/>
        <v>0</v>
      </c>
      <c r="AL62" s="571">
        <f>+AJ62*AN62</f>
        <v>0</v>
      </c>
      <c r="AM62" s="992">
        <f t="shared" si="1"/>
        <v>0</v>
      </c>
      <c r="AN62" s="102">
        <v>4.8538436585365856</v>
      </c>
      <c r="AO62" s="622"/>
      <c r="AP62" s="32" t="s">
        <v>261</v>
      </c>
      <c r="AQ62" s="33" t="s">
        <v>84</v>
      </c>
      <c r="AR62" s="33" t="s">
        <v>85</v>
      </c>
      <c r="AS62" s="33" t="s">
        <v>86</v>
      </c>
      <c r="AT62" s="33" t="s">
        <v>87</v>
      </c>
      <c r="AU62" s="33" t="s">
        <v>88</v>
      </c>
      <c r="AV62" s="34" t="s">
        <v>68</v>
      </c>
    </row>
    <row r="63" spans="1:48" s="644" customFormat="1" ht="20.65" customHeight="1">
      <c r="A63" s="639"/>
      <c r="B63" s="219" t="s">
        <v>280</v>
      </c>
      <c r="C63" s="640"/>
      <c r="D63" s="37" t="s">
        <v>90</v>
      </c>
      <c r="E63" s="1323">
        <f>IF(E62="",0,+ E62/E69)</f>
        <v>0</v>
      </c>
      <c r="F63" s="1096">
        <f t="shared" ref="F63:AC63" si="32">IF(F62="",0, E63+F62/F69)</f>
        <v>0</v>
      </c>
      <c r="G63" s="1207">
        <f t="shared" si="32"/>
        <v>0</v>
      </c>
      <c r="H63" s="1096">
        <f t="shared" si="32"/>
        <v>0</v>
      </c>
      <c r="I63" s="1096">
        <f t="shared" si="32"/>
        <v>0</v>
      </c>
      <c r="J63" s="1207">
        <f t="shared" si="32"/>
        <v>0</v>
      </c>
      <c r="K63" s="1207">
        <f t="shared" si="32"/>
        <v>0</v>
      </c>
      <c r="L63" s="1096">
        <f t="shared" si="32"/>
        <v>0</v>
      </c>
      <c r="M63" s="1096">
        <f t="shared" si="32"/>
        <v>0</v>
      </c>
      <c r="N63" s="1096">
        <f t="shared" si="32"/>
        <v>0</v>
      </c>
      <c r="O63" s="1096">
        <f t="shared" si="32"/>
        <v>0</v>
      </c>
      <c r="P63" s="1096">
        <f t="shared" si="32"/>
        <v>0</v>
      </c>
      <c r="Q63" s="1207">
        <f t="shared" si="32"/>
        <v>0</v>
      </c>
      <c r="R63" s="1207">
        <f t="shared" si="32"/>
        <v>0</v>
      </c>
      <c r="S63" s="1096">
        <f t="shared" si="32"/>
        <v>0</v>
      </c>
      <c r="T63" s="1096">
        <f t="shared" si="32"/>
        <v>0</v>
      </c>
      <c r="U63" s="1096">
        <f t="shared" si="32"/>
        <v>0</v>
      </c>
      <c r="V63" s="1096">
        <f t="shared" si="32"/>
        <v>0</v>
      </c>
      <c r="W63" s="1096">
        <f t="shared" si="32"/>
        <v>0</v>
      </c>
      <c r="X63" s="1207">
        <f t="shared" si="32"/>
        <v>0</v>
      </c>
      <c r="Y63" s="1207">
        <f t="shared" si="32"/>
        <v>0</v>
      </c>
      <c r="Z63" s="1096">
        <f t="shared" si="32"/>
        <v>0</v>
      </c>
      <c r="AA63" s="1096">
        <f t="shared" si="32"/>
        <v>0</v>
      </c>
      <c r="AB63" s="1096">
        <f t="shared" si="32"/>
        <v>0</v>
      </c>
      <c r="AC63" s="1096">
        <f t="shared" si="32"/>
        <v>0</v>
      </c>
      <c r="AD63" s="1096">
        <f>IF(AD62="",0, Z63+AD62/AD69)</f>
        <v>0</v>
      </c>
      <c r="AE63" s="1207">
        <f>IF(AE62="",0, AA63+AE62/AE69)</f>
        <v>0</v>
      </c>
      <c r="AF63" s="1207">
        <f>IF(AF62="",0, AB63+AF62/AF69)</f>
        <v>0</v>
      </c>
      <c r="AG63" s="1096">
        <f>IF(AG62="",0, AC63+AG62/AG69)</f>
        <v>0</v>
      </c>
      <c r="AH63" s="1096">
        <f>IF(AH62="",0, AD63+AH62/AH69)</f>
        <v>0</v>
      </c>
      <c r="AI63" s="1324">
        <f>IF(AI62="",0, AH63+AI62/AI69)</f>
        <v>0</v>
      </c>
      <c r="AJ63" s="728"/>
      <c r="AK63" s="1003">
        <f t="shared" si="0"/>
        <v>0</v>
      </c>
      <c r="AL63" s="641"/>
      <c r="AM63" s="1006">
        <f t="shared" si="1"/>
        <v>0</v>
      </c>
      <c r="AN63" s="642"/>
      <c r="AO63" s="630"/>
      <c r="AP63" s="39" t="s">
        <v>91</v>
      </c>
      <c r="AQ63" s="40">
        <f>SUM(E62:K62)</f>
        <v>0</v>
      </c>
      <c r="AR63" s="41">
        <f>SUM(L62:R62)</f>
        <v>0</v>
      </c>
      <c r="AS63" s="41">
        <f>SUM(S62:Y62)</f>
        <v>0</v>
      </c>
      <c r="AT63" s="41">
        <f>SUM(Z62:AF62)</f>
        <v>0</v>
      </c>
      <c r="AU63" s="41">
        <f>SUM(AG62:AI62)</f>
        <v>0</v>
      </c>
      <c r="AV63" s="34">
        <f t="shared" ref="AV63:AV68" si="33">SUM(AQ63:AU63)</f>
        <v>0</v>
      </c>
    </row>
    <row r="64" spans="1:48" s="644" customFormat="1" ht="20.65" customHeight="1">
      <c r="A64" s="215" t="s">
        <v>267</v>
      </c>
      <c r="B64" s="89" t="s">
        <v>263</v>
      </c>
      <c r="C64" s="42"/>
      <c r="D64" s="43" t="s">
        <v>93</v>
      </c>
      <c r="E64" s="1108"/>
      <c r="F64" s="1089"/>
      <c r="G64" s="44"/>
      <c r="H64" s="1089"/>
      <c r="I64" s="1089"/>
      <c r="J64" s="44"/>
      <c r="K64" s="44"/>
      <c r="L64" s="1089"/>
      <c r="M64" s="1089"/>
      <c r="N64" s="1089"/>
      <c r="O64" s="1089"/>
      <c r="P64" s="1089"/>
      <c r="Q64" s="44"/>
      <c r="R64" s="44"/>
      <c r="S64" s="1089"/>
      <c r="T64" s="1089"/>
      <c r="U64" s="1089"/>
      <c r="V64" s="1089"/>
      <c r="W64" s="1089"/>
      <c r="X64" s="44"/>
      <c r="Y64" s="44"/>
      <c r="Z64" s="1089"/>
      <c r="AA64" s="1089"/>
      <c r="AB64" s="1089"/>
      <c r="AC64" s="1089"/>
      <c r="AD64" s="1089"/>
      <c r="AE64" s="44"/>
      <c r="AF64" s="44"/>
      <c r="AG64" s="1089"/>
      <c r="AH64" s="1089"/>
      <c r="AI64" s="1326"/>
      <c r="AJ64" s="662">
        <f>SUM(E64:AI64)</f>
        <v>0</v>
      </c>
      <c r="AK64" s="1004">
        <f t="shared" si="0"/>
        <v>0</v>
      </c>
      <c r="AL64" s="645">
        <f>+AJ64*AN62</f>
        <v>0</v>
      </c>
      <c r="AM64" s="1007">
        <f t="shared" si="1"/>
        <v>0</v>
      </c>
      <c r="AN64" s="31"/>
      <c r="AO64" s="632">
        <f>(AJ64+AJ66+AJ67+AJ68)*B66/1000</f>
        <v>0</v>
      </c>
      <c r="AP64" s="47" t="s">
        <v>94</v>
      </c>
      <c r="AQ64" s="48">
        <f>SUM(E64:K64)</f>
        <v>0</v>
      </c>
      <c r="AR64" s="49">
        <f>SUM(L64:R64)</f>
        <v>0</v>
      </c>
      <c r="AS64" s="49">
        <f>SUM(S64:Y64)</f>
        <v>0</v>
      </c>
      <c r="AT64" s="49">
        <f>SUM(Z64:AF64)</f>
        <v>0</v>
      </c>
      <c r="AU64" s="49">
        <f>SUM(AG64:AI64)</f>
        <v>0</v>
      </c>
      <c r="AV64" s="50">
        <f t="shared" si="33"/>
        <v>0</v>
      </c>
    </row>
    <row r="65" spans="1:48" s="644" customFormat="1" ht="20.65" customHeight="1">
      <c r="A65" s="215" t="s">
        <v>267</v>
      </c>
      <c r="B65" s="211" t="s">
        <v>247</v>
      </c>
      <c r="C65" s="52" t="s">
        <v>95</v>
      </c>
      <c r="D65" s="53" t="s">
        <v>96</v>
      </c>
      <c r="E65" s="1137">
        <f t="shared" ref="E65:AJ65" si="34">+E64-E62</f>
        <v>0</v>
      </c>
      <c r="F65" s="1097">
        <f t="shared" si="34"/>
        <v>0</v>
      </c>
      <c r="G65" s="1205">
        <f t="shared" si="34"/>
        <v>0</v>
      </c>
      <c r="H65" s="1097">
        <f t="shared" si="34"/>
        <v>0</v>
      </c>
      <c r="I65" s="1097">
        <f t="shared" si="34"/>
        <v>0</v>
      </c>
      <c r="J65" s="1205">
        <f t="shared" si="34"/>
        <v>0</v>
      </c>
      <c r="K65" s="1205">
        <f t="shared" si="34"/>
        <v>0</v>
      </c>
      <c r="L65" s="1097">
        <f t="shared" si="34"/>
        <v>0</v>
      </c>
      <c r="M65" s="1097">
        <f t="shared" si="34"/>
        <v>0</v>
      </c>
      <c r="N65" s="1097">
        <f t="shared" si="34"/>
        <v>0</v>
      </c>
      <c r="O65" s="1097">
        <f t="shared" si="34"/>
        <v>0</v>
      </c>
      <c r="P65" s="1097">
        <f t="shared" si="34"/>
        <v>0</v>
      </c>
      <c r="Q65" s="1205">
        <f t="shared" si="34"/>
        <v>0</v>
      </c>
      <c r="R65" s="1205">
        <f t="shared" si="34"/>
        <v>0</v>
      </c>
      <c r="S65" s="1097">
        <f t="shared" si="34"/>
        <v>0</v>
      </c>
      <c r="T65" s="1097">
        <f t="shared" si="34"/>
        <v>0</v>
      </c>
      <c r="U65" s="1097">
        <f>+U64-U62</f>
        <v>0</v>
      </c>
      <c r="V65" s="1097">
        <f t="shared" si="34"/>
        <v>0</v>
      </c>
      <c r="W65" s="1097">
        <f t="shared" si="34"/>
        <v>0</v>
      </c>
      <c r="X65" s="1205">
        <f t="shared" si="34"/>
        <v>0</v>
      </c>
      <c r="Y65" s="1205">
        <f t="shared" si="34"/>
        <v>0</v>
      </c>
      <c r="Z65" s="1097">
        <f t="shared" ref="Z65" si="35">+Z64-Z62</f>
        <v>0</v>
      </c>
      <c r="AA65" s="1097">
        <f t="shared" si="34"/>
        <v>0</v>
      </c>
      <c r="AB65" s="1097">
        <f t="shared" si="34"/>
        <v>0</v>
      </c>
      <c r="AC65" s="1097">
        <f t="shared" si="34"/>
        <v>0</v>
      </c>
      <c r="AD65" s="1097">
        <f t="shared" si="34"/>
        <v>0</v>
      </c>
      <c r="AE65" s="1205">
        <f t="shared" si="34"/>
        <v>0</v>
      </c>
      <c r="AF65" s="1205">
        <f t="shared" si="34"/>
        <v>0</v>
      </c>
      <c r="AG65" s="1097">
        <f t="shared" si="34"/>
        <v>0</v>
      </c>
      <c r="AH65" s="1097">
        <f t="shared" si="34"/>
        <v>0</v>
      </c>
      <c r="AI65" s="1328">
        <f t="shared" si="34"/>
        <v>0</v>
      </c>
      <c r="AJ65" s="663">
        <f t="shared" si="34"/>
        <v>0</v>
      </c>
      <c r="AK65" s="1004">
        <f t="shared" si="0"/>
        <v>0</v>
      </c>
      <c r="AL65" s="646">
        <f>+AJ65*AN62</f>
        <v>0</v>
      </c>
      <c r="AM65" s="1007">
        <f t="shared" si="1"/>
        <v>0</v>
      </c>
      <c r="AN65" s="31" t="s">
        <v>97</v>
      </c>
      <c r="AO65" s="622"/>
      <c r="AP65" s="39" t="s">
        <v>98</v>
      </c>
      <c r="AQ65" s="56">
        <f>AQ64-AQ63</f>
        <v>0</v>
      </c>
      <c r="AR65" s="70">
        <f>AR64-AR63</f>
        <v>0</v>
      </c>
      <c r="AS65" s="70">
        <f>AS64-AS63</f>
        <v>0</v>
      </c>
      <c r="AT65" s="70">
        <f>AT64-AT63</f>
        <v>0</v>
      </c>
      <c r="AU65" s="70">
        <f>AU64-AU63</f>
        <v>0</v>
      </c>
      <c r="AV65" s="57">
        <f t="shared" si="33"/>
        <v>0</v>
      </c>
    </row>
    <row r="66" spans="1:48" s="644" customFormat="1" ht="20.65" customHeight="1">
      <c r="A66" s="215" t="s">
        <v>267</v>
      </c>
      <c r="B66" s="211">
        <v>14.286</v>
      </c>
      <c r="C66" s="60" t="s">
        <v>100</v>
      </c>
      <c r="D66" s="61" t="s">
        <v>101</v>
      </c>
      <c r="E66" s="1098"/>
      <c r="F66" s="1099"/>
      <c r="G66" s="1208"/>
      <c r="H66" s="1099"/>
      <c r="I66" s="1099"/>
      <c r="J66" s="1208"/>
      <c r="K66" s="1208"/>
      <c r="L66" s="1099"/>
      <c r="M66" s="1099"/>
      <c r="N66" s="1099"/>
      <c r="O66" s="1099"/>
      <c r="P66" s="1099"/>
      <c r="Q66" s="1208"/>
      <c r="R66" s="1208"/>
      <c r="S66" s="1099"/>
      <c r="T66" s="1099"/>
      <c r="U66" s="1099"/>
      <c r="V66" s="1099"/>
      <c r="W66" s="1099"/>
      <c r="X66" s="1208"/>
      <c r="Y66" s="1208"/>
      <c r="Z66" s="1099"/>
      <c r="AA66" s="1099"/>
      <c r="AB66" s="1099"/>
      <c r="AC66" s="1099"/>
      <c r="AD66" s="1099"/>
      <c r="AE66" s="1208"/>
      <c r="AF66" s="1208"/>
      <c r="AG66" s="1099"/>
      <c r="AH66" s="1099"/>
      <c r="AI66" s="1330"/>
      <c r="AJ66" s="664">
        <f>SUM(E66:AI66)</f>
        <v>0</v>
      </c>
      <c r="AK66" s="1004">
        <f t="shared" si="0"/>
        <v>0</v>
      </c>
      <c r="AL66" s="647">
        <f>+AJ66*AN62</f>
        <v>0</v>
      </c>
      <c r="AM66" s="1008">
        <f t="shared" si="1"/>
        <v>0</v>
      </c>
      <c r="AN66" s="64" t="e">
        <f>+AJ66/AJ64*100</f>
        <v>#DIV/0!</v>
      </c>
      <c r="AO66" s="635" t="e">
        <f>AO64/AO62</f>
        <v>#DIV/0!</v>
      </c>
      <c r="AP66" s="39" t="s">
        <v>102</v>
      </c>
      <c r="AQ66" s="56">
        <f>SUM(E66:K66)</f>
        <v>0</v>
      </c>
      <c r="AR66" s="70">
        <f>SUM(L66:R66)</f>
        <v>0</v>
      </c>
      <c r="AS66" s="70">
        <f>SUM(S66:Y66)</f>
        <v>0</v>
      </c>
      <c r="AT66" s="70">
        <f>SUM(Z66:AF66)</f>
        <v>0</v>
      </c>
      <c r="AU66" s="70">
        <f>SUM(AG66:AI66)</f>
        <v>0</v>
      </c>
      <c r="AV66" s="57">
        <f t="shared" si="33"/>
        <v>0</v>
      </c>
    </row>
    <row r="67" spans="1:48" s="644" customFormat="1" ht="20.65" customHeight="1">
      <c r="A67" s="210" t="s">
        <v>245</v>
      </c>
      <c r="B67" s="213"/>
      <c r="C67" s="66"/>
      <c r="D67" s="67" t="s">
        <v>103</v>
      </c>
      <c r="E67" s="1100"/>
      <c r="F67" s="1101"/>
      <c r="G67" s="1209"/>
      <c r="H67" s="1101"/>
      <c r="I67" s="1101"/>
      <c r="J67" s="1209"/>
      <c r="K67" s="1209"/>
      <c r="L67" s="1101"/>
      <c r="M67" s="1101"/>
      <c r="N67" s="1101"/>
      <c r="O67" s="1101"/>
      <c r="P67" s="1101"/>
      <c r="Q67" s="1209"/>
      <c r="R67" s="1209"/>
      <c r="S67" s="1101"/>
      <c r="T67" s="1101"/>
      <c r="U67" s="1101"/>
      <c r="V67" s="1101"/>
      <c r="W67" s="1101"/>
      <c r="X67" s="1209"/>
      <c r="Y67" s="1209"/>
      <c r="Z67" s="1101"/>
      <c r="AA67" s="1101"/>
      <c r="AB67" s="1101"/>
      <c r="AC67" s="1101"/>
      <c r="AD67" s="1101"/>
      <c r="AE67" s="1209"/>
      <c r="AF67" s="1209"/>
      <c r="AG67" s="1101"/>
      <c r="AH67" s="1101"/>
      <c r="AI67" s="1332"/>
      <c r="AJ67" s="665">
        <f>SUM(E67:AI67)</f>
        <v>0</v>
      </c>
      <c r="AK67" s="1004">
        <f t="shared" si="0"/>
        <v>0</v>
      </c>
      <c r="AL67" s="648">
        <f>+AJ67*AN61</f>
        <v>0</v>
      </c>
      <c r="AM67" s="1008">
        <f t="shared" si="1"/>
        <v>0</v>
      </c>
      <c r="AN67" s="31"/>
      <c r="AO67" s="622"/>
      <c r="AP67" s="39" t="s">
        <v>19</v>
      </c>
      <c r="AQ67" s="56">
        <f>AQ66*AN62</f>
        <v>0</v>
      </c>
      <c r="AR67" s="56">
        <f>AR66*AN62</f>
        <v>0</v>
      </c>
      <c r="AS67" s="56">
        <f>AS66*AN62</f>
        <v>0</v>
      </c>
      <c r="AT67" s="56">
        <f>AT66*AN62</f>
        <v>0</v>
      </c>
      <c r="AU67" s="56">
        <f>AU66*AN62</f>
        <v>0</v>
      </c>
      <c r="AV67" s="57">
        <f t="shared" si="33"/>
        <v>0</v>
      </c>
    </row>
    <row r="68" spans="1:48" s="644" customFormat="1" ht="20.65" customHeight="1">
      <c r="A68" s="210" t="s">
        <v>245</v>
      </c>
      <c r="B68" s="213"/>
      <c r="C68" s="72" t="s">
        <v>104</v>
      </c>
      <c r="D68" s="73" t="s">
        <v>105</v>
      </c>
      <c r="E68" s="1115"/>
      <c r="F68" s="1116"/>
      <c r="G68" s="1215"/>
      <c r="H68" s="1116"/>
      <c r="I68" s="1116"/>
      <c r="J68" s="1215"/>
      <c r="K68" s="1215"/>
      <c r="L68" s="1116"/>
      <c r="M68" s="1116"/>
      <c r="N68" s="1116"/>
      <c r="O68" s="1103"/>
      <c r="P68" s="1103"/>
      <c r="Q68" s="1215"/>
      <c r="R68" s="1215"/>
      <c r="S68" s="1116"/>
      <c r="T68" s="1116"/>
      <c r="U68" s="1103"/>
      <c r="V68" s="1116"/>
      <c r="W68" s="1116"/>
      <c r="X68" s="1215"/>
      <c r="Y68" s="1215"/>
      <c r="Z68" s="1116"/>
      <c r="AA68" s="1116"/>
      <c r="AB68" s="1103"/>
      <c r="AC68" s="1116"/>
      <c r="AD68" s="1116"/>
      <c r="AE68" s="1215"/>
      <c r="AF68" s="1215"/>
      <c r="AG68" s="1116"/>
      <c r="AH68" s="1116"/>
      <c r="AI68" s="1334"/>
      <c r="AJ68" s="731">
        <f>SUM(E68:AI68)</f>
        <v>0</v>
      </c>
      <c r="AK68" s="1004">
        <f t="shared" si="0"/>
        <v>0</v>
      </c>
      <c r="AL68" s="653">
        <f>+AJ68*AN62</f>
        <v>0</v>
      </c>
      <c r="AM68" s="1008">
        <f t="shared" si="1"/>
        <v>0</v>
      </c>
      <c r="AN68" s="31"/>
      <c r="AO68" s="622"/>
      <c r="AP68" s="47" t="s">
        <v>106</v>
      </c>
      <c r="AQ68" s="48">
        <f>AQ64*AN62</f>
        <v>0</v>
      </c>
      <c r="AR68" s="48">
        <f>AR64*AN62</f>
        <v>0</v>
      </c>
      <c r="AS68" s="48">
        <f>AS64*AN62</f>
        <v>0</v>
      </c>
      <c r="AT68" s="48">
        <f>AT64*AN62</f>
        <v>0</v>
      </c>
      <c r="AU68" s="48">
        <f>AU64*AN62</f>
        <v>0</v>
      </c>
      <c r="AV68" s="50">
        <f t="shared" si="33"/>
        <v>0</v>
      </c>
    </row>
    <row r="69" spans="1:48" s="644" customFormat="1" ht="20.65" customHeight="1">
      <c r="A69" s="566"/>
      <c r="B69" s="89"/>
      <c r="C69" s="77">
        <v>300000</v>
      </c>
      <c r="D69" s="78" t="s">
        <v>107</v>
      </c>
      <c r="E69" s="1137">
        <v>2</v>
      </c>
      <c r="F69" s="1097">
        <v>2</v>
      </c>
      <c r="G69" s="1205">
        <v>2</v>
      </c>
      <c r="H69" s="1097">
        <v>2</v>
      </c>
      <c r="I69" s="1097">
        <v>2</v>
      </c>
      <c r="J69" s="1205">
        <v>2</v>
      </c>
      <c r="K69" s="1205">
        <v>2</v>
      </c>
      <c r="L69" s="1097">
        <v>2</v>
      </c>
      <c r="M69" s="1097">
        <v>2</v>
      </c>
      <c r="N69" s="1097">
        <v>2</v>
      </c>
      <c r="O69" s="1097">
        <v>2</v>
      </c>
      <c r="P69" s="1097">
        <v>2</v>
      </c>
      <c r="Q69" s="1205">
        <v>2</v>
      </c>
      <c r="R69" s="1205">
        <v>2</v>
      </c>
      <c r="S69" s="1097">
        <v>2</v>
      </c>
      <c r="T69" s="1097">
        <v>2</v>
      </c>
      <c r="U69" s="1097">
        <v>2</v>
      </c>
      <c r="V69" s="1097">
        <v>2</v>
      </c>
      <c r="W69" s="1097">
        <v>2</v>
      </c>
      <c r="X69" s="1205">
        <v>2</v>
      </c>
      <c r="Y69" s="1205">
        <v>2</v>
      </c>
      <c r="Z69" s="1097">
        <v>2</v>
      </c>
      <c r="AA69" s="1097">
        <v>2</v>
      </c>
      <c r="AB69" s="1097">
        <v>2</v>
      </c>
      <c r="AC69" s="1097">
        <v>2</v>
      </c>
      <c r="AD69" s="1097">
        <v>2</v>
      </c>
      <c r="AE69" s="1205">
        <v>2</v>
      </c>
      <c r="AF69" s="1205">
        <v>2</v>
      </c>
      <c r="AG69" s="1097">
        <v>2</v>
      </c>
      <c r="AH69" s="1097">
        <v>2</v>
      </c>
      <c r="AI69" s="1328">
        <v>2</v>
      </c>
      <c r="AJ69" s="663"/>
      <c r="AK69" s="1004">
        <f t="shared" si="0"/>
        <v>0</v>
      </c>
      <c r="AL69" s="646"/>
      <c r="AM69" s="1007">
        <f t="shared" si="1"/>
        <v>0</v>
      </c>
      <c r="AN69" s="31"/>
      <c r="AO69" s="622"/>
      <c r="AP69" s="47"/>
      <c r="AQ69" s="48"/>
      <c r="AR69" s="48"/>
      <c r="AS69" s="48"/>
      <c r="AT69" s="48"/>
      <c r="AU69" s="48"/>
      <c r="AV69" s="214"/>
    </row>
    <row r="70" spans="1:48" s="644" customFormat="1" ht="20.65" customHeight="1">
      <c r="A70" s="215" t="s">
        <v>267</v>
      </c>
      <c r="B70" s="89"/>
      <c r="C70" s="80" t="s">
        <v>108</v>
      </c>
      <c r="D70" s="81" t="s">
        <v>109</v>
      </c>
      <c r="E70" s="1125">
        <f t="shared" ref="E70:AI70" si="36">SUM(E64+E66+E68)/E69</f>
        <v>0</v>
      </c>
      <c r="F70" s="1126">
        <f t="shared" si="36"/>
        <v>0</v>
      </c>
      <c r="G70" s="1233">
        <f t="shared" ref="G70:K70" si="37">SUM(G64+G66+G68+G67)/G69</f>
        <v>0</v>
      </c>
      <c r="H70" s="1125">
        <f t="shared" si="37"/>
        <v>0</v>
      </c>
      <c r="I70" s="1125">
        <f t="shared" si="37"/>
        <v>0</v>
      </c>
      <c r="J70" s="1233">
        <f t="shared" si="37"/>
        <v>0</v>
      </c>
      <c r="K70" s="1233">
        <f t="shared" si="37"/>
        <v>0</v>
      </c>
      <c r="L70" s="1126">
        <f t="shared" ref="L70:M70" si="38">SUM(L64+L66+L68+L67)/L69</f>
        <v>0</v>
      </c>
      <c r="M70" s="1126">
        <f t="shared" si="38"/>
        <v>0</v>
      </c>
      <c r="N70" s="1125">
        <f>SUM(N64+N66+N68+N67)/N69</f>
        <v>0</v>
      </c>
      <c r="O70" s="1125">
        <f t="shared" ref="O70:R70" si="39">SUM(O64+O66+O68+O67)/O69</f>
        <v>0</v>
      </c>
      <c r="P70" s="1125">
        <f t="shared" si="39"/>
        <v>0</v>
      </c>
      <c r="Q70" s="1233">
        <f t="shared" si="39"/>
        <v>0</v>
      </c>
      <c r="R70" s="1233">
        <f t="shared" si="39"/>
        <v>0</v>
      </c>
      <c r="S70" s="1126">
        <f>SUM(S64+S66+S68)/S69</f>
        <v>0</v>
      </c>
      <c r="T70" s="1126">
        <f t="shared" si="36"/>
        <v>0</v>
      </c>
      <c r="U70" s="1126">
        <f>SUM(U64+U66+U68)/U69</f>
        <v>0</v>
      </c>
      <c r="V70" s="1126">
        <f t="shared" si="36"/>
        <v>0</v>
      </c>
      <c r="W70" s="1126">
        <f t="shared" si="36"/>
        <v>0</v>
      </c>
      <c r="X70" s="1235">
        <f t="shared" si="36"/>
        <v>0</v>
      </c>
      <c r="Y70" s="1235">
        <f t="shared" si="36"/>
        <v>0</v>
      </c>
      <c r="Z70" s="1126">
        <f t="shared" si="36"/>
        <v>0</v>
      </c>
      <c r="AA70" s="1126">
        <f t="shared" si="36"/>
        <v>0</v>
      </c>
      <c r="AB70" s="1126">
        <f t="shared" si="36"/>
        <v>0</v>
      </c>
      <c r="AC70" s="1126">
        <f t="shared" si="36"/>
        <v>0</v>
      </c>
      <c r="AD70" s="1126">
        <f t="shared" si="36"/>
        <v>0</v>
      </c>
      <c r="AE70" s="1235">
        <f>SUM(AE64+AE66+AE68)/AE69</f>
        <v>0</v>
      </c>
      <c r="AF70" s="1235">
        <f>SUM(AF64+AF66+AF68)/AF69</f>
        <v>0</v>
      </c>
      <c r="AG70" s="1126">
        <f>SUM(AG64+AG66+AG68)/AG69</f>
        <v>0</v>
      </c>
      <c r="AH70" s="1126">
        <f t="shared" si="36"/>
        <v>0</v>
      </c>
      <c r="AI70" s="1335">
        <f t="shared" si="36"/>
        <v>0</v>
      </c>
      <c r="AJ70" s="104">
        <f>SUM(E70:AI70)</f>
        <v>0</v>
      </c>
      <c r="AK70" s="993">
        <f t="shared" si="0"/>
        <v>0</v>
      </c>
      <c r="AL70" s="650"/>
      <c r="AM70" s="1008">
        <f t="shared" si="1"/>
        <v>0</v>
      </c>
      <c r="AN70" s="31"/>
      <c r="AO70" s="622"/>
      <c r="AP70" s="651"/>
      <c r="AQ70" s="651"/>
      <c r="AR70" s="651"/>
      <c r="AS70" s="651"/>
      <c r="AT70" s="651"/>
      <c r="AU70" s="651"/>
      <c r="AV70" s="651"/>
    </row>
    <row r="71" spans="1:48" s="644" customFormat="1" ht="20.65" customHeight="1">
      <c r="A71" s="215"/>
      <c r="B71" s="89"/>
      <c r="C71" s="84">
        <f>+C69*0.8</f>
        <v>240000</v>
      </c>
      <c r="D71" s="85" t="s">
        <v>110</v>
      </c>
      <c r="E71" s="1125"/>
      <c r="F71" s="1126"/>
      <c r="G71" s="1235"/>
      <c r="H71" s="1126"/>
      <c r="I71" s="1126"/>
      <c r="J71" s="1235"/>
      <c r="K71" s="1235"/>
      <c r="L71" s="1126"/>
      <c r="M71" s="1126"/>
      <c r="N71" s="1126"/>
      <c r="O71" s="1126"/>
      <c r="P71" s="1126"/>
      <c r="Q71" s="1235"/>
      <c r="R71" s="1235"/>
      <c r="S71" s="1126"/>
      <c r="T71" s="1126"/>
      <c r="U71" s="1126"/>
      <c r="V71" s="1126"/>
      <c r="W71" s="1126"/>
      <c r="X71" s="1235"/>
      <c r="Y71" s="1235"/>
      <c r="Z71" s="1126"/>
      <c r="AA71" s="1126"/>
      <c r="AB71" s="1126"/>
      <c r="AC71" s="1126"/>
      <c r="AD71" s="1126"/>
      <c r="AE71" s="1235"/>
      <c r="AF71" s="1235"/>
      <c r="AG71" s="1126"/>
      <c r="AH71" s="1126"/>
      <c r="AI71" s="1335"/>
      <c r="AJ71" s="104"/>
      <c r="AK71" s="993">
        <f t="shared" si="0"/>
        <v>0</v>
      </c>
      <c r="AL71" s="650"/>
      <c r="AM71" s="1008">
        <f t="shared" si="1"/>
        <v>0</v>
      </c>
      <c r="AN71" s="222"/>
      <c r="AO71" s="637"/>
      <c r="AP71" s="651"/>
      <c r="AQ71" s="651"/>
      <c r="AR71" s="651"/>
      <c r="AS71" s="651"/>
      <c r="AT71" s="651"/>
      <c r="AU71" s="651"/>
      <c r="AV71" s="651"/>
    </row>
    <row r="72" spans="1:48" s="644" customFormat="1" ht="20.65" customHeight="1">
      <c r="A72" s="215"/>
      <c r="B72" s="89"/>
      <c r="C72" s="77"/>
      <c r="D72" s="88" t="s">
        <v>111</v>
      </c>
      <c r="E72" s="1125">
        <f>IF(E71="O/H",E70,11099+E70)</f>
        <v>11099</v>
      </c>
      <c r="F72" s="1126">
        <f>IF(F71="O/H",F70,+E72+F70)</f>
        <v>11099</v>
      </c>
      <c r="G72" s="1235">
        <f t="shared" ref="G72:AI72" si="40">IF(G71="O/H",G70,+F72+G70)</f>
        <v>11099</v>
      </c>
      <c r="H72" s="1126">
        <f t="shared" si="40"/>
        <v>11099</v>
      </c>
      <c r="I72" s="1126">
        <f t="shared" si="40"/>
        <v>11099</v>
      </c>
      <c r="J72" s="1235">
        <f t="shared" si="40"/>
        <v>11099</v>
      </c>
      <c r="K72" s="1235">
        <f t="shared" si="40"/>
        <v>11099</v>
      </c>
      <c r="L72" s="1126">
        <f t="shared" si="40"/>
        <v>11099</v>
      </c>
      <c r="M72" s="1126">
        <f t="shared" si="40"/>
        <v>11099</v>
      </c>
      <c r="N72" s="1126">
        <f t="shared" si="40"/>
        <v>11099</v>
      </c>
      <c r="O72" s="1126">
        <f t="shared" si="40"/>
        <v>11099</v>
      </c>
      <c r="P72" s="1126">
        <f t="shared" si="40"/>
        <v>11099</v>
      </c>
      <c r="Q72" s="1235">
        <f t="shared" si="40"/>
        <v>11099</v>
      </c>
      <c r="R72" s="1235">
        <f t="shared" si="40"/>
        <v>11099</v>
      </c>
      <c r="S72" s="1126">
        <f t="shared" si="40"/>
        <v>11099</v>
      </c>
      <c r="T72" s="1126">
        <f t="shared" si="40"/>
        <v>11099</v>
      </c>
      <c r="U72" s="1126">
        <f t="shared" si="40"/>
        <v>11099</v>
      </c>
      <c r="V72" s="1126">
        <f t="shared" si="40"/>
        <v>11099</v>
      </c>
      <c r="W72" s="1126">
        <f t="shared" si="40"/>
        <v>11099</v>
      </c>
      <c r="X72" s="1235">
        <f t="shared" si="40"/>
        <v>11099</v>
      </c>
      <c r="Y72" s="1235">
        <f t="shared" si="40"/>
        <v>11099</v>
      </c>
      <c r="Z72" s="1126">
        <f t="shared" si="40"/>
        <v>11099</v>
      </c>
      <c r="AA72" s="1126">
        <f t="shared" si="40"/>
        <v>11099</v>
      </c>
      <c r="AB72" s="1126">
        <f t="shared" si="40"/>
        <v>11099</v>
      </c>
      <c r="AC72" s="1126">
        <f t="shared" si="40"/>
        <v>11099</v>
      </c>
      <c r="AD72" s="1126">
        <f t="shared" si="40"/>
        <v>11099</v>
      </c>
      <c r="AE72" s="1235">
        <f t="shared" si="40"/>
        <v>11099</v>
      </c>
      <c r="AF72" s="1235">
        <f t="shared" si="40"/>
        <v>11099</v>
      </c>
      <c r="AG72" s="1126">
        <f t="shared" si="40"/>
        <v>11099</v>
      </c>
      <c r="AH72" s="1126">
        <f t="shared" si="40"/>
        <v>11099</v>
      </c>
      <c r="AI72" s="1335">
        <f t="shared" si="40"/>
        <v>11099</v>
      </c>
      <c r="AJ72" s="104"/>
      <c r="AK72" s="993">
        <f t="shared" ref="AK72:AK135" si="41">AJ74</f>
        <v>0</v>
      </c>
      <c r="AL72" s="650"/>
      <c r="AM72" s="1008">
        <f t="shared" ref="AM72:AM135" si="42">AL74</f>
        <v>0</v>
      </c>
      <c r="AN72" s="222"/>
      <c r="AO72" s="637"/>
      <c r="AP72" s="651"/>
      <c r="AQ72" s="651"/>
      <c r="AR72" s="651"/>
      <c r="AS72" s="651"/>
      <c r="AT72" s="651"/>
      <c r="AU72" s="651"/>
      <c r="AV72" s="651"/>
    </row>
    <row r="73" spans="1:48" s="23" customFormat="1" ht="20.65" customHeight="1">
      <c r="A73" s="274"/>
      <c r="B73" s="312"/>
      <c r="C73" s="308"/>
      <c r="D73" s="795" t="s">
        <v>112</v>
      </c>
      <c r="E73" s="1117" t="b">
        <f>IF(AND(ISNUMBER(E64)),1198986+E70)</f>
        <v>0</v>
      </c>
      <c r="F73" s="1118" t="str">
        <f>IF(AND(ISNUMBER(F64)),E73+F70,"")</f>
        <v/>
      </c>
      <c r="G73" s="1216" t="str">
        <f t="shared" ref="G73:H73" si="43">IF(AND(ISNUMBER(G64)),F73+G70,"")</f>
        <v/>
      </c>
      <c r="H73" s="1118" t="str">
        <f t="shared" si="43"/>
        <v/>
      </c>
      <c r="I73" s="1118" t="str">
        <f>IF(AND(ISNUMBER(I64)),H73+I70,"")</f>
        <v/>
      </c>
      <c r="J73" s="1216" t="str">
        <f>IF(AND(ISNUMBER(J64)),I73+J70,"")</f>
        <v/>
      </c>
      <c r="K73" s="1216" t="str">
        <f>IF(AND(ISNUMBER(K64)),J73+K70,"")</f>
        <v/>
      </c>
      <c r="L73" s="1118" t="str">
        <f t="shared" ref="L73:AI73" si="44">IF(AND(ISNUMBER(L64)),K73+L70,"")</f>
        <v/>
      </c>
      <c r="M73" s="1118" t="str">
        <f t="shared" si="44"/>
        <v/>
      </c>
      <c r="N73" s="1118" t="str">
        <f t="shared" si="44"/>
        <v/>
      </c>
      <c r="O73" s="1118" t="str">
        <f t="shared" si="44"/>
        <v/>
      </c>
      <c r="P73" s="1118" t="str">
        <f t="shared" si="44"/>
        <v/>
      </c>
      <c r="Q73" s="1216" t="str">
        <f t="shared" si="44"/>
        <v/>
      </c>
      <c r="R73" s="1216" t="str">
        <f t="shared" si="44"/>
        <v/>
      </c>
      <c r="S73" s="1118" t="str">
        <f t="shared" si="44"/>
        <v/>
      </c>
      <c r="T73" s="1118" t="str">
        <f t="shared" si="44"/>
        <v/>
      </c>
      <c r="U73" s="1118" t="str">
        <f t="shared" si="44"/>
        <v/>
      </c>
      <c r="V73" s="1118" t="str">
        <f t="shared" si="44"/>
        <v/>
      </c>
      <c r="W73" s="1118" t="str">
        <f t="shared" si="44"/>
        <v/>
      </c>
      <c r="X73" s="1216" t="str">
        <f t="shared" si="44"/>
        <v/>
      </c>
      <c r="Y73" s="1216" t="str">
        <f t="shared" si="44"/>
        <v/>
      </c>
      <c r="Z73" s="1118" t="str">
        <f t="shared" si="44"/>
        <v/>
      </c>
      <c r="AA73" s="1118" t="str">
        <f t="shared" si="44"/>
        <v/>
      </c>
      <c r="AB73" s="1118" t="str">
        <f t="shared" si="44"/>
        <v/>
      </c>
      <c r="AC73" s="1118" t="str">
        <f t="shared" si="44"/>
        <v/>
      </c>
      <c r="AD73" s="1118" t="str">
        <f t="shared" si="44"/>
        <v/>
      </c>
      <c r="AE73" s="1216" t="str">
        <f t="shared" si="44"/>
        <v/>
      </c>
      <c r="AF73" s="1216" t="str">
        <f t="shared" si="44"/>
        <v/>
      </c>
      <c r="AG73" s="1118" t="str">
        <f t="shared" si="44"/>
        <v/>
      </c>
      <c r="AH73" s="1118" t="str">
        <f t="shared" si="44"/>
        <v/>
      </c>
      <c r="AI73" s="1089" t="str">
        <f t="shared" si="44"/>
        <v/>
      </c>
      <c r="AJ73" s="793"/>
      <c r="AK73" s="985">
        <f t="shared" si="41"/>
        <v>0</v>
      </c>
      <c r="AL73" s="909"/>
      <c r="AM73" s="987">
        <f t="shared" si="42"/>
        <v>0</v>
      </c>
      <c r="AN73" s="76"/>
      <c r="AO73" s="630"/>
      <c r="AP73" s="285"/>
      <c r="AQ73" s="285"/>
      <c r="AR73" s="285"/>
      <c r="AS73" s="285"/>
      <c r="AT73" s="286"/>
      <c r="AU73" s="285"/>
      <c r="AV73" s="287"/>
    </row>
    <row r="74" spans="1:48" s="644" customFormat="1" ht="20.65" customHeight="1">
      <c r="A74" s="215" t="s">
        <v>242</v>
      </c>
      <c r="B74" s="89" t="s">
        <v>281</v>
      </c>
      <c r="C74" s="80"/>
      <c r="D74" s="90" t="s">
        <v>104</v>
      </c>
      <c r="E74" s="1137"/>
      <c r="F74" s="1097"/>
      <c r="G74" s="1205"/>
      <c r="H74" s="1097"/>
      <c r="I74" s="1097"/>
      <c r="J74" s="1205"/>
      <c r="K74" s="1205"/>
      <c r="L74" s="1097"/>
      <c r="M74" s="1097"/>
      <c r="N74" s="1097"/>
      <c r="O74" s="1097"/>
      <c r="P74" s="1097"/>
      <c r="Q74" s="1205"/>
      <c r="R74" s="1205"/>
      <c r="S74" s="1097"/>
      <c r="T74" s="1097"/>
      <c r="U74" s="1097"/>
      <c r="V74" s="1097"/>
      <c r="W74" s="1097"/>
      <c r="X74" s="1205"/>
      <c r="Y74" s="1205"/>
      <c r="Z74" s="1097"/>
      <c r="AA74" s="1097"/>
      <c r="AB74" s="1097"/>
      <c r="AC74" s="1097"/>
      <c r="AD74" s="1097"/>
      <c r="AE74" s="1205"/>
      <c r="AF74" s="1205"/>
      <c r="AG74" s="1097"/>
      <c r="AH74" s="1097"/>
      <c r="AI74" s="1328"/>
      <c r="AJ74" s="664"/>
      <c r="AK74" s="1004">
        <f t="shared" si="41"/>
        <v>0</v>
      </c>
      <c r="AL74" s="646"/>
      <c r="AM74" s="1007">
        <f t="shared" si="42"/>
        <v>0</v>
      </c>
      <c r="AN74" s="31"/>
      <c r="AO74" s="622"/>
      <c r="AP74" s="651"/>
      <c r="AQ74" s="651"/>
      <c r="AR74" s="651"/>
      <c r="AS74" s="651"/>
      <c r="AT74" s="651"/>
      <c r="AU74" s="651"/>
      <c r="AV74" s="651"/>
    </row>
    <row r="75" spans="1:48" s="644" customFormat="1" ht="20.65" customHeight="1" thickBot="1">
      <c r="A75" s="216" t="s">
        <v>242</v>
      </c>
      <c r="B75" s="93"/>
      <c r="C75" s="94"/>
      <c r="D75" s="95" t="s">
        <v>111</v>
      </c>
      <c r="E75" s="1453">
        <f>IF(E74="O/H",E71,42888+E71)</f>
        <v>42888</v>
      </c>
      <c r="F75" s="1128">
        <f t="shared" ref="F75:AI75" si="45">IF(F74="O/H",F71,+E75+F71)</f>
        <v>42888</v>
      </c>
      <c r="G75" s="1303">
        <f t="shared" si="45"/>
        <v>42888</v>
      </c>
      <c r="H75" s="1128">
        <f t="shared" si="45"/>
        <v>42888</v>
      </c>
      <c r="I75" s="1128">
        <f t="shared" si="45"/>
        <v>42888</v>
      </c>
      <c r="J75" s="1303">
        <f t="shared" si="45"/>
        <v>42888</v>
      </c>
      <c r="K75" s="1303">
        <f t="shared" si="45"/>
        <v>42888</v>
      </c>
      <c r="L75" s="1128">
        <f t="shared" si="45"/>
        <v>42888</v>
      </c>
      <c r="M75" s="1128">
        <f t="shared" si="45"/>
        <v>42888</v>
      </c>
      <c r="N75" s="1128">
        <f t="shared" si="45"/>
        <v>42888</v>
      </c>
      <c r="O75" s="1128">
        <f t="shared" si="45"/>
        <v>42888</v>
      </c>
      <c r="P75" s="1128">
        <f t="shared" si="45"/>
        <v>42888</v>
      </c>
      <c r="Q75" s="1303">
        <f t="shared" si="45"/>
        <v>42888</v>
      </c>
      <c r="R75" s="1303">
        <f t="shared" si="45"/>
        <v>42888</v>
      </c>
      <c r="S75" s="1128">
        <f t="shared" si="45"/>
        <v>42888</v>
      </c>
      <c r="T75" s="1128">
        <f t="shared" si="45"/>
        <v>42888</v>
      </c>
      <c r="U75" s="1128">
        <f t="shared" si="45"/>
        <v>42888</v>
      </c>
      <c r="V75" s="1128">
        <f t="shared" si="45"/>
        <v>42888</v>
      </c>
      <c r="W75" s="1128">
        <f t="shared" si="45"/>
        <v>42888</v>
      </c>
      <c r="X75" s="1303">
        <f t="shared" si="45"/>
        <v>42888</v>
      </c>
      <c r="Y75" s="1303">
        <f t="shared" si="45"/>
        <v>42888</v>
      </c>
      <c r="Z75" s="1128">
        <f t="shared" si="45"/>
        <v>42888</v>
      </c>
      <c r="AA75" s="1128">
        <f t="shared" si="45"/>
        <v>42888</v>
      </c>
      <c r="AB75" s="1128">
        <f t="shared" si="45"/>
        <v>42888</v>
      </c>
      <c r="AC75" s="1128">
        <f t="shared" si="45"/>
        <v>42888</v>
      </c>
      <c r="AD75" s="1128">
        <f t="shared" si="45"/>
        <v>42888</v>
      </c>
      <c r="AE75" s="1303">
        <f t="shared" si="45"/>
        <v>42888</v>
      </c>
      <c r="AF75" s="1303">
        <f t="shared" si="45"/>
        <v>42888</v>
      </c>
      <c r="AG75" s="1128">
        <f t="shared" si="45"/>
        <v>42888</v>
      </c>
      <c r="AH75" s="1128">
        <f t="shared" si="45"/>
        <v>42888</v>
      </c>
      <c r="AI75" s="1454">
        <f t="shared" si="45"/>
        <v>42888</v>
      </c>
      <c r="AJ75" s="730"/>
      <c r="AK75" s="1005">
        <f t="shared" si="41"/>
        <v>0</v>
      </c>
      <c r="AL75" s="652"/>
      <c r="AM75" s="1009">
        <f t="shared" si="42"/>
        <v>0</v>
      </c>
      <c r="AN75" s="98"/>
      <c r="AO75" s="625"/>
      <c r="AP75" s="651"/>
      <c r="AQ75" s="651"/>
      <c r="AR75" s="651"/>
      <c r="AS75" s="651"/>
      <c r="AT75" s="651"/>
      <c r="AU75" s="651"/>
      <c r="AV75" s="651"/>
    </row>
    <row r="76" spans="1:48" s="644" customFormat="1" ht="20.65" customHeight="1" thickTop="1">
      <c r="A76" s="228" t="s">
        <v>697</v>
      </c>
      <c r="B76" s="219" t="s">
        <v>282</v>
      </c>
      <c r="C76" s="1495" t="str">
        <f>Table511[[#This Row],[M/C No.]]</f>
        <v>A7(80ton)</v>
      </c>
      <c r="D76" s="28" t="s">
        <v>82</v>
      </c>
      <c r="E76" s="1111"/>
      <c r="F76" s="1111"/>
      <c r="G76" s="1201"/>
      <c r="H76" s="1111"/>
      <c r="I76" s="1111"/>
      <c r="J76" s="1201"/>
      <c r="K76" s="1201"/>
      <c r="L76" s="1111"/>
      <c r="M76" s="1111"/>
      <c r="N76" s="1111"/>
      <c r="O76" s="1111"/>
      <c r="P76" s="1111"/>
      <c r="Q76" s="1201"/>
      <c r="R76" s="1201"/>
      <c r="S76" s="1111"/>
      <c r="T76" s="1111"/>
      <c r="U76" s="1111"/>
      <c r="V76" s="1111"/>
      <c r="W76" s="1111"/>
      <c r="X76" s="1201"/>
      <c r="Y76" s="1201"/>
      <c r="Z76" s="1111"/>
      <c r="AA76" s="1111"/>
      <c r="AB76" s="1111"/>
      <c r="AC76" s="1111"/>
      <c r="AD76" s="1111"/>
      <c r="AE76" s="1201"/>
      <c r="AF76" s="1201"/>
      <c r="AG76" s="1111"/>
      <c r="AH76" s="1111"/>
      <c r="AI76" s="1412"/>
      <c r="AJ76" s="570">
        <f>SUM(E76:AI76)</f>
        <v>0</v>
      </c>
      <c r="AK76" s="1015">
        <f t="shared" si="41"/>
        <v>0</v>
      </c>
      <c r="AL76" s="572">
        <f>+AJ76*AN76</f>
        <v>0</v>
      </c>
      <c r="AM76" s="992">
        <f t="shared" si="42"/>
        <v>0</v>
      </c>
      <c r="AN76" s="225">
        <v>14.18135</v>
      </c>
      <c r="AO76" s="633">
        <f>Table511[[#This Row],[Total]]*B80/1000</f>
        <v>0</v>
      </c>
      <c r="AP76" s="32" t="s">
        <v>134</v>
      </c>
      <c r="AQ76" s="33" t="s">
        <v>84</v>
      </c>
      <c r="AR76" s="33" t="s">
        <v>85</v>
      </c>
      <c r="AS76" s="33" t="s">
        <v>86</v>
      </c>
      <c r="AT76" s="33" t="s">
        <v>87</v>
      </c>
      <c r="AU76" s="33" t="s">
        <v>88</v>
      </c>
      <c r="AV76" s="34" t="s">
        <v>68</v>
      </c>
    </row>
    <row r="77" spans="1:48" s="644" customFormat="1" ht="20.65" customHeight="1">
      <c r="A77" s="639"/>
      <c r="B77" s="219" t="s">
        <v>283</v>
      </c>
      <c r="C77" s="640"/>
      <c r="D77" s="37" t="s">
        <v>90</v>
      </c>
      <c r="E77" s="1323">
        <f>IF(E76="",0,+ E76/E83)</f>
        <v>0</v>
      </c>
      <c r="F77" s="1096">
        <f t="shared" ref="F77:AC77" si="46">IF(F76="",0, E77+F76/F83)</f>
        <v>0</v>
      </c>
      <c r="G77" s="1207">
        <f t="shared" si="46"/>
        <v>0</v>
      </c>
      <c r="H77" s="1096">
        <f t="shared" si="46"/>
        <v>0</v>
      </c>
      <c r="I77" s="1096">
        <f t="shared" si="46"/>
        <v>0</v>
      </c>
      <c r="J77" s="1207">
        <f t="shared" si="46"/>
        <v>0</v>
      </c>
      <c r="K77" s="1207">
        <f t="shared" si="46"/>
        <v>0</v>
      </c>
      <c r="L77" s="1096">
        <f t="shared" si="46"/>
        <v>0</v>
      </c>
      <c r="M77" s="1096">
        <f t="shared" si="46"/>
        <v>0</v>
      </c>
      <c r="N77" s="1096">
        <f t="shared" si="46"/>
        <v>0</v>
      </c>
      <c r="O77" s="1096">
        <f t="shared" si="46"/>
        <v>0</v>
      </c>
      <c r="P77" s="1096">
        <f t="shared" si="46"/>
        <v>0</v>
      </c>
      <c r="Q77" s="1207">
        <f t="shared" si="46"/>
        <v>0</v>
      </c>
      <c r="R77" s="1207">
        <f t="shared" si="46"/>
        <v>0</v>
      </c>
      <c r="S77" s="1096">
        <f t="shared" si="46"/>
        <v>0</v>
      </c>
      <c r="T77" s="1096">
        <f t="shared" si="46"/>
        <v>0</v>
      </c>
      <c r="U77" s="1096">
        <f t="shared" si="46"/>
        <v>0</v>
      </c>
      <c r="V77" s="1096">
        <f t="shared" si="46"/>
        <v>0</v>
      </c>
      <c r="W77" s="1096">
        <f t="shared" si="46"/>
        <v>0</v>
      </c>
      <c r="X77" s="1207">
        <f t="shared" si="46"/>
        <v>0</v>
      </c>
      <c r="Y77" s="1207">
        <f t="shared" si="46"/>
        <v>0</v>
      </c>
      <c r="Z77" s="1096">
        <f t="shared" si="46"/>
        <v>0</v>
      </c>
      <c r="AA77" s="1096">
        <f t="shared" si="46"/>
        <v>0</v>
      </c>
      <c r="AB77" s="1096">
        <f t="shared" si="46"/>
        <v>0</v>
      </c>
      <c r="AC77" s="1096">
        <f t="shared" si="46"/>
        <v>0</v>
      </c>
      <c r="AD77" s="1096">
        <f>IF(AD76="",0, Z77+AD76/AD83)</f>
        <v>0</v>
      </c>
      <c r="AE77" s="1207">
        <f>IF(AE76="",0, AA77+AE76/AE83)</f>
        <v>0</v>
      </c>
      <c r="AF77" s="1207">
        <f>IF(AF76="",0, AB77+AF76/AF83)</f>
        <v>0</v>
      </c>
      <c r="AG77" s="1096">
        <f>IF(AG76="",0, AC77+AG76/AG83)</f>
        <v>0</v>
      </c>
      <c r="AH77" s="1096">
        <f>IF(AH76="",0, AD77+AH76/AH83)</f>
        <v>0</v>
      </c>
      <c r="AI77" s="1324">
        <f>IF(AI76="",0, AH77+AI76/AI83)</f>
        <v>0</v>
      </c>
      <c r="AJ77" s="728"/>
      <c r="AK77" s="1003">
        <f t="shared" si="41"/>
        <v>0</v>
      </c>
      <c r="AL77" s="641"/>
      <c r="AM77" s="1006">
        <f t="shared" si="42"/>
        <v>0</v>
      </c>
      <c r="AN77" s="642"/>
      <c r="AO77" s="657"/>
      <c r="AP77" s="39" t="s">
        <v>91</v>
      </c>
      <c r="AQ77" s="40">
        <f>SUM(E76:K76)</f>
        <v>0</v>
      </c>
      <c r="AR77" s="41">
        <f>SUM(L76:R76)</f>
        <v>0</v>
      </c>
      <c r="AS77" s="41">
        <f>SUM(S76:Y76)</f>
        <v>0</v>
      </c>
      <c r="AT77" s="41">
        <f>SUM(Z76:AF76)</f>
        <v>0</v>
      </c>
      <c r="AU77" s="41">
        <f>SUM(AG76:AI76)</f>
        <v>0</v>
      </c>
      <c r="AV77" s="34">
        <f t="shared" ref="AV77:AV82" si="47">SUM(AQ77:AU77)</f>
        <v>0</v>
      </c>
    </row>
    <row r="78" spans="1:48" s="644" customFormat="1" ht="20.65" customHeight="1">
      <c r="A78" s="224" t="s">
        <v>284</v>
      </c>
      <c r="B78" s="89" t="s">
        <v>263</v>
      </c>
      <c r="C78" s="42"/>
      <c r="D78" s="43" t="s">
        <v>93</v>
      </c>
      <c r="E78" s="1108"/>
      <c r="F78" s="1089"/>
      <c r="G78" s="44"/>
      <c r="H78" s="1089"/>
      <c r="I78" s="1089"/>
      <c r="J78" s="44"/>
      <c r="K78" s="44"/>
      <c r="L78" s="1089"/>
      <c r="M78" s="1089"/>
      <c r="N78" s="1089"/>
      <c r="O78" s="1089"/>
      <c r="P78" s="1089"/>
      <c r="Q78" s="44"/>
      <c r="R78" s="44"/>
      <c r="S78" s="1089"/>
      <c r="T78" s="1089"/>
      <c r="U78" s="1089"/>
      <c r="V78" s="1089"/>
      <c r="W78" s="1089"/>
      <c r="X78" s="44"/>
      <c r="Y78" s="44"/>
      <c r="Z78" s="1089"/>
      <c r="AA78" s="1089"/>
      <c r="AB78" s="1089"/>
      <c r="AC78" s="1089"/>
      <c r="AD78" s="1089"/>
      <c r="AE78" s="44"/>
      <c r="AF78" s="44"/>
      <c r="AG78" s="1089"/>
      <c r="AH78" s="1089"/>
      <c r="AI78" s="1326"/>
      <c r="AJ78" s="662">
        <f>SUM(E78:AI78)</f>
        <v>0</v>
      </c>
      <c r="AK78" s="1004">
        <f t="shared" si="41"/>
        <v>0</v>
      </c>
      <c r="AL78" s="645">
        <f>+AJ78*AN76</f>
        <v>0</v>
      </c>
      <c r="AM78" s="1007">
        <f t="shared" si="42"/>
        <v>0</v>
      </c>
      <c r="AN78" s="31"/>
      <c r="AO78" s="634">
        <f>(AJ78+AJ80+AJ81+AJ82)*B80/1000</f>
        <v>0</v>
      </c>
      <c r="AP78" s="47" t="s">
        <v>94</v>
      </c>
      <c r="AQ78" s="48">
        <f>SUM(E78:K78)</f>
        <v>0</v>
      </c>
      <c r="AR78" s="49">
        <f>SUM(L78:R78)</f>
        <v>0</v>
      </c>
      <c r="AS78" s="49">
        <f>SUM(S78:Y78)</f>
        <v>0</v>
      </c>
      <c r="AT78" s="49">
        <f>SUM(Z78:AF78)</f>
        <v>0</v>
      </c>
      <c r="AU78" s="49">
        <f>SUM(AG78:AI78)</f>
        <v>0</v>
      </c>
      <c r="AV78" s="50">
        <f t="shared" si="47"/>
        <v>0</v>
      </c>
    </row>
    <row r="79" spans="1:48" s="644" customFormat="1" ht="20.65" customHeight="1">
      <c r="A79" s="224" t="s">
        <v>284</v>
      </c>
      <c r="B79" s="638" t="s">
        <v>247</v>
      </c>
      <c r="C79" s="52" t="s">
        <v>95</v>
      </c>
      <c r="D79" s="53" t="s">
        <v>96</v>
      </c>
      <c r="E79" s="1097">
        <f>+E78-E76</f>
        <v>0</v>
      </c>
      <c r="F79" s="1097">
        <f>+F78-F76</f>
        <v>0</v>
      </c>
      <c r="G79" s="1205">
        <f>+G78-G76</f>
        <v>0</v>
      </c>
      <c r="H79" s="1097">
        <f t="shared" ref="H79:AJ79" si="48">+H78-H76</f>
        <v>0</v>
      </c>
      <c r="I79" s="1097">
        <f t="shared" si="48"/>
        <v>0</v>
      </c>
      <c r="J79" s="1205">
        <f t="shared" si="48"/>
        <v>0</v>
      </c>
      <c r="K79" s="1205">
        <f t="shared" si="48"/>
        <v>0</v>
      </c>
      <c r="L79" s="1097">
        <f t="shared" si="48"/>
        <v>0</v>
      </c>
      <c r="M79" s="1097">
        <f t="shared" si="48"/>
        <v>0</v>
      </c>
      <c r="N79" s="1097">
        <f t="shared" si="48"/>
        <v>0</v>
      </c>
      <c r="O79" s="1097">
        <f t="shared" si="48"/>
        <v>0</v>
      </c>
      <c r="P79" s="1097">
        <f t="shared" si="48"/>
        <v>0</v>
      </c>
      <c r="Q79" s="1205">
        <f t="shared" si="48"/>
        <v>0</v>
      </c>
      <c r="R79" s="1205">
        <f t="shared" si="48"/>
        <v>0</v>
      </c>
      <c r="S79" s="1097">
        <f t="shared" si="48"/>
        <v>0</v>
      </c>
      <c r="T79" s="1097">
        <f t="shared" si="48"/>
        <v>0</v>
      </c>
      <c r="U79" s="1097">
        <f t="shared" si="48"/>
        <v>0</v>
      </c>
      <c r="V79" s="1097">
        <f t="shared" si="48"/>
        <v>0</v>
      </c>
      <c r="W79" s="1097">
        <f t="shared" si="48"/>
        <v>0</v>
      </c>
      <c r="X79" s="1205">
        <f t="shared" si="48"/>
        <v>0</v>
      </c>
      <c r="Y79" s="1205">
        <f t="shared" si="48"/>
        <v>0</v>
      </c>
      <c r="Z79" s="1097">
        <f t="shared" si="48"/>
        <v>0</v>
      </c>
      <c r="AA79" s="1097">
        <f t="shared" si="48"/>
        <v>0</v>
      </c>
      <c r="AB79" s="1097">
        <f t="shared" si="48"/>
        <v>0</v>
      </c>
      <c r="AC79" s="1097">
        <f t="shared" si="48"/>
        <v>0</v>
      </c>
      <c r="AD79" s="1097">
        <f t="shared" si="48"/>
        <v>0</v>
      </c>
      <c r="AE79" s="1205">
        <f t="shared" si="48"/>
        <v>0</v>
      </c>
      <c r="AF79" s="1205">
        <f t="shared" si="48"/>
        <v>0</v>
      </c>
      <c r="AG79" s="1097">
        <f t="shared" si="48"/>
        <v>0</v>
      </c>
      <c r="AH79" s="1097">
        <f t="shared" si="48"/>
        <v>0</v>
      </c>
      <c r="AI79" s="1328">
        <f t="shared" si="48"/>
        <v>0</v>
      </c>
      <c r="AJ79" s="663">
        <f t="shared" si="48"/>
        <v>0</v>
      </c>
      <c r="AK79" s="1004">
        <f t="shared" si="41"/>
        <v>0</v>
      </c>
      <c r="AL79" s="646">
        <f>+AJ79*AN76</f>
        <v>0</v>
      </c>
      <c r="AM79" s="1007">
        <f t="shared" si="42"/>
        <v>0</v>
      </c>
      <c r="AN79" s="31" t="s">
        <v>97</v>
      </c>
      <c r="AO79" s="622"/>
      <c r="AP79" s="39" t="s">
        <v>98</v>
      </c>
      <c r="AQ79" s="56">
        <f>AQ78-AQ77</f>
        <v>0</v>
      </c>
      <c r="AR79" s="70">
        <f>AR78-AR77</f>
        <v>0</v>
      </c>
      <c r="AS79" s="70">
        <f>AS78-AS77</f>
        <v>0</v>
      </c>
      <c r="AT79" s="70">
        <f>AT78-AT77</f>
        <v>0</v>
      </c>
      <c r="AU79" s="70">
        <f>AU78-AU77</f>
        <v>0</v>
      </c>
      <c r="AV79" s="57">
        <f t="shared" si="47"/>
        <v>0</v>
      </c>
    </row>
    <row r="80" spans="1:48" s="644" customFormat="1" ht="20.65" customHeight="1">
      <c r="A80" s="226"/>
      <c r="B80" s="638">
        <v>9.6605000000000008</v>
      </c>
      <c r="C80" s="60" t="s">
        <v>100</v>
      </c>
      <c r="D80" s="61" t="s">
        <v>101</v>
      </c>
      <c r="E80" s="1098"/>
      <c r="F80" s="1099"/>
      <c r="G80" s="1208"/>
      <c r="H80" s="1099"/>
      <c r="I80" s="1099"/>
      <c r="J80" s="1208"/>
      <c r="K80" s="1208"/>
      <c r="L80" s="1099"/>
      <c r="M80" s="1099"/>
      <c r="N80" s="1099"/>
      <c r="O80" s="1099"/>
      <c r="P80" s="1099"/>
      <c r="Q80" s="1208"/>
      <c r="R80" s="1208"/>
      <c r="S80" s="1099"/>
      <c r="T80" s="1099"/>
      <c r="U80" s="1099"/>
      <c r="V80" s="1099"/>
      <c r="W80" s="1099"/>
      <c r="X80" s="1208"/>
      <c r="Y80" s="1208"/>
      <c r="Z80" s="1099"/>
      <c r="AA80" s="1099"/>
      <c r="AB80" s="1099"/>
      <c r="AC80" s="1099"/>
      <c r="AD80" s="1099"/>
      <c r="AE80" s="1208"/>
      <c r="AF80" s="1208"/>
      <c r="AG80" s="1099"/>
      <c r="AH80" s="1099"/>
      <c r="AI80" s="1330"/>
      <c r="AJ80" s="664">
        <f>SUM(E80:AI80)</f>
        <v>0</v>
      </c>
      <c r="AK80" s="1004">
        <f t="shared" si="41"/>
        <v>0</v>
      </c>
      <c r="AL80" s="647">
        <f>+AJ80*AN76</f>
        <v>0</v>
      </c>
      <c r="AM80" s="1008">
        <f t="shared" si="42"/>
        <v>0</v>
      </c>
      <c r="AN80" s="64" t="e">
        <f>+AJ80/AJ78*100</f>
        <v>#DIV/0!</v>
      </c>
      <c r="AO80" s="635" t="e">
        <f>AO78/AO76</f>
        <v>#DIV/0!</v>
      </c>
      <c r="AP80" s="39" t="s">
        <v>102</v>
      </c>
      <c r="AQ80" s="56">
        <f>SUM(E80:K80)</f>
        <v>0</v>
      </c>
      <c r="AR80" s="70">
        <f>SUM(L80:R80)</f>
        <v>0</v>
      </c>
      <c r="AS80" s="70">
        <f>SUM(S80:Y80)</f>
        <v>0</v>
      </c>
      <c r="AT80" s="70">
        <f>SUM(Z80:AF80)</f>
        <v>0</v>
      </c>
      <c r="AU80" s="70">
        <f>SUM(AG80:AI80)</f>
        <v>0</v>
      </c>
      <c r="AV80" s="57">
        <f t="shared" si="47"/>
        <v>0</v>
      </c>
    </row>
    <row r="81" spans="1:48" s="644" customFormat="1" ht="20.65" customHeight="1">
      <c r="A81" s="210" t="s">
        <v>245</v>
      </c>
      <c r="B81" s="213"/>
      <c r="C81" s="66"/>
      <c r="D81" s="67" t="s">
        <v>103</v>
      </c>
      <c r="E81" s="1100"/>
      <c r="F81" s="1101"/>
      <c r="G81" s="1209"/>
      <c r="H81" s="1101"/>
      <c r="I81" s="1101"/>
      <c r="J81" s="1209"/>
      <c r="K81" s="1209"/>
      <c r="L81" s="1101"/>
      <c r="M81" s="1101"/>
      <c r="N81" s="1101"/>
      <c r="O81" s="1101"/>
      <c r="P81" s="1101"/>
      <c r="Q81" s="1209"/>
      <c r="R81" s="1209"/>
      <c r="S81" s="1101"/>
      <c r="T81" s="1101"/>
      <c r="U81" s="1101"/>
      <c r="V81" s="1101"/>
      <c r="W81" s="1101"/>
      <c r="X81" s="1209"/>
      <c r="Y81" s="1209"/>
      <c r="Z81" s="1101"/>
      <c r="AA81" s="1101"/>
      <c r="AB81" s="1101"/>
      <c r="AC81" s="1101"/>
      <c r="AD81" s="1101"/>
      <c r="AE81" s="1209"/>
      <c r="AF81" s="1209"/>
      <c r="AG81" s="1101"/>
      <c r="AH81" s="1101"/>
      <c r="AI81" s="1332"/>
      <c r="AJ81" s="665">
        <f>SUM(E81:AI81)</f>
        <v>0</v>
      </c>
      <c r="AK81" s="1004">
        <f t="shared" si="41"/>
        <v>0</v>
      </c>
      <c r="AL81" s="648">
        <f>+AJ81*AN76</f>
        <v>0</v>
      </c>
      <c r="AM81" s="1008">
        <f t="shared" si="42"/>
        <v>0</v>
      </c>
      <c r="AN81" s="31"/>
      <c r="AO81" s="622"/>
      <c r="AP81" s="39" t="s">
        <v>19</v>
      </c>
      <c r="AQ81" s="56">
        <f>AQ80*AN76</f>
        <v>0</v>
      </c>
      <c r="AR81" s="56">
        <f>AR80*AN76</f>
        <v>0</v>
      </c>
      <c r="AS81" s="56">
        <f>AS80*AN76</f>
        <v>0</v>
      </c>
      <c r="AT81" s="56">
        <f>AT80*AN76</f>
        <v>0</v>
      </c>
      <c r="AU81" s="56">
        <f>AU80*AN76</f>
        <v>0</v>
      </c>
      <c r="AV81" s="57">
        <f t="shared" si="47"/>
        <v>0</v>
      </c>
    </row>
    <row r="82" spans="1:48" s="644" customFormat="1" ht="20.65" customHeight="1">
      <c r="A82" s="210" t="s">
        <v>245</v>
      </c>
      <c r="B82" s="213"/>
      <c r="C82" s="72" t="s">
        <v>104</v>
      </c>
      <c r="D82" s="73" t="s">
        <v>105</v>
      </c>
      <c r="E82" s="1102"/>
      <c r="F82" s="1103"/>
      <c r="G82" s="1210"/>
      <c r="H82" s="1103"/>
      <c r="I82" s="1103"/>
      <c r="J82" s="1210"/>
      <c r="K82" s="1210"/>
      <c r="L82" s="1103"/>
      <c r="M82" s="1103"/>
      <c r="N82" s="1103"/>
      <c r="O82" s="1103"/>
      <c r="P82" s="1103"/>
      <c r="Q82" s="1210"/>
      <c r="R82" s="1210"/>
      <c r="S82" s="1103"/>
      <c r="T82" s="1103"/>
      <c r="U82" s="1103"/>
      <c r="V82" s="1103"/>
      <c r="W82" s="1103"/>
      <c r="X82" s="1210"/>
      <c r="Y82" s="1210"/>
      <c r="Z82" s="1103"/>
      <c r="AA82" s="1103"/>
      <c r="AB82" s="1103"/>
      <c r="AC82" s="1103"/>
      <c r="AD82" s="1103"/>
      <c r="AE82" s="1210"/>
      <c r="AF82" s="1210"/>
      <c r="AG82" s="1103"/>
      <c r="AH82" s="1103"/>
      <c r="AI82" s="1352"/>
      <c r="AJ82" s="666">
        <f>SUM(E82:AI82)</f>
        <v>0</v>
      </c>
      <c r="AK82" s="1004">
        <f t="shared" si="41"/>
        <v>0</v>
      </c>
      <c r="AL82" s="649">
        <f>+AJ82*AN76</f>
        <v>0</v>
      </c>
      <c r="AM82" s="1008">
        <f t="shared" si="42"/>
        <v>0</v>
      </c>
      <c r="AN82" s="31"/>
      <c r="AO82" s="622"/>
      <c r="AP82" s="47" t="s">
        <v>106</v>
      </c>
      <c r="AQ82" s="48">
        <f>AQ78*AN76</f>
        <v>0</v>
      </c>
      <c r="AR82" s="48">
        <f>AR78*AN76</f>
        <v>0</v>
      </c>
      <c r="AS82" s="48">
        <f>AS78*AN76</f>
        <v>0</v>
      </c>
      <c r="AT82" s="48">
        <f>AT78*AN76</f>
        <v>0</v>
      </c>
      <c r="AU82" s="48">
        <f>AU78*AN76</f>
        <v>0</v>
      </c>
      <c r="AV82" s="50">
        <f t="shared" si="47"/>
        <v>0</v>
      </c>
    </row>
    <row r="83" spans="1:48" s="644" customFormat="1" ht="20.65" customHeight="1">
      <c r="A83" s="226"/>
      <c r="B83" s="89"/>
      <c r="C83" s="77">
        <v>300000</v>
      </c>
      <c r="D83" s="78" t="s">
        <v>107</v>
      </c>
      <c r="E83" s="1137">
        <v>2</v>
      </c>
      <c r="F83" s="1097">
        <v>2</v>
      </c>
      <c r="G83" s="1205">
        <v>2</v>
      </c>
      <c r="H83" s="1097">
        <v>2</v>
      </c>
      <c r="I83" s="1097">
        <v>2</v>
      </c>
      <c r="J83" s="1205">
        <v>2</v>
      </c>
      <c r="K83" s="1205">
        <v>2</v>
      </c>
      <c r="L83" s="1097">
        <v>2</v>
      </c>
      <c r="M83" s="1097">
        <v>2</v>
      </c>
      <c r="N83" s="1097">
        <v>2</v>
      </c>
      <c r="O83" s="1097">
        <v>2</v>
      </c>
      <c r="P83" s="1097">
        <v>2</v>
      </c>
      <c r="Q83" s="1205">
        <v>2</v>
      </c>
      <c r="R83" s="1205">
        <v>2</v>
      </c>
      <c r="S83" s="1097">
        <v>2</v>
      </c>
      <c r="T83" s="1097">
        <v>2</v>
      </c>
      <c r="U83" s="1097">
        <v>2</v>
      </c>
      <c r="V83" s="1097">
        <v>2</v>
      </c>
      <c r="W83" s="1097">
        <v>2</v>
      </c>
      <c r="X83" s="1205">
        <v>2</v>
      </c>
      <c r="Y83" s="1205">
        <v>2</v>
      </c>
      <c r="Z83" s="1097">
        <v>2</v>
      </c>
      <c r="AA83" s="1097">
        <v>2</v>
      </c>
      <c r="AB83" s="1097">
        <v>2</v>
      </c>
      <c r="AC83" s="1097">
        <v>2</v>
      </c>
      <c r="AD83" s="1097">
        <v>2</v>
      </c>
      <c r="AE83" s="1205">
        <v>2</v>
      </c>
      <c r="AF83" s="1205">
        <v>2</v>
      </c>
      <c r="AG83" s="1097">
        <v>2</v>
      </c>
      <c r="AH83" s="1097">
        <v>2</v>
      </c>
      <c r="AI83" s="1328">
        <v>2</v>
      </c>
      <c r="AJ83" s="663"/>
      <c r="AK83" s="1004">
        <f t="shared" si="41"/>
        <v>0</v>
      </c>
      <c r="AL83" s="646"/>
      <c r="AM83" s="1007">
        <f t="shared" si="42"/>
        <v>0</v>
      </c>
      <c r="AN83" s="31"/>
      <c r="AO83" s="622"/>
      <c r="AP83" s="47"/>
      <c r="AQ83" s="48"/>
      <c r="AR83" s="48"/>
      <c r="AS83" s="48"/>
      <c r="AT83" s="48"/>
      <c r="AU83" s="48"/>
      <c r="AV83" s="214"/>
    </row>
    <row r="84" spans="1:48" s="644" customFormat="1" ht="20.65" customHeight="1">
      <c r="A84" s="224" t="s">
        <v>284</v>
      </c>
      <c r="B84" s="89"/>
      <c r="C84" s="80" t="s">
        <v>108</v>
      </c>
      <c r="D84" s="81" t="s">
        <v>109</v>
      </c>
      <c r="E84" s="1125">
        <f t="shared" ref="E84:AI84" si="49">SUM(E78+E80+E82)/E83</f>
        <v>0</v>
      </c>
      <c r="F84" s="1126">
        <f t="shared" si="49"/>
        <v>0</v>
      </c>
      <c r="G84" s="1235">
        <f t="shared" si="49"/>
        <v>0</v>
      </c>
      <c r="H84" s="1126">
        <f t="shared" si="49"/>
        <v>0</v>
      </c>
      <c r="I84" s="1126">
        <f t="shared" si="49"/>
        <v>0</v>
      </c>
      <c r="J84" s="1235">
        <f t="shared" si="49"/>
        <v>0</v>
      </c>
      <c r="K84" s="1235">
        <f t="shared" si="49"/>
        <v>0</v>
      </c>
      <c r="L84" s="1126">
        <f t="shared" si="49"/>
        <v>0</v>
      </c>
      <c r="M84" s="1126">
        <f t="shared" si="49"/>
        <v>0</v>
      </c>
      <c r="N84" s="1126">
        <f t="shared" si="49"/>
        <v>0</v>
      </c>
      <c r="O84" s="1126">
        <f t="shared" si="49"/>
        <v>0</v>
      </c>
      <c r="P84" s="1126">
        <f t="shared" si="49"/>
        <v>0</v>
      </c>
      <c r="Q84" s="1235">
        <f t="shared" si="49"/>
        <v>0</v>
      </c>
      <c r="R84" s="1235">
        <f t="shared" si="49"/>
        <v>0</v>
      </c>
      <c r="S84" s="1126">
        <f t="shared" si="49"/>
        <v>0</v>
      </c>
      <c r="T84" s="1126">
        <f t="shared" si="49"/>
        <v>0</v>
      </c>
      <c r="U84" s="1126">
        <f t="shared" si="49"/>
        <v>0</v>
      </c>
      <c r="V84" s="1126">
        <f t="shared" si="49"/>
        <v>0</v>
      </c>
      <c r="W84" s="1126">
        <f t="shared" si="49"/>
        <v>0</v>
      </c>
      <c r="X84" s="1235">
        <f t="shared" si="49"/>
        <v>0</v>
      </c>
      <c r="Y84" s="1235">
        <f t="shared" si="49"/>
        <v>0</v>
      </c>
      <c r="Z84" s="1126">
        <f t="shared" si="49"/>
        <v>0</v>
      </c>
      <c r="AA84" s="1126">
        <f t="shared" si="49"/>
        <v>0</v>
      </c>
      <c r="AB84" s="1126">
        <f t="shared" si="49"/>
        <v>0</v>
      </c>
      <c r="AC84" s="1126">
        <f t="shared" si="49"/>
        <v>0</v>
      </c>
      <c r="AD84" s="1126">
        <f t="shared" si="49"/>
        <v>0</v>
      </c>
      <c r="AE84" s="1235">
        <f>SUM(AE78+AE80+AE82)/AE83</f>
        <v>0</v>
      </c>
      <c r="AF84" s="1235">
        <f>SUM(AF78+AF80+AF82)/AF83</f>
        <v>0</v>
      </c>
      <c r="AG84" s="1126">
        <f>SUM(AG78+AG80+AG82)/AG83</f>
        <v>0</v>
      </c>
      <c r="AH84" s="1126">
        <f t="shared" si="49"/>
        <v>0</v>
      </c>
      <c r="AI84" s="1335">
        <f t="shared" si="49"/>
        <v>0</v>
      </c>
      <c r="AJ84" s="104">
        <f>SUM(E84:AI84)</f>
        <v>0</v>
      </c>
      <c r="AK84" s="993">
        <f t="shared" si="41"/>
        <v>0</v>
      </c>
      <c r="AL84" s="650"/>
      <c r="AM84" s="1008">
        <f t="shared" si="42"/>
        <v>0</v>
      </c>
      <c r="AN84" s="31"/>
      <c r="AO84" s="622"/>
      <c r="AP84" s="651"/>
      <c r="AQ84" s="651"/>
      <c r="AR84" s="651"/>
      <c r="AS84" s="651"/>
      <c r="AT84" s="651"/>
      <c r="AU84" s="651"/>
      <c r="AV84" s="651"/>
    </row>
    <row r="85" spans="1:48" s="644" customFormat="1" ht="20.65" customHeight="1">
      <c r="A85" s="215"/>
      <c r="B85" s="89"/>
      <c r="C85" s="84">
        <f>+C83*0.8</f>
        <v>240000</v>
      </c>
      <c r="D85" s="85" t="s">
        <v>110</v>
      </c>
      <c r="E85" s="1125"/>
      <c r="F85" s="1126"/>
      <c r="G85" s="1235"/>
      <c r="H85" s="1126"/>
      <c r="I85" s="1126"/>
      <c r="J85" s="1235"/>
      <c r="K85" s="1235"/>
      <c r="L85" s="1126"/>
      <c r="M85" s="1126"/>
      <c r="N85" s="1126"/>
      <c r="O85" s="1126"/>
      <c r="P85" s="1126"/>
      <c r="Q85" s="1235"/>
      <c r="R85" s="1235"/>
      <c r="S85" s="1126"/>
      <c r="T85" s="1126"/>
      <c r="U85" s="1126"/>
      <c r="V85" s="1126"/>
      <c r="W85" s="1126"/>
      <c r="X85" s="1235"/>
      <c r="Y85" s="1235"/>
      <c r="Z85" s="1126"/>
      <c r="AA85" s="1126"/>
      <c r="AB85" s="1126"/>
      <c r="AC85" s="1126"/>
      <c r="AD85" s="1126"/>
      <c r="AE85" s="1235"/>
      <c r="AF85" s="1235"/>
      <c r="AG85" s="1126"/>
      <c r="AH85" s="1126"/>
      <c r="AI85" s="1335"/>
      <c r="AJ85" s="104"/>
      <c r="AK85" s="993">
        <f t="shared" si="41"/>
        <v>0</v>
      </c>
      <c r="AL85" s="650"/>
      <c r="AM85" s="1008">
        <f t="shared" si="42"/>
        <v>0</v>
      </c>
      <c r="AN85" s="222"/>
      <c r="AO85" s="637"/>
      <c r="AP85" s="651"/>
      <c r="AQ85" s="651"/>
      <c r="AR85" s="651"/>
      <c r="AS85" s="651"/>
      <c r="AT85" s="651"/>
      <c r="AU85" s="651"/>
      <c r="AV85" s="651"/>
    </row>
    <row r="86" spans="1:48" s="644" customFormat="1" ht="20.65" customHeight="1">
      <c r="A86" s="215"/>
      <c r="B86" s="89"/>
      <c r="C86" s="77"/>
      <c r="D86" s="88" t="s">
        <v>111</v>
      </c>
      <c r="E86" s="1125">
        <f>IF(E85="O/H",E84,+E84)</f>
        <v>0</v>
      </c>
      <c r="F86" s="1126">
        <f>IF(F85="O/H",F84,+E86+F84)</f>
        <v>0</v>
      </c>
      <c r="G86" s="1235">
        <f t="shared" ref="G86:AI86" si="50">IF(G85="O/H",G84,+F86+G84)</f>
        <v>0</v>
      </c>
      <c r="H86" s="1126">
        <f t="shared" si="50"/>
        <v>0</v>
      </c>
      <c r="I86" s="1126">
        <f t="shared" si="50"/>
        <v>0</v>
      </c>
      <c r="J86" s="1235">
        <f t="shared" si="50"/>
        <v>0</v>
      </c>
      <c r="K86" s="1235">
        <f t="shared" si="50"/>
        <v>0</v>
      </c>
      <c r="L86" s="1126">
        <f t="shared" si="50"/>
        <v>0</v>
      </c>
      <c r="M86" s="1126">
        <f t="shared" si="50"/>
        <v>0</v>
      </c>
      <c r="N86" s="1126">
        <f t="shared" si="50"/>
        <v>0</v>
      </c>
      <c r="O86" s="1126">
        <f t="shared" si="50"/>
        <v>0</v>
      </c>
      <c r="P86" s="1126">
        <f t="shared" si="50"/>
        <v>0</v>
      </c>
      <c r="Q86" s="1235">
        <f t="shared" si="50"/>
        <v>0</v>
      </c>
      <c r="R86" s="1235">
        <f t="shared" si="50"/>
        <v>0</v>
      </c>
      <c r="S86" s="1126">
        <f t="shared" si="50"/>
        <v>0</v>
      </c>
      <c r="T86" s="1126">
        <f t="shared" si="50"/>
        <v>0</v>
      </c>
      <c r="U86" s="1126">
        <f t="shared" si="50"/>
        <v>0</v>
      </c>
      <c r="V86" s="1126">
        <f t="shared" si="50"/>
        <v>0</v>
      </c>
      <c r="W86" s="1126">
        <f t="shared" si="50"/>
        <v>0</v>
      </c>
      <c r="X86" s="1235">
        <f t="shared" si="50"/>
        <v>0</v>
      </c>
      <c r="Y86" s="1235">
        <f t="shared" si="50"/>
        <v>0</v>
      </c>
      <c r="Z86" s="1126">
        <f t="shared" si="50"/>
        <v>0</v>
      </c>
      <c r="AA86" s="1126">
        <f t="shared" si="50"/>
        <v>0</v>
      </c>
      <c r="AB86" s="1126">
        <f t="shared" si="50"/>
        <v>0</v>
      </c>
      <c r="AC86" s="1126">
        <f t="shared" si="50"/>
        <v>0</v>
      </c>
      <c r="AD86" s="1126">
        <f t="shared" si="50"/>
        <v>0</v>
      </c>
      <c r="AE86" s="1235">
        <f t="shared" si="50"/>
        <v>0</v>
      </c>
      <c r="AF86" s="1235">
        <f t="shared" si="50"/>
        <v>0</v>
      </c>
      <c r="AG86" s="1126">
        <f t="shared" si="50"/>
        <v>0</v>
      </c>
      <c r="AH86" s="1126">
        <f t="shared" si="50"/>
        <v>0</v>
      </c>
      <c r="AI86" s="1335">
        <f t="shared" si="50"/>
        <v>0</v>
      </c>
      <c r="AJ86" s="104"/>
      <c r="AK86" s="993">
        <f t="shared" si="41"/>
        <v>0</v>
      </c>
      <c r="AL86" s="650"/>
      <c r="AM86" s="1008">
        <f t="shared" si="42"/>
        <v>0</v>
      </c>
      <c r="AN86" s="222"/>
      <c r="AO86" s="637"/>
      <c r="AP86" s="651"/>
      <c r="AQ86" s="651"/>
      <c r="AR86" s="651"/>
      <c r="AS86" s="651"/>
      <c r="AT86" s="651"/>
      <c r="AU86" s="651"/>
      <c r="AV86" s="651"/>
    </row>
    <row r="87" spans="1:48" s="23" customFormat="1" ht="20.65" customHeight="1">
      <c r="A87" s="274"/>
      <c r="B87" s="312"/>
      <c r="C87" s="308"/>
      <c r="D87" s="795" t="s">
        <v>112</v>
      </c>
      <c r="E87" s="1108" t="b">
        <f>IF(AND(ISNUMBER(E78)),1956930+E84)</f>
        <v>0</v>
      </c>
      <c r="F87" s="1089" t="str">
        <f>IF(AND(ISNUMBER(F78)),E87+F84,"")</f>
        <v/>
      </c>
      <c r="G87" s="44" t="str">
        <f t="shared" ref="G87:H87" si="51">IF(AND(ISNUMBER(G78)),F87+G84,"")</f>
        <v/>
      </c>
      <c r="H87" s="1089" t="str">
        <f t="shared" si="51"/>
        <v/>
      </c>
      <c r="I87" s="1089" t="str">
        <f>IF(AND(ISNUMBER(I78)),H87+I84,"")</f>
        <v/>
      </c>
      <c r="J87" s="44" t="str">
        <f>IF(AND(ISNUMBER(J78)),I87+J84,"")</f>
        <v/>
      </c>
      <c r="K87" s="44" t="str">
        <f>IF(AND(ISNUMBER(K78)),J87+K84,"")</f>
        <v/>
      </c>
      <c r="L87" s="1089" t="str">
        <f t="shared" ref="L87:AI87" si="52">IF(AND(ISNUMBER(L78)),K87+L84,"")</f>
        <v/>
      </c>
      <c r="M87" s="1089" t="str">
        <f t="shared" si="52"/>
        <v/>
      </c>
      <c r="N87" s="1089" t="str">
        <f t="shared" si="52"/>
        <v/>
      </c>
      <c r="O87" s="1089" t="str">
        <f t="shared" si="52"/>
        <v/>
      </c>
      <c r="P87" s="1089" t="str">
        <f t="shared" si="52"/>
        <v/>
      </c>
      <c r="Q87" s="44" t="str">
        <f t="shared" si="52"/>
        <v/>
      </c>
      <c r="R87" s="44" t="str">
        <f t="shared" si="52"/>
        <v/>
      </c>
      <c r="S87" s="1089" t="str">
        <f t="shared" si="52"/>
        <v/>
      </c>
      <c r="T87" s="1089" t="str">
        <f t="shared" si="52"/>
        <v/>
      </c>
      <c r="U87" s="1089" t="str">
        <f t="shared" si="52"/>
        <v/>
      </c>
      <c r="V87" s="1089" t="str">
        <f t="shared" si="52"/>
        <v/>
      </c>
      <c r="W87" s="1089" t="str">
        <f t="shared" si="52"/>
        <v/>
      </c>
      <c r="X87" s="44" t="str">
        <f t="shared" si="52"/>
        <v/>
      </c>
      <c r="Y87" s="44" t="str">
        <f t="shared" si="52"/>
        <v/>
      </c>
      <c r="Z87" s="1089" t="str">
        <f t="shared" si="52"/>
        <v/>
      </c>
      <c r="AA87" s="1089" t="str">
        <f t="shared" si="52"/>
        <v/>
      </c>
      <c r="AB87" s="1089" t="str">
        <f t="shared" si="52"/>
        <v/>
      </c>
      <c r="AC87" s="1089" t="str">
        <f t="shared" si="52"/>
        <v/>
      </c>
      <c r="AD87" s="1089" t="str">
        <f t="shared" si="52"/>
        <v/>
      </c>
      <c r="AE87" s="44" t="str">
        <f t="shared" si="52"/>
        <v/>
      </c>
      <c r="AF87" s="44" t="str">
        <f t="shared" si="52"/>
        <v/>
      </c>
      <c r="AG87" s="1089" t="str">
        <f t="shared" si="52"/>
        <v/>
      </c>
      <c r="AH87" s="1089" t="str">
        <f t="shared" si="52"/>
        <v/>
      </c>
      <c r="AI87" s="1089" t="str">
        <f t="shared" si="52"/>
        <v/>
      </c>
      <c r="AJ87" s="793"/>
      <c r="AK87" s="985">
        <f t="shared" si="41"/>
        <v>0</v>
      </c>
      <c r="AL87" s="909"/>
      <c r="AM87" s="987">
        <f t="shared" si="42"/>
        <v>0</v>
      </c>
      <c r="AN87" s="76"/>
      <c r="AO87" s="630"/>
      <c r="AP87" s="285"/>
      <c r="AQ87" s="285"/>
      <c r="AR87" s="285"/>
      <c r="AS87" s="285"/>
      <c r="AT87" s="286"/>
      <c r="AU87" s="285"/>
      <c r="AV87" s="287"/>
    </row>
    <row r="88" spans="1:48" s="644" customFormat="1" ht="20.65" customHeight="1">
      <c r="A88" s="215" t="s">
        <v>242</v>
      </c>
      <c r="B88" s="89" t="s">
        <v>285</v>
      </c>
      <c r="C88" s="80"/>
      <c r="D88" s="90" t="s">
        <v>104</v>
      </c>
      <c r="E88" s="1137"/>
      <c r="F88" s="1097"/>
      <c r="G88" s="1205"/>
      <c r="H88" s="1097"/>
      <c r="I88" s="1097"/>
      <c r="J88" s="1205"/>
      <c r="K88" s="1205"/>
      <c r="L88" s="1097"/>
      <c r="M88" s="1097"/>
      <c r="N88" s="1097"/>
      <c r="O88" s="1097"/>
      <c r="P88" s="1097"/>
      <c r="Q88" s="1205"/>
      <c r="R88" s="1205"/>
      <c r="S88" s="1097"/>
      <c r="T88" s="1097"/>
      <c r="U88" s="1097"/>
      <c r="V88" s="1097"/>
      <c r="W88" s="1097"/>
      <c r="X88" s="1205"/>
      <c r="Y88" s="1205"/>
      <c r="Z88" s="1097"/>
      <c r="AA88" s="1097"/>
      <c r="AB88" s="1097"/>
      <c r="AC88" s="1097"/>
      <c r="AD88" s="1097"/>
      <c r="AE88" s="1205"/>
      <c r="AF88" s="1205"/>
      <c r="AG88" s="1097"/>
      <c r="AH88" s="1097"/>
      <c r="AI88" s="1328"/>
      <c r="AJ88" s="664"/>
      <c r="AK88" s="1004">
        <f t="shared" si="41"/>
        <v>0</v>
      </c>
      <c r="AL88" s="646"/>
      <c r="AM88" s="1007">
        <f t="shared" si="42"/>
        <v>0</v>
      </c>
      <c r="AN88" s="31"/>
      <c r="AO88" s="622"/>
      <c r="AP88" s="651"/>
      <c r="AQ88" s="651"/>
      <c r="AR88" s="651"/>
      <c r="AS88" s="651"/>
      <c r="AT88" s="651"/>
      <c r="AU88" s="651"/>
      <c r="AV88" s="651"/>
    </row>
    <row r="89" spans="1:48" s="644" customFormat="1" ht="20.65" customHeight="1" thickBot="1">
      <c r="A89" s="216" t="s">
        <v>242</v>
      </c>
      <c r="B89" s="93"/>
      <c r="C89" s="94"/>
      <c r="D89" s="95" t="s">
        <v>111</v>
      </c>
      <c r="E89" s="1453">
        <f>IF(E88="O/H",E84,+E84)</f>
        <v>0</v>
      </c>
      <c r="F89" s="1128">
        <f t="shared" ref="F89:AI89" si="53">IF(F88="O/H",F84,+E89+F84)</f>
        <v>0</v>
      </c>
      <c r="G89" s="1303">
        <f t="shared" si="53"/>
        <v>0</v>
      </c>
      <c r="H89" s="1128">
        <f t="shared" si="53"/>
        <v>0</v>
      </c>
      <c r="I89" s="1128">
        <f t="shared" si="53"/>
        <v>0</v>
      </c>
      <c r="J89" s="1303">
        <f t="shared" si="53"/>
        <v>0</v>
      </c>
      <c r="K89" s="1303">
        <f t="shared" si="53"/>
        <v>0</v>
      </c>
      <c r="L89" s="1128">
        <f t="shared" si="53"/>
        <v>0</v>
      </c>
      <c r="M89" s="1128">
        <f t="shared" si="53"/>
        <v>0</v>
      </c>
      <c r="N89" s="1128">
        <f t="shared" si="53"/>
        <v>0</v>
      </c>
      <c r="O89" s="1128">
        <f t="shared" si="53"/>
        <v>0</v>
      </c>
      <c r="P89" s="1128">
        <f t="shared" si="53"/>
        <v>0</v>
      </c>
      <c r="Q89" s="1303">
        <f t="shared" si="53"/>
        <v>0</v>
      </c>
      <c r="R89" s="1303">
        <f t="shared" si="53"/>
        <v>0</v>
      </c>
      <c r="S89" s="1128">
        <f t="shared" si="53"/>
        <v>0</v>
      </c>
      <c r="T89" s="1128">
        <f t="shared" si="53"/>
        <v>0</v>
      </c>
      <c r="U89" s="1128">
        <f t="shared" si="53"/>
        <v>0</v>
      </c>
      <c r="V89" s="1128">
        <f t="shared" si="53"/>
        <v>0</v>
      </c>
      <c r="W89" s="1128">
        <f t="shared" si="53"/>
        <v>0</v>
      </c>
      <c r="X89" s="1303">
        <f t="shared" si="53"/>
        <v>0</v>
      </c>
      <c r="Y89" s="1303">
        <f t="shared" si="53"/>
        <v>0</v>
      </c>
      <c r="Z89" s="1128">
        <f t="shared" si="53"/>
        <v>0</v>
      </c>
      <c r="AA89" s="1128">
        <f t="shared" si="53"/>
        <v>0</v>
      </c>
      <c r="AB89" s="1128">
        <f t="shared" si="53"/>
        <v>0</v>
      </c>
      <c r="AC89" s="1128">
        <f t="shared" si="53"/>
        <v>0</v>
      </c>
      <c r="AD89" s="1128">
        <f t="shared" si="53"/>
        <v>0</v>
      </c>
      <c r="AE89" s="1303">
        <f t="shared" si="53"/>
        <v>0</v>
      </c>
      <c r="AF89" s="1303">
        <f t="shared" si="53"/>
        <v>0</v>
      </c>
      <c r="AG89" s="1128">
        <f t="shared" si="53"/>
        <v>0</v>
      </c>
      <c r="AH89" s="1128">
        <f t="shared" si="53"/>
        <v>0</v>
      </c>
      <c r="AI89" s="1454">
        <f t="shared" si="53"/>
        <v>0</v>
      </c>
      <c r="AJ89" s="730"/>
      <c r="AK89" s="1005">
        <f t="shared" si="41"/>
        <v>0</v>
      </c>
      <c r="AL89" s="652"/>
      <c r="AM89" s="1009">
        <f t="shared" si="42"/>
        <v>0</v>
      </c>
      <c r="AN89" s="98"/>
      <c r="AO89" s="625"/>
      <c r="AP89" s="227"/>
      <c r="AQ89" s="227"/>
      <c r="AR89" s="227"/>
      <c r="AS89" s="227"/>
      <c r="AT89" s="227"/>
      <c r="AU89" s="227"/>
      <c r="AV89" s="227"/>
    </row>
    <row r="90" spans="1:48" s="644" customFormat="1" ht="20.25" customHeight="1" thickTop="1">
      <c r="A90" s="228" t="s">
        <v>697</v>
      </c>
      <c r="B90" s="219" t="s">
        <v>613</v>
      </c>
      <c r="C90" s="1495" t="str">
        <f>Table511[[#This Row],[M/C No.]]</f>
        <v>A7(80ton)</v>
      </c>
      <c r="D90" s="28" t="s">
        <v>82</v>
      </c>
      <c r="E90" s="1124"/>
      <c r="F90" s="1124"/>
      <c r="G90" s="1242"/>
      <c r="H90" s="1124"/>
      <c r="I90" s="1124"/>
      <c r="J90" s="1242"/>
      <c r="K90" s="1242"/>
      <c r="L90" s="1124"/>
      <c r="M90" s="1124"/>
      <c r="N90" s="1124"/>
      <c r="O90" s="1124"/>
      <c r="P90" s="1124"/>
      <c r="Q90" s="1242"/>
      <c r="R90" s="1242"/>
      <c r="S90" s="1124"/>
      <c r="T90" s="1124"/>
      <c r="U90" s="1124"/>
      <c r="V90" s="1124"/>
      <c r="W90" s="1124"/>
      <c r="X90" s="1242"/>
      <c r="Y90" s="1242"/>
      <c r="Z90" s="1124"/>
      <c r="AA90" s="1124"/>
      <c r="AB90" s="1124"/>
      <c r="AC90" s="1124"/>
      <c r="AD90" s="1124"/>
      <c r="AE90" s="1242"/>
      <c r="AF90" s="1242"/>
      <c r="AG90" s="1124"/>
      <c r="AH90" s="1124"/>
      <c r="AI90" s="1350"/>
      <c r="AJ90" s="570">
        <f>SUM(E90:AI90)</f>
        <v>0</v>
      </c>
      <c r="AK90" s="991">
        <f t="shared" si="41"/>
        <v>0</v>
      </c>
      <c r="AL90" s="571">
        <f>+AJ90*AN90</f>
        <v>0</v>
      </c>
      <c r="AM90" s="992">
        <f t="shared" si="42"/>
        <v>0</v>
      </c>
      <c r="AN90" s="102">
        <v>4.1727299999999996</v>
      </c>
      <c r="AO90" s="622">
        <f>Table511[[#This Row],[Total]]*B94/1000</f>
        <v>0</v>
      </c>
      <c r="AP90" s="32" t="s">
        <v>134</v>
      </c>
      <c r="AQ90" s="33" t="s">
        <v>84</v>
      </c>
      <c r="AR90" s="33" t="s">
        <v>85</v>
      </c>
      <c r="AS90" s="33" t="s">
        <v>86</v>
      </c>
      <c r="AT90" s="33" t="s">
        <v>87</v>
      </c>
      <c r="AU90" s="33" t="s">
        <v>88</v>
      </c>
      <c r="AV90" s="34" t="s">
        <v>68</v>
      </c>
    </row>
    <row r="91" spans="1:48" s="644" customFormat="1" ht="20.65" customHeight="1">
      <c r="A91" s="639"/>
      <c r="B91" s="219" t="s">
        <v>286</v>
      </c>
      <c r="C91" s="640"/>
      <c r="D91" s="37" t="s">
        <v>90</v>
      </c>
      <c r="E91" s="1323">
        <f>IF(E90="",0,+ E90/E97)</f>
        <v>0</v>
      </c>
      <c r="F91" s="1096">
        <f t="shared" ref="F91:AC91" si="54">IF(F90="",0, E91+F90/F97)</f>
        <v>0</v>
      </c>
      <c r="G91" s="1207">
        <f t="shared" si="54"/>
        <v>0</v>
      </c>
      <c r="H91" s="1096">
        <f t="shared" si="54"/>
        <v>0</v>
      </c>
      <c r="I91" s="1096">
        <f t="shared" si="54"/>
        <v>0</v>
      </c>
      <c r="J91" s="1207">
        <f t="shared" si="54"/>
        <v>0</v>
      </c>
      <c r="K91" s="1207">
        <f t="shared" si="54"/>
        <v>0</v>
      </c>
      <c r="L91" s="1096">
        <f t="shared" si="54"/>
        <v>0</v>
      </c>
      <c r="M91" s="1096">
        <f t="shared" si="54"/>
        <v>0</v>
      </c>
      <c r="N91" s="1096">
        <f t="shared" si="54"/>
        <v>0</v>
      </c>
      <c r="O91" s="1096">
        <f t="shared" si="54"/>
        <v>0</v>
      </c>
      <c r="P91" s="1096">
        <f t="shared" si="54"/>
        <v>0</v>
      </c>
      <c r="Q91" s="1207">
        <f t="shared" si="54"/>
        <v>0</v>
      </c>
      <c r="R91" s="1207">
        <f t="shared" si="54"/>
        <v>0</v>
      </c>
      <c r="S91" s="1096">
        <f t="shared" si="54"/>
        <v>0</v>
      </c>
      <c r="T91" s="1096">
        <f t="shared" si="54"/>
        <v>0</v>
      </c>
      <c r="U91" s="1096">
        <f t="shared" si="54"/>
        <v>0</v>
      </c>
      <c r="V91" s="1096">
        <f t="shared" si="54"/>
        <v>0</v>
      </c>
      <c r="W91" s="1096">
        <f t="shared" si="54"/>
        <v>0</v>
      </c>
      <c r="X91" s="1207">
        <f t="shared" si="54"/>
        <v>0</v>
      </c>
      <c r="Y91" s="1207">
        <f t="shared" si="54"/>
        <v>0</v>
      </c>
      <c r="Z91" s="1096">
        <f t="shared" si="54"/>
        <v>0</v>
      </c>
      <c r="AA91" s="1096">
        <f t="shared" si="54"/>
        <v>0</v>
      </c>
      <c r="AB91" s="1096">
        <f t="shared" si="54"/>
        <v>0</v>
      </c>
      <c r="AC91" s="1096">
        <f t="shared" si="54"/>
        <v>0</v>
      </c>
      <c r="AD91" s="1096">
        <f>IF(AD90="",0, Z91+AD90/AD97)</f>
        <v>0</v>
      </c>
      <c r="AE91" s="1207">
        <f>IF(AE90="",0, AA91+AE90/AE97)</f>
        <v>0</v>
      </c>
      <c r="AF91" s="1207">
        <f>IF(AF90="",0, AB91+AF90/AF97)</f>
        <v>0</v>
      </c>
      <c r="AG91" s="1096">
        <f>IF(AG90="",0, AC91+AG90/AG97)</f>
        <v>0</v>
      </c>
      <c r="AH91" s="1096">
        <f>IF(AH90="",0, AD91+AH90/AH97)</f>
        <v>0</v>
      </c>
      <c r="AI91" s="1324">
        <f>IF(AI90="",0, AH91+AI90/AI97)</f>
        <v>0</v>
      </c>
      <c r="AJ91" s="728"/>
      <c r="AK91" s="1003">
        <f t="shared" si="41"/>
        <v>0</v>
      </c>
      <c r="AL91" s="641"/>
      <c r="AM91" s="1006">
        <f t="shared" si="42"/>
        <v>0</v>
      </c>
      <c r="AN91" s="642"/>
      <c r="AO91" s="630"/>
      <c r="AP91" s="39" t="s">
        <v>91</v>
      </c>
      <c r="AQ91" s="40">
        <f>SUM(E90:I90)</f>
        <v>0</v>
      </c>
      <c r="AR91" s="41">
        <f>SUM(J90:P90)</f>
        <v>0</v>
      </c>
      <c r="AS91" s="41">
        <f>SUM(Q90:W90)</f>
        <v>0</v>
      </c>
      <c r="AT91" s="41">
        <f>SUM(X90:AD90)</f>
        <v>0</v>
      </c>
      <c r="AU91" s="41">
        <f>SUM(AE90:AI90)</f>
        <v>0</v>
      </c>
      <c r="AV91" s="34">
        <f t="shared" ref="AV91:AV96" si="55">SUM(AQ91:AU91)</f>
        <v>0</v>
      </c>
    </row>
    <row r="92" spans="1:48" s="644" customFormat="1" ht="20.65" customHeight="1">
      <c r="A92" s="224" t="s">
        <v>284</v>
      </c>
      <c r="B92" s="89" t="s">
        <v>246</v>
      </c>
      <c r="C92" s="42"/>
      <c r="D92" s="43" t="s">
        <v>93</v>
      </c>
      <c r="E92" s="1108"/>
      <c r="F92" s="1089"/>
      <c r="G92" s="44"/>
      <c r="H92" s="1089"/>
      <c r="I92" s="1089"/>
      <c r="J92" s="44"/>
      <c r="K92" s="44"/>
      <c r="L92" s="1089"/>
      <c r="M92" s="1089"/>
      <c r="N92" s="1089"/>
      <c r="O92" s="1089"/>
      <c r="P92" s="1089"/>
      <c r="Q92" s="44"/>
      <c r="R92" s="44"/>
      <c r="S92" s="1089"/>
      <c r="T92" s="1089"/>
      <c r="U92" s="1089"/>
      <c r="V92" s="1089"/>
      <c r="W92" s="1089"/>
      <c r="X92" s="44"/>
      <c r="Y92" s="44"/>
      <c r="Z92" s="1089"/>
      <c r="AA92" s="1089"/>
      <c r="AB92" s="1089"/>
      <c r="AC92" s="1089"/>
      <c r="AD92" s="1089"/>
      <c r="AE92" s="44"/>
      <c r="AF92" s="44"/>
      <c r="AG92" s="1089"/>
      <c r="AH92" s="1089"/>
      <c r="AI92" s="1326"/>
      <c r="AJ92" s="662">
        <f>SUM(E92:AI92)</f>
        <v>0</v>
      </c>
      <c r="AK92" s="1004">
        <f t="shared" si="41"/>
        <v>0</v>
      </c>
      <c r="AL92" s="645">
        <f>+AJ92*AN90</f>
        <v>0</v>
      </c>
      <c r="AM92" s="1007">
        <f t="shared" si="42"/>
        <v>0</v>
      </c>
      <c r="AN92" s="31"/>
      <c r="AO92" s="632">
        <f>(AJ92+AJ94+AJ95+AJ96)*B94/1000</f>
        <v>0</v>
      </c>
      <c r="AP92" s="47" t="s">
        <v>94</v>
      </c>
      <c r="AQ92" s="48">
        <f>SUM(E92:I92)</f>
        <v>0</v>
      </c>
      <c r="AR92" s="49">
        <f>SUM(J92:P92)</f>
        <v>0</v>
      </c>
      <c r="AS92" s="49">
        <f>SUM(Q92:W92)</f>
        <v>0</v>
      </c>
      <c r="AT92" s="49">
        <f>SUM(X92:AD92)</f>
        <v>0</v>
      </c>
      <c r="AU92" s="49">
        <f>SUM(AE92:AI92)</f>
        <v>0</v>
      </c>
      <c r="AV92" s="50">
        <f t="shared" si="55"/>
        <v>0</v>
      </c>
    </row>
    <row r="93" spans="1:48" s="644" customFormat="1" ht="20.65" customHeight="1">
      <c r="A93" s="224" t="s">
        <v>284</v>
      </c>
      <c r="B93" s="763" t="s">
        <v>247</v>
      </c>
      <c r="C93" s="52" t="s">
        <v>95</v>
      </c>
      <c r="D93" s="53" t="s">
        <v>96</v>
      </c>
      <c r="E93" s="1137">
        <f t="shared" ref="E93:AJ93" si="56">+E92-E90</f>
        <v>0</v>
      </c>
      <c r="F93" s="1097">
        <f t="shared" si="56"/>
        <v>0</v>
      </c>
      <c r="G93" s="1205">
        <f t="shared" si="56"/>
        <v>0</v>
      </c>
      <c r="H93" s="1097">
        <f t="shared" si="56"/>
        <v>0</v>
      </c>
      <c r="I93" s="1097">
        <f t="shared" si="56"/>
        <v>0</v>
      </c>
      <c r="J93" s="1205">
        <f t="shared" si="56"/>
        <v>0</v>
      </c>
      <c r="K93" s="1205">
        <f t="shared" ref="K93:L93" si="57">+K92-K90</f>
        <v>0</v>
      </c>
      <c r="L93" s="1097">
        <f t="shared" si="57"/>
        <v>0</v>
      </c>
      <c r="M93" s="1097">
        <f>+M92-M90</f>
        <v>0</v>
      </c>
      <c r="N93" s="1097">
        <f t="shared" si="56"/>
        <v>0</v>
      </c>
      <c r="O93" s="1097">
        <f t="shared" si="56"/>
        <v>0</v>
      </c>
      <c r="P93" s="1097">
        <f t="shared" si="56"/>
        <v>0</v>
      </c>
      <c r="Q93" s="1205">
        <f t="shared" si="56"/>
        <v>0</v>
      </c>
      <c r="R93" s="1205">
        <f t="shared" si="56"/>
        <v>0</v>
      </c>
      <c r="S93" s="1097">
        <f>+S92-S90</f>
        <v>0</v>
      </c>
      <c r="T93" s="1097">
        <f t="shared" ref="T93" si="58">+T92-T90</f>
        <v>0</v>
      </c>
      <c r="U93" s="1097">
        <f t="shared" si="56"/>
        <v>0</v>
      </c>
      <c r="V93" s="1097">
        <f t="shared" si="56"/>
        <v>0</v>
      </c>
      <c r="W93" s="1097">
        <f>+W92-W90</f>
        <v>0</v>
      </c>
      <c r="X93" s="1205">
        <f t="shared" si="56"/>
        <v>0</v>
      </c>
      <c r="Y93" s="1205">
        <f t="shared" si="56"/>
        <v>0</v>
      </c>
      <c r="Z93" s="1097">
        <f t="shared" si="56"/>
        <v>0</v>
      </c>
      <c r="AA93" s="1097">
        <f>+AA92-AA90</f>
        <v>0</v>
      </c>
      <c r="AB93" s="1097">
        <f t="shared" si="56"/>
        <v>0</v>
      </c>
      <c r="AC93" s="1097">
        <f t="shared" si="56"/>
        <v>0</v>
      </c>
      <c r="AD93" s="1097">
        <f t="shared" si="56"/>
        <v>0</v>
      </c>
      <c r="AE93" s="1205">
        <f t="shared" si="56"/>
        <v>0</v>
      </c>
      <c r="AF93" s="1205">
        <f t="shared" si="56"/>
        <v>0</v>
      </c>
      <c r="AG93" s="1097">
        <f t="shared" si="56"/>
        <v>0</v>
      </c>
      <c r="AH93" s="1097">
        <f t="shared" si="56"/>
        <v>0</v>
      </c>
      <c r="AI93" s="1328">
        <f t="shared" si="56"/>
        <v>0</v>
      </c>
      <c r="AJ93" s="663">
        <f t="shared" si="56"/>
        <v>0</v>
      </c>
      <c r="AK93" s="1004">
        <f t="shared" si="41"/>
        <v>0</v>
      </c>
      <c r="AL93" s="646">
        <f>+AJ93*AN90</f>
        <v>0</v>
      </c>
      <c r="AM93" s="1007">
        <f t="shared" si="42"/>
        <v>0</v>
      </c>
      <c r="AN93" s="31" t="s">
        <v>97</v>
      </c>
      <c r="AO93" s="622"/>
      <c r="AP93" s="39" t="s">
        <v>98</v>
      </c>
      <c r="AQ93" s="56">
        <f>AQ92-AQ91</f>
        <v>0</v>
      </c>
      <c r="AR93" s="70">
        <f>AR92-AR91</f>
        <v>0</v>
      </c>
      <c r="AS93" s="70">
        <f>AS92-AS91</f>
        <v>0</v>
      </c>
      <c r="AT93" s="70">
        <f>AT92-AT91</f>
        <v>0</v>
      </c>
      <c r="AU93" s="70">
        <f>AU92-AU91</f>
        <v>0</v>
      </c>
      <c r="AV93" s="57">
        <f t="shared" si="55"/>
        <v>0</v>
      </c>
    </row>
    <row r="94" spans="1:48" s="644" customFormat="1" ht="20.65" customHeight="1">
      <c r="A94" s="228"/>
      <c r="B94" s="763">
        <v>9.3989999999999991</v>
      </c>
      <c r="C94" s="60" t="s">
        <v>100</v>
      </c>
      <c r="D94" s="61" t="s">
        <v>101</v>
      </c>
      <c r="E94" s="1098"/>
      <c r="F94" s="1099"/>
      <c r="G94" s="1208"/>
      <c r="H94" s="1099"/>
      <c r="I94" s="1099"/>
      <c r="J94" s="1208"/>
      <c r="K94" s="1208"/>
      <c r="L94" s="1099"/>
      <c r="M94" s="1099"/>
      <c r="N94" s="1099"/>
      <c r="O94" s="1099"/>
      <c r="P94" s="1099"/>
      <c r="Q94" s="1208"/>
      <c r="R94" s="1208"/>
      <c r="S94" s="1099"/>
      <c r="T94" s="1099"/>
      <c r="U94" s="1099"/>
      <c r="V94" s="1099"/>
      <c r="W94" s="1099"/>
      <c r="X94" s="1208"/>
      <c r="Y94" s="1208"/>
      <c r="Z94" s="1099"/>
      <c r="AA94" s="1099"/>
      <c r="AB94" s="1099"/>
      <c r="AC94" s="1099"/>
      <c r="AD94" s="1099"/>
      <c r="AE94" s="1208"/>
      <c r="AF94" s="1208"/>
      <c r="AG94" s="1099"/>
      <c r="AH94" s="1099"/>
      <c r="AI94" s="1330"/>
      <c r="AJ94" s="664">
        <f>SUM(E94:AI94)</f>
        <v>0</v>
      </c>
      <c r="AK94" s="1004">
        <f t="shared" si="41"/>
        <v>0</v>
      </c>
      <c r="AL94" s="647">
        <f>+AJ94*AN90</f>
        <v>0</v>
      </c>
      <c r="AM94" s="1008">
        <f t="shared" si="42"/>
        <v>0</v>
      </c>
      <c r="AN94" s="64" t="e">
        <f>+AJ94/AJ92*100</f>
        <v>#DIV/0!</v>
      </c>
      <c r="AO94" s="635" t="e">
        <f>AO92/AO90</f>
        <v>#DIV/0!</v>
      </c>
      <c r="AP94" s="39" t="s">
        <v>102</v>
      </c>
      <c r="AQ94" s="56">
        <f>SUM(E94:I94)</f>
        <v>0</v>
      </c>
      <c r="AR94" s="70">
        <f>SUM(J94:P94)</f>
        <v>0</v>
      </c>
      <c r="AS94" s="70">
        <f>SUM(Q94:W94)</f>
        <v>0</v>
      </c>
      <c r="AT94" s="70">
        <f>SUM(X94:AD94)</f>
        <v>0</v>
      </c>
      <c r="AU94" s="70">
        <f>SUM(AE94:AI94)</f>
        <v>0</v>
      </c>
      <c r="AV94" s="57">
        <f t="shared" si="55"/>
        <v>0</v>
      </c>
    </row>
    <row r="95" spans="1:48" s="644" customFormat="1" ht="20.65" customHeight="1">
      <c r="A95" s="210" t="s">
        <v>245</v>
      </c>
      <c r="B95" s="213" t="s">
        <v>287</v>
      </c>
      <c r="C95" s="66"/>
      <c r="D95" s="67" t="s">
        <v>103</v>
      </c>
      <c r="E95" s="1100"/>
      <c r="F95" s="1101"/>
      <c r="G95" s="1209"/>
      <c r="H95" s="1101"/>
      <c r="I95" s="1101"/>
      <c r="J95" s="1209"/>
      <c r="K95" s="1209"/>
      <c r="L95" s="1101"/>
      <c r="M95" s="1101"/>
      <c r="N95" s="1101"/>
      <c r="O95" s="1101"/>
      <c r="P95" s="1101"/>
      <c r="Q95" s="1209"/>
      <c r="R95" s="1209"/>
      <c r="S95" s="1101"/>
      <c r="T95" s="1101"/>
      <c r="U95" s="1101"/>
      <c r="V95" s="1101"/>
      <c r="W95" s="1101"/>
      <c r="X95" s="1209"/>
      <c r="Y95" s="1209"/>
      <c r="Z95" s="1101"/>
      <c r="AA95" s="1101"/>
      <c r="AB95" s="1101"/>
      <c r="AC95" s="1101"/>
      <c r="AD95" s="1101"/>
      <c r="AE95" s="1209"/>
      <c r="AF95" s="1209"/>
      <c r="AG95" s="1101"/>
      <c r="AH95" s="1101"/>
      <c r="AI95" s="1332"/>
      <c r="AJ95" s="665">
        <f>SUM(E95:AI95)</f>
        <v>0</v>
      </c>
      <c r="AK95" s="1004">
        <f t="shared" si="41"/>
        <v>0</v>
      </c>
      <c r="AL95" s="648">
        <f>+AJ95*AN90</f>
        <v>0</v>
      </c>
      <c r="AM95" s="1008">
        <f t="shared" si="42"/>
        <v>0</v>
      </c>
      <c r="AN95" s="31"/>
      <c r="AO95" s="622"/>
      <c r="AP95" s="39" t="s">
        <v>19</v>
      </c>
      <c r="AQ95" s="56">
        <f>AQ94*AN90</f>
        <v>0</v>
      </c>
      <c r="AR95" s="56">
        <f>AR94*AN90</f>
        <v>0</v>
      </c>
      <c r="AS95" s="56">
        <f>AS94*AN90</f>
        <v>0</v>
      </c>
      <c r="AT95" s="56">
        <f>AT94*AN90</f>
        <v>0</v>
      </c>
      <c r="AU95" s="56">
        <f>AU94*AN90</f>
        <v>0</v>
      </c>
      <c r="AV95" s="57">
        <f t="shared" si="55"/>
        <v>0</v>
      </c>
    </row>
    <row r="96" spans="1:48" s="644" customFormat="1" ht="20.65" customHeight="1">
      <c r="A96" s="210" t="s">
        <v>245</v>
      </c>
      <c r="B96" s="213"/>
      <c r="C96" s="72" t="s">
        <v>104</v>
      </c>
      <c r="D96" s="73" t="s">
        <v>105</v>
      </c>
      <c r="E96" s="1102"/>
      <c r="F96" s="1103"/>
      <c r="G96" s="1210"/>
      <c r="H96" s="1103"/>
      <c r="I96" s="1103"/>
      <c r="J96" s="1210"/>
      <c r="K96" s="1210"/>
      <c r="L96" s="1103"/>
      <c r="M96" s="1103"/>
      <c r="N96" s="1103"/>
      <c r="O96" s="1103"/>
      <c r="P96" s="1103"/>
      <c r="Q96" s="1210"/>
      <c r="R96" s="1210"/>
      <c r="S96" s="1103"/>
      <c r="T96" s="1103"/>
      <c r="U96" s="1103"/>
      <c r="V96" s="1103"/>
      <c r="W96" s="1103"/>
      <c r="X96" s="1210"/>
      <c r="Y96" s="1210"/>
      <c r="Z96" s="1103"/>
      <c r="AA96" s="1103"/>
      <c r="AB96" s="1103"/>
      <c r="AC96" s="1103"/>
      <c r="AD96" s="1103"/>
      <c r="AE96" s="1210"/>
      <c r="AF96" s="1210"/>
      <c r="AG96" s="1103"/>
      <c r="AH96" s="1103"/>
      <c r="AI96" s="1352"/>
      <c r="AJ96" s="666">
        <f>SUM(E96:AI96)</f>
        <v>0</v>
      </c>
      <c r="AK96" s="1004">
        <f t="shared" si="41"/>
        <v>0</v>
      </c>
      <c r="AL96" s="649">
        <f>+AJ96*AN90</f>
        <v>0</v>
      </c>
      <c r="AM96" s="1008">
        <f t="shared" si="42"/>
        <v>0</v>
      </c>
      <c r="AN96" s="31"/>
      <c r="AO96" s="622"/>
      <c r="AP96" s="47" t="s">
        <v>106</v>
      </c>
      <c r="AQ96" s="48">
        <f>AQ92*AN90</f>
        <v>0</v>
      </c>
      <c r="AR96" s="48">
        <f>AR92*AN90</f>
        <v>0</v>
      </c>
      <c r="AS96" s="48">
        <f>AS92*AN90</f>
        <v>0</v>
      </c>
      <c r="AT96" s="48">
        <f>AT92*AN90</f>
        <v>0</v>
      </c>
      <c r="AU96" s="48">
        <f>AU92*AN90</f>
        <v>0</v>
      </c>
      <c r="AV96" s="50">
        <f t="shared" si="55"/>
        <v>0</v>
      </c>
    </row>
    <row r="97" spans="1:48" s="644" customFormat="1" ht="20.65" customHeight="1">
      <c r="A97" s="226"/>
      <c r="B97" s="89"/>
      <c r="C97" s="77">
        <v>300000</v>
      </c>
      <c r="D97" s="78" t="s">
        <v>107</v>
      </c>
      <c r="E97" s="1137">
        <v>4</v>
      </c>
      <c r="F97" s="1097">
        <v>4</v>
      </c>
      <c r="G97" s="1205">
        <v>4</v>
      </c>
      <c r="H97" s="1097">
        <v>4</v>
      </c>
      <c r="I97" s="1097">
        <v>4</v>
      </c>
      <c r="J97" s="1205">
        <v>4</v>
      </c>
      <c r="K97" s="1205">
        <v>4</v>
      </c>
      <c r="L97" s="1097">
        <v>4</v>
      </c>
      <c r="M97" s="1097">
        <v>4</v>
      </c>
      <c r="N97" s="1097">
        <v>4</v>
      </c>
      <c r="O97" s="1097">
        <v>4</v>
      </c>
      <c r="P97" s="1097">
        <v>4</v>
      </c>
      <c r="Q97" s="1205">
        <v>4</v>
      </c>
      <c r="R97" s="1205">
        <v>4</v>
      </c>
      <c r="S97" s="1097">
        <v>4</v>
      </c>
      <c r="T97" s="1097">
        <v>4</v>
      </c>
      <c r="U97" s="1097">
        <v>4</v>
      </c>
      <c r="V97" s="1097">
        <v>4</v>
      </c>
      <c r="W97" s="1097">
        <v>4</v>
      </c>
      <c r="X97" s="1205">
        <v>4</v>
      </c>
      <c r="Y97" s="1205">
        <v>4</v>
      </c>
      <c r="Z97" s="1097">
        <v>4</v>
      </c>
      <c r="AA97" s="1097">
        <v>4</v>
      </c>
      <c r="AB97" s="1097">
        <v>4</v>
      </c>
      <c r="AC97" s="1097">
        <v>4</v>
      </c>
      <c r="AD97" s="1097">
        <v>4</v>
      </c>
      <c r="AE97" s="1205">
        <v>4</v>
      </c>
      <c r="AF97" s="1205">
        <v>4</v>
      </c>
      <c r="AG97" s="1097">
        <v>4</v>
      </c>
      <c r="AH97" s="1097">
        <v>4</v>
      </c>
      <c r="AI97" s="1328">
        <v>4</v>
      </c>
      <c r="AJ97" s="663"/>
      <c r="AK97" s="1004">
        <f t="shared" si="41"/>
        <v>0</v>
      </c>
      <c r="AL97" s="646"/>
      <c r="AM97" s="1007">
        <f t="shared" si="42"/>
        <v>0</v>
      </c>
      <c r="AN97" s="31"/>
      <c r="AO97" s="622"/>
      <c r="AP97" s="47"/>
      <c r="AQ97" s="48"/>
      <c r="AR97" s="48"/>
      <c r="AS97" s="48"/>
      <c r="AT97" s="48"/>
      <c r="AU97" s="48"/>
      <c r="AV97" s="214"/>
    </row>
    <row r="98" spans="1:48" s="644" customFormat="1" ht="20.65" customHeight="1">
      <c r="A98" s="224" t="s">
        <v>284</v>
      </c>
      <c r="B98" s="89"/>
      <c r="C98" s="80" t="s">
        <v>108</v>
      </c>
      <c r="D98" s="81" t="s">
        <v>109</v>
      </c>
      <c r="E98" s="1125">
        <f>SUM(E92+E94+E96+E95)/E97</f>
        <v>0</v>
      </c>
      <c r="F98" s="1125">
        <f>SUM(F92+F94+F96+F95)/F97</f>
        <v>0</v>
      </c>
      <c r="G98" s="1233">
        <f>SUM(G92+G94+G96+G95)/G97</f>
        <v>0</v>
      </c>
      <c r="H98" s="1125">
        <f t="shared" ref="H98:AI98" si="59">SUM(H92+H94+H96+H95)/H97</f>
        <v>0</v>
      </c>
      <c r="I98" s="1125">
        <f t="shared" si="59"/>
        <v>0</v>
      </c>
      <c r="J98" s="1233">
        <f t="shared" si="59"/>
        <v>0</v>
      </c>
      <c r="K98" s="1233">
        <f t="shared" si="59"/>
        <v>0</v>
      </c>
      <c r="L98" s="1125">
        <f>SUM(L92+L94+L96+L95)/L97</f>
        <v>0</v>
      </c>
      <c r="M98" s="1125">
        <f>SUM(M92+M94+M96+M95)/M97</f>
        <v>0</v>
      </c>
      <c r="N98" s="1125">
        <f t="shared" si="59"/>
        <v>0</v>
      </c>
      <c r="O98" s="1125">
        <f t="shared" si="59"/>
        <v>0</v>
      </c>
      <c r="P98" s="1125">
        <f t="shared" si="59"/>
        <v>0</v>
      </c>
      <c r="Q98" s="1233">
        <f t="shared" si="59"/>
        <v>0</v>
      </c>
      <c r="R98" s="1233">
        <f t="shared" si="59"/>
        <v>0</v>
      </c>
      <c r="S98" s="1125">
        <f t="shared" si="59"/>
        <v>0</v>
      </c>
      <c r="T98" s="1125">
        <f t="shared" si="59"/>
        <v>0</v>
      </c>
      <c r="U98" s="1125">
        <f t="shared" si="59"/>
        <v>0</v>
      </c>
      <c r="V98" s="1125">
        <f t="shared" si="59"/>
        <v>0</v>
      </c>
      <c r="W98" s="1125">
        <f t="shared" si="59"/>
        <v>0</v>
      </c>
      <c r="X98" s="1233">
        <f t="shared" si="59"/>
        <v>0</v>
      </c>
      <c r="Y98" s="1233">
        <f t="shared" si="59"/>
        <v>0</v>
      </c>
      <c r="Z98" s="1125">
        <f t="shared" si="59"/>
        <v>0</v>
      </c>
      <c r="AA98" s="1125">
        <f t="shared" si="59"/>
        <v>0</v>
      </c>
      <c r="AB98" s="1125">
        <f t="shared" si="59"/>
        <v>0</v>
      </c>
      <c r="AC98" s="1125">
        <f t="shared" si="59"/>
        <v>0</v>
      </c>
      <c r="AD98" s="1125">
        <f t="shared" si="59"/>
        <v>0</v>
      </c>
      <c r="AE98" s="1233">
        <f t="shared" si="59"/>
        <v>0</v>
      </c>
      <c r="AF98" s="1233">
        <f t="shared" si="59"/>
        <v>0</v>
      </c>
      <c r="AG98" s="1125">
        <f t="shared" si="59"/>
        <v>0</v>
      </c>
      <c r="AH98" s="1125">
        <f t="shared" si="59"/>
        <v>0</v>
      </c>
      <c r="AI98" s="1409">
        <f t="shared" si="59"/>
        <v>0</v>
      </c>
      <c r="AJ98" s="104">
        <f>SUM(E98:AI98)</f>
        <v>0</v>
      </c>
      <c r="AK98" s="993">
        <f t="shared" si="41"/>
        <v>0</v>
      </c>
      <c r="AL98" s="650"/>
      <c r="AM98" s="1008">
        <f t="shared" si="42"/>
        <v>0</v>
      </c>
      <c r="AN98" s="31"/>
      <c r="AO98" s="622"/>
      <c r="AP98" s="651"/>
      <c r="AQ98" s="651"/>
      <c r="AR98" s="651"/>
      <c r="AS98" s="651"/>
      <c r="AT98" s="651"/>
      <c r="AU98" s="651"/>
      <c r="AV98" s="651"/>
    </row>
    <row r="99" spans="1:48" s="644" customFormat="1" ht="20.65" customHeight="1">
      <c r="A99" s="215"/>
      <c r="B99" s="89"/>
      <c r="C99" s="84">
        <f>+C97*0.8</f>
        <v>240000</v>
      </c>
      <c r="D99" s="85" t="s">
        <v>110</v>
      </c>
      <c r="E99" s="1125"/>
      <c r="F99" s="1126"/>
      <c r="G99" s="1235"/>
      <c r="H99" s="1126"/>
      <c r="I99" s="1126"/>
      <c r="J99" s="1235"/>
      <c r="K99" s="1235"/>
      <c r="L99" s="1126"/>
      <c r="M99" s="1126"/>
      <c r="N99" s="1126"/>
      <c r="O99" s="1126"/>
      <c r="P99" s="1126"/>
      <c r="Q99" s="1235"/>
      <c r="R99" s="1235"/>
      <c r="S99" s="1126"/>
      <c r="T99" s="1126"/>
      <c r="U99" s="1126"/>
      <c r="V99" s="1126"/>
      <c r="W99" s="1126"/>
      <c r="X99" s="1235"/>
      <c r="Y99" s="1235"/>
      <c r="Z99" s="1126"/>
      <c r="AA99" s="1126"/>
      <c r="AB99" s="1126"/>
      <c r="AC99" s="1126"/>
      <c r="AD99" s="1126"/>
      <c r="AE99" s="1235"/>
      <c r="AF99" s="1235"/>
      <c r="AG99" s="1126"/>
      <c r="AH99" s="1126"/>
      <c r="AI99" s="1335"/>
      <c r="AJ99" s="729"/>
      <c r="AK99" s="993">
        <f t="shared" si="41"/>
        <v>0</v>
      </c>
      <c r="AL99" s="650"/>
      <c r="AM99" s="1008">
        <f t="shared" si="42"/>
        <v>0</v>
      </c>
      <c r="AN99" s="222"/>
      <c r="AO99" s="637"/>
      <c r="AP99" s="651"/>
      <c r="AQ99" s="651"/>
      <c r="AR99" s="651"/>
      <c r="AS99" s="651"/>
      <c r="AT99" s="651"/>
      <c r="AU99" s="651"/>
      <c r="AV99" s="651"/>
    </row>
    <row r="100" spans="1:48" s="644" customFormat="1" ht="20.65" customHeight="1">
      <c r="A100" s="215"/>
      <c r="B100" s="89"/>
      <c r="C100" s="77"/>
      <c r="D100" s="88" t="s">
        <v>111</v>
      </c>
      <c r="E100" s="1125">
        <f>IF(E99="O/H",E98,0+E98)</f>
        <v>0</v>
      </c>
      <c r="F100" s="1126">
        <f>IF(F99="O/H",F98,+E100+F98)</f>
        <v>0</v>
      </c>
      <c r="G100" s="1235">
        <f t="shared" ref="G100:AI100" si="60">IF(G99="O/H",G98,+F100+G98)</f>
        <v>0</v>
      </c>
      <c r="H100" s="1126">
        <f t="shared" si="60"/>
        <v>0</v>
      </c>
      <c r="I100" s="1126">
        <f t="shared" si="60"/>
        <v>0</v>
      </c>
      <c r="J100" s="1235">
        <f t="shared" si="60"/>
        <v>0</v>
      </c>
      <c r="K100" s="1235">
        <f t="shared" si="60"/>
        <v>0</v>
      </c>
      <c r="L100" s="1126">
        <f t="shared" si="60"/>
        <v>0</v>
      </c>
      <c r="M100" s="1126">
        <f t="shared" si="60"/>
        <v>0</v>
      </c>
      <c r="N100" s="1126">
        <f t="shared" si="60"/>
        <v>0</v>
      </c>
      <c r="O100" s="1126">
        <f t="shared" si="60"/>
        <v>0</v>
      </c>
      <c r="P100" s="1126">
        <f t="shared" si="60"/>
        <v>0</v>
      </c>
      <c r="Q100" s="1235">
        <f t="shared" si="60"/>
        <v>0</v>
      </c>
      <c r="R100" s="1235">
        <f t="shared" si="60"/>
        <v>0</v>
      </c>
      <c r="S100" s="1126">
        <f t="shared" si="60"/>
        <v>0</v>
      </c>
      <c r="T100" s="1126">
        <f t="shared" si="60"/>
        <v>0</v>
      </c>
      <c r="U100" s="1126">
        <f t="shared" si="60"/>
        <v>0</v>
      </c>
      <c r="V100" s="1126">
        <f t="shared" si="60"/>
        <v>0</v>
      </c>
      <c r="W100" s="1126">
        <f t="shared" si="60"/>
        <v>0</v>
      </c>
      <c r="X100" s="1235">
        <f t="shared" si="60"/>
        <v>0</v>
      </c>
      <c r="Y100" s="1235">
        <f t="shared" si="60"/>
        <v>0</v>
      </c>
      <c r="Z100" s="1126">
        <f t="shared" si="60"/>
        <v>0</v>
      </c>
      <c r="AA100" s="1126">
        <f t="shared" si="60"/>
        <v>0</v>
      </c>
      <c r="AB100" s="1126">
        <f t="shared" si="60"/>
        <v>0</v>
      </c>
      <c r="AC100" s="1126">
        <f t="shared" si="60"/>
        <v>0</v>
      </c>
      <c r="AD100" s="1126">
        <f t="shared" si="60"/>
        <v>0</v>
      </c>
      <c r="AE100" s="1235">
        <f t="shared" si="60"/>
        <v>0</v>
      </c>
      <c r="AF100" s="1235">
        <f t="shared" si="60"/>
        <v>0</v>
      </c>
      <c r="AG100" s="1126">
        <f t="shared" si="60"/>
        <v>0</v>
      </c>
      <c r="AH100" s="1126">
        <f t="shared" si="60"/>
        <v>0</v>
      </c>
      <c r="AI100" s="1335">
        <f t="shared" si="60"/>
        <v>0</v>
      </c>
      <c r="AJ100" s="104"/>
      <c r="AK100" s="993">
        <f t="shared" si="41"/>
        <v>0</v>
      </c>
      <c r="AL100" s="650"/>
      <c r="AM100" s="1008">
        <f t="shared" si="42"/>
        <v>0</v>
      </c>
      <c r="AN100" s="222"/>
      <c r="AO100" s="637"/>
      <c r="AP100" s="651"/>
      <c r="AQ100" s="651"/>
      <c r="AR100" s="651"/>
      <c r="AS100" s="651"/>
      <c r="AT100" s="651"/>
      <c r="AU100" s="651"/>
      <c r="AV100" s="651"/>
    </row>
    <row r="101" spans="1:48" s="23" customFormat="1" ht="20.65" customHeight="1">
      <c r="A101" s="274"/>
      <c r="B101" s="312"/>
      <c r="C101" s="308"/>
      <c r="D101" s="795" t="s">
        <v>112</v>
      </c>
      <c r="E101" s="1108" t="b">
        <f>IF(AND(ISNUMBER(E92)),413134+E98)</f>
        <v>0</v>
      </c>
      <c r="F101" s="1089" t="str">
        <f>IF(AND(ISNUMBER(F92)),E101+F98,"")</f>
        <v/>
      </c>
      <c r="G101" s="44" t="str">
        <f t="shared" ref="G101:H101" si="61">IF(AND(ISNUMBER(G92)),F101+G98,"")</f>
        <v/>
      </c>
      <c r="H101" s="1089" t="str">
        <f t="shared" si="61"/>
        <v/>
      </c>
      <c r="I101" s="1089" t="str">
        <f>IF(AND(ISNUMBER(I92)),H101+I98,"")</f>
        <v/>
      </c>
      <c r="J101" s="44" t="str">
        <f>IF(AND(ISNUMBER(J92)),I101+J98,"")</f>
        <v/>
      </c>
      <c r="K101" s="44" t="str">
        <f>IF(AND(ISNUMBER(K92)),J101+K98,"")</f>
        <v/>
      </c>
      <c r="L101" s="1089" t="str">
        <f t="shared" ref="L101:AI101" si="62">IF(AND(ISNUMBER(L92)),K101+L98,"")</f>
        <v/>
      </c>
      <c r="M101" s="1089" t="str">
        <f t="shared" si="62"/>
        <v/>
      </c>
      <c r="N101" s="1089" t="str">
        <f t="shared" si="62"/>
        <v/>
      </c>
      <c r="O101" s="1089" t="str">
        <f t="shared" si="62"/>
        <v/>
      </c>
      <c r="P101" s="1089" t="str">
        <f t="shared" si="62"/>
        <v/>
      </c>
      <c r="Q101" s="44" t="str">
        <f t="shared" si="62"/>
        <v/>
      </c>
      <c r="R101" s="44" t="str">
        <f t="shared" si="62"/>
        <v/>
      </c>
      <c r="S101" s="1089" t="str">
        <f t="shared" si="62"/>
        <v/>
      </c>
      <c r="T101" s="1089" t="str">
        <f t="shared" si="62"/>
        <v/>
      </c>
      <c r="U101" s="1089" t="str">
        <f t="shared" si="62"/>
        <v/>
      </c>
      <c r="V101" s="1089" t="str">
        <f t="shared" si="62"/>
        <v/>
      </c>
      <c r="W101" s="1089" t="str">
        <f t="shared" si="62"/>
        <v/>
      </c>
      <c r="X101" s="44" t="str">
        <f t="shared" si="62"/>
        <v/>
      </c>
      <c r="Y101" s="44" t="str">
        <f t="shared" si="62"/>
        <v/>
      </c>
      <c r="Z101" s="1089" t="str">
        <f t="shared" si="62"/>
        <v/>
      </c>
      <c r="AA101" s="1089" t="str">
        <f t="shared" si="62"/>
        <v/>
      </c>
      <c r="AB101" s="1089" t="str">
        <f t="shared" si="62"/>
        <v/>
      </c>
      <c r="AC101" s="1089" t="str">
        <f t="shared" si="62"/>
        <v/>
      </c>
      <c r="AD101" s="1089" t="str">
        <f t="shared" si="62"/>
        <v/>
      </c>
      <c r="AE101" s="44" t="str">
        <f t="shared" si="62"/>
        <v/>
      </c>
      <c r="AF101" s="44" t="str">
        <f t="shared" si="62"/>
        <v/>
      </c>
      <c r="AG101" s="1089" t="str">
        <f t="shared" si="62"/>
        <v/>
      </c>
      <c r="AH101" s="1089" t="str">
        <f t="shared" si="62"/>
        <v/>
      </c>
      <c r="AI101" s="1089" t="str">
        <f t="shared" si="62"/>
        <v/>
      </c>
      <c r="AJ101" s="793"/>
      <c r="AK101" s="985">
        <f t="shared" si="41"/>
        <v>0</v>
      </c>
      <c r="AL101" s="909"/>
      <c r="AM101" s="987">
        <f t="shared" si="42"/>
        <v>0</v>
      </c>
      <c r="AN101" s="76"/>
      <c r="AO101" s="630"/>
      <c r="AP101" s="285"/>
      <c r="AQ101" s="285"/>
      <c r="AR101" s="285"/>
      <c r="AS101" s="285"/>
      <c r="AT101" s="286"/>
      <c r="AU101" s="285"/>
      <c r="AV101" s="287"/>
    </row>
    <row r="102" spans="1:48" s="644" customFormat="1" ht="20.65" customHeight="1">
      <c r="A102" s="215" t="s">
        <v>242</v>
      </c>
      <c r="B102" s="89" t="s">
        <v>288</v>
      </c>
      <c r="C102" s="80"/>
      <c r="D102" s="90" t="s">
        <v>104</v>
      </c>
      <c r="E102" s="1108"/>
      <c r="F102" s="1089"/>
      <c r="G102" s="44"/>
      <c r="H102" s="1089"/>
      <c r="I102" s="1089"/>
      <c r="J102" s="44"/>
      <c r="K102" s="44"/>
      <c r="L102" s="1089"/>
      <c r="M102" s="1089"/>
      <c r="N102" s="1089"/>
      <c r="O102" s="1089"/>
      <c r="P102" s="1089"/>
      <c r="Q102" s="44"/>
      <c r="R102" s="44"/>
      <c r="S102" s="1089"/>
      <c r="T102" s="1089"/>
      <c r="U102" s="1089"/>
      <c r="V102" s="1089"/>
      <c r="W102" s="1089"/>
      <c r="X102" s="44"/>
      <c r="Y102" s="44"/>
      <c r="Z102" s="1089"/>
      <c r="AA102" s="1089"/>
      <c r="AB102" s="1089"/>
      <c r="AC102" s="1089"/>
      <c r="AD102" s="1089"/>
      <c r="AE102" s="44"/>
      <c r="AF102" s="44"/>
      <c r="AG102" s="1089"/>
      <c r="AH102" s="1089"/>
      <c r="AI102" s="1089"/>
      <c r="AJ102" s="664"/>
      <c r="AK102" s="1004">
        <f t="shared" si="41"/>
        <v>0</v>
      </c>
      <c r="AL102" s="646"/>
      <c r="AM102" s="1007">
        <f t="shared" si="42"/>
        <v>0</v>
      </c>
      <c r="AN102" s="31"/>
      <c r="AO102" s="622"/>
      <c r="AP102" s="651"/>
      <c r="AQ102" s="651"/>
      <c r="AR102" s="651"/>
      <c r="AS102" s="651"/>
      <c r="AT102" s="651"/>
      <c r="AU102" s="651"/>
      <c r="AV102" s="651"/>
    </row>
    <row r="103" spans="1:48" s="644" customFormat="1" ht="20.65" customHeight="1" thickBot="1">
      <c r="A103" s="216" t="s">
        <v>242</v>
      </c>
      <c r="B103" s="93"/>
      <c r="C103" s="94"/>
      <c r="D103" s="95" t="s">
        <v>111</v>
      </c>
      <c r="E103" s="1109">
        <f>IF(E102="O/H",E98,0+E98)</f>
        <v>0</v>
      </c>
      <c r="F103" s="1110">
        <f t="shared" ref="F103:AF103" si="63">IF(F102="O/H",F98,+E103+F98)</f>
        <v>0</v>
      </c>
      <c r="G103" s="1212">
        <f t="shared" si="63"/>
        <v>0</v>
      </c>
      <c r="H103" s="1110">
        <f t="shared" si="63"/>
        <v>0</v>
      </c>
      <c r="I103" s="1110">
        <f t="shared" si="63"/>
        <v>0</v>
      </c>
      <c r="J103" s="1212">
        <f t="shared" si="63"/>
        <v>0</v>
      </c>
      <c r="K103" s="1212">
        <f t="shared" si="63"/>
        <v>0</v>
      </c>
      <c r="L103" s="1110">
        <f t="shared" si="63"/>
        <v>0</v>
      </c>
      <c r="M103" s="1110">
        <f t="shared" si="63"/>
        <v>0</v>
      </c>
      <c r="N103" s="1110">
        <f t="shared" si="63"/>
        <v>0</v>
      </c>
      <c r="O103" s="1110">
        <f t="shared" si="63"/>
        <v>0</v>
      </c>
      <c r="P103" s="1110">
        <f t="shared" si="63"/>
        <v>0</v>
      </c>
      <c r="Q103" s="1212">
        <f t="shared" si="63"/>
        <v>0</v>
      </c>
      <c r="R103" s="1212">
        <f t="shared" si="63"/>
        <v>0</v>
      </c>
      <c r="S103" s="1110">
        <f t="shared" si="63"/>
        <v>0</v>
      </c>
      <c r="T103" s="1110">
        <f t="shared" si="63"/>
        <v>0</v>
      </c>
      <c r="U103" s="1110">
        <f t="shared" si="63"/>
        <v>0</v>
      </c>
      <c r="V103" s="1110">
        <f t="shared" si="63"/>
        <v>0</v>
      </c>
      <c r="W103" s="1110">
        <f t="shared" si="63"/>
        <v>0</v>
      </c>
      <c r="X103" s="1212">
        <f t="shared" si="63"/>
        <v>0</v>
      </c>
      <c r="Y103" s="1212">
        <f t="shared" si="63"/>
        <v>0</v>
      </c>
      <c r="Z103" s="1110">
        <f t="shared" si="63"/>
        <v>0</v>
      </c>
      <c r="AA103" s="1110">
        <f t="shared" si="63"/>
        <v>0</v>
      </c>
      <c r="AB103" s="1110">
        <f t="shared" si="63"/>
        <v>0</v>
      </c>
      <c r="AC103" s="1110">
        <f t="shared" si="63"/>
        <v>0</v>
      </c>
      <c r="AD103" s="1110">
        <f t="shared" si="63"/>
        <v>0</v>
      </c>
      <c r="AE103" s="1212">
        <f t="shared" si="63"/>
        <v>0</v>
      </c>
      <c r="AF103" s="1212">
        <f t="shared" si="63"/>
        <v>0</v>
      </c>
      <c r="AG103" s="1110">
        <f>IF(AG102="O/H",AG98,+AF103+AG98)</f>
        <v>0</v>
      </c>
      <c r="AH103" s="1110">
        <f>IF(AH102="O/H",AH98,+AG103+AH98)</f>
        <v>0</v>
      </c>
      <c r="AI103" s="1110">
        <f>IF(AI102="O/H",AI98,+AH103+AI98)</f>
        <v>0</v>
      </c>
      <c r="AJ103" s="730"/>
      <c r="AK103" s="1005">
        <f t="shared" si="41"/>
        <v>0</v>
      </c>
      <c r="AL103" s="652"/>
      <c r="AM103" s="1009">
        <f t="shared" si="42"/>
        <v>0</v>
      </c>
      <c r="AN103" s="98"/>
      <c r="AO103" s="625"/>
      <c r="AP103" s="651"/>
      <c r="AQ103" s="651"/>
      <c r="AR103" s="651"/>
      <c r="AS103" s="651"/>
      <c r="AT103" s="651"/>
      <c r="AU103" s="651"/>
      <c r="AV103" s="651"/>
    </row>
    <row r="104" spans="1:48" s="644" customFormat="1" ht="20.65" customHeight="1" thickTop="1">
      <c r="A104" s="949" t="s">
        <v>698</v>
      </c>
      <c r="B104" s="219" t="s">
        <v>613</v>
      </c>
      <c r="C104" s="1495" t="str">
        <f>Table511[[#This Row],[M/C No.]]</f>
        <v>A9(100ton)</v>
      </c>
      <c r="D104" s="28" t="s">
        <v>82</v>
      </c>
      <c r="E104" s="1124"/>
      <c r="F104" s="1124"/>
      <c r="G104" s="1242"/>
      <c r="H104" s="1124"/>
      <c r="I104" s="1124"/>
      <c r="J104" s="1242"/>
      <c r="K104" s="1242"/>
      <c r="L104" s="1124"/>
      <c r="M104" s="1124"/>
      <c r="N104" s="1124"/>
      <c r="O104" s="1124"/>
      <c r="P104" s="1124"/>
      <c r="Q104" s="1242"/>
      <c r="R104" s="1242"/>
      <c r="S104" s="1124"/>
      <c r="T104" s="1124"/>
      <c r="U104" s="1124"/>
      <c r="V104" s="1124"/>
      <c r="W104" s="1124"/>
      <c r="X104" s="1242"/>
      <c r="Y104" s="1242"/>
      <c r="Z104" s="1124"/>
      <c r="AA104" s="1124"/>
      <c r="AB104" s="1124"/>
      <c r="AC104" s="1124"/>
      <c r="AD104" s="1124"/>
      <c r="AE104" s="1242"/>
      <c r="AF104" s="1242"/>
      <c r="AG104" s="1124"/>
      <c r="AH104" s="1124"/>
      <c r="AI104" s="1350"/>
      <c r="AJ104" s="570">
        <f>SUM(E104:AI104)</f>
        <v>0</v>
      </c>
      <c r="AK104" s="991">
        <f t="shared" si="41"/>
        <v>0</v>
      </c>
      <c r="AL104" s="571">
        <f>+AJ104*AN104</f>
        <v>0</v>
      </c>
      <c r="AM104" s="992">
        <f t="shared" si="42"/>
        <v>0</v>
      </c>
      <c r="AN104" s="102">
        <v>4.1727299999999996</v>
      </c>
      <c r="AO104" s="622">
        <f>Table511[[#This Row],[Total]]*B108/1000</f>
        <v>0</v>
      </c>
      <c r="AP104" s="32" t="s">
        <v>145</v>
      </c>
      <c r="AQ104" s="33" t="s">
        <v>84</v>
      </c>
      <c r="AR104" s="33" t="s">
        <v>85</v>
      </c>
      <c r="AS104" s="33" t="s">
        <v>86</v>
      </c>
      <c r="AT104" s="33" t="s">
        <v>87</v>
      </c>
      <c r="AU104" s="33" t="s">
        <v>88</v>
      </c>
      <c r="AV104" s="34" t="s">
        <v>68</v>
      </c>
    </row>
    <row r="105" spans="1:48" s="644" customFormat="1" ht="20.65" customHeight="1">
      <c r="A105" s="639"/>
      <c r="B105" s="219" t="s">
        <v>286</v>
      </c>
      <c r="C105" s="640"/>
      <c r="D105" s="37" t="s">
        <v>90</v>
      </c>
      <c r="E105" s="1323">
        <f>IF(E104="",0,+ E104/E111)</f>
        <v>0</v>
      </c>
      <c r="F105" s="1096">
        <f t="shared" ref="F105:AC105" si="64">IF(F104="",0, E105+F104/F111)</f>
        <v>0</v>
      </c>
      <c r="G105" s="1207">
        <f t="shared" si="64"/>
        <v>0</v>
      </c>
      <c r="H105" s="1096">
        <f t="shared" si="64"/>
        <v>0</v>
      </c>
      <c r="I105" s="1096">
        <f t="shared" si="64"/>
        <v>0</v>
      </c>
      <c r="J105" s="1207">
        <f t="shared" si="64"/>
        <v>0</v>
      </c>
      <c r="K105" s="1207">
        <f t="shared" si="64"/>
        <v>0</v>
      </c>
      <c r="L105" s="1096">
        <f t="shared" si="64"/>
        <v>0</v>
      </c>
      <c r="M105" s="1096">
        <f t="shared" si="64"/>
        <v>0</v>
      </c>
      <c r="N105" s="1096">
        <f t="shared" si="64"/>
        <v>0</v>
      </c>
      <c r="O105" s="1096">
        <f t="shared" si="64"/>
        <v>0</v>
      </c>
      <c r="P105" s="1096">
        <f t="shared" si="64"/>
        <v>0</v>
      </c>
      <c r="Q105" s="1207">
        <f t="shared" si="64"/>
        <v>0</v>
      </c>
      <c r="R105" s="1207">
        <f t="shared" si="64"/>
        <v>0</v>
      </c>
      <c r="S105" s="1096">
        <f t="shared" si="64"/>
        <v>0</v>
      </c>
      <c r="T105" s="1096">
        <f t="shared" si="64"/>
        <v>0</v>
      </c>
      <c r="U105" s="1096">
        <f t="shared" si="64"/>
        <v>0</v>
      </c>
      <c r="V105" s="1096">
        <f t="shared" si="64"/>
        <v>0</v>
      </c>
      <c r="W105" s="1096">
        <f t="shared" si="64"/>
        <v>0</v>
      </c>
      <c r="X105" s="1207">
        <f t="shared" si="64"/>
        <v>0</v>
      </c>
      <c r="Y105" s="1207">
        <f t="shared" si="64"/>
        <v>0</v>
      </c>
      <c r="Z105" s="1096">
        <f t="shared" si="64"/>
        <v>0</v>
      </c>
      <c r="AA105" s="1096">
        <f t="shared" si="64"/>
        <v>0</v>
      </c>
      <c r="AB105" s="1096">
        <f t="shared" si="64"/>
        <v>0</v>
      </c>
      <c r="AC105" s="1096">
        <f t="shared" si="64"/>
        <v>0</v>
      </c>
      <c r="AD105" s="1096">
        <f>IF(AD104="",0, Z105+AD104/AD111)</f>
        <v>0</v>
      </c>
      <c r="AE105" s="1207">
        <f>IF(AE104="",0, AA105+AE104/AE111)</f>
        <v>0</v>
      </c>
      <c r="AF105" s="1207">
        <f>IF(AF104="",0, AB105+AF104/AF111)</f>
        <v>0</v>
      </c>
      <c r="AG105" s="1096">
        <f>IF(AG104="",0, AC105+AG104/AG111)</f>
        <v>0</v>
      </c>
      <c r="AH105" s="1096">
        <f>IF(AH104="",0, AD105+AH104/AH111)</f>
        <v>0</v>
      </c>
      <c r="AI105" s="1324">
        <f>IF(AI104="",0, AH105+AI104/AI111)</f>
        <v>0</v>
      </c>
      <c r="AJ105" s="728"/>
      <c r="AK105" s="1003">
        <f t="shared" si="41"/>
        <v>0</v>
      </c>
      <c r="AL105" s="641"/>
      <c r="AM105" s="1006">
        <f t="shared" si="42"/>
        <v>0</v>
      </c>
      <c r="AN105" s="642"/>
      <c r="AO105" s="630"/>
      <c r="AP105" s="39" t="s">
        <v>91</v>
      </c>
      <c r="AQ105" s="40">
        <f>SUM(E104:K104)</f>
        <v>0</v>
      </c>
      <c r="AR105" s="41">
        <f>SUM(L104:R104)</f>
        <v>0</v>
      </c>
      <c r="AS105" s="41">
        <f>SUM(S104:Y104)</f>
        <v>0</v>
      </c>
      <c r="AT105" s="41">
        <f>SUM(Z104:AF104)</f>
        <v>0</v>
      </c>
      <c r="AU105" s="41">
        <f>SUM(AG104:AI104)</f>
        <v>0</v>
      </c>
      <c r="AV105" s="34">
        <f t="shared" ref="AV105:AV110" si="65">SUM(AQ105:AU105)</f>
        <v>0</v>
      </c>
    </row>
    <row r="106" spans="1:48" s="644" customFormat="1" ht="20.65" customHeight="1">
      <c r="A106" s="224" t="s">
        <v>290</v>
      </c>
      <c r="B106" s="89" t="s">
        <v>246</v>
      </c>
      <c r="C106" s="42"/>
      <c r="D106" s="43" t="s">
        <v>93</v>
      </c>
      <c r="E106" s="1108"/>
      <c r="F106" s="1089"/>
      <c r="G106" s="44"/>
      <c r="H106" s="1089"/>
      <c r="I106" s="1089"/>
      <c r="J106" s="44"/>
      <c r="K106" s="44"/>
      <c r="L106" s="1089"/>
      <c r="M106" s="1089"/>
      <c r="N106" s="1089"/>
      <c r="O106" s="1089"/>
      <c r="P106" s="1089"/>
      <c r="Q106" s="44"/>
      <c r="R106" s="44"/>
      <c r="S106" s="1089"/>
      <c r="T106" s="1089"/>
      <c r="U106" s="1089"/>
      <c r="V106" s="1089"/>
      <c r="W106" s="1089"/>
      <c r="X106" s="44"/>
      <c r="Y106" s="44"/>
      <c r="Z106" s="1089"/>
      <c r="AA106" s="1089"/>
      <c r="AB106" s="1089"/>
      <c r="AC106" s="1089"/>
      <c r="AD106" s="1089"/>
      <c r="AE106" s="44"/>
      <c r="AF106" s="44"/>
      <c r="AG106" s="1089"/>
      <c r="AH106" s="1089"/>
      <c r="AI106" s="1326"/>
      <c r="AJ106" s="662">
        <f>SUM(E106:AI106)</f>
        <v>0</v>
      </c>
      <c r="AK106" s="1004">
        <f t="shared" si="41"/>
        <v>0</v>
      </c>
      <c r="AL106" s="645">
        <f>+AJ106*AN104</f>
        <v>0</v>
      </c>
      <c r="AM106" s="1007">
        <f t="shared" si="42"/>
        <v>0</v>
      </c>
      <c r="AN106" s="31"/>
      <c r="AO106" s="632">
        <f>(AJ106+AJ108+AJ109+AJ110)*B108/1000</f>
        <v>0</v>
      </c>
      <c r="AP106" s="47" t="s">
        <v>94</v>
      </c>
      <c r="AQ106" s="48">
        <f>SUM(E106:K106)</f>
        <v>0</v>
      </c>
      <c r="AR106" s="49">
        <f>SUM(L106:R106)</f>
        <v>0</v>
      </c>
      <c r="AS106" s="49">
        <f>SUM(S106:Y106)</f>
        <v>0</v>
      </c>
      <c r="AT106" s="49">
        <f>SUM(Z106:AF106)</f>
        <v>0</v>
      </c>
      <c r="AU106" s="49">
        <f>SUM(AG106:AI106)</f>
        <v>0</v>
      </c>
      <c r="AV106" s="50">
        <f t="shared" si="65"/>
        <v>0</v>
      </c>
    </row>
    <row r="107" spans="1:48" s="644" customFormat="1" ht="20.65" customHeight="1">
      <c r="A107" s="224" t="s">
        <v>289</v>
      </c>
      <c r="B107" s="638" t="s">
        <v>247</v>
      </c>
      <c r="C107" s="52" t="s">
        <v>95</v>
      </c>
      <c r="D107" s="53" t="s">
        <v>96</v>
      </c>
      <c r="E107" s="1137">
        <f>+E106-E104</f>
        <v>0</v>
      </c>
      <c r="F107" s="1097">
        <f t="shared" ref="F107:AJ107" si="66">+F106-F104</f>
        <v>0</v>
      </c>
      <c r="G107" s="1205">
        <f t="shared" si="66"/>
        <v>0</v>
      </c>
      <c r="H107" s="1097">
        <f t="shared" si="66"/>
        <v>0</v>
      </c>
      <c r="I107" s="1097">
        <f t="shared" si="66"/>
        <v>0</v>
      </c>
      <c r="J107" s="1205">
        <f t="shared" si="66"/>
        <v>0</v>
      </c>
      <c r="K107" s="1205">
        <f t="shared" si="66"/>
        <v>0</v>
      </c>
      <c r="L107" s="1097">
        <f t="shared" si="66"/>
        <v>0</v>
      </c>
      <c r="M107" s="1097">
        <f t="shared" si="66"/>
        <v>0</v>
      </c>
      <c r="N107" s="1097">
        <f t="shared" si="66"/>
        <v>0</v>
      </c>
      <c r="O107" s="1097">
        <f t="shared" si="66"/>
        <v>0</v>
      </c>
      <c r="P107" s="1097">
        <v>0</v>
      </c>
      <c r="Q107" s="1205">
        <f t="shared" si="66"/>
        <v>0</v>
      </c>
      <c r="R107" s="1205">
        <f t="shared" si="66"/>
        <v>0</v>
      </c>
      <c r="S107" s="1097">
        <f t="shared" si="66"/>
        <v>0</v>
      </c>
      <c r="T107" s="1097">
        <f t="shared" si="66"/>
        <v>0</v>
      </c>
      <c r="U107" s="1097">
        <f t="shared" si="66"/>
        <v>0</v>
      </c>
      <c r="V107" s="1097">
        <f t="shared" si="66"/>
        <v>0</v>
      </c>
      <c r="W107" s="1097">
        <f t="shared" si="66"/>
        <v>0</v>
      </c>
      <c r="X107" s="1205">
        <f t="shared" si="66"/>
        <v>0</v>
      </c>
      <c r="Y107" s="1205">
        <f t="shared" si="66"/>
        <v>0</v>
      </c>
      <c r="Z107" s="1097">
        <f t="shared" si="66"/>
        <v>0</v>
      </c>
      <c r="AA107" s="1097">
        <f t="shared" si="66"/>
        <v>0</v>
      </c>
      <c r="AB107" s="1097">
        <f t="shared" si="66"/>
        <v>0</v>
      </c>
      <c r="AC107" s="1097">
        <f t="shared" si="66"/>
        <v>0</v>
      </c>
      <c r="AD107" s="1097">
        <f t="shared" si="66"/>
        <v>0</v>
      </c>
      <c r="AE107" s="1205">
        <f t="shared" si="66"/>
        <v>0</v>
      </c>
      <c r="AF107" s="1205">
        <f t="shared" si="66"/>
        <v>0</v>
      </c>
      <c r="AG107" s="1097">
        <f t="shared" si="66"/>
        <v>0</v>
      </c>
      <c r="AH107" s="1097">
        <f t="shared" si="66"/>
        <v>0</v>
      </c>
      <c r="AI107" s="1328">
        <f t="shared" si="66"/>
        <v>0</v>
      </c>
      <c r="AJ107" s="663">
        <f t="shared" si="66"/>
        <v>0</v>
      </c>
      <c r="AK107" s="1004">
        <f t="shared" si="41"/>
        <v>0</v>
      </c>
      <c r="AL107" s="646">
        <f>+AJ107*AN104</f>
        <v>0</v>
      </c>
      <c r="AM107" s="1007">
        <f t="shared" si="42"/>
        <v>0</v>
      </c>
      <c r="AN107" s="31" t="s">
        <v>97</v>
      </c>
      <c r="AO107" s="622"/>
      <c r="AP107" s="39" t="s">
        <v>98</v>
      </c>
      <c r="AQ107" s="56">
        <f>AQ106-AQ105</f>
        <v>0</v>
      </c>
      <c r="AR107" s="70">
        <f>AR106-AR105</f>
        <v>0</v>
      </c>
      <c r="AS107" s="70">
        <f>AS106-AS105</f>
        <v>0</v>
      </c>
      <c r="AT107" s="70">
        <f>AT106-AT105</f>
        <v>0</v>
      </c>
      <c r="AU107" s="70">
        <f>AU106-AU105</f>
        <v>0</v>
      </c>
      <c r="AV107" s="57">
        <f t="shared" si="65"/>
        <v>0</v>
      </c>
    </row>
    <row r="108" spans="1:48" s="644" customFormat="1" ht="20.65" customHeight="1">
      <c r="A108" s="226"/>
      <c r="B108" s="638">
        <v>9.3989999999999991</v>
      </c>
      <c r="C108" s="60" t="s">
        <v>100</v>
      </c>
      <c r="D108" s="61" t="s">
        <v>101</v>
      </c>
      <c r="E108" s="1098"/>
      <c r="F108" s="1099"/>
      <c r="G108" s="1208"/>
      <c r="H108" s="1099"/>
      <c r="I108" s="1099"/>
      <c r="J108" s="1208"/>
      <c r="K108" s="1208"/>
      <c r="L108" s="1099"/>
      <c r="M108" s="1099"/>
      <c r="N108" s="1099"/>
      <c r="O108" s="1099"/>
      <c r="P108" s="1099"/>
      <c r="Q108" s="1208"/>
      <c r="R108" s="1208"/>
      <c r="S108" s="1099"/>
      <c r="T108" s="1099"/>
      <c r="U108" s="1099"/>
      <c r="V108" s="1099"/>
      <c r="W108" s="1099"/>
      <c r="X108" s="1208"/>
      <c r="Y108" s="1208"/>
      <c r="Z108" s="1099"/>
      <c r="AA108" s="1099"/>
      <c r="AB108" s="1099"/>
      <c r="AC108" s="1099"/>
      <c r="AD108" s="1099"/>
      <c r="AE108" s="1208"/>
      <c r="AF108" s="1208"/>
      <c r="AG108" s="1099"/>
      <c r="AH108" s="1099"/>
      <c r="AI108" s="1330"/>
      <c r="AJ108" s="664">
        <f>SUM(E108:AI108)</f>
        <v>0</v>
      </c>
      <c r="AK108" s="1004">
        <f t="shared" si="41"/>
        <v>0</v>
      </c>
      <c r="AL108" s="647">
        <f>+AJ108*AN104</f>
        <v>0</v>
      </c>
      <c r="AM108" s="1008">
        <f t="shared" si="42"/>
        <v>0</v>
      </c>
      <c r="AN108" s="64" t="e">
        <f>+AJ108/AJ106*100</f>
        <v>#DIV/0!</v>
      </c>
      <c r="AO108" s="635" t="e">
        <f>AO106/AO104</f>
        <v>#DIV/0!</v>
      </c>
      <c r="AP108" s="39" t="s">
        <v>102</v>
      </c>
      <c r="AQ108" s="56">
        <f>SUM(E108:K108)</f>
        <v>0</v>
      </c>
      <c r="AR108" s="70">
        <f>SUM(L108:R108)</f>
        <v>0</v>
      </c>
      <c r="AS108" s="70">
        <f>SUM(S108:Y108)</f>
        <v>0</v>
      </c>
      <c r="AT108" s="70">
        <f>SUM(Z108:AF108)</f>
        <v>0</v>
      </c>
      <c r="AU108" s="70">
        <f>SUM(AG108:AI108)</f>
        <v>0</v>
      </c>
      <c r="AV108" s="57">
        <f t="shared" si="65"/>
        <v>0</v>
      </c>
    </row>
    <row r="109" spans="1:48" s="644" customFormat="1" ht="20.65" customHeight="1">
      <c r="A109" s="210" t="s">
        <v>245</v>
      </c>
      <c r="B109" s="213"/>
      <c r="C109" s="66"/>
      <c r="D109" s="67" t="s">
        <v>103</v>
      </c>
      <c r="E109" s="1100"/>
      <c r="F109" s="1101"/>
      <c r="G109" s="1209"/>
      <c r="H109" s="1101"/>
      <c r="I109" s="1101"/>
      <c r="J109" s="1209"/>
      <c r="K109" s="1209"/>
      <c r="L109" s="1101"/>
      <c r="M109" s="1101"/>
      <c r="N109" s="1101"/>
      <c r="O109" s="1101"/>
      <c r="P109" s="1101"/>
      <c r="Q109" s="1209"/>
      <c r="R109" s="1209"/>
      <c r="S109" s="1101"/>
      <c r="T109" s="1101"/>
      <c r="U109" s="1101"/>
      <c r="V109" s="1101"/>
      <c r="W109" s="1101"/>
      <c r="X109" s="1209"/>
      <c r="Y109" s="1209"/>
      <c r="Z109" s="1101"/>
      <c r="AA109" s="1101"/>
      <c r="AB109" s="1101"/>
      <c r="AC109" s="1101"/>
      <c r="AD109" s="1101"/>
      <c r="AE109" s="1209"/>
      <c r="AF109" s="1209"/>
      <c r="AG109" s="1101"/>
      <c r="AH109" s="1101"/>
      <c r="AI109" s="1332"/>
      <c r="AJ109" s="665">
        <f>SUM(E109:AI109)</f>
        <v>0</v>
      </c>
      <c r="AK109" s="1004">
        <f t="shared" si="41"/>
        <v>0</v>
      </c>
      <c r="AL109" s="648">
        <f>+AJ109*AN104</f>
        <v>0</v>
      </c>
      <c r="AM109" s="1008">
        <f t="shared" si="42"/>
        <v>0</v>
      </c>
      <c r="AN109" s="31"/>
      <c r="AO109" s="622"/>
      <c r="AP109" s="39" t="s">
        <v>19</v>
      </c>
      <c r="AQ109" s="56">
        <f>AQ108*AN104</f>
        <v>0</v>
      </c>
      <c r="AR109" s="56">
        <f>AR108*AN104</f>
        <v>0</v>
      </c>
      <c r="AS109" s="56">
        <f>AS108*AN104</f>
        <v>0</v>
      </c>
      <c r="AT109" s="56">
        <f>AT108*AN104</f>
        <v>0</v>
      </c>
      <c r="AU109" s="56">
        <f>AU108*AN104</f>
        <v>0</v>
      </c>
      <c r="AV109" s="57">
        <f t="shared" si="65"/>
        <v>0</v>
      </c>
    </row>
    <row r="110" spans="1:48" s="644" customFormat="1" ht="20.65" customHeight="1">
      <c r="A110" s="210" t="s">
        <v>245</v>
      </c>
      <c r="B110" s="213"/>
      <c r="C110" s="72" t="s">
        <v>104</v>
      </c>
      <c r="D110" s="73" t="s">
        <v>105</v>
      </c>
      <c r="E110" s="1115"/>
      <c r="F110" s="1116"/>
      <c r="G110" s="1215"/>
      <c r="H110" s="1116"/>
      <c r="I110" s="1116"/>
      <c r="J110" s="1215"/>
      <c r="K110" s="1215"/>
      <c r="L110" s="1116"/>
      <c r="M110" s="1116"/>
      <c r="N110" s="1116"/>
      <c r="O110" s="1116"/>
      <c r="P110" s="1116"/>
      <c r="Q110" s="1215"/>
      <c r="R110" s="1215"/>
      <c r="S110" s="1116"/>
      <c r="T110" s="1116"/>
      <c r="U110" s="1116"/>
      <c r="V110" s="1116"/>
      <c r="W110" s="1116"/>
      <c r="X110" s="1215"/>
      <c r="Y110" s="1215"/>
      <c r="Z110" s="1116"/>
      <c r="AA110" s="1116"/>
      <c r="AB110" s="1116"/>
      <c r="AC110" s="1116"/>
      <c r="AD110" s="1116"/>
      <c r="AE110" s="1215"/>
      <c r="AF110" s="1215"/>
      <c r="AG110" s="1116"/>
      <c r="AH110" s="1116"/>
      <c r="AI110" s="1334"/>
      <c r="AJ110" s="731">
        <f>SUM(E110:AI110)</f>
        <v>0</v>
      </c>
      <c r="AK110" s="1004">
        <f t="shared" si="41"/>
        <v>0</v>
      </c>
      <c r="AL110" s="653">
        <f>+AJ110*AN104</f>
        <v>0</v>
      </c>
      <c r="AM110" s="1008">
        <f t="shared" si="42"/>
        <v>0</v>
      </c>
      <c r="AN110" s="31"/>
      <c r="AO110" s="622"/>
      <c r="AP110" s="47" t="s">
        <v>106</v>
      </c>
      <c r="AQ110" s="48">
        <f>AQ106*AN104</f>
        <v>0</v>
      </c>
      <c r="AR110" s="48">
        <f>AR106*AN104</f>
        <v>0</v>
      </c>
      <c r="AS110" s="48">
        <f>AS106*AN104</f>
        <v>0</v>
      </c>
      <c r="AT110" s="48">
        <f>AT106*AN104</f>
        <v>0</v>
      </c>
      <c r="AU110" s="48">
        <f>AU106*AN104</f>
        <v>0</v>
      </c>
      <c r="AV110" s="50">
        <f t="shared" si="65"/>
        <v>0</v>
      </c>
    </row>
    <row r="111" spans="1:48" s="644" customFormat="1" ht="20.65" customHeight="1">
      <c r="A111" s="226"/>
      <c r="B111" s="89"/>
      <c r="C111" s="77">
        <v>300000</v>
      </c>
      <c r="D111" s="78" t="s">
        <v>107</v>
      </c>
      <c r="E111" s="1137">
        <v>4</v>
      </c>
      <c r="F111" s="1097">
        <v>4</v>
      </c>
      <c r="G111" s="1205">
        <v>4</v>
      </c>
      <c r="H111" s="1097">
        <v>4</v>
      </c>
      <c r="I111" s="1097">
        <v>4</v>
      </c>
      <c r="J111" s="1205">
        <v>4</v>
      </c>
      <c r="K111" s="1205">
        <v>4</v>
      </c>
      <c r="L111" s="1097">
        <v>4</v>
      </c>
      <c r="M111" s="1097">
        <v>4</v>
      </c>
      <c r="N111" s="1097">
        <v>4</v>
      </c>
      <c r="O111" s="1097">
        <v>4</v>
      </c>
      <c r="P111" s="1097">
        <v>4</v>
      </c>
      <c r="Q111" s="1205">
        <v>4</v>
      </c>
      <c r="R111" s="1205">
        <v>4</v>
      </c>
      <c r="S111" s="1097">
        <v>4</v>
      </c>
      <c r="T111" s="1097">
        <v>4</v>
      </c>
      <c r="U111" s="1097">
        <v>4</v>
      </c>
      <c r="V111" s="1097">
        <v>4</v>
      </c>
      <c r="W111" s="1097">
        <v>4</v>
      </c>
      <c r="X111" s="1205">
        <v>4</v>
      </c>
      <c r="Y111" s="1205">
        <v>4</v>
      </c>
      <c r="Z111" s="1097">
        <v>4</v>
      </c>
      <c r="AA111" s="1097">
        <v>4</v>
      </c>
      <c r="AB111" s="1097">
        <v>4</v>
      </c>
      <c r="AC111" s="1097">
        <v>4</v>
      </c>
      <c r="AD111" s="1097">
        <v>4</v>
      </c>
      <c r="AE111" s="1205">
        <v>4</v>
      </c>
      <c r="AF111" s="1205">
        <v>4</v>
      </c>
      <c r="AG111" s="1097">
        <v>4</v>
      </c>
      <c r="AH111" s="1097">
        <v>4</v>
      </c>
      <c r="AI111" s="1328">
        <v>4</v>
      </c>
      <c r="AJ111" s="663"/>
      <c r="AK111" s="1004">
        <f t="shared" si="41"/>
        <v>0</v>
      </c>
      <c r="AL111" s="646"/>
      <c r="AM111" s="1007">
        <f t="shared" si="42"/>
        <v>0</v>
      </c>
      <c r="AN111" s="31"/>
      <c r="AO111" s="622"/>
      <c r="AP111" s="47"/>
      <c r="AQ111" s="48"/>
      <c r="AR111" s="48"/>
      <c r="AS111" s="48"/>
      <c r="AT111" s="48"/>
      <c r="AU111" s="48"/>
      <c r="AV111" s="214"/>
    </row>
    <row r="112" spans="1:48" s="644" customFormat="1" ht="20.65" customHeight="1">
      <c r="A112" s="224" t="s">
        <v>289</v>
      </c>
      <c r="B112" s="89"/>
      <c r="C112" s="80" t="s">
        <v>108</v>
      </c>
      <c r="D112" s="81" t="s">
        <v>109</v>
      </c>
      <c r="E112" s="1125">
        <f t="shared" ref="E112:AI112" si="67">SUM(E106+E108+E110)/E111</f>
        <v>0</v>
      </c>
      <c r="F112" s="1126">
        <f t="shared" si="67"/>
        <v>0</v>
      </c>
      <c r="G112" s="1235">
        <f t="shared" si="67"/>
        <v>0</v>
      </c>
      <c r="H112" s="1126">
        <f t="shared" si="67"/>
        <v>0</v>
      </c>
      <c r="I112" s="1126">
        <f t="shared" si="67"/>
        <v>0</v>
      </c>
      <c r="J112" s="1235">
        <f t="shared" si="67"/>
        <v>0</v>
      </c>
      <c r="K112" s="1235">
        <f t="shared" si="67"/>
        <v>0</v>
      </c>
      <c r="L112" s="1126">
        <f t="shared" si="67"/>
        <v>0</v>
      </c>
      <c r="M112" s="1126">
        <f t="shared" si="67"/>
        <v>0</v>
      </c>
      <c r="N112" s="1126">
        <f t="shared" si="67"/>
        <v>0</v>
      </c>
      <c r="O112" s="1126">
        <f t="shared" si="67"/>
        <v>0</v>
      </c>
      <c r="P112" s="1126">
        <f t="shared" si="67"/>
        <v>0</v>
      </c>
      <c r="Q112" s="1235">
        <f t="shared" si="67"/>
        <v>0</v>
      </c>
      <c r="R112" s="1235">
        <f t="shared" si="67"/>
        <v>0</v>
      </c>
      <c r="S112" s="1126">
        <f t="shared" si="67"/>
        <v>0</v>
      </c>
      <c r="T112" s="1126">
        <f t="shared" si="67"/>
        <v>0</v>
      </c>
      <c r="U112" s="1126">
        <f t="shared" si="67"/>
        <v>0</v>
      </c>
      <c r="V112" s="1126">
        <f t="shared" si="67"/>
        <v>0</v>
      </c>
      <c r="W112" s="1126">
        <f t="shared" si="67"/>
        <v>0</v>
      </c>
      <c r="X112" s="1235">
        <f t="shared" si="67"/>
        <v>0</v>
      </c>
      <c r="Y112" s="1235">
        <f t="shared" si="67"/>
        <v>0</v>
      </c>
      <c r="Z112" s="1126">
        <f t="shared" si="67"/>
        <v>0</v>
      </c>
      <c r="AA112" s="1126">
        <f t="shared" si="67"/>
        <v>0</v>
      </c>
      <c r="AB112" s="1126">
        <f t="shared" si="67"/>
        <v>0</v>
      </c>
      <c r="AC112" s="1126">
        <f t="shared" si="67"/>
        <v>0</v>
      </c>
      <c r="AD112" s="1126">
        <f t="shared" si="67"/>
        <v>0</v>
      </c>
      <c r="AE112" s="1235">
        <f>SUM(AE106+AE108+AE110)/AE111</f>
        <v>0</v>
      </c>
      <c r="AF112" s="1235">
        <f>SUM(AF106+AF108+AF110)/AF111</f>
        <v>0</v>
      </c>
      <c r="AG112" s="1126">
        <f>SUM(AG106+AG108+AG110)/AG111</f>
        <v>0</v>
      </c>
      <c r="AH112" s="1126">
        <f t="shared" si="67"/>
        <v>0</v>
      </c>
      <c r="AI112" s="1335">
        <f t="shared" si="67"/>
        <v>0</v>
      </c>
      <c r="AJ112" s="104">
        <f>SUM(E112:AI112)</f>
        <v>0</v>
      </c>
      <c r="AK112" s="993">
        <f t="shared" si="41"/>
        <v>0</v>
      </c>
      <c r="AL112" s="650"/>
      <c r="AM112" s="1008">
        <f t="shared" si="42"/>
        <v>0</v>
      </c>
      <c r="AN112" s="31"/>
      <c r="AO112" s="622"/>
      <c r="AP112" s="651"/>
      <c r="AQ112" s="651"/>
      <c r="AR112" s="651"/>
      <c r="AS112" s="651"/>
      <c r="AT112" s="651"/>
      <c r="AU112" s="651"/>
      <c r="AV112" s="651"/>
    </row>
    <row r="113" spans="1:48" s="644" customFormat="1" ht="20.65" customHeight="1">
      <c r="A113" s="215"/>
      <c r="B113" s="89"/>
      <c r="C113" s="84">
        <f>+C111*0.8</f>
        <v>240000</v>
      </c>
      <c r="D113" s="85" t="s">
        <v>110</v>
      </c>
      <c r="E113" s="1105"/>
      <c r="F113" s="1104"/>
      <c r="G113" s="1211"/>
      <c r="H113" s="1104"/>
      <c r="I113" s="1104"/>
      <c r="J113" s="1211"/>
      <c r="K113" s="1211"/>
      <c r="L113" s="1104"/>
      <c r="M113" s="1104"/>
      <c r="N113" s="1104"/>
      <c r="O113" s="1104"/>
      <c r="P113" s="1104"/>
      <c r="Q113" s="1211"/>
      <c r="R113" s="1211"/>
      <c r="S113" s="1104"/>
      <c r="T113" s="1104"/>
      <c r="U113" s="1104"/>
      <c r="V113" s="1104"/>
      <c r="W113" s="1104"/>
      <c r="X113" s="1211"/>
      <c r="Y113" s="1211"/>
      <c r="Z113" s="1104"/>
      <c r="AA113" s="1104"/>
      <c r="AB113" s="1104"/>
      <c r="AC113" s="1104"/>
      <c r="AD113" s="1104"/>
      <c r="AE113" s="1211"/>
      <c r="AF113" s="1211"/>
      <c r="AG113" s="1104"/>
      <c r="AH113" s="1104"/>
      <c r="AI113" s="1353"/>
      <c r="AJ113" s="729"/>
      <c r="AK113" s="1004">
        <f t="shared" si="41"/>
        <v>0</v>
      </c>
      <c r="AL113" s="647"/>
      <c r="AM113" s="1008">
        <f t="shared" si="42"/>
        <v>0</v>
      </c>
      <c r="AN113" s="31"/>
      <c r="AO113" s="622"/>
      <c r="AP113" s="651"/>
      <c r="AQ113" s="651"/>
      <c r="AR113" s="651"/>
      <c r="AS113" s="651"/>
      <c r="AT113" s="651"/>
      <c r="AU113" s="651"/>
      <c r="AV113" s="651"/>
    </row>
    <row r="114" spans="1:48" s="644" customFormat="1" ht="20.65" customHeight="1">
      <c r="A114" s="215"/>
      <c r="B114" s="89"/>
      <c r="C114" s="77"/>
      <c r="D114" s="88" t="s">
        <v>111</v>
      </c>
      <c r="E114" s="1125">
        <f>IF(E113="O/H",E112,0+E112)</f>
        <v>0</v>
      </c>
      <c r="F114" s="1126">
        <f>IF(F113="O/H",F112,+E114+F112)</f>
        <v>0</v>
      </c>
      <c r="G114" s="1235">
        <f t="shared" ref="G114:AI114" si="68">IF(G113="O/H",G112,+F114+G112)</f>
        <v>0</v>
      </c>
      <c r="H114" s="1126">
        <f t="shared" si="68"/>
        <v>0</v>
      </c>
      <c r="I114" s="1126">
        <f t="shared" si="68"/>
        <v>0</v>
      </c>
      <c r="J114" s="1235">
        <f t="shared" si="68"/>
        <v>0</v>
      </c>
      <c r="K114" s="1235">
        <f t="shared" si="68"/>
        <v>0</v>
      </c>
      <c r="L114" s="1126">
        <f t="shared" si="68"/>
        <v>0</v>
      </c>
      <c r="M114" s="1126">
        <f t="shared" si="68"/>
        <v>0</v>
      </c>
      <c r="N114" s="1126">
        <f t="shared" si="68"/>
        <v>0</v>
      </c>
      <c r="O114" s="1126">
        <f t="shared" si="68"/>
        <v>0</v>
      </c>
      <c r="P114" s="1126">
        <f t="shared" si="68"/>
        <v>0</v>
      </c>
      <c r="Q114" s="1235">
        <f t="shared" si="68"/>
        <v>0</v>
      </c>
      <c r="R114" s="1235">
        <f t="shared" si="68"/>
        <v>0</v>
      </c>
      <c r="S114" s="1126">
        <f t="shared" si="68"/>
        <v>0</v>
      </c>
      <c r="T114" s="1126">
        <f t="shared" si="68"/>
        <v>0</v>
      </c>
      <c r="U114" s="1126">
        <f t="shared" si="68"/>
        <v>0</v>
      </c>
      <c r="V114" s="1126">
        <f t="shared" si="68"/>
        <v>0</v>
      </c>
      <c r="W114" s="1126">
        <f t="shared" si="68"/>
        <v>0</v>
      </c>
      <c r="X114" s="1235">
        <f t="shared" si="68"/>
        <v>0</v>
      </c>
      <c r="Y114" s="1235">
        <f t="shared" si="68"/>
        <v>0</v>
      </c>
      <c r="Z114" s="1126">
        <f t="shared" si="68"/>
        <v>0</v>
      </c>
      <c r="AA114" s="1126">
        <f t="shared" si="68"/>
        <v>0</v>
      </c>
      <c r="AB114" s="1126">
        <f t="shared" si="68"/>
        <v>0</v>
      </c>
      <c r="AC114" s="1126">
        <f t="shared" si="68"/>
        <v>0</v>
      </c>
      <c r="AD114" s="1126">
        <f t="shared" si="68"/>
        <v>0</v>
      </c>
      <c r="AE114" s="1235">
        <f t="shared" si="68"/>
        <v>0</v>
      </c>
      <c r="AF114" s="1235">
        <f t="shared" si="68"/>
        <v>0</v>
      </c>
      <c r="AG114" s="1126">
        <f t="shared" si="68"/>
        <v>0</v>
      </c>
      <c r="AH114" s="1126">
        <f t="shared" si="68"/>
        <v>0</v>
      </c>
      <c r="AI114" s="1335">
        <f t="shared" si="68"/>
        <v>0</v>
      </c>
      <c r="AJ114" s="104"/>
      <c r="AK114" s="993">
        <f t="shared" si="41"/>
        <v>0</v>
      </c>
      <c r="AL114" s="650"/>
      <c r="AM114" s="1008">
        <f t="shared" si="42"/>
        <v>0</v>
      </c>
      <c r="AN114" s="31"/>
      <c r="AO114" s="622"/>
      <c r="AP114" s="651"/>
      <c r="AQ114" s="651"/>
      <c r="AR114" s="651"/>
      <c r="AS114" s="651"/>
      <c r="AT114" s="651"/>
      <c r="AU114" s="651"/>
      <c r="AV114" s="651"/>
    </row>
    <row r="115" spans="1:48" s="23" customFormat="1" ht="20.65" customHeight="1">
      <c r="A115" s="274"/>
      <c r="B115" s="312"/>
      <c r="C115" s="308"/>
      <c r="D115" s="795" t="s">
        <v>112</v>
      </c>
      <c r="E115" s="1108" t="b">
        <f>IF(AND(ISNUMBER(E106)),0+E112)</f>
        <v>0</v>
      </c>
      <c r="F115" s="1089" t="str">
        <f>IF(AND(ISNUMBER(F106)),E115+F112,"")</f>
        <v/>
      </c>
      <c r="G115" s="44" t="str">
        <f t="shared" ref="G115:H115" si="69">IF(AND(ISNUMBER(G106)),F115+G112,"")</f>
        <v/>
      </c>
      <c r="H115" s="1089" t="str">
        <f t="shared" si="69"/>
        <v/>
      </c>
      <c r="I115" s="1089" t="str">
        <f>IF(AND(ISNUMBER(I106)),H115+I112,"")</f>
        <v/>
      </c>
      <c r="J115" s="44" t="str">
        <f>IF(AND(ISNUMBER(J106)),I115+J112,"")</f>
        <v/>
      </c>
      <c r="K115" s="44" t="str">
        <f>IF(AND(ISNUMBER(K106)),J115+K112,"")</f>
        <v/>
      </c>
      <c r="L115" s="1089" t="str">
        <f t="shared" ref="L115:AI115" si="70">IF(AND(ISNUMBER(L106)),K115+L112,"")</f>
        <v/>
      </c>
      <c r="M115" s="1089" t="str">
        <f t="shared" si="70"/>
        <v/>
      </c>
      <c r="N115" s="1089" t="str">
        <f t="shared" si="70"/>
        <v/>
      </c>
      <c r="O115" s="1089" t="str">
        <f t="shared" si="70"/>
        <v/>
      </c>
      <c r="P115" s="1089" t="str">
        <f t="shared" si="70"/>
        <v/>
      </c>
      <c r="Q115" s="44" t="str">
        <f t="shared" si="70"/>
        <v/>
      </c>
      <c r="R115" s="44" t="str">
        <f t="shared" si="70"/>
        <v/>
      </c>
      <c r="S115" s="1089" t="str">
        <f t="shared" si="70"/>
        <v/>
      </c>
      <c r="T115" s="1089" t="str">
        <f t="shared" si="70"/>
        <v/>
      </c>
      <c r="U115" s="1089" t="str">
        <f t="shared" si="70"/>
        <v/>
      </c>
      <c r="V115" s="1089" t="str">
        <f t="shared" si="70"/>
        <v/>
      </c>
      <c r="W115" s="1089" t="str">
        <f t="shared" si="70"/>
        <v/>
      </c>
      <c r="X115" s="44" t="str">
        <f t="shared" si="70"/>
        <v/>
      </c>
      <c r="Y115" s="44" t="str">
        <f t="shared" si="70"/>
        <v/>
      </c>
      <c r="Z115" s="1089" t="str">
        <f t="shared" si="70"/>
        <v/>
      </c>
      <c r="AA115" s="1089" t="str">
        <f t="shared" si="70"/>
        <v/>
      </c>
      <c r="AB115" s="1089" t="str">
        <f t="shared" si="70"/>
        <v/>
      </c>
      <c r="AC115" s="1089" t="str">
        <f t="shared" si="70"/>
        <v/>
      </c>
      <c r="AD115" s="1089" t="str">
        <f t="shared" si="70"/>
        <v/>
      </c>
      <c r="AE115" s="44" t="str">
        <f t="shared" si="70"/>
        <v/>
      </c>
      <c r="AF115" s="44" t="str">
        <f t="shared" si="70"/>
        <v/>
      </c>
      <c r="AG115" s="1089" t="str">
        <f t="shared" si="70"/>
        <v/>
      </c>
      <c r="AH115" s="1089" t="str">
        <f t="shared" si="70"/>
        <v/>
      </c>
      <c r="AI115" s="1089" t="str">
        <f t="shared" si="70"/>
        <v/>
      </c>
      <c r="AJ115" s="793"/>
      <c r="AK115" s="985">
        <f t="shared" si="41"/>
        <v>0</v>
      </c>
      <c r="AL115" s="909"/>
      <c r="AM115" s="987">
        <f t="shared" si="42"/>
        <v>0</v>
      </c>
      <c r="AN115" s="76"/>
      <c r="AO115" s="630"/>
      <c r="AP115" s="285"/>
      <c r="AQ115" s="285"/>
      <c r="AR115" s="285"/>
      <c r="AS115" s="285"/>
      <c r="AT115" s="286"/>
      <c r="AU115" s="285"/>
      <c r="AV115" s="287"/>
    </row>
    <row r="116" spans="1:48" s="644" customFormat="1" ht="20.65" customHeight="1">
      <c r="A116" s="215" t="s">
        <v>242</v>
      </c>
      <c r="B116" s="89" t="s">
        <v>288</v>
      </c>
      <c r="C116" s="80"/>
      <c r="D116" s="90" t="s">
        <v>104</v>
      </c>
      <c r="E116" s="1137"/>
      <c r="F116" s="1097"/>
      <c r="G116" s="1205"/>
      <c r="H116" s="1097"/>
      <c r="I116" s="1097"/>
      <c r="J116" s="1205"/>
      <c r="K116" s="1205"/>
      <c r="L116" s="1097"/>
      <c r="M116" s="1097"/>
      <c r="N116" s="1097"/>
      <c r="O116" s="1097"/>
      <c r="P116" s="1097"/>
      <c r="Q116" s="1205"/>
      <c r="R116" s="1205"/>
      <c r="S116" s="1097"/>
      <c r="T116" s="1097"/>
      <c r="U116" s="1097"/>
      <c r="V116" s="1097"/>
      <c r="W116" s="1097"/>
      <c r="X116" s="1205"/>
      <c r="Y116" s="1205"/>
      <c r="Z116" s="1097"/>
      <c r="AA116" s="1097"/>
      <c r="AB116" s="1097"/>
      <c r="AC116" s="1097"/>
      <c r="AD116" s="1097"/>
      <c r="AE116" s="1205"/>
      <c r="AF116" s="1205"/>
      <c r="AG116" s="1097"/>
      <c r="AH116" s="1097"/>
      <c r="AI116" s="1328"/>
      <c r="AJ116" s="664"/>
      <c r="AK116" s="1004">
        <f t="shared" si="41"/>
        <v>0</v>
      </c>
      <c r="AL116" s="646"/>
      <c r="AM116" s="987">
        <f t="shared" si="42"/>
        <v>0</v>
      </c>
      <c r="AN116" s="31"/>
      <c r="AO116" s="622"/>
      <c r="AP116" s="651"/>
      <c r="AQ116" s="651"/>
      <c r="AR116" s="651"/>
      <c r="AS116" s="651"/>
      <c r="AT116" s="651"/>
      <c r="AU116" s="651"/>
      <c r="AV116" s="651"/>
    </row>
    <row r="117" spans="1:48" s="644" customFormat="1" ht="20.65" customHeight="1" thickBot="1">
      <c r="A117" s="216" t="s">
        <v>242</v>
      </c>
      <c r="B117" s="93"/>
      <c r="C117" s="94"/>
      <c r="D117" s="230" t="s">
        <v>258</v>
      </c>
      <c r="E117" s="1453">
        <f>IF(E116="O/H",E112,0+E112)</f>
        <v>0</v>
      </c>
      <c r="F117" s="1128">
        <f t="shared" ref="F117:AI117" si="71">IF(F116="O/H",F112,+E117+F112)</f>
        <v>0</v>
      </c>
      <c r="G117" s="1303">
        <f t="shared" si="71"/>
        <v>0</v>
      </c>
      <c r="H117" s="1128">
        <f t="shared" si="71"/>
        <v>0</v>
      </c>
      <c r="I117" s="1128">
        <f t="shared" si="71"/>
        <v>0</v>
      </c>
      <c r="J117" s="1303">
        <f t="shared" si="71"/>
        <v>0</v>
      </c>
      <c r="K117" s="1303">
        <f t="shared" si="71"/>
        <v>0</v>
      </c>
      <c r="L117" s="1128">
        <f t="shared" si="71"/>
        <v>0</v>
      </c>
      <c r="M117" s="1128">
        <f t="shared" si="71"/>
        <v>0</v>
      </c>
      <c r="N117" s="1128">
        <f t="shared" si="71"/>
        <v>0</v>
      </c>
      <c r="O117" s="1128">
        <f t="shared" si="71"/>
        <v>0</v>
      </c>
      <c r="P117" s="1128">
        <f t="shared" si="71"/>
        <v>0</v>
      </c>
      <c r="Q117" s="1303">
        <f t="shared" si="71"/>
        <v>0</v>
      </c>
      <c r="R117" s="1303">
        <f t="shared" si="71"/>
        <v>0</v>
      </c>
      <c r="S117" s="1128">
        <f t="shared" si="71"/>
        <v>0</v>
      </c>
      <c r="T117" s="1128">
        <f t="shared" si="71"/>
        <v>0</v>
      </c>
      <c r="U117" s="1128">
        <f t="shared" si="71"/>
        <v>0</v>
      </c>
      <c r="V117" s="1128">
        <f t="shared" si="71"/>
        <v>0</v>
      </c>
      <c r="W117" s="1128">
        <f t="shared" si="71"/>
        <v>0</v>
      </c>
      <c r="X117" s="1303">
        <f t="shared" si="71"/>
        <v>0</v>
      </c>
      <c r="Y117" s="1303">
        <f t="shared" si="71"/>
        <v>0</v>
      </c>
      <c r="Z117" s="1128">
        <f t="shared" si="71"/>
        <v>0</v>
      </c>
      <c r="AA117" s="1128">
        <f t="shared" si="71"/>
        <v>0</v>
      </c>
      <c r="AB117" s="1128">
        <f t="shared" si="71"/>
        <v>0</v>
      </c>
      <c r="AC117" s="1128">
        <f t="shared" si="71"/>
        <v>0</v>
      </c>
      <c r="AD117" s="1128">
        <f t="shared" si="71"/>
        <v>0</v>
      </c>
      <c r="AE117" s="1303">
        <f t="shared" si="71"/>
        <v>0</v>
      </c>
      <c r="AF117" s="1303">
        <f t="shared" si="71"/>
        <v>0</v>
      </c>
      <c r="AG117" s="1128">
        <f t="shared" si="71"/>
        <v>0</v>
      </c>
      <c r="AH117" s="1128">
        <f t="shared" si="71"/>
        <v>0</v>
      </c>
      <c r="AI117" s="1454">
        <f t="shared" si="71"/>
        <v>0</v>
      </c>
      <c r="AJ117" s="730"/>
      <c r="AK117" s="1005">
        <f t="shared" si="41"/>
        <v>0</v>
      </c>
      <c r="AL117" s="652"/>
      <c r="AM117" s="987">
        <f t="shared" si="42"/>
        <v>0</v>
      </c>
      <c r="AN117" s="98"/>
      <c r="AO117" s="625"/>
      <c r="AP117" s="651"/>
      <c r="AQ117" s="651"/>
      <c r="AR117" s="651"/>
      <c r="AS117" s="651"/>
      <c r="AT117" s="651"/>
      <c r="AU117" s="651"/>
      <c r="AV117" s="651"/>
    </row>
    <row r="118" spans="1:48" s="644" customFormat="1" ht="20.65" customHeight="1" thickTop="1">
      <c r="A118" s="949" t="s">
        <v>698</v>
      </c>
      <c r="B118" s="219" t="s">
        <v>282</v>
      </c>
      <c r="C118" s="1495" t="str">
        <f>Table511[[#This Row],[M/C No.]]</f>
        <v>A9(100ton)</v>
      </c>
      <c r="D118" s="28" t="s">
        <v>82</v>
      </c>
      <c r="E118" s="1111"/>
      <c r="F118" s="1111"/>
      <c r="G118" s="1201"/>
      <c r="H118" s="1111"/>
      <c r="I118" s="1111"/>
      <c r="J118" s="1201"/>
      <c r="K118" s="1201"/>
      <c r="L118" s="1111"/>
      <c r="M118" s="1111"/>
      <c r="N118" s="1111"/>
      <c r="O118" s="1111"/>
      <c r="P118" s="1111"/>
      <c r="Q118" s="1201"/>
      <c r="R118" s="1201"/>
      <c r="S118" s="1111"/>
      <c r="T118" s="1111"/>
      <c r="U118" s="1111"/>
      <c r="V118" s="1111"/>
      <c r="W118" s="1111"/>
      <c r="X118" s="1201"/>
      <c r="Y118" s="1201"/>
      <c r="Z118" s="1111"/>
      <c r="AA118" s="1111"/>
      <c r="AB118" s="1111"/>
      <c r="AC118" s="1111"/>
      <c r="AD118" s="1111"/>
      <c r="AE118" s="1201"/>
      <c r="AF118" s="1201"/>
      <c r="AG118" s="1111"/>
      <c r="AH118" s="1111"/>
      <c r="AI118" s="1111"/>
      <c r="AJ118" s="570">
        <f>SUM(E118:AI118)</f>
        <v>0</v>
      </c>
      <c r="AK118" s="1015">
        <f t="shared" si="41"/>
        <v>0</v>
      </c>
      <c r="AL118" s="572">
        <f>+AJ118*AN118</f>
        <v>0</v>
      </c>
      <c r="AM118" s="992">
        <f t="shared" si="42"/>
        <v>0</v>
      </c>
      <c r="AN118" s="225">
        <v>14.181351666666666</v>
      </c>
      <c r="AO118" s="622">
        <f>Table511[[#This Row],[Total]]*B122/1000</f>
        <v>0</v>
      </c>
      <c r="AP118" s="32" t="s">
        <v>145</v>
      </c>
      <c r="AQ118" s="33" t="s">
        <v>84</v>
      </c>
      <c r="AR118" s="33" t="s">
        <v>85</v>
      </c>
      <c r="AS118" s="33" t="s">
        <v>86</v>
      </c>
      <c r="AT118" s="33" t="s">
        <v>87</v>
      </c>
      <c r="AU118" s="33" t="s">
        <v>88</v>
      </c>
      <c r="AV118" s="34" t="s">
        <v>68</v>
      </c>
    </row>
    <row r="119" spans="1:48" s="644" customFormat="1" ht="20.65" customHeight="1">
      <c r="A119" s="639"/>
      <c r="B119" s="219" t="s">
        <v>283</v>
      </c>
      <c r="C119" s="640"/>
      <c r="D119" s="37" t="s">
        <v>90</v>
      </c>
      <c r="E119" s="1323">
        <f>IF(E118="",0,+ E118/E125)</f>
        <v>0</v>
      </c>
      <c r="F119" s="1096">
        <f t="shared" ref="F119:AC119" si="72">IF(F118="",0, E119+F118/F125)</f>
        <v>0</v>
      </c>
      <c r="G119" s="1207">
        <f t="shared" si="72"/>
        <v>0</v>
      </c>
      <c r="H119" s="1096">
        <f t="shared" si="72"/>
        <v>0</v>
      </c>
      <c r="I119" s="1096">
        <f t="shared" si="72"/>
        <v>0</v>
      </c>
      <c r="J119" s="1207">
        <f t="shared" si="72"/>
        <v>0</v>
      </c>
      <c r="K119" s="1207">
        <f t="shared" si="72"/>
        <v>0</v>
      </c>
      <c r="L119" s="1096">
        <f t="shared" si="72"/>
        <v>0</v>
      </c>
      <c r="M119" s="1096">
        <f t="shared" si="72"/>
        <v>0</v>
      </c>
      <c r="N119" s="1096">
        <f t="shared" si="72"/>
        <v>0</v>
      </c>
      <c r="O119" s="1096">
        <f t="shared" si="72"/>
        <v>0</v>
      </c>
      <c r="P119" s="1096">
        <f t="shared" si="72"/>
        <v>0</v>
      </c>
      <c r="Q119" s="1207">
        <f>IF(Q118="",0, P119+Q118/Q125)</f>
        <v>0</v>
      </c>
      <c r="R119" s="1207">
        <f t="shared" si="72"/>
        <v>0</v>
      </c>
      <c r="S119" s="1096">
        <f t="shared" si="72"/>
        <v>0</v>
      </c>
      <c r="T119" s="1096">
        <f t="shared" si="72"/>
        <v>0</v>
      </c>
      <c r="U119" s="1096">
        <f t="shared" si="72"/>
        <v>0</v>
      </c>
      <c r="V119" s="1096">
        <f t="shared" si="72"/>
        <v>0</v>
      </c>
      <c r="W119" s="1096">
        <f t="shared" si="72"/>
        <v>0</v>
      </c>
      <c r="X119" s="1207">
        <f t="shared" si="72"/>
        <v>0</v>
      </c>
      <c r="Y119" s="1207">
        <f t="shared" si="72"/>
        <v>0</v>
      </c>
      <c r="Z119" s="1096">
        <f t="shared" si="72"/>
        <v>0</v>
      </c>
      <c r="AA119" s="1096">
        <f t="shared" si="72"/>
        <v>0</v>
      </c>
      <c r="AB119" s="1096">
        <f t="shared" si="72"/>
        <v>0</v>
      </c>
      <c r="AC119" s="1096">
        <f t="shared" si="72"/>
        <v>0</v>
      </c>
      <c r="AD119" s="1096">
        <f>IF(AD118="",0, Z119+AD118/AD125)</f>
        <v>0</v>
      </c>
      <c r="AE119" s="1207">
        <f>IF(AE118="",0, AA119+AE118/AE125)</f>
        <v>0</v>
      </c>
      <c r="AF119" s="1207">
        <f>IF(AF118="",0, AB119+AF118/AF125)</f>
        <v>0</v>
      </c>
      <c r="AG119" s="1096">
        <f>IF(AG118="",0, AC119+AG118/AG125)</f>
        <v>0</v>
      </c>
      <c r="AH119" s="1096">
        <f>IF(AH118="",0, AD119+AH118/AH125)</f>
        <v>0</v>
      </c>
      <c r="AI119" s="1324">
        <f>IF(AI118="",0, AH119+AI118/AI125)</f>
        <v>0</v>
      </c>
      <c r="AJ119" s="728"/>
      <c r="AK119" s="1003">
        <f t="shared" si="41"/>
        <v>0</v>
      </c>
      <c r="AL119" s="641"/>
      <c r="AM119" s="1006">
        <f t="shared" si="42"/>
        <v>0</v>
      </c>
      <c r="AN119" s="642"/>
      <c r="AO119" s="630"/>
      <c r="AP119" s="39" t="s">
        <v>91</v>
      </c>
      <c r="AQ119" s="40">
        <f>SUM(E118:I118)</f>
        <v>0</v>
      </c>
      <c r="AR119" s="41">
        <f>SUM(J118:P118)</f>
        <v>0</v>
      </c>
      <c r="AS119" s="41">
        <f>SUM(Q118:W118)</f>
        <v>0</v>
      </c>
      <c r="AT119" s="41">
        <f>SUM(X118:AD118)</f>
        <v>0</v>
      </c>
      <c r="AU119" s="41">
        <f>SUM(AE118:AI118)</f>
        <v>0</v>
      </c>
      <c r="AV119" s="34">
        <f t="shared" ref="AV119:AV124" si="73">SUM(AQ119:AU119)</f>
        <v>0</v>
      </c>
    </row>
    <row r="120" spans="1:48" s="644" customFormat="1" ht="20.65" customHeight="1">
      <c r="A120" s="231" t="s">
        <v>291</v>
      </c>
      <c r="B120" s="89" t="s">
        <v>263</v>
      </c>
      <c r="C120" s="42"/>
      <c r="D120" s="43" t="s">
        <v>93</v>
      </c>
      <c r="E120" s="1325"/>
      <c r="F120" s="1089"/>
      <c r="G120" s="44"/>
      <c r="H120" s="1089"/>
      <c r="I120" s="1089"/>
      <c r="J120" s="44"/>
      <c r="K120" s="44"/>
      <c r="L120" s="1089"/>
      <c r="M120" s="1089"/>
      <c r="N120" s="1089"/>
      <c r="O120" s="1089"/>
      <c r="P120" s="1089"/>
      <c r="Q120" s="44"/>
      <c r="R120" s="44"/>
      <c r="S120" s="1089"/>
      <c r="T120" s="1089"/>
      <c r="U120" s="1089"/>
      <c r="V120" s="1089"/>
      <c r="W120" s="1089"/>
      <c r="X120" s="44"/>
      <c r="Y120" s="44"/>
      <c r="Z120" s="1089"/>
      <c r="AA120" s="1089"/>
      <c r="AB120" s="1089"/>
      <c r="AC120" s="1089"/>
      <c r="AD120" s="1089"/>
      <c r="AE120" s="44"/>
      <c r="AF120" s="44"/>
      <c r="AG120" s="1089"/>
      <c r="AH120" s="1089"/>
      <c r="AI120" s="1326"/>
      <c r="AJ120" s="662">
        <f>SUM(E120:AI120)</f>
        <v>0</v>
      </c>
      <c r="AK120" s="1004">
        <f t="shared" si="41"/>
        <v>0</v>
      </c>
      <c r="AL120" s="645">
        <f>+AJ120*AN118</f>
        <v>0</v>
      </c>
      <c r="AM120" s="1007">
        <f t="shared" si="42"/>
        <v>0</v>
      </c>
      <c r="AN120" s="31"/>
      <c r="AO120" s="632">
        <f>(AJ120+AJ122+AJ123+AJ124)*B122/1000</f>
        <v>0</v>
      </c>
      <c r="AP120" s="47" t="s">
        <v>94</v>
      </c>
      <c r="AQ120" s="48">
        <f>SUM(E120:I120)</f>
        <v>0</v>
      </c>
      <c r="AR120" s="49">
        <f>SUM(J120:P120)</f>
        <v>0</v>
      </c>
      <c r="AS120" s="49">
        <f>SUM(Q120:W120)</f>
        <v>0</v>
      </c>
      <c r="AT120" s="49">
        <f>SUM(X120:AD120)</f>
        <v>0</v>
      </c>
      <c r="AU120" s="49">
        <f>SUM(AE120:AI120)</f>
        <v>0</v>
      </c>
      <c r="AV120" s="50">
        <f t="shared" si="73"/>
        <v>0</v>
      </c>
    </row>
    <row r="121" spans="1:48" s="644" customFormat="1" ht="20.65" customHeight="1">
      <c r="A121" s="231" t="s">
        <v>291</v>
      </c>
      <c r="B121" s="763" t="s">
        <v>247</v>
      </c>
      <c r="C121" s="52" t="s">
        <v>95</v>
      </c>
      <c r="D121" s="53" t="s">
        <v>96</v>
      </c>
      <c r="E121" s="1327">
        <f t="shared" ref="E121" si="74">+E120-E118</f>
        <v>0</v>
      </c>
      <c r="F121" s="1097">
        <f t="shared" ref="F121:J121" si="75">+F120-F118</f>
        <v>0</v>
      </c>
      <c r="G121" s="1205">
        <f t="shared" si="75"/>
        <v>0</v>
      </c>
      <c r="H121" s="1097">
        <f t="shared" si="75"/>
        <v>0</v>
      </c>
      <c r="I121" s="1097">
        <f t="shared" si="75"/>
        <v>0</v>
      </c>
      <c r="J121" s="1205">
        <f t="shared" si="75"/>
        <v>0</v>
      </c>
      <c r="K121" s="1205">
        <f t="shared" ref="K121" si="76">+K120-K118</f>
        <v>0</v>
      </c>
      <c r="L121" s="1097">
        <f>+L120-L118</f>
        <v>0</v>
      </c>
      <c r="M121" s="1097">
        <f>+M120-M118</f>
        <v>0</v>
      </c>
      <c r="N121" s="1097">
        <f t="shared" ref="N121" si="77">+N120-N118</f>
        <v>0</v>
      </c>
      <c r="O121" s="1097">
        <f t="shared" ref="O121:AJ121" si="78">+O120-O118</f>
        <v>0</v>
      </c>
      <c r="P121" s="1097">
        <f t="shared" si="78"/>
        <v>0</v>
      </c>
      <c r="Q121" s="1205">
        <f t="shared" si="78"/>
        <v>0</v>
      </c>
      <c r="R121" s="1205">
        <f t="shared" si="78"/>
        <v>0</v>
      </c>
      <c r="S121" s="1097">
        <f>+S120-S118</f>
        <v>0</v>
      </c>
      <c r="T121" s="1097">
        <f t="shared" ref="T121" si="79">+T120-T118</f>
        <v>0</v>
      </c>
      <c r="U121" s="1097">
        <f t="shared" si="78"/>
        <v>0</v>
      </c>
      <c r="V121" s="1097">
        <f t="shared" si="78"/>
        <v>0</v>
      </c>
      <c r="W121" s="1097">
        <f t="shared" si="78"/>
        <v>0</v>
      </c>
      <c r="X121" s="1205">
        <f t="shared" si="78"/>
        <v>0</v>
      </c>
      <c r="Y121" s="1205">
        <f t="shared" si="78"/>
        <v>0</v>
      </c>
      <c r="Z121" s="1097">
        <f t="shared" si="78"/>
        <v>0</v>
      </c>
      <c r="AA121" s="1097">
        <f t="shared" si="78"/>
        <v>0</v>
      </c>
      <c r="AB121" s="1097">
        <f t="shared" si="78"/>
        <v>0</v>
      </c>
      <c r="AC121" s="1097">
        <f t="shared" si="78"/>
        <v>0</v>
      </c>
      <c r="AD121" s="1097">
        <f t="shared" si="78"/>
        <v>0</v>
      </c>
      <c r="AE121" s="1205">
        <f t="shared" si="78"/>
        <v>0</v>
      </c>
      <c r="AF121" s="1205">
        <f t="shared" si="78"/>
        <v>0</v>
      </c>
      <c r="AG121" s="1097">
        <f t="shared" si="78"/>
        <v>0</v>
      </c>
      <c r="AH121" s="1097">
        <f t="shared" si="78"/>
        <v>0</v>
      </c>
      <c r="AI121" s="1328">
        <f t="shared" si="78"/>
        <v>0</v>
      </c>
      <c r="AJ121" s="663">
        <f t="shared" si="78"/>
        <v>0</v>
      </c>
      <c r="AK121" s="1004">
        <f t="shared" si="41"/>
        <v>0</v>
      </c>
      <c r="AL121" s="646">
        <f>+AJ121*AN118</f>
        <v>0</v>
      </c>
      <c r="AM121" s="1007">
        <f t="shared" si="42"/>
        <v>0</v>
      </c>
      <c r="AN121" s="31" t="s">
        <v>97</v>
      </c>
      <c r="AO121" s="622"/>
      <c r="AP121" s="39" t="s">
        <v>98</v>
      </c>
      <c r="AQ121" s="56">
        <f>AQ120-AQ119</f>
        <v>0</v>
      </c>
      <c r="AR121" s="70">
        <f>AR120-AR119</f>
        <v>0</v>
      </c>
      <c r="AS121" s="70">
        <f>AS120-AS119</f>
        <v>0</v>
      </c>
      <c r="AT121" s="70">
        <f>AT120-AT119</f>
        <v>0</v>
      </c>
      <c r="AU121" s="70">
        <f>AU120-AU119</f>
        <v>0</v>
      </c>
      <c r="AV121" s="57">
        <f t="shared" si="73"/>
        <v>0</v>
      </c>
    </row>
    <row r="122" spans="1:48" s="644" customFormat="1" ht="20.65" customHeight="1">
      <c r="A122" s="231" t="s">
        <v>289</v>
      </c>
      <c r="B122" s="764">
        <v>9.6605000000000008</v>
      </c>
      <c r="C122" s="60" t="s">
        <v>100</v>
      </c>
      <c r="D122" s="61" t="s">
        <v>101</v>
      </c>
      <c r="E122" s="1367"/>
      <c r="F122" s="1099"/>
      <c r="G122" s="1208"/>
      <c r="H122" s="1099"/>
      <c r="I122" s="1099"/>
      <c r="J122" s="1208"/>
      <c r="K122" s="1208"/>
      <c r="L122" s="1099"/>
      <c r="M122" s="1099"/>
      <c r="N122" s="1099"/>
      <c r="O122" s="1099"/>
      <c r="P122" s="1099"/>
      <c r="Q122" s="1208"/>
      <c r="R122" s="1208"/>
      <c r="S122" s="1099"/>
      <c r="T122" s="1099"/>
      <c r="U122" s="1099"/>
      <c r="V122" s="1099"/>
      <c r="W122" s="1099"/>
      <c r="X122" s="1208"/>
      <c r="Y122" s="1208"/>
      <c r="Z122" s="1099"/>
      <c r="AA122" s="1099"/>
      <c r="AB122" s="1099"/>
      <c r="AC122" s="1099"/>
      <c r="AD122" s="1099"/>
      <c r="AE122" s="1208"/>
      <c r="AF122" s="1208"/>
      <c r="AG122" s="1099"/>
      <c r="AH122" s="1099"/>
      <c r="AI122" s="1330"/>
      <c r="AJ122" s="664">
        <f>SUM(E122:AI122)</f>
        <v>0</v>
      </c>
      <c r="AK122" s="1004">
        <f t="shared" si="41"/>
        <v>0</v>
      </c>
      <c r="AL122" s="647">
        <f>+AJ122*AN118</f>
        <v>0</v>
      </c>
      <c r="AM122" s="1008">
        <f t="shared" si="42"/>
        <v>0</v>
      </c>
      <c r="AN122" s="64" t="e">
        <f>+AJ122/AJ120</f>
        <v>#DIV/0!</v>
      </c>
      <c r="AO122" s="635" t="e">
        <f>AO120/AO118</f>
        <v>#DIV/0!</v>
      </c>
      <c r="AP122" s="39" t="s">
        <v>102</v>
      </c>
      <c r="AQ122" s="56">
        <f>SUM(E122:I122)</f>
        <v>0</v>
      </c>
      <c r="AR122" s="70">
        <f>SUM(J122:P122)</f>
        <v>0</v>
      </c>
      <c r="AS122" s="70">
        <f>SUM(Q122:W122)</f>
        <v>0</v>
      </c>
      <c r="AT122" s="70">
        <f>SUM(X122:AD122)</f>
        <v>0</v>
      </c>
      <c r="AU122" s="70">
        <f>SUM(AE122:AI122)</f>
        <v>0</v>
      </c>
      <c r="AV122" s="57">
        <f t="shared" si="73"/>
        <v>0</v>
      </c>
    </row>
    <row r="123" spans="1:48" s="644" customFormat="1" ht="20.65" customHeight="1">
      <c r="A123" s="210" t="s">
        <v>245</v>
      </c>
      <c r="B123" s="213" t="s">
        <v>292</v>
      </c>
      <c r="C123" s="66"/>
      <c r="D123" s="67" t="s">
        <v>103</v>
      </c>
      <c r="E123" s="1113"/>
      <c r="F123" s="1101"/>
      <c r="G123" s="1209"/>
      <c r="H123" s="1101"/>
      <c r="I123" s="1101"/>
      <c r="J123" s="1209"/>
      <c r="K123" s="1209"/>
      <c r="L123" s="1101"/>
      <c r="M123" s="1101"/>
      <c r="N123" s="1101"/>
      <c r="O123" s="1101"/>
      <c r="P123" s="1101"/>
      <c r="Q123" s="1209"/>
      <c r="R123" s="1209"/>
      <c r="S123" s="1101"/>
      <c r="T123" s="1101"/>
      <c r="U123" s="1101"/>
      <c r="V123" s="1101"/>
      <c r="W123" s="1101"/>
      <c r="X123" s="1209"/>
      <c r="Y123" s="1209"/>
      <c r="Z123" s="1101"/>
      <c r="AA123" s="1101"/>
      <c r="AB123" s="1101"/>
      <c r="AC123" s="1101"/>
      <c r="AD123" s="1101"/>
      <c r="AE123" s="1209"/>
      <c r="AF123" s="1209"/>
      <c r="AG123" s="1101"/>
      <c r="AH123" s="1101"/>
      <c r="AI123" s="1332"/>
      <c r="AJ123" s="665">
        <f>SUM(E123:AI123)</f>
        <v>0</v>
      </c>
      <c r="AK123" s="1004">
        <f t="shared" si="41"/>
        <v>0</v>
      </c>
      <c r="AL123" s="648">
        <f>+AJ123*AN118</f>
        <v>0</v>
      </c>
      <c r="AM123" s="1008">
        <f t="shared" si="42"/>
        <v>0</v>
      </c>
      <c r="AN123" s="31"/>
      <c r="AO123" s="622"/>
      <c r="AP123" s="39" t="s">
        <v>19</v>
      </c>
      <c r="AQ123" s="56">
        <f>AQ122*AN118</f>
        <v>0</v>
      </c>
      <c r="AR123" s="56">
        <f>AR122*AN118</f>
        <v>0</v>
      </c>
      <c r="AS123" s="56">
        <f>AS122*AN118</f>
        <v>0</v>
      </c>
      <c r="AT123" s="56">
        <f>AT122*AN118</f>
        <v>0</v>
      </c>
      <c r="AU123" s="56">
        <f>AU122*AN118</f>
        <v>0</v>
      </c>
      <c r="AV123" s="57">
        <f t="shared" si="73"/>
        <v>0</v>
      </c>
    </row>
    <row r="124" spans="1:48" s="644" customFormat="1" ht="20.65" customHeight="1">
      <c r="A124" s="226"/>
      <c r="B124" s="213"/>
      <c r="C124" s="72" t="s">
        <v>104</v>
      </c>
      <c r="D124" s="73" t="s">
        <v>105</v>
      </c>
      <c r="E124" s="1115"/>
      <c r="F124" s="1103"/>
      <c r="G124" s="1210"/>
      <c r="H124" s="1103"/>
      <c r="I124" s="1103"/>
      <c r="J124" s="1210"/>
      <c r="K124" s="1210"/>
      <c r="L124" s="1103"/>
      <c r="M124" s="1103"/>
      <c r="N124" s="1103"/>
      <c r="O124" s="1103"/>
      <c r="P124" s="1103"/>
      <c r="Q124" s="1210"/>
      <c r="R124" s="1210"/>
      <c r="S124" s="1103"/>
      <c r="T124" s="1103"/>
      <c r="U124" s="1103"/>
      <c r="V124" s="1103"/>
      <c r="W124" s="1103"/>
      <c r="X124" s="1210"/>
      <c r="Y124" s="1210"/>
      <c r="Z124" s="1103"/>
      <c r="AA124" s="1103"/>
      <c r="AB124" s="1103"/>
      <c r="AC124" s="1103"/>
      <c r="AD124" s="1103"/>
      <c r="AE124" s="1210"/>
      <c r="AF124" s="1210"/>
      <c r="AG124" s="1103"/>
      <c r="AH124" s="1103"/>
      <c r="AI124" s="1352"/>
      <c r="AJ124" s="666">
        <f>SUM(E124:AI124)</f>
        <v>0</v>
      </c>
      <c r="AK124" s="1004">
        <f t="shared" si="41"/>
        <v>0</v>
      </c>
      <c r="AL124" s="649">
        <f>+AJ124*AN118</f>
        <v>0</v>
      </c>
      <c r="AM124" s="1008">
        <f t="shared" si="42"/>
        <v>0</v>
      </c>
      <c r="AN124" s="31"/>
      <c r="AO124" s="622"/>
      <c r="AP124" s="47" t="s">
        <v>106</v>
      </c>
      <c r="AQ124" s="48">
        <f>AQ120*AN118</f>
        <v>0</v>
      </c>
      <c r="AR124" s="48">
        <f>AR120*AN118</f>
        <v>0</v>
      </c>
      <c r="AS124" s="48">
        <f>AS120*AN118</f>
        <v>0</v>
      </c>
      <c r="AT124" s="48">
        <f>AT120*AN118</f>
        <v>0</v>
      </c>
      <c r="AU124" s="48">
        <f>AU120*AN118</f>
        <v>0</v>
      </c>
      <c r="AV124" s="50">
        <f t="shared" si="73"/>
        <v>0</v>
      </c>
    </row>
    <row r="125" spans="1:48" s="644" customFormat="1" ht="20.65" customHeight="1">
      <c r="A125" s="231" t="s">
        <v>291</v>
      </c>
      <c r="B125" s="89"/>
      <c r="C125" s="77">
        <v>300000</v>
      </c>
      <c r="D125" s="78" t="s">
        <v>107</v>
      </c>
      <c r="E125" s="1137">
        <v>2</v>
      </c>
      <c r="F125" s="1097">
        <v>2</v>
      </c>
      <c r="G125" s="1205">
        <v>2</v>
      </c>
      <c r="H125" s="1097">
        <v>2</v>
      </c>
      <c r="I125" s="1097">
        <v>2</v>
      </c>
      <c r="J125" s="1205">
        <v>2</v>
      </c>
      <c r="K125" s="1205">
        <v>2</v>
      </c>
      <c r="L125" s="1097">
        <v>2</v>
      </c>
      <c r="M125" s="1097">
        <v>2</v>
      </c>
      <c r="N125" s="1097">
        <v>2</v>
      </c>
      <c r="O125" s="1097">
        <v>2</v>
      </c>
      <c r="P125" s="1097">
        <v>2</v>
      </c>
      <c r="Q125" s="1205">
        <v>2</v>
      </c>
      <c r="R125" s="1205">
        <v>2</v>
      </c>
      <c r="S125" s="1097">
        <v>2</v>
      </c>
      <c r="T125" s="1097">
        <v>2</v>
      </c>
      <c r="U125" s="1097">
        <v>2</v>
      </c>
      <c r="V125" s="1097">
        <v>2</v>
      </c>
      <c r="W125" s="1097">
        <v>2</v>
      </c>
      <c r="X125" s="1205">
        <v>2</v>
      </c>
      <c r="Y125" s="1205">
        <v>2</v>
      </c>
      <c r="Z125" s="1097">
        <v>2</v>
      </c>
      <c r="AA125" s="1097">
        <v>2</v>
      </c>
      <c r="AB125" s="1097">
        <v>2</v>
      </c>
      <c r="AC125" s="1097">
        <v>2</v>
      </c>
      <c r="AD125" s="1097">
        <v>2</v>
      </c>
      <c r="AE125" s="1205">
        <v>2</v>
      </c>
      <c r="AF125" s="1205">
        <v>2</v>
      </c>
      <c r="AG125" s="1097">
        <v>2</v>
      </c>
      <c r="AH125" s="1097">
        <v>2</v>
      </c>
      <c r="AI125" s="1328">
        <v>2</v>
      </c>
      <c r="AJ125" s="663"/>
      <c r="AK125" s="1004">
        <f t="shared" si="41"/>
        <v>0</v>
      </c>
      <c r="AL125" s="646"/>
      <c r="AM125" s="1007">
        <f t="shared" si="42"/>
        <v>0</v>
      </c>
      <c r="AN125" s="31"/>
      <c r="AO125" s="622"/>
      <c r="AP125" s="47"/>
      <c r="AQ125" s="48"/>
      <c r="AR125" s="48"/>
      <c r="AS125" s="48"/>
      <c r="AT125" s="48"/>
      <c r="AU125" s="48"/>
      <c r="AV125" s="214"/>
    </row>
    <row r="126" spans="1:48" s="644" customFormat="1" ht="20.65" customHeight="1">
      <c r="A126" s="639"/>
      <c r="B126" s="89"/>
      <c r="C126" s="80" t="s">
        <v>108</v>
      </c>
      <c r="D126" s="81" t="s">
        <v>109</v>
      </c>
      <c r="E126" s="1125">
        <f>SUM(E120+E122+E124+E123)/E125</f>
        <v>0</v>
      </c>
      <c r="F126" s="1125">
        <f>SUM(F120+F122+F124+F123)/F125</f>
        <v>0</v>
      </c>
      <c r="G126" s="1233">
        <f>SUM(G120+G122+G124+G123)/G125</f>
        <v>0</v>
      </c>
      <c r="H126" s="1125">
        <f t="shared" ref="H126:AI126" si="80">SUM(H120+H122+H124+H123)/H125</f>
        <v>0</v>
      </c>
      <c r="I126" s="1125">
        <f t="shared" si="80"/>
        <v>0</v>
      </c>
      <c r="J126" s="1233">
        <f t="shared" si="80"/>
        <v>0</v>
      </c>
      <c r="K126" s="1233">
        <f t="shared" si="80"/>
        <v>0</v>
      </c>
      <c r="L126" s="1125">
        <f>SUM(L120+L122+L124+L123)/L125</f>
        <v>0</v>
      </c>
      <c r="M126" s="1125">
        <f>SUM(M120+M122+M124+M123)/M125</f>
        <v>0</v>
      </c>
      <c r="N126" s="1125">
        <f t="shared" si="80"/>
        <v>0</v>
      </c>
      <c r="O126" s="1125">
        <f t="shared" si="80"/>
        <v>0</v>
      </c>
      <c r="P126" s="1125">
        <f t="shared" si="80"/>
        <v>0</v>
      </c>
      <c r="Q126" s="1233">
        <f t="shared" si="80"/>
        <v>0</v>
      </c>
      <c r="R126" s="1233">
        <f t="shared" si="80"/>
        <v>0</v>
      </c>
      <c r="S126" s="1125">
        <f t="shared" si="80"/>
        <v>0</v>
      </c>
      <c r="T126" s="1125">
        <f t="shared" si="80"/>
        <v>0</v>
      </c>
      <c r="U126" s="1125">
        <f t="shared" si="80"/>
        <v>0</v>
      </c>
      <c r="V126" s="1125">
        <f t="shared" si="80"/>
        <v>0</v>
      </c>
      <c r="W126" s="1125">
        <f t="shared" si="80"/>
        <v>0</v>
      </c>
      <c r="X126" s="1233">
        <f t="shared" si="80"/>
        <v>0</v>
      </c>
      <c r="Y126" s="1233">
        <f t="shared" si="80"/>
        <v>0</v>
      </c>
      <c r="Z126" s="1125">
        <f t="shared" si="80"/>
        <v>0</v>
      </c>
      <c r="AA126" s="1125">
        <f t="shared" si="80"/>
        <v>0</v>
      </c>
      <c r="AB126" s="1125">
        <f t="shared" si="80"/>
        <v>0</v>
      </c>
      <c r="AC126" s="1125">
        <f t="shared" si="80"/>
        <v>0</v>
      </c>
      <c r="AD126" s="1125">
        <f t="shared" si="80"/>
        <v>0</v>
      </c>
      <c r="AE126" s="1233">
        <f t="shared" si="80"/>
        <v>0</v>
      </c>
      <c r="AF126" s="1233">
        <f t="shared" si="80"/>
        <v>0</v>
      </c>
      <c r="AG126" s="1125">
        <f t="shared" si="80"/>
        <v>0</v>
      </c>
      <c r="AH126" s="1125">
        <f t="shared" si="80"/>
        <v>0</v>
      </c>
      <c r="AI126" s="1409">
        <f t="shared" si="80"/>
        <v>0</v>
      </c>
      <c r="AJ126" s="104">
        <f>SUM(E126:AI126)</f>
        <v>0</v>
      </c>
      <c r="AK126" s="993">
        <f t="shared" si="41"/>
        <v>0</v>
      </c>
      <c r="AL126" s="650"/>
      <c r="AM126" s="1008">
        <f t="shared" si="42"/>
        <v>0</v>
      </c>
      <c r="AN126" s="31"/>
      <c r="AO126" s="622"/>
      <c r="AP126" s="651"/>
      <c r="AQ126" s="651"/>
      <c r="AR126" s="651"/>
      <c r="AS126" s="651"/>
      <c r="AT126" s="651"/>
      <c r="AU126" s="651"/>
      <c r="AV126" s="651"/>
    </row>
    <row r="127" spans="1:48" s="644" customFormat="1" ht="20.65" customHeight="1">
      <c r="A127" s="215"/>
      <c r="B127" s="89"/>
      <c r="C127" s="84">
        <f>+C125*0.8</f>
        <v>240000</v>
      </c>
      <c r="D127" s="85" t="s">
        <v>110</v>
      </c>
      <c r="E127" s="1105"/>
      <c r="F127" s="1104"/>
      <c r="G127" s="1228"/>
      <c r="H127" s="1104"/>
      <c r="I127" s="1104"/>
      <c r="J127" s="1211"/>
      <c r="K127" s="1211"/>
      <c r="L127" s="1104"/>
      <c r="M127" s="1104"/>
      <c r="N127" s="1104"/>
      <c r="O127" s="1104"/>
      <c r="P127" s="1104"/>
      <c r="Q127" s="1211"/>
      <c r="R127" s="1211"/>
      <c r="S127" s="1104"/>
      <c r="T127" s="1104"/>
      <c r="U127" s="1104"/>
      <c r="V127" s="1104"/>
      <c r="W127" s="1104"/>
      <c r="X127" s="1211"/>
      <c r="Y127" s="1211"/>
      <c r="Z127" s="1104"/>
      <c r="AA127" s="1104"/>
      <c r="AB127" s="1104"/>
      <c r="AC127" s="1104"/>
      <c r="AD127" s="1104"/>
      <c r="AE127" s="1211"/>
      <c r="AF127" s="1211"/>
      <c r="AG127" s="1104"/>
      <c r="AH127" s="1104"/>
      <c r="AI127" s="1353"/>
      <c r="AJ127" s="729"/>
      <c r="AK127" s="1004">
        <f t="shared" si="41"/>
        <v>0</v>
      </c>
      <c r="AL127" s="647"/>
      <c r="AM127" s="1008">
        <f t="shared" si="42"/>
        <v>0</v>
      </c>
      <c r="AN127" s="31"/>
      <c r="AO127" s="622"/>
      <c r="AP127" s="651"/>
      <c r="AQ127" s="651"/>
      <c r="AR127" s="651"/>
      <c r="AS127" s="651"/>
      <c r="AT127" s="651"/>
      <c r="AU127" s="651"/>
      <c r="AV127" s="651"/>
    </row>
    <row r="128" spans="1:48" s="644" customFormat="1" ht="20.65" customHeight="1">
      <c r="A128" s="215"/>
      <c r="B128" s="89"/>
      <c r="C128" s="77"/>
      <c r="D128" s="88" t="s">
        <v>111</v>
      </c>
      <c r="E128" s="1125">
        <f>IF(E127="O/H",E126,18851+E126)</f>
        <v>18851</v>
      </c>
      <c r="F128" s="1126">
        <f>IF(F127="O/H",F126,+E128+F126)</f>
        <v>18851</v>
      </c>
      <c r="G128" s="1235">
        <f t="shared" ref="G128:AI128" si="81">IF(G127="O/H",G126,+F128+G126)</f>
        <v>18851</v>
      </c>
      <c r="H128" s="1126">
        <f t="shared" si="81"/>
        <v>18851</v>
      </c>
      <c r="I128" s="1126">
        <f t="shared" si="81"/>
        <v>18851</v>
      </c>
      <c r="J128" s="1235">
        <f t="shared" si="81"/>
        <v>18851</v>
      </c>
      <c r="K128" s="1235">
        <f t="shared" si="81"/>
        <v>18851</v>
      </c>
      <c r="L128" s="1126">
        <f t="shared" si="81"/>
        <v>18851</v>
      </c>
      <c r="M128" s="1126">
        <f t="shared" si="81"/>
        <v>18851</v>
      </c>
      <c r="N128" s="1126">
        <f t="shared" si="81"/>
        <v>18851</v>
      </c>
      <c r="O128" s="1126">
        <f t="shared" si="81"/>
        <v>18851</v>
      </c>
      <c r="P128" s="1126">
        <f t="shared" si="81"/>
        <v>18851</v>
      </c>
      <c r="Q128" s="1235">
        <f t="shared" si="81"/>
        <v>18851</v>
      </c>
      <c r="R128" s="1235">
        <f t="shared" si="81"/>
        <v>18851</v>
      </c>
      <c r="S128" s="1126">
        <f t="shared" si="81"/>
        <v>18851</v>
      </c>
      <c r="T128" s="1126">
        <f t="shared" si="81"/>
        <v>18851</v>
      </c>
      <c r="U128" s="1126">
        <f t="shared" si="81"/>
        <v>18851</v>
      </c>
      <c r="V128" s="1126">
        <f t="shared" si="81"/>
        <v>18851</v>
      </c>
      <c r="W128" s="1126">
        <f t="shared" si="81"/>
        <v>18851</v>
      </c>
      <c r="X128" s="1235">
        <f t="shared" si="81"/>
        <v>18851</v>
      </c>
      <c r="Y128" s="1235">
        <f t="shared" si="81"/>
        <v>18851</v>
      </c>
      <c r="Z128" s="1126">
        <f t="shared" si="81"/>
        <v>18851</v>
      </c>
      <c r="AA128" s="1126">
        <f t="shared" si="81"/>
        <v>18851</v>
      </c>
      <c r="AB128" s="1126">
        <f t="shared" si="81"/>
        <v>18851</v>
      </c>
      <c r="AC128" s="1126">
        <f t="shared" si="81"/>
        <v>18851</v>
      </c>
      <c r="AD128" s="1126">
        <f t="shared" si="81"/>
        <v>18851</v>
      </c>
      <c r="AE128" s="1235">
        <f t="shared" si="81"/>
        <v>18851</v>
      </c>
      <c r="AF128" s="1235">
        <f t="shared" si="81"/>
        <v>18851</v>
      </c>
      <c r="AG128" s="1126">
        <f t="shared" si="81"/>
        <v>18851</v>
      </c>
      <c r="AH128" s="1126">
        <f t="shared" si="81"/>
        <v>18851</v>
      </c>
      <c r="AI128" s="1335">
        <f t="shared" si="81"/>
        <v>18851</v>
      </c>
      <c r="AJ128" s="104"/>
      <c r="AK128" s="993">
        <f t="shared" si="41"/>
        <v>0</v>
      </c>
      <c r="AL128" s="650"/>
      <c r="AM128" s="1008">
        <f t="shared" si="42"/>
        <v>0</v>
      </c>
      <c r="AN128" s="31"/>
      <c r="AO128" s="622"/>
      <c r="AP128" s="651"/>
      <c r="AQ128" s="651"/>
      <c r="AR128" s="651"/>
      <c r="AS128" s="651"/>
      <c r="AT128" s="651"/>
      <c r="AU128" s="651"/>
      <c r="AV128" s="651"/>
    </row>
    <row r="129" spans="1:48" s="23" customFormat="1" ht="20.65" customHeight="1">
      <c r="A129" s="274"/>
      <c r="B129" s="312"/>
      <c r="C129" s="308"/>
      <c r="D129" s="795" t="s">
        <v>112</v>
      </c>
      <c r="E129" s="1117" t="b">
        <f>IF(AND(ISNUMBER(E120)),1208947+E126)</f>
        <v>0</v>
      </c>
      <c r="F129" s="1118" t="str">
        <f>IF(AND(ISNUMBER(F120)),E129+F126,"")</f>
        <v/>
      </c>
      <c r="G129" s="1216" t="str">
        <f t="shared" ref="G129:H129" si="82">IF(AND(ISNUMBER(G120)),F129+G126,"")</f>
        <v/>
      </c>
      <c r="H129" s="1118" t="str">
        <f t="shared" si="82"/>
        <v/>
      </c>
      <c r="I129" s="1118" t="str">
        <f>IF(AND(ISNUMBER(I120)),H129+I126,"")</f>
        <v/>
      </c>
      <c r="J129" s="1216" t="str">
        <f>IF(AND(ISNUMBER(J120)),I129+J126,"")</f>
        <v/>
      </c>
      <c r="K129" s="1216" t="str">
        <f>IF(AND(ISNUMBER(K120)),J129+K126,"")</f>
        <v/>
      </c>
      <c r="L129" s="1118" t="str">
        <f t="shared" ref="L129:AI129" si="83">IF(AND(ISNUMBER(L120)),K129+L126,"")</f>
        <v/>
      </c>
      <c r="M129" s="1118" t="str">
        <f t="shared" si="83"/>
        <v/>
      </c>
      <c r="N129" s="1118" t="str">
        <f t="shared" si="83"/>
        <v/>
      </c>
      <c r="O129" s="1118" t="str">
        <f t="shared" si="83"/>
        <v/>
      </c>
      <c r="P129" s="1118" t="str">
        <f t="shared" si="83"/>
        <v/>
      </c>
      <c r="Q129" s="1216" t="str">
        <f t="shared" si="83"/>
        <v/>
      </c>
      <c r="R129" s="1216" t="str">
        <f t="shared" si="83"/>
        <v/>
      </c>
      <c r="S129" s="1118" t="str">
        <f t="shared" si="83"/>
        <v/>
      </c>
      <c r="T129" s="1118" t="str">
        <f t="shared" si="83"/>
        <v/>
      </c>
      <c r="U129" s="1118" t="str">
        <f t="shared" si="83"/>
        <v/>
      </c>
      <c r="V129" s="1118" t="str">
        <f t="shared" si="83"/>
        <v/>
      </c>
      <c r="W129" s="1118" t="str">
        <f t="shared" si="83"/>
        <v/>
      </c>
      <c r="X129" s="1216" t="str">
        <f t="shared" si="83"/>
        <v/>
      </c>
      <c r="Y129" s="1216" t="str">
        <f t="shared" si="83"/>
        <v/>
      </c>
      <c r="Z129" s="1118" t="str">
        <f t="shared" si="83"/>
        <v/>
      </c>
      <c r="AA129" s="1118" t="str">
        <f t="shared" si="83"/>
        <v/>
      </c>
      <c r="AB129" s="1118" t="str">
        <f t="shared" si="83"/>
        <v/>
      </c>
      <c r="AC129" s="1118" t="str">
        <f t="shared" si="83"/>
        <v/>
      </c>
      <c r="AD129" s="1118" t="str">
        <f t="shared" si="83"/>
        <v/>
      </c>
      <c r="AE129" s="1216" t="str">
        <f t="shared" si="83"/>
        <v/>
      </c>
      <c r="AF129" s="1216" t="str">
        <f t="shared" si="83"/>
        <v/>
      </c>
      <c r="AG129" s="1118" t="str">
        <f t="shared" si="83"/>
        <v/>
      </c>
      <c r="AH129" s="1118" t="str">
        <f t="shared" si="83"/>
        <v/>
      </c>
      <c r="AI129" s="1089" t="str">
        <f t="shared" si="83"/>
        <v/>
      </c>
      <c r="AJ129" s="793"/>
      <c r="AK129" s="985">
        <f t="shared" si="41"/>
        <v>0</v>
      </c>
      <c r="AL129" s="909"/>
      <c r="AM129" s="987">
        <f t="shared" si="42"/>
        <v>0</v>
      </c>
      <c r="AN129" s="76"/>
      <c r="AO129" s="630"/>
      <c r="AP129" s="285"/>
      <c r="AQ129" s="285"/>
      <c r="AR129" s="285"/>
      <c r="AS129" s="285"/>
      <c r="AT129" s="286"/>
      <c r="AU129" s="285"/>
      <c r="AV129" s="287"/>
    </row>
    <row r="130" spans="1:48" s="644" customFormat="1" ht="20.65" customHeight="1">
      <c r="A130" s="215" t="s">
        <v>242</v>
      </c>
      <c r="B130" s="89" t="s">
        <v>285</v>
      </c>
      <c r="C130" s="80"/>
      <c r="D130" s="90" t="s">
        <v>104</v>
      </c>
      <c r="E130" s="1108"/>
      <c r="F130" s="1089"/>
      <c r="G130" s="44"/>
      <c r="H130" s="1089"/>
      <c r="I130" s="1089"/>
      <c r="J130" s="44"/>
      <c r="K130" s="44"/>
      <c r="L130" s="1089"/>
      <c r="M130" s="1089"/>
      <c r="N130" s="1089"/>
      <c r="O130" s="1089"/>
      <c r="P130" s="1089"/>
      <c r="Q130" s="44"/>
      <c r="R130" s="44"/>
      <c r="S130" s="1089"/>
      <c r="T130" s="1089"/>
      <c r="U130" s="1089"/>
      <c r="V130" s="1089"/>
      <c r="W130" s="1089"/>
      <c r="X130" s="44"/>
      <c r="Y130" s="44"/>
      <c r="Z130" s="1089"/>
      <c r="AA130" s="1089"/>
      <c r="AB130" s="1089"/>
      <c r="AC130" s="1089"/>
      <c r="AD130" s="1089"/>
      <c r="AE130" s="44"/>
      <c r="AF130" s="44"/>
      <c r="AG130" s="1089"/>
      <c r="AH130" s="1089"/>
      <c r="AI130" s="1326"/>
      <c r="AJ130" s="664"/>
      <c r="AK130" s="1004">
        <f t="shared" si="41"/>
        <v>0</v>
      </c>
      <c r="AL130" s="646"/>
      <c r="AM130" s="1007">
        <f t="shared" si="42"/>
        <v>0</v>
      </c>
      <c r="AN130" s="31"/>
      <c r="AO130" s="622"/>
      <c r="AP130" s="651"/>
      <c r="AQ130" s="651"/>
      <c r="AR130" s="651"/>
      <c r="AS130" s="651"/>
      <c r="AT130" s="651"/>
      <c r="AU130" s="651"/>
      <c r="AV130" s="651"/>
    </row>
    <row r="131" spans="1:48" s="644" customFormat="1" ht="20.65" customHeight="1" thickBot="1">
      <c r="A131" s="216" t="s">
        <v>242</v>
      </c>
      <c r="B131" s="93"/>
      <c r="C131" s="94"/>
      <c r="D131" s="95" t="s">
        <v>111</v>
      </c>
      <c r="E131" s="1109">
        <f>IF(E130="O/H",E126,77073+E126)</f>
        <v>77073</v>
      </c>
      <c r="F131" s="1110">
        <f t="shared" ref="F131:AI131" si="84">IF(F130="O/H",F126,+E131+F126)</f>
        <v>77073</v>
      </c>
      <c r="G131" s="1212">
        <f t="shared" si="84"/>
        <v>77073</v>
      </c>
      <c r="H131" s="1110">
        <f t="shared" si="84"/>
        <v>77073</v>
      </c>
      <c r="I131" s="1110">
        <f t="shared" si="84"/>
        <v>77073</v>
      </c>
      <c r="J131" s="1212">
        <f t="shared" si="84"/>
        <v>77073</v>
      </c>
      <c r="K131" s="1212">
        <f t="shared" si="84"/>
        <v>77073</v>
      </c>
      <c r="L131" s="1110">
        <f t="shared" si="84"/>
        <v>77073</v>
      </c>
      <c r="M131" s="1110">
        <f t="shared" si="84"/>
        <v>77073</v>
      </c>
      <c r="N131" s="1110">
        <f t="shared" si="84"/>
        <v>77073</v>
      </c>
      <c r="O131" s="1110">
        <f t="shared" si="84"/>
        <v>77073</v>
      </c>
      <c r="P131" s="1110">
        <f t="shared" si="84"/>
        <v>77073</v>
      </c>
      <c r="Q131" s="1212">
        <f t="shared" si="84"/>
        <v>77073</v>
      </c>
      <c r="R131" s="1212">
        <f t="shared" si="84"/>
        <v>77073</v>
      </c>
      <c r="S131" s="1110">
        <f t="shared" si="84"/>
        <v>77073</v>
      </c>
      <c r="T131" s="1110">
        <f t="shared" si="84"/>
        <v>77073</v>
      </c>
      <c r="U131" s="1110">
        <f t="shared" si="84"/>
        <v>77073</v>
      </c>
      <c r="V131" s="1110">
        <f t="shared" si="84"/>
        <v>77073</v>
      </c>
      <c r="W131" s="1110">
        <f t="shared" si="84"/>
        <v>77073</v>
      </c>
      <c r="X131" s="1212">
        <f t="shared" si="84"/>
        <v>77073</v>
      </c>
      <c r="Y131" s="1212">
        <f t="shared" si="84"/>
        <v>77073</v>
      </c>
      <c r="Z131" s="1110">
        <f t="shared" si="84"/>
        <v>77073</v>
      </c>
      <c r="AA131" s="1110">
        <f t="shared" si="84"/>
        <v>77073</v>
      </c>
      <c r="AB131" s="1110">
        <f t="shared" si="84"/>
        <v>77073</v>
      </c>
      <c r="AC131" s="1110">
        <f t="shared" si="84"/>
        <v>77073</v>
      </c>
      <c r="AD131" s="1110">
        <f t="shared" si="84"/>
        <v>77073</v>
      </c>
      <c r="AE131" s="1212">
        <f t="shared" si="84"/>
        <v>77073</v>
      </c>
      <c r="AF131" s="1212">
        <f t="shared" si="84"/>
        <v>77073</v>
      </c>
      <c r="AG131" s="1110">
        <f t="shared" si="84"/>
        <v>77073</v>
      </c>
      <c r="AH131" s="1110">
        <f t="shared" si="84"/>
        <v>77073</v>
      </c>
      <c r="AI131" s="1110">
        <f t="shared" si="84"/>
        <v>77073</v>
      </c>
      <c r="AJ131" s="730"/>
      <c r="AK131" s="1005">
        <f t="shared" si="41"/>
        <v>0</v>
      </c>
      <c r="AL131" s="652"/>
      <c r="AM131" s="1009">
        <f t="shared" si="42"/>
        <v>0</v>
      </c>
      <c r="AN131" s="98"/>
      <c r="AO131" s="625"/>
      <c r="AP131" s="651"/>
      <c r="AQ131" s="651"/>
      <c r="AR131" s="651"/>
      <c r="AS131" s="651"/>
      <c r="AT131" s="651"/>
      <c r="AU131" s="651"/>
      <c r="AV131" s="651"/>
    </row>
    <row r="132" spans="1:48" s="644" customFormat="1" ht="20.45" customHeight="1" thickTop="1">
      <c r="A132" s="228" t="s">
        <v>699</v>
      </c>
      <c r="B132" s="219" t="s">
        <v>293</v>
      </c>
      <c r="C132" s="1495" t="str">
        <f>Table511[[#This Row],[M/C No.]]</f>
        <v>A11(100*100ton)</v>
      </c>
      <c r="D132" s="28" t="s">
        <v>82</v>
      </c>
      <c r="E132" s="1124"/>
      <c r="F132" s="1124"/>
      <c r="G132" s="1242"/>
      <c r="H132" s="1124"/>
      <c r="I132" s="1124"/>
      <c r="J132" s="1242"/>
      <c r="K132" s="1242"/>
      <c r="L132" s="1124"/>
      <c r="M132" s="1124"/>
      <c r="N132" s="1124"/>
      <c r="O132" s="1124"/>
      <c r="P132" s="1124"/>
      <c r="Q132" s="1242"/>
      <c r="R132" s="1242"/>
      <c r="S132" s="1124"/>
      <c r="T132" s="1124"/>
      <c r="U132" s="1124"/>
      <c r="V132" s="1124"/>
      <c r="W132" s="1124"/>
      <c r="X132" s="1242"/>
      <c r="Y132" s="1242"/>
      <c r="Z132" s="1124"/>
      <c r="AA132" s="1124"/>
      <c r="AB132" s="1124"/>
      <c r="AC132" s="1124"/>
      <c r="AD132" s="1124"/>
      <c r="AE132" s="1242"/>
      <c r="AF132" s="1242"/>
      <c r="AG132" s="1124"/>
      <c r="AH132" s="1124"/>
      <c r="AI132" s="1350"/>
      <c r="AJ132" s="570">
        <f>SUM(E132:AI132)</f>
        <v>0</v>
      </c>
      <c r="AK132" s="991">
        <f t="shared" si="41"/>
        <v>0</v>
      </c>
      <c r="AL132" s="571">
        <f>+AJ132*AN132</f>
        <v>0</v>
      </c>
      <c r="AM132" s="1002">
        <f t="shared" si="42"/>
        <v>0</v>
      </c>
      <c r="AN132" s="102">
        <v>15.0602</v>
      </c>
      <c r="AO132" s="622">
        <f>Table511[[#This Row],[Total]]*B136/1000</f>
        <v>0</v>
      </c>
      <c r="AP132" s="32" t="s">
        <v>294</v>
      </c>
      <c r="AQ132" s="33" t="s">
        <v>84</v>
      </c>
      <c r="AR132" s="33" t="s">
        <v>85</v>
      </c>
      <c r="AS132" s="33" t="s">
        <v>86</v>
      </c>
      <c r="AT132" s="33" t="s">
        <v>87</v>
      </c>
      <c r="AU132" s="33" t="s">
        <v>88</v>
      </c>
      <c r="AV132" s="34" t="s">
        <v>68</v>
      </c>
    </row>
    <row r="133" spans="1:48" s="644" customFormat="1" ht="20.65" customHeight="1">
      <c r="A133" s="639"/>
      <c r="B133" s="219" t="s">
        <v>295</v>
      </c>
      <c r="C133" s="640"/>
      <c r="D133" s="37" t="s">
        <v>90</v>
      </c>
      <c r="E133" s="1323">
        <f>IF(E132="",0,+ E132/E139)</f>
        <v>0</v>
      </c>
      <c r="F133" s="1096">
        <f t="shared" ref="F133:AC133" si="85">IF(F132="",0, E133+F132/F139)</f>
        <v>0</v>
      </c>
      <c r="G133" s="1207">
        <f t="shared" si="85"/>
        <v>0</v>
      </c>
      <c r="H133" s="1096">
        <f t="shared" si="85"/>
        <v>0</v>
      </c>
      <c r="I133" s="1096">
        <f t="shared" si="85"/>
        <v>0</v>
      </c>
      <c r="J133" s="1207">
        <f t="shared" si="85"/>
        <v>0</v>
      </c>
      <c r="K133" s="1207">
        <f t="shared" si="85"/>
        <v>0</v>
      </c>
      <c r="L133" s="1096">
        <f t="shared" si="85"/>
        <v>0</v>
      </c>
      <c r="M133" s="1096">
        <f t="shared" si="85"/>
        <v>0</v>
      </c>
      <c r="N133" s="1096">
        <f t="shared" si="85"/>
        <v>0</v>
      </c>
      <c r="O133" s="1096">
        <f t="shared" si="85"/>
        <v>0</v>
      </c>
      <c r="P133" s="1096">
        <f t="shared" si="85"/>
        <v>0</v>
      </c>
      <c r="Q133" s="1207">
        <f t="shared" si="85"/>
        <v>0</v>
      </c>
      <c r="R133" s="1207">
        <f t="shared" si="85"/>
        <v>0</v>
      </c>
      <c r="S133" s="1096">
        <f t="shared" si="85"/>
        <v>0</v>
      </c>
      <c r="T133" s="1096">
        <f t="shared" si="85"/>
        <v>0</v>
      </c>
      <c r="U133" s="1096">
        <f t="shared" si="85"/>
        <v>0</v>
      </c>
      <c r="V133" s="1096">
        <f t="shared" si="85"/>
        <v>0</v>
      </c>
      <c r="W133" s="1096">
        <f t="shared" si="85"/>
        <v>0</v>
      </c>
      <c r="X133" s="1207">
        <f t="shared" si="85"/>
        <v>0</v>
      </c>
      <c r="Y133" s="1207">
        <f t="shared" si="85"/>
        <v>0</v>
      </c>
      <c r="Z133" s="1096">
        <f t="shared" si="85"/>
        <v>0</v>
      </c>
      <c r="AA133" s="1096">
        <f t="shared" si="85"/>
        <v>0</v>
      </c>
      <c r="AB133" s="1096">
        <f t="shared" si="85"/>
        <v>0</v>
      </c>
      <c r="AC133" s="1096">
        <f t="shared" si="85"/>
        <v>0</v>
      </c>
      <c r="AD133" s="1096">
        <f>IF(AD132="",0, Z133+AD132/AD139)</f>
        <v>0</v>
      </c>
      <c r="AE133" s="1207">
        <f>IF(AE132="",0, AA133+AE132/AE139)</f>
        <v>0</v>
      </c>
      <c r="AF133" s="1207">
        <f>IF(AF132="",0, AB133+AF132/AF139)</f>
        <v>0</v>
      </c>
      <c r="AG133" s="1096">
        <f>IF(AG132="",0, AC133+AG132/AG139)</f>
        <v>0</v>
      </c>
      <c r="AH133" s="1096">
        <f>IF(AH132="",0, AD133+AH132/AH139)</f>
        <v>0</v>
      </c>
      <c r="AI133" s="1324">
        <f>IF(AI132="",0, AH133+AI132/AI139)</f>
        <v>0</v>
      </c>
      <c r="AJ133" s="728"/>
      <c r="AK133" s="1003">
        <f t="shared" si="41"/>
        <v>0</v>
      </c>
      <c r="AL133" s="641"/>
      <c r="AM133" s="1006">
        <f t="shared" si="42"/>
        <v>0</v>
      </c>
      <c r="AN133" s="642"/>
      <c r="AO133" s="630"/>
      <c r="AP133" s="39" t="s">
        <v>91</v>
      </c>
      <c r="AQ133" s="40">
        <f>SUM(E132:K132)</f>
        <v>0</v>
      </c>
      <c r="AR133" s="41">
        <f>SUM(L132:R132)</f>
        <v>0</v>
      </c>
      <c r="AS133" s="41">
        <f>SUM(S132:Y132)</f>
        <v>0</v>
      </c>
      <c r="AT133" s="41">
        <f>SUM(Z132:AF132)</f>
        <v>0</v>
      </c>
      <c r="AU133" s="41">
        <f>SUM(AG132:AI132)</f>
        <v>0</v>
      </c>
      <c r="AV133" s="34">
        <f t="shared" ref="AV133:AV138" si="86">SUM(AQ133:AU133)</f>
        <v>0</v>
      </c>
    </row>
    <row r="134" spans="1:48" s="644" customFormat="1" ht="20.65" customHeight="1">
      <c r="A134" s="224" t="s">
        <v>296</v>
      </c>
      <c r="B134" s="89" t="s">
        <v>246</v>
      </c>
      <c r="C134" s="42"/>
      <c r="D134" s="43" t="s">
        <v>93</v>
      </c>
      <c r="E134" s="1108"/>
      <c r="F134" s="1089"/>
      <c r="G134" s="44"/>
      <c r="H134" s="1089"/>
      <c r="I134" s="1089"/>
      <c r="J134" s="44"/>
      <c r="K134" s="44"/>
      <c r="L134" s="1089"/>
      <c r="M134" s="1089"/>
      <c r="N134" s="1089"/>
      <c r="O134" s="1089"/>
      <c r="P134" s="1089"/>
      <c r="Q134" s="44"/>
      <c r="R134" s="44"/>
      <c r="S134" s="1089"/>
      <c r="T134" s="1089"/>
      <c r="U134" s="1089"/>
      <c r="V134" s="1089"/>
      <c r="W134" s="1089"/>
      <c r="X134" s="44"/>
      <c r="Y134" s="44"/>
      <c r="Z134" s="1089"/>
      <c r="AA134" s="1089"/>
      <c r="AB134" s="1089"/>
      <c r="AC134" s="1089"/>
      <c r="AD134" s="1089"/>
      <c r="AE134" s="44"/>
      <c r="AF134" s="44"/>
      <c r="AG134" s="1089"/>
      <c r="AH134" s="1089"/>
      <c r="AI134" s="1326"/>
      <c r="AJ134" s="662">
        <f>SUM(E134:AI134)</f>
        <v>0</v>
      </c>
      <c r="AK134" s="1004">
        <f t="shared" si="41"/>
        <v>0</v>
      </c>
      <c r="AL134" s="645">
        <f>+AJ134*AN132</f>
        <v>0</v>
      </c>
      <c r="AM134" s="1007">
        <f t="shared" si="42"/>
        <v>0</v>
      </c>
      <c r="AN134" s="31"/>
      <c r="AO134" s="632">
        <f>(AJ134+AJ136+AJ137+AJ138)*B136/1000</f>
        <v>0</v>
      </c>
      <c r="AP134" s="47" t="s">
        <v>94</v>
      </c>
      <c r="AQ134" s="48">
        <f>SUM(E134:K134)</f>
        <v>0</v>
      </c>
      <c r="AR134" s="49">
        <f>SUM(L134:R134)</f>
        <v>0</v>
      </c>
      <c r="AS134" s="49">
        <f>SUM(S134:Y134)</f>
        <v>0</v>
      </c>
      <c r="AT134" s="49">
        <f>SUM(Z134:AF134)</f>
        <v>0</v>
      </c>
      <c r="AU134" s="49">
        <f>SUM(AG134:AI134)</f>
        <v>0</v>
      </c>
      <c r="AV134" s="50">
        <f t="shared" si="86"/>
        <v>0</v>
      </c>
    </row>
    <row r="135" spans="1:48" s="644" customFormat="1" ht="20.65" customHeight="1">
      <c r="A135" s="224" t="s">
        <v>296</v>
      </c>
      <c r="B135" s="638" t="s">
        <v>247</v>
      </c>
      <c r="C135" s="52" t="s">
        <v>95</v>
      </c>
      <c r="D135" s="53" t="s">
        <v>96</v>
      </c>
      <c r="E135" s="1137">
        <f t="shared" ref="E135:AJ135" si="87">+E134-E132</f>
        <v>0</v>
      </c>
      <c r="F135" s="1097">
        <f t="shared" si="87"/>
        <v>0</v>
      </c>
      <c r="G135" s="1205">
        <f t="shared" si="87"/>
        <v>0</v>
      </c>
      <c r="H135" s="1097">
        <f t="shared" si="87"/>
        <v>0</v>
      </c>
      <c r="I135" s="1097">
        <f t="shared" si="87"/>
        <v>0</v>
      </c>
      <c r="J135" s="1205">
        <f t="shared" si="87"/>
        <v>0</v>
      </c>
      <c r="K135" s="1205">
        <f t="shared" si="87"/>
        <v>0</v>
      </c>
      <c r="L135" s="1097">
        <f t="shared" si="87"/>
        <v>0</v>
      </c>
      <c r="M135" s="1097">
        <f t="shared" si="87"/>
        <v>0</v>
      </c>
      <c r="N135" s="1097">
        <f t="shared" si="87"/>
        <v>0</v>
      </c>
      <c r="O135" s="1097">
        <f t="shared" si="87"/>
        <v>0</v>
      </c>
      <c r="P135" s="1097">
        <f t="shared" si="87"/>
        <v>0</v>
      </c>
      <c r="Q135" s="1205">
        <f t="shared" si="87"/>
        <v>0</v>
      </c>
      <c r="R135" s="1205">
        <f t="shared" si="87"/>
        <v>0</v>
      </c>
      <c r="S135" s="1097">
        <f t="shared" si="87"/>
        <v>0</v>
      </c>
      <c r="T135" s="1097">
        <f t="shared" si="87"/>
        <v>0</v>
      </c>
      <c r="U135" s="1097">
        <f t="shared" si="87"/>
        <v>0</v>
      </c>
      <c r="V135" s="1097">
        <f t="shared" si="87"/>
        <v>0</v>
      </c>
      <c r="W135" s="1097">
        <f t="shared" si="87"/>
        <v>0</v>
      </c>
      <c r="X135" s="1205">
        <f t="shared" si="87"/>
        <v>0</v>
      </c>
      <c r="Y135" s="1205">
        <f t="shared" si="87"/>
        <v>0</v>
      </c>
      <c r="Z135" s="1097">
        <f t="shared" si="87"/>
        <v>0</v>
      </c>
      <c r="AA135" s="1097">
        <f t="shared" si="87"/>
        <v>0</v>
      </c>
      <c r="AB135" s="1097">
        <f t="shared" si="87"/>
        <v>0</v>
      </c>
      <c r="AC135" s="1097">
        <f t="shared" si="87"/>
        <v>0</v>
      </c>
      <c r="AD135" s="1097">
        <f t="shared" si="87"/>
        <v>0</v>
      </c>
      <c r="AE135" s="1205">
        <f t="shared" si="87"/>
        <v>0</v>
      </c>
      <c r="AF135" s="1205">
        <f t="shared" si="87"/>
        <v>0</v>
      </c>
      <c r="AG135" s="1097">
        <f t="shared" si="87"/>
        <v>0</v>
      </c>
      <c r="AH135" s="1097">
        <f t="shared" si="87"/>
        <v>0</v>
      </c>
      <c r="AI135" s="1328">
        <f t="shared" si="87"/>
        <v>0</v>
      </c>
      <c r="AJ135" s="663">
        <f t="shared" si="87"/>
        <v>0</v>
      </c>
      <c r="AK135" s="1004">
        <f t="shared" si="41"/>
        <v>0</v>
      </c>
      <c r="AL135" s="646">
        <f>+AJ135*AN132</f>
        <v>0</v>
      </c>
      <c r="AM135" s="1007">
        <f t="shared" si="42"/>
        <v>0</v>
      </c>
      <c r="AN135" s="31" t="s">
        <v>97</v>
      </c>
      <c r="AO135" s="622"/>
      <c r="AP135" s="39" t="s">
        <v>98</v>
      </c>
      <c r="AQ135" s="56">
        <f>AQ134-AQ133</f>
        <v>0</v>
      </c>
      <c r="AR135" s="70">
        <f>AR134-AR133</f>
        <v>0</v>
      </c>
      <c r="AS135" s="70">
        <f>AS134-AS133</f>
        <v>0</v>
      </c>
      <c r="AT135" s="70">
        <f>AT134-AT133</f>
        <v>0</v>
      </c>
      <c r="AU135" s="70">
        <f>AU134-AU133</f>
        <v>0</v>
      </c>
      <c r="AV135" s="57">
        <f t="shared" si="86"/>
        <v>0</v>
      </c>
    </row>
    <row r="136" spans="1:48" s="644" customFormat="1" ht="20.65" customHeight="1">
      <c r="A136" s="226"/>
      <c r="B136" s="659">
        <v>6.7149999999999999</v>
      </c>
      <c r="C136" s="60" t="s">
        <v>100</v>
      </c>
      <c r="D136" s="61" t="s">
        <v>101</v>
      </c>
      <c r="E136" s="1098"/>
      <c r="F136" s="1099"/>
      <c r="G136" s="1208"/>
      <c r="H136" s="1099"/>
      <c r="I136" s="1099"/>
      <c r="J136" s="1208"/>
      <c r="K136" s="1208"/>
      <c r="L136" s="1099"/>
      <c r="M136" s="1099"/>
      <c r="N136" s="1099"/>
      <c r="O136" s="1099"/>
      <c r="P136" s="1099"/>
      <c r="Q136" s="1208"/>
      <c r="R136" s="1208"/>
      <c r="S136" s="1099"/>
      <c r="T136" s="1099"/>
      <c r="U136" s="1099"/>
      <c r="V136" s="1099"/>
      <c r="W136" s="1099"/>
      <c r="X136" s="1208"/>
      <c r="Y136" s="1208"/>
      <c r="Z136" s="1099"/>
      <c r="AA136" s="1099"/>
      <c r="AB136" s="1099"/>
      <c r="AC136" s="1099"/>
      <c r="AD136" s="1099"/>
      <c r="AE136" s="1208"/>
      <c r="AF136" s="1208"/>
      <c r="AG136" s="1099"/>
      <c r="AH136" s="1099"/>
      <c r="AI136" s="1330"/>
      <c r="AJ136" s="664">
        <f>SUM(E136:AI136)</f>
        <v>0</v>
      </c>
      <c r="AK136" s="1004">
        <f t="shared" ref="AK136:AK199" si="88">AJ138</f>
        <v>0</v>
      </c>
      <c r="AL136" s="647">
        <f>+AJ136*AN132</f>
        <v>0</v>
      </c>
      <c r="AM136" s="1008">
        <f t="shared" ref="AM136:AM199" si="89">AL138</f>
        <v>0</v>
      </c>
      <c r="AN136" s="64" t="e">
        <f>+AJ136/AJ134*100</f>
        <v>#DIV/0!</v>
      </c>
      <c r="AO136" s="635" t="e">
        <f>AO134/AO132</f>
        <v>#DIV/0!</v>
      </c>
      <c r="AP136" s="39" t="s">
        <v>102</v>
      </c>
      <c r="AQ136" s="56">
        <f>SUM(E136:K136)</f>
        <v>0</v>
      </c>
      <c r="AR136" s="70">
        <f>SUM(L136:R136)</f>
        <v>0</v>
      </c>
      <c r="AS136" s="70">
        <f>SUM(S136:Y136)</f>
        <v>0</v>
      </c>
      <c r="AT136" s="70">
        <f>SUM(Z136:AF136)</f>
        <v>0</v>
      </c>
      <c r="AU136" s="70">
        <f>SUM(AG136:AI136)</f>
        <v>0</v>
      </c>
      <c r="AV136" s="57">
        <f t="shared" si="86"/>
        <v>0</v>
      </c>
    </row>
    <row r="137" spans="1:48" s="644" customFormat="1" ht="20.65" customHeight="1">
      <c r="A137" s="210" t="s">
        <v>245</v>
      </c>
      <c r="B137" s="213"/>
      <c r="C137" s="66"/>
      <c r="D137" s="67" t="s">
        <v>103</v>
      </c>
      <c r="E137" s="1100"/>
      <c r="F137" s="1101"/>
      <c r="G137" s="1209"/>
      <c r="H137" s="1101"/>
      <c r="I137" s="1101"/>
      <c r="J137" s="1209"/>
      <c r="K137" s="1209"/>
      <c r="L137" s="1101"/>
      <c r="M137" s="1101"/>
      <c r="N137" s="1101"/>
      <c r="O137" s="1101"/>
      <c r="P137" s="1101"/>
      <c r="Q137" s="1209"/>
      <c r="R137" s="1209"/>
      <c r="S137" s="1101"/>
      <c r="T137" s="1101"/>
      <c r="U137" s="1101"/>
      <c r="V137" s="1101"/>
      <c r="W137" s="1101"/>
      <c r="X137" s="1209"/>
      <c r="Y137" s="1209"/>
      <c r="Z137" s="1101"/>
      <c r="AA137" s="1101"/>
      <c r="AB137" s="1101"/>
      <c r="AC137" s="1101"/>
      <c r="AD137" s="1101"/>
      <c r="AE137" s="1209"/>
      <c r="AF137" s="1209"/>
      <c r="AG137" s="1101"/>
      <c r="AH137" s="1101"/>
      <c r="AI137" s="1332"/>
      <c r="AJ137" s="665">
        <f>SUM(E137:AI137)</f>
        <v>0</v>
      </c>
      <c r="AK137" s="1004">
        <f t="shared" si="88"/>
        <v>0</v>
      </c>
      <c r="AL137" s="648">
        <f>+AJ137*AN132</f>
        <v>0</v>
      </c>
      <c r="AM137" s="1008">
        <f t="shared" si="89"/>
        <v>0</v>
      </c>
      <c r="AN137" s="31"/>
      <c r="AO137" s="622"/>
      <c r="AP137" s="39" t="s">
        <v>19</v>
      </c>
      <c r="AQ137" s="56">
        <f>AQ136*AN132</f>
        <v>0</v>
      </c>
      <c r="AR137" s="56">
        <f>AR136*AN132</f>
        <v>0</v>
      </c>
      <c r="AS137" s="56">
        <f>AS136*AN132</f>
        <v>0</v>
      </c>
      <c r="AT137" s="56">
        <f>AT136*AN132</f>
        <v>0</v>
      </c>
      <c r="AU137" s="56">
        <f>AU136*AN132</f>
        <v>0</v>
      </c>
      <c r="AV137" s="57">
        <f t="shared" si="86"/>
        <v>0</v>
      </c>
    </row>
    <row r="138" spans="1:48" s="644" customFormat="1" ht="20.65" customHeight="1">
      <c r="A138" s="210" t="s">
        <v>245</v>
      </c>
      <c r="B138" s="213"/>
      <c r="C138" s="72" t="s">
        <v>104</v>
      </c>
      <c r="D138" s="73" t="s">
        <v>105</v>
      </c>
      <c r="E138" s="1115"/>
      <c r="F138" s="1116"/>
      <c r="G138" s="1215"/>
      <c r="H138" s="1116"/>
      <c r="I138" s="1116"/>
      <c r="J138" s="1215"/>
      <c r="K138" s="1215"/>
      <c r="L138" s="1116"/>
      <c r="M138" s="1116"/>
      <c r="N138" s="1116"/>
      <c r="O138" s="1116"/>
      <c r="P138" s="1116"/>
      <c r="Q138" s="1215"/>
      <c r="R138" s="1215"/>
      <c r="S138" s="1116"/>
      <c r="T138" s="1116"/>
      <c r="U138" s="1116"/>
      <c r="V138" s="1116"/>
      <c r="W138" s="1116"/>
      <c r="X138" s="1215"/>
      <c r="Y138" s="1215"/>
      <c r="Z138" s="1116"/>
      <c r="AA138" s="1116"/>
      <c r="AB138" s="1116"/>
      <c r="AC138" s="1116"/>
      <c r="AD138" s="1116"/>
      <c r="AE138" s="1215"/>
      <c r="AF138" s="1215"/>
      <c r="AG138" s="1116"/>
      <c r="AH138" s="1116"/>
      <c r="AI138" s="1334"/>
      <c r="AJ138" s="731">
        <f>SUM(E138:AI138)</f>
        <v>0</v>
      </c>
      <c r="AK138" s="1004">
        <f t="shared" si="88"/>
        <v>0</v>
      </c>
      <c r="AL138" s="653">
        <f>+AJ138*AN132</f>
        <v>0</v>
      </c>
      <c r="AM138" s="1008">
        <f t="shared" si="89"/>
        <v>0</v>
      </c>
      <c r="AN138" s="31"/>
      <c r="AO138" s="622"/>
      <c r="AP138" s="47" t="s">
        <v>106</v>
      </c>
      <c r="AQ138" s="48">
        <f>AQ134*AN132</f>
        <v>0</v>
      </c>
      <c r="AR138" s="48">
        <f>AR134*AN132</f>
        <v>0</v>
      </c>
      <c r="AS138" s="48">
        <f>AS134*AN132</f>
        <v>0</v>
      </c>
      <c r="AT138" s="48">
        <f>AT134*AN132</f>
        <v>0</v>
      </c>
      <c r="AU138" s="48">
        <f>AU134*AN132</f>
        <v>0</v>
      </c>
      <c r="AV138" s="50">
        <f t="shared" si="86"/>
        <v>0</v>
      </c>
    </row>
    <row r="139" spans="1:48" s="644" customFormat="1" ht="20.65" customHeight="1">
      <c r="A139" s="226"/>
      <c r="B139" s="232"/>
      <c r="C139" s="77">
        <v>300000</v>
      </c>
      <c r="D139" s="78" t="s">
        <v>107</v>
      </c>
      <c r="E139" s="1137">
        <v>2</v>
      </c>
      <c r="F139" s="1097">
        <v>2</v>
      </c>
      <c r="G139" s="1205">
        <v>2</v>
      </c>
      <c r="H139" s="1097">
        <v>2</v>
      </c>
      <c r="I139" s="1097">
        <v>2</v>
      </c>
      <c r="J139" s="1205">
        <v>2</v>
      </c>
      <c r="K139" s="1205">
        <v>2</v>
      </c>
      <c r="L139" s="1097">
        <v>2</v>
      </c>
      <c r="M139" s="1097">
        <v>2</v>
      </c>
      <c r="N139" s="1097">
        <v>2</v>
      </c>
      <c r="O139" s="1097">
        <v>2</v>
      </c>
      <c r="P139" s="1097">
        <v>2</v>
      </c>
      <c r="Q139" s="1205">
        <v>2</v>
      </c>
      <c r="R139" s="1205">
        <v>2</v>
      </c>
      <c r="S139" s="1097">
        <v>2</v>
      </c>
      <c r="T139" s="1097">
        <v>2</v>
      </c>
      <c r="U139" s="1097">
        <v>2</v>
      </c>
      <c r="V139" s="1097">
        <v>2</v>
      </c>
      <c r="W139" s="1097">
        <v>2</v>
      </c>
      <c r="X139" s="1205">
        <v>2</v>
      </c>
      <c r="Y139" s="1205">
        <v>2</v>
      </c>
      <c r="Z139" s="1097">
        <v>2</v>
      </c>
      <c r="AA139" s="1097">
        <v>2</v>
      </c>
      <c r="AB139" s="1097">
        <v>2</v>
      </c>
      <c r="AC139" s="1097">
        <v>2</v>
      </c>
      <c r="AD139" s="1097">
        <v>2</v>
      </c>
      <c r="AE139" s="1205">
        <v>2</v>
      </c>
      <c r="AF139" s="1205">
        <v>2</v>
      </c>
      <c r="AG139" s="1097">
        <v>2</v>
      </c>
      <c r="AH139" s="1097">
        <v>2</v>
      </c>
      <c r="AI139" s="1328">
        <v>2</v>
      </c>
      <c r="AJ139" s="663"/>
      <c r="AK139" s="1004">
        <f t="shared" si="88"/>
        <v>0</v>
      </c>
      <c r="AL139" s="646"/>
      <c r="AM139" s="1007">
        <f t="shared" si="89"/>
        <v>0</v>
      </c>
      <c r="AN139" s="31"/>
      <c r="AO139" s="622"/>
      <c r="AP139" s="47"/>
      <c r="AQ139" s="48"/>
      <c r="AR139" s="48"/>
      <c r="AS139" s="48"/>
      <c r="AT139" s="48"/>
      <c r="AU139" s="48"/>
      <c r="AV139" s="214"/>
    </row>
    <row r="140" spans="1:48" s="654" customFormat="1" ht="20.65" customHeight="1">
      <c r="A140" s="224" t="s">
        <v>296</v>
      </c>
      <c r="B140" s="89"/>
      <c r="C140" s="80" t="s">
        <v>108</v>
      </c>
      <c r="D140" s="81" t="s">
        <v>109</v>
      </c>
      <c r="E140" s="1125">
        <f t="shared" ref="E140:AI140" si="90">SUM(E134+E136+E138)/E139</f>
        <v>0</v>
      </c>
      <c r="F140" s="1126">
        <f t="shared" si="90"/>
        <v>0</v>
      </c>
      <c r="G140" s="1235">
        <f t="shared" si="90"/>
        <v>0</v>
      </c>
      <c r="H140" s="1126">
        <f t="shared" si="90"/>
        <v>0</v>
      </c>
      <c r="I140" s="1126">
        <f t="shared" si="90"/>
        <v>0</v>
      </c>
      <c r="J140" s="1235">
        <f t="shared" si="90"/>
        <v>0</v>
      </c>
      <c r="K140" s="1235">
        <f t="shared" si="90"/>
        <v>0</v>
      </c>
      <c r="L140" s="1126">
        <f t="shared" si="90"/>
        <v>0</v>
      </c>
      <c r="M140" s="1126">
        <f t="shared" si="90"/>
        <v>0</v>
      </c>
      <c r="N140" s="1126">
        <f t="shared" si="90"/>
        <v>0</v>
      </c>
      <c r="O140" s="1126">
        <f t="shared" si="90"/>
        <v>0</v>
      </c>
      <c r="P140" s="1126">
        <f t="shared" si="90"/>
        <v>0</v>
      </c>
      <c r="Q140" s="1235">
        <f t="shared" si="90"/>
        <v>0</v>
      </c>
      <c r="R140" s="1235">
        <f t="shared" si="90"/>
        <v>0</v>
      </c>
      <c r="S140" s="1126">
        <f t="shared" si="90"/>
        <v>0</v>
      </c>
      <c r="T140" s="1126">
        <f t="shared" si="90"/>
        <v>0</v>
      </c>
      <c r="U140" s="1126">
        <f t="shared" si="90"/>
        <v>0</v>
      </c>
      <c r="V140" s="1126">
        <f t="shared" si="90"/>
        <v>0</v>
      </c>
      <c r="W140" s="1126">
        <f t="shared" si="90"/>
        <v>0</v>
      </c>
      <c r="X140" s="1235">
        <f t="shared" si="90"/>
        <v>0</v>
      </c>
      <c r="Y140" s="1235">
        <f t="shared" si="90"/>
        <v>0</v>
      </c>
      <c r="Z140" s="1126">
        <f t="shared" si="90"/>
        <v>0</v>
      </c>
      <c r="AA140" s="1126">
        <f t="shared" si="90"/>
        <v>0</v>
      </c>
      <c r="AB140" s="1126">
        <f t="shared" si="90"/>
        <v>0</v>
      </c>
      <c r="AC140" s="1126">
        <f t="shared" si="90"/>
        <v>0</v>
      </c>
      <c r="AD140" s="1126">
        <f t="shared" si="90"/>
        <v>0</v>
      </c>
      <c r="AE140" s="1235">
        <f>SUM(AE134+AE136+AE138)/AE139</f>
        <v>0</v>
      </c>
      <c r="AF140" s="1235">
        <f>SUM(AF134+AF136+AF138)/AF139</f>
        <v>0</v>
      </c>
      <c r="AG140" s="1126">
        <f>SUM(AG134+AG136+AG138)/AG139</f>
        <v>0</v>
      </c>
      <c r="AH140" s="1126">
        <f t="shared" si="90"/>
        <v>0</v>
      </c>
      <c r="AI140" s="1335">
        <f t="shared" si="90"/>
        <v>0</v>
      </c>
      <c r="AJ140" s="104">
        <f>SUM(E140:AI140)</f>
        <v>0</v>
      </c>
      <c r="AK140" s="993">
        <f t="shared" si="88"/>
        <v>0</v>
      </c>
      <c r="AL140" s="650"/>
      <c r="AM140" s="1008">
        <f t="shared" si="89"/>
        <v>0</v>
      </c>
      <c r="AN140" s="31"/>
      <c r="AO140" s="622"/>
      <c r="AP140" s="651"/>
      <c r="AQ140" s="651"/>
      <c r="AR140" s="651"/>
      <c r="AS140" s="651"/>
      <c r="AT140" s="651"/>
      <c r="AU140" s="651"/>
      <c r="AV140" s="651"/>
    </row>
    <row r="141" spans="1:48" s="644" customFormat="1" ht="20.65" customHeight="1">
      <c r="A141" s="215"/>
      <c r="B141" s="89"/>
      <c r="C141" s="84">
        <f>+C139*0.8</f>
        <v>240000</v>
      </c>
      <c r="D141" s="85" t="s">
        <v>110</v>
      </c>
      <c r="E141" s="1105"/>
      <c r="F141" s="1104"/>
      <c r="G141" s="1211"/>
      <c r="H141" s="1104"/>
      <c r="I141" s="1104"/>
      <c r="J141" s="1211"/>
      <c r="K141" s="1211"/>
      <c r="L141" s="1104"/>
      <c r="M141" s="1104"/>
      <c r="N141" s="1104"/>
      <c r="O141" s="1104"/>
      <c r="P141" s="1104"/>
      <c r="Q141" s="1211"/>
      <c r="R141" s="1211"/>
      <c r="S141" s="1104"/>
      <c r="T141" s="1104"/>
      <c r="U141" s="1104"/>
      <c r="V141" s="1104"/>
      <c r="W141" s="1104"/>
      <c r="X141" s="1211"/>
      <c r="Y141" s="1211"/>
      <c r="Z141" s="1104"/>
      <c r="AA141" s="1104"/>
      <c r="AB141" s="1104"/>
      <c r="AC141" s="1104"/>
      <c r="AD141" s="1104"/>
      <c r="AE141" s="1211"/>
      <c r="AF141" s="1211"/>
      <c r="AG141" s="1104"/>
      <c r="AH141" s="1104"/>
      <c r="AI141" s="1353"/>
      <c r="AJ141" s="729"/>
      <c r="AK141" s="1004">
        <f t="shared" si="88"/>
        <v>0</v>
      </c>
      <c r="AL141" s="647"/>
      <c r="AM141" s="1008">
        <f t="shared" si="89"/>
        <v>0</v>
      </c>
      <c r="AN141" s="31"/>
      <c r="AO141" s="622"/>
      <c r="AP141" s="651"/>
      <c r="AQ141" s="651"/>
      <c r="AR141" s="651"/>
      <c r="AS141" s="651"/>
      <c r="AT141" s="651"/>
      <c r="AU141" s="651"/>
      <c r="AV141" s="651"/>
    </row>
    <row r="142" spans="1:48" s="644" customFormat="1" ht="20.65" customHeight="1">
      <c r="A142" s="215"/>
      <c r="B142" s="89"/>
      <c r="C142" s="77"/>
      <c r="D142" s="88" t="s">
        <v>111</v>
      </c>
      <c r="E142" s="1125">
        <f>IF(E141="O/H",E140,+E140)</f>
        <v>0</v>
      </c>
      <c r="F142" s="1126">
        <f>IF(F141="O/H",F140,+E142+F140)</f>
        <v>0</v>
      </c>
      <c r="G142" s="1235">
        <f t="shared" ref="G142:AI142" si="91">IF(G141="O/H",G140,+F142+G140)</f>
        <v>0</v>
      </c>
      <c r="H142" s="1126">
        <f t="shared" si="91"/>
        <v>0</v>
      </c>
      <c r="I142" s="1126">
        <f t="shared" si="91"/>
        <v>0</v>
      </c>
      <c r="J142" s="1235">
        <f t="shared" si="91"/>
        <v>0</v>
      </c>
      <c r="K142" s="1235">
        <f t="shared" si="91"/>
        <v>0</v>
      </c>
      <c r="L142" s="1126">
        <f t="shared" si="91"/>
        <v>0</v>
      </c>
      <c r="M142" s="1126">
        <f t="shared" si="91"/>
        <v>0</v>
      </c>
      <c r="N142" s="1126">
        <f t="shared" si="91"/>
        <v>0</v>
      </c>
      <c r="O142" s="1126">
        <f t="shared" si="91"/>
        <v>0</v>
      </c>
      <c r="P142" s="1126">
        <f t="shared" si="91"/>
        <v>0</v>
      </c>
      <c r="Q142" s="1235">
        <f t="shared" si="91"/>
        <v>0</v>
      </c>
      <c r="R142" s="1235">
        <f t="shared" si="91"/>
        <v>0</v>
      </c>
      <c r="S142" s="1126">
        <f t="shared" si="91"/>
        <v>0</v>
      </c>
      <c r="T142" s="1126">
        <f t="shared" si="91"/>
        <v>0</v>
      </c>
      <c r="U142" s="1126">
        <f t="shared" si="91"/>
        <v>0</v>
      </c>
      <c r="V142" s="1126">
        <f t="shared" si="91"/>
        <v>0</v>
      </c>
      <c r="W142" s="1126">
        <f t="shared" si="91"/>
        <v>0</v>
      </c>
      <c r="X142" s="1235">
        <f t="shared" si="91"/>
        <v>0</v>
      </c>
      <c r="Y142" s="1235">
        <f t="shared" si="91"/>
        <v>0</v>
      </c>
      <c r="Z142" s="1126">
        <f t="shared" si="91"/>
        <v>0</v>
      </c>
      <c r="AA142" s="1126">
        <f t="shared" si="91"/>
        <v>0</v>
      </c>
      <c r="AB142" s="1126">
        <f t="shared" si="91"/>
        <v>0</v>
      </c>
      <c r="AC142" s="1126">
        <f t="shared" si="91"/>
        <v>0</v>
      </c>
      <c r="AD142" s="1126">
        <f t="shared" si="91"/>
        <v>0</v>
      </c>
      <c r="AE142" s="1235">
        <f t="shared" si="91"/>
        <v>0</v>
      </c>
      <c r="AF142" s="1235">
        <f t="shared" si="91"/>
        <v>0</v>
      </c>
      <c r="AG142" s="1126">
        <f t="shared" si="91"/>
        <v>0</v>
      </c>
      <c r="AH142" s="1126">
        <f t="shared" si="91"/>
        <v>0</v>
      </c>
      <c r="AI142" s="1335">
        <f t="shared" si="91"/>
        <v>0</v>
      </c>
      <c r="AJ142" s="104"/>
      <c r="AK142" s="993">
        <f t="shared" si="88"/>
        <v>0</v>
      </c>
      <c r="AL142" s="650"/>
      <c r="AM142" s="1008">
        <f t="shared" si="89"/>
        <v>0</v>
      </c>
      <c r="AN142" s="31"/>
      <c r="AO142" s="622"/>
      <c r="AP142" s="651"/>
      <c r="AQ142" s="651"/>
      <c r="AR142" s="651"/>
      <c r="AS142" s="651"/>
      <c r="AT142" s="651"/>
      <c r="AU142" s="651"/>
      <c r="AV142" s="651"/>
    </row>
    <row r="143" spans="1:48" s="644" customFormat="1" ht="20.65" customHeight="1">
      <c r="A143" s="215" t="s">
        <v>242</v>
      </c>
      <c r="B143" s="89" t="s">
        <v>297</v>
      </c>
      <c r="C143" s="80"/>
      <c r="D143" s="90" t="s">
        <v>104</v>
      </c>
      <c r="E143" s="1137"/>
      <c r="F143" s="1097"/>
      <c r="G143" s="1205"/>
      <c r="H143" s="1097"/>
      <c r="I143" s="1097"/>
      <c r="J143" s="1205"/>
      <c r="K143" s="1205"/>
      <c r="L143" s="1097"/>
      <c r="M143" s="1097"/>
      <c r="N143" s="1097"/>
      <c r="O143" s="1097"/>
      <c r="P143" s="1097"/>
      <c r="Q143" s="1205"/>
      <c r="R143" s="1205"/>
      <c r="S143" s="1097"/>
      <c r="T143" s="1097"/>
      <c r="U143" s="1097"/>
      <c r="V143" s="1097"/>
      <c r="W143" s="1097"/>
      <c r="X143" s="1205"/>
      <c r="Y143" s="1205"/>
      <c r="Z143" s="1097"/>
      <c r="AA143" s="1097"/>
      <c r="AB143" s="1097"/>
      <c r="AC143" s="1097"/>
      <c r="AD143" s="1097"/>
      <c r="AE143" s="1205"/>
      <c r="AF143" s="1205"/>
      <c r="AG143" s="1097"/>
      <c r="AH143" s="1097"/>
      <c r="AI143" s="1328"/>
      <c r="AJ143" s="664"/>
      <c r="AK143" s="1004">
        <f t="shared" si="88"/>
        <v>0</v>
      </c>
      <c r="AL143" s="646"/>
      <c r="AM143" s="1007">
        <f t="shared" si="89"/>
        <v>0</v>
      </c>
      <c r="AN143" s="31"/>
      <c r="AO143" s="622"/>
      <c r="AP143" s="651"/>
      <c r="AQ143" s="651"/>
      <c r="AR143" s="651"/>
      <c r="AS143" s="651"/>
      <c r="AT143" s="651"/>
      <c r="AU143" s="651"/>
      <c r="AV143" s="651"/>
    </row>
    <row r="144" spans="1:48" s="644" customFormat="1" ht="20.65" customHeight="1" thickBot="1">
      <c r="A144" s="216" t="s">
        <v>242</v>
      </c>
      <c r="B144" s="89"/>
      <c r="C144" s="94"/>
      <c r="D144" s="230" t="s">
        <v>258</v>
      </c>
      <c r="E144" s="1453">
        <f>IF(E143="O/H",E140,+E140)</f>
        <v>0</v>
      </c>
      <c r="F144" s="1128">
        <f t="shared" ref="F144:AI144" si="92">IF(F143="O/H",F140,+E144+F140)</f>
        <v>0</v>
      </c>
      <c r="G144" s="1303">
        <f t="shared" si="92"/>
        <v>0</v>
      </c>
      <c r="H144" s="1128">
        <f t="shared" si="92"/>
        <v>0</v>
      </c>
      <c r="I144" s="1128">
        <f t="shared" si="92"/>
        <v>0</v>
      </c>
      <c r="J144" s="1303">
        <f t="shared" si="92"/>
        <v>0</v>
      </c>
      <c r="K144" s="1303">
        <f t="shared" si="92"/>
        <v>0</v>
      </c>
      <c r="L144" s="1128">
        <f t="shared" si="92"/>
        <v>0</v>
      </c>
      <c r="M144" s="1128">
        <f t="shared" si="92"/>
        <v>0</v>
      </c>
      <c r="N144" s="1128">
        <f t="shared" si="92"/>
        <v>0</v>
      </c>
      <c r="O144" s="1128">
        <f t="shared" si="92"/>
        <v>0</v>
      </c>
      <c r="P144" s="1128">
        <f t="shared" si="92"/>
        <v>0</v>
      </c>
      <c r="Q144" s="1303">
        <f t="shared" si="92"/>
        <v>0</v>
      </c>
      <c r="R144" s="1303">
        <f t="shared" si="92"/>
        <v>0</v>
      </c>
      <c r="S144" s="1128">
        <f t="shared" si="92"/>
        <v>0</v>
      </c>
      <c r="T144" s="1128">
        <f t="shared" si="92"/>
        <v>0</v>
      </c>
      <c r="U144" s="1128">
        <f t="shared" si="92"/>
        <v>0</v>
      </c>
      <c r="V144" s="1128">
        <f t="shared" si="92"/>
        <v>0</v>
      </c>
      <c r="W144" s="1128">
        <f t="shared" si="92"/>
        <v>0</v>
      </c>
      <c r="X144" s="1303">
        <f t="shared" si="92"/>
        <v>0</v>
      </c>
      <c r="Y144" s="1303">
        <f t="shared" si="92"/>
        <v>0</v>
      </c>
      <c r="Z144" s="1128">
        <f t="shared" si="92"/>
        <v>0</v>
      </c>
      <c r="AA144" s="1128">
        <f t="shared" si="92"/>
        <v>0</v>
      </c>
      <c r="AB144" s="1128">
        <f t="shared" si="92"/>
        <v>0</v>
      </c>
      <c r="AC144" s="1128">
        <f t="shared" si="92"/>
        <v>0</v>
      </c>
      <c r="AD144" s="1128">
        <f t="shared" si="92"/>
        <v>0</v>
      </c>
      <c r="AE144" s="1303">
        <f t="shared" si="92"/>
        <v>0</v>
      </c>
      <c r="AF144" s="1303">
        <f t="shared" si="92"/>
        <v>0</v>
      </c>
      <c r="AG144" s="1128">
        <f t="shared" si="92"/>
        <v>0</v>
      </c>
      <c r="AH144" s="1128">
        <f t="shared" si="92"/>
        <v>0</v>
      </c>
      <c r="AI144" s="1454">
        <f t="shared" si="92"/>
        <v>0</v>
      </c>
      <c r="AJ144" s="730"/>
      <c r="AK144" s="1005">
        <f t="shared" si="88"/>
        <v>0</v>
      </c>
      <c r="AL144" s="652"/>
      <c r="AM144" s="1009">
        <f t="shared" si="89"/>
        <v>0</v>
      </c>
      <c r="AN144" s="98"/>
      <c r="AO144" s="625"/>
      <c r="AP144" s="651"/>
      <c r="AQ144" s="651"/>
      <c r="AR144" s="651"/>
      <c r="AS144" s="651"/>
      <c r="AT144" s="651"/>
      <c r="AU144" s="651"/>
      <c r="AV144" s="651"/>
    </row>
    <row r="145" spans="1:48" s="644" customFormat="1" ht="20.65" customHeight="1" thickTop="1">
      <c r="A145" s="228" t="s">
        <v>699</v>
      </c>
      <c r="B145" s="218" t="s">
        <v>298</v>
      </c>
      <c r="C145" s="1495" t="str">
        <f>Table511[[#This Row],[M/C No.]]</f>
        <v>A11(100*100ton)</v>
      </c>
      <c r="D145" s="28" t="s">
        <v>82</v>
      </c>
      <c r="E145" s="1124"/>
      <c r="F145" s="1124"/>
      <c r="G145" s="1242"/>
      <c r="H145" s="1124"/>
      <c r="I145" s="1124"/>
      <c r="J145" s="1242"/>
      <c r="K145" s="1242"/>
      <c r="L145" s="1124"/>
      <c r="M145" s="1124"/>
      <c r="N145" s="1124"/>
      <c r="O145" s="1124"/>
      <c r="P145" s="1124"/>
      <c r="Q145" s="1242"/>
      <c r="R145" s="1242"/>
      <c r="S145" s="1124"/>
      <c r="T145" s="1124"/>
      <c r="U145" s="1124"/>
      <c r="V145" s="1124"/>
      <c r="W145" s="1124"/>
      <c r="X145" s="1242"/>
      <c r="Y145" s="1242"/>
      <c r="Z145" s="1124"/>
      <c r="AA145" s="1124"/>
      <c r="AB145" s="1124"/>
      <c r="AC145" s="1124"/>
      <c r="AD145" s="1124"/>
      <c r="AE145" s="1242"/>
      <c r="AF145" s="1242"/>
      <c r="AG145" s="1124"/>
      <c r="AH145" s="1124"/>
      <c r="AI145" s="1350"/>
      <c r="AJ145" s="570">
        <f>SUM(E145:AI145)</f>
        <v>0</v>
      </c>
      <c r="AK145" s="991">
        <f t="shared" si="88"/>
        <v>0</v>
      </c>
      <c r="AL145" s="571">
        <f>+AJ145*AN145</f>
        <v>0</v>
      </c>
      <c r="AM145" s="992">
        <f t="shared" si="89"/>
        <v>0</v>
      </c>
      <c r="AN145" s="102">
        <v>15.524179999999999</v>
      </c>
      <c r="AO145" s="622">
        <f>Table511[[#This Row],[Total]]*B149/1000</f>
        <v>0</v>
      </c>
      <c r="AP145" s="32" t="s">
        <v>294</v>
      </c>
      <c r="AQ145" s="33" t="s">
        <v>84</v>
      </c>
      <c r="AR145" s="33" t="s">
        <v>85</v>
      </c>
      <c r="AS145" s="33" t="s">
        <v>86</v>
      </c>
      <c r="AT145" s="33" t="s">
        <v>87</v>
      </c>
      <c r="AU145" s="33" t="s">
        <v>88</v>
      </c>
      <c r="AV145" s="34" t="s">
        <v>68</v>
      </c>
    </row>
    <row r="146" spans="1:48" s="644" customFormat="1" ht="20.65" customHeight="1">
      <c r="A146" s="639"/>
      <c r="B146" s="219" t="s">
        <v>299</v>
      </c>
      <c r="C146" s="640"/>
      <c r="D146" s="37" t="s">
        <v>90</v>
      </c>
      <c r="E146" s="1323">
        <f>IF(E145="",0,+ E145/E152)</f>
        <v>0</v>
      </c>
      <c r="F146" s="1096">
        <f t="shared" ref="F146:AC146" si="93">IF(F145="",0, E146+F145/F152)</f>
        <v>0</v>
      </c>
      <c r="G146" s="1207">
        <f t="shared" si="93"/>
        <v>0</v>
      </c>
      <c r="H146" s="1096">
        <f t="shared" si="93"/>
        <v>0</v>
      </c>
      <c r="I146" s="1096">
        <f t="shared" si="93"/>
        <v>0</v>
      </c>
      <c r="J146" s="1207">
        <f t="shared" si="93"/>
        <v>0</v>
      </c>
      <c r="K146" s="1207">
        <f t="shared" si="93"/>
        <v>0</v>
      </c>
      <c r="L146" s="1096">
        <f t="shared" si="93"/>
        <v>0</v>
      </c>
      <c r="M146" s="1096">
        <f t="shared" si="93"/>
        <v>0</v>
      </c>
      <c r="N146" s="1096">
        <f t="shared" si="93"/>
        <v>0</v>
      </c>
      <c r="O146" s="1096">
        <f t="shared" si="93"/>
        <v>0</v>
      </c>
      <c r="P146" s="1096">
        <f t="shared" si="93"/>
        <v>0</v>
      </c>
      <c r="Q146" s="1207">
        <f t="shared" si="93"/>
        <v>0</v>
      </c>
      <c r="R146" s="1207">
        <f t="shared" si="93"/>
        <v>0</v>
      </c>
      <c r="S146" s="1096">
        <f t="shared" si="93"/>
        <v>0</v>
      </c>
      <c r="T146" s="1096">
        <f t="shared" si="93"/>
        <v>0</v>
      </c>
      <c r="U146" s="1096">
        <f t="shared" si="93"/>
        <v>0</v>
      </c>
      <c r="V146" s="1096">
        <f t="shared" si="93"/>
        <v>0</v>
      </c>
      <c r="W146" s="1096">
        <f t="shared" si="93"/>
        <v>0</v>
      </c>
      <c r="X146" s="1207">
        <f t="shared" si="93"/>
        <v>0</v>
      </c>
      <c r="Y146" s="1207">
        <f t="shared" si="93"/>
        <v>0</v>
      </c>
      <c r="Z146" s="1096">
        <f t="shared" si="93"/>
        <v>0</v>
      </c>
      <c r="AA146" s="1096">
        <f t="shared" si="93"/>
        <v>0</v>
      </c>
      <c r="AB146" s="1096">
        <f t="shared" si="93"/>
        <v>0</v>
      </c>
      <c r="AC146" s="1096">
        <f t="shared" si="93"/>
        <v>0</v>
      </c>
      <c r="AD146" s="1096">
        <f>IF(AD145="",0, Z146+AD145/AD152)</f>
        <v>0</v>
      </c>
      <c r="AE146" s="1207">
        <f>IF(AE145="",0, AA146+AE145/AE152)</f>
        <v>0</v>
      </c>
      <c r="AF146" s="1207">
        <f>IF(AF145="",0, AB146+AF145/AF152)</f>
        <v>0</v>
      </c>
      <c r="AG146" s="1096">
        <f>IF(AG145="",0, AC146+AG145/AG152)</f>
        <v>0</v>
      </c>
      <c r="AH146" s="1096">
        <f>IF(AH145="",0, AD146+AH145/AH152)</f>
        <v>0</v>
      </c>
      <c r="AI146" s="1324">
        <f>IF(AI145="",0, AH146+AI145/AI152)</f>
        <v>0</v>
      </c>
      <c r="AJ146" s="728"/>
      <c r="AK146" s="1003">
        <f t="shared" si="88"/>
        <v>0</v>
      </c>
      <c r="AL146" s="641"/>
      <c r="AM146" s="1006">
        <f t="shared" si="89"/>
        <v>0</v>
      </c>
      <c r="AN146" s="642"/>
      <c r="AO146" s="630"/>
      <c r="AP146" s="39" t="s">
        <v>91</v>
      </c>
      <c r="AQ146" s="40">
        <f>SUM(E145:K145)</f>
        <v>0</v>
      </c>
      <c r="AR146" s="41">
        <f>SUM(L145:R145)</f>
        <v>0</v>
      </c>
      <c r="AS146" s="41">
        <f>SUM(S145:Y145)</f>
        <v>0</v>
      </c>
      <c r="AT146" s="41">
        <f>SUM(Z145:AF145)</f>
        <v>0</v>
      </c>
      <c r="AU146" s="41">
        <f>SUM(AG145:AI145)</f>
        <v>0</v>
      </c>
      <c r="AV146" s="34">
        <f t="shared" ref="AV146:AV151" si="94">SUM(AQ146:AU146)</f>
        <v>0</v>
      </c>
    </row>
    <row r="147" spans="1:48" s="644" customFormat="1" ht="20.65" customHeight="1">
      <c r="A147" s="224" t="s">
        <v>296</v>
      </c>
      <c r="B147" s="89" t="s">
        <v>246</v>
      </c>
      <c r="C147" s="42"/>
      <c r="D147" s="43" t="s">
        <v>93</v>
      </c>
      <c r="E147" s="1108"/>
      <c r="F147" s="1089"/>
      <c r="G147" s="44"/>
      <c r="H147" s="1089"/>
      <c r="I147" s="1089"/>
      <c r="J147" s="44"/>
      <c r="K147" s="44"/>
      <c r="L147" s="1089"/>
      <c r="M147" s="1089"/>
      <c r="N147" s="1089"/>
      <c r="O147" s="1089"/>
      <c r="P147" s="1089"/>
      <c r="Q147" s="44"/>
      <c r="R147" s="44"/>
      <c r="S147" s="1089"/>
      <c r="T147" s="1089"/>
      <c r="U147" s="1089"/>
      <c r="V147" s="1089"/>
      <c r="W147" s="1089"/>
      <c r="X147" s="44"/>
      <c r="Y147" s="44"/>
      <c r="Z147" s="1089"/>
      <c r="AA147" s="1089"/>
      <c r="AB147" s="1089"/>
      <c r="AC147" s="1089"/>
      <c r="AD147" s="1089"/>
      <c r="AE147" s="44"/>
      <c r="AF147" s="44"/>
      <c r="AG147" s="1089"/>
      <c r="AH147" s="1089"/>
      <c r="AI147" s="1326"/>
      <c r="AJ147" s="662">
        <f>SUM(E147:AI147)</f>
        <v>0</v>
      </c>
      <c r="AK147" s="1004">
        <f t="shared" si="88"/>
        <v>0</v>
      </c>
      <c r="AL147" s="645">
        <f>+AJ147*AN145</f>
        <v>0</v>
      </c>
      <c r="AM147" s="1007">
        <f t="shared" si="89"/>
        <v>0</v>
      </c>
      <c r="AN147" s="31"/>
      <c r="AO147" s="632">
        <f>(AJ147+AJ149+AJ150+AJ151)*B149/1000</f>
        <v>0</v>
      </c>
      <c r="AP147" s="47" t="s">
        <v>94</v>
      </c>
      <c r="AQ147" s="48">
        <f>SUM(E147:K147)</f>
        <v>0</v>
      </c>
      <c r="AR147" s="49">
        <f>SUM(L147:R147)</f>
        <v>0</v>
      </c>
      <c r="AS147" s="49">
        <f>SUM(S147:Y147)</f>
        <v>0</v>
      </c>
      <c r="AT147" s="49">
        <f>SUM(Z147:AF147)</f>
        <v>0</v>
      </c>
      <c r="AU147" s="49">
        <f>SUM(AG147:AI147)</f>
        <v>0</v>
      </c>
      <c r="AV147" s="50">
        <f t="shared" si="94"/>
        <v>0</v>
      </c>
    </row>
    <row r="148" spans="1:48" s="644" customFormat="1" ht="20.65" customHeight="1">
      <c r="A148" s="224" t="s">
        <v>296</v>
      </c>
      <c r="B148" s="638" t="s">
        <v>247</v>
      </c>
      <c r="C148" s="52" t="s">
        <v>95</v>
      </c>
      <c r="D148" s="53" t="s">
        <v>96</v>
      </c>
      <c r="E148" s="1137">
        <f>E147</f>
        <v>0</v>
      </c>
      <c r="F148" s="1097">
        <f>F147-F145</f>
        <v>0</v>
      </c>
      <c r="G148" s="1205">
        <f t="shared" ref="G148:AI148" si="95">G147-G145</f>
        <v>0</v>
      </c>
      <c r="H148" s="1097">
        <f t="shared" si="95"/>
        <v>0</v>
      </c>
      <c r="I148" s="1097">
        <f t="shared" si="95"/>
        <v>0</v>
      </c>
      <c r="J148" s="1205">
        <f t="shared" si="95"/>
        <v>0</v>
      </c>
      <c r="K148" s="1205">
        <f t="shared" si="95"/>
        <v>0</v>
      </c>
      <c r="L148" s="1097">
        <f t="shared" si="95"/>
        <v>0</v>
      </c>
      <c r="M148" s="1097">
        <f t="shared" si="95"/>
        <v>0</v>
      </c>
      <c r="N148" s="1097">
        <f t="shared" si="95"/>
        <v>0</v>
      </c>
      <c r="O148" s="1097">
        <f t="shared" si="95"/>
        <v>0</v>
      </c>
      <c r="P148" s="1097">
        <f t="shared" si="95"/>
        <v>0</v>
      </c>
      <c r="Q148" s="1205">
        <f t="shared" si="95"/>
        <v>0</v>
      </c>
      <c r="R148" s="1205">
        <f t="shared" si="95"/>
        <v>0</v>
      </c>
      <c r="S148" s="1097">
        <f t="shared" si="95"/>
        <v>0</v>
      </c>
      <c r="T148" s="1097">
        <f t="shared" si="95"/>
        <v>0</v>
      </c>
      <c r="U148" s="1097">
        <f t="shared" si="95"/>
        <v>0</v>
      </c>
      <c r="V148" s="1097">
        <f t="shared" si="95"/>
        <v>0</v>
      </c>
      <c r="W148" s="1097">
        <f t="shared" si="95"/>
        <v>0</v>
      </c>
      <c r="X148" s="1205">
        <f t="shared" si="95"/>
        <v>0</v>
      </c>
      <c r="Y148" s="1205">
        <f t="shared" si="95"/>
        <v>0</v>
      </c>
      <c r="Z148" s="1097">
        <f t="shared" si="95"/>
        <v>0</v>
      </c>
      <c r="AA148" s="1097">
        <f t="shared" si="95"/>
        <v>0</v>
      </c>
      <c r="AB148" s="1097">
        <f t="shared" si="95"/>
        <v>0</v>
      </c>
      <c r="AC148" s="1097">
        <f t="shared" si="95"/>
        <v>0</v>
      </c>
      <c r="AD148" s="1097">
        <f t="shared" si="95"/>
        <v>0</v>
      </c>
      <c r="AE148" s="1205">
        <f t="shared" si="95"/>
        <v>0</v>
      </c>
      <c r="AF148" s="1205">
        <f t="shared" si="95"/>
        <v>0</v>
      </c>
      <c r="AG148" s="1097">
        <f t="shared" si="95"/>
        <v>0</v>
      </c>
      <c r="AH148" s="1097">
        <f t="shared" si="95"/>
        <v>0</v>
      </c>
      <c r="AI148" s="1328">
        <f t="shared" si="95"/>
        <v>0</v>
      </c>
      <c r="AJ148" s="663">
        <f>+AJ147-AJ145</f>
        <v>0</v>
      </c>
      <c r="AK148" s="1004">
        <f t="shared" si="88"/>
        <v>0</v>
      </c>
      <c r="AL148" s="646">
        <f>+AJ148*AN145</f>
        <v>0</v>
      </c>
      <c r="AM148" s="1007">
        <f t="shared" si="89"/>
        <v>0</v>
      </c>
      <c r="AN148" s="31" t="s">
        <v>97</v>
      </c>
      <c r="AO148" s="622"/>
      <c r="AP148" s="39" t="s">
        <v>98</v>
      </c>
      <c r="AQ148" s="56">
        <f>AQ147-AQ146</f>
        <v>0</v>
      </c>
      <c r="AR148" s="70">
        <f>AR147-AR146</f>
        <v>0</v>
      </c>
      <c r="AS148" s="70">
        <f>AS147-AS146</f>
        <v>0</v>
      </c>
      <c r="AT148" s="70">
        <f>AT147-AT146</f>
        <v>0</v>
      </c>
      <c r="AU148" s="70">
        <f>AU147-AU146</f>
        <v>0</v>
      </c>
      <c r="AV148" s="57">
        <f t="shared" si="94"/>
        <v>0</v>
      </c>
    </row>
    <row r="149" spans="1:48" s="644" customFormat="1" ht="20.65" customHeight="1">
      <c r="A149" s="226"/>
      <c r="B149" s="211"/>
      <c r="C149" s="60" t="s">
        <v>100</v>
      </c>
      <c r="D149" s="61" t="s">
        <v>101</v>
      </c>
      <c r="E149" s="1098"/>
      <c r="F149" s="1099"/>
      <c r="G149" s="1208"/>
      <c r="H149" s="1099"/>
      <c r="I149" s="1099"/>
      <c r="J149" s="1208"/>
      <c r="K149" s="1208"/>
      <c r="L149" s="1099"/>
      <c r="M149" s="1099"/>
      <c r="N149" s="1099"/>
      <c r="O149" s="1099"/>
      <c r="P149" s="1099"/>
      <c r="Q149" s="1208"/>
      <c r="R149" s="1208"/>
      <c r="S149" s="1099"/>
      <c r="T149" s="1099"/>
      <c r="U149" s="1099"/>
      <c r="V149" s="1099"/>
      <c r="W149" s="1099"/>
      <c r="X149" s="1208"/>
      <c r="Y149" s="1208"/>
      <c r="Z149" s="1099"/>
      <c r="AA149" s="1099"/>
      <c r="AB149" s="1099"/>
      <c r="AC149" s="1099"/>
      <c r="AD149" s="1099"/>
      <c r="AE149" s="1208"/>
      <c r="AF149" s="1208"/>
      <c r="AG149" s="1099"/>
      <c r="AH149" s="1099"/>
      <c r="AI149" s="1330"/>
      <c r="AJ149" s="664">
        <f>SUM(E149:AI149)</f>
        <v>0</v>
      </c>
      <c r="AK149" s="1004">
        <f t="shared" si="88"/>
        <v>0</v>
      </c>
      <c r="AL149" s="647">
        <f>+AJ149*AN145</f>
        <v>0</v>
      </c>
      <c r="AM149" s="1008">
        <f t="shared" si="89"/>
        <v>0</v>
      </c>
      <c r="AN149" s="64" t="e">
        <f>+AJ149/AJ147*100</f>
        <v>#DIV/0!</v>
      </c>
      <c r="AO149" s="635" t="e">
        <f>AO147/AO145</f>
        <v>#DIV/0!</v>
      </c>
      <c r="AP149" s="39" t="s">
        <v>102</v>
      </c>
      <c r="AQ149" s="56">
        <f>SUM(E149:K149)</f>
        <v>0</v>
      </c>
      <c r="AR149" s="70">
        <f>SUM(L149:R149)</f>
        <v>0</v>
      </c>
      <c r="AS149" s="70">
        <f>SUM(S149:Y149)</f>
        <v>0</v>
      </c>
      <c r="AT149" s="70">
        <f>SUM(Z149:AF149)</f>
        <v>0</v>
      </c>
      <c r="AU149" s="70">
        <f>SUM(AG149:AI149)</f>
        <v>0</v>
      </c>
      <c r="AV149" s="57">
        <f t="shared" si="94"/>
        <v>0</v>
      </c>
    </row>
    <row r="150" spans="1:48" s="644" customFormat="1" ht="20.65" customHeight="1">
      <c r="A150" s="210" t="s">
        <v>245</v>
      </c>
      <c r="B150" s="213"/>
      <c r="C150" s="66"/>
      <c r="D150" s="67" t="s">
        <v>103</v>
      </c>
      <c r="E150" s="1100"/>
      <c r="F150" s="1101"/>
      <c r="G150" s="1209"/>
      <c r="H150" s="1101"/>
      <c r="I150" s="1101"/>
      <c r="J150" s="1209"/>
      <c r="K150" s="1209"/>
      <c r="L150" s="1101"/>
      <c r="M150" s="1101"/>
      <c r="N150" s="1101"/>
      <c r="O150" s="1101"/>
      <c r="P150" s="1101"/>
      <c r="Q150" s="1209"/>
      <c r="R150" s="1209"/>
      <c r="S150" s="1101"/>
      <c r="T150" s="1101"/>
      <c r="U150" s="1101"/>
      <c r="V150" s="1101"/>
      <c r="W150" s="1101"/>
      <c r="X150" s="1209"/>
      <c r="Y150" s="1209"/>
      <c r="Z150" s="1101"/>
      <c r="AA150" s="1101"/>
      <c r="AB150" s="1101"/>
      <c r="AC150" s="1101"/>
      <c r="AD150" s="1101"/>
      <c r="AE150" s="1209"/>
      <c r="AF150" s="1209"/>
      <c r="AG150" s="1101"/>
      <c r="AH150" s="1101"/>
      <c r="AI150" s="1332"/>
      <c r="AJ150" s="665">
        <f>SUM(E150:AI150)</f>
        <v>0</v>
      </c>
      <c r="AK150" s="1004">
        <f t="shared" si="88"/>
        <v>0</v>
      </c>
      <c r="AL150" s="648">
        <f>+AJ150*AN144</f>
        <v>0</v>
      </c>
      <c r="AM150" s="1008">
        <f t="shared" si="89"/>
        <v>0</v>
      </c>
      <c r="AN150" s="31"/>
      <c r="AO150" s="622"/>
      <c r="AP150" s="39" t="s">
        <v>19</v>
      </c>
      <c r="AQ150" s="56">
        <f>AQ149*AN145</f>
        <v>0</v>
      </c>
      <c r="AR150" s="56">
        <f>AR149*AN145</f>
        <v>0</v>
      </c>
      <c r="AS150" s="56">
        <f>AS149*AN145</f>
        <v>0</v>
      </c>
      <c r="AT150" s="56">
        <f>AT149*AN145</f>
        <v>0</v>
      </c>
      <c r="AU150" s="56">
        <f>AU149*AN145</f>
        <v>0</v>
      </c>
      <c r="AV150" s="57">
        <f t="shared" si="94"/>
        <v>0</v>
      </c>
    </row>
    <row r="151" spans="1:48" s="644" customFormat="1" ht="20.65" customHeight="1">
      <c r="A151" s="210" t="s">
        <v>245</v>
      </c>
      <c r="B151" s="213"/>
      <c r="C151" s="72" t="s">
        <v>104</v>
      </c>
      <c r="D151" s="73" t="s">
        <v>105</v>
      </c>
      <c r="E151" s="1115"/>
      <c r="F151" s="1116"/>
      <c r="G151" s="1215"/>
      <c r="H151" s="1116"/>
      <c r="I151" s="1116"/>
      <c r="J151" s="1215"/>
      <c r="K151" s="1215"/>
      <c r="L151" s="1116"/>
      <c r="M151" s="1116"/>
      <c r="N151" s="1116"/>
      <c r="O151" s="1116"/>
      <c r="P151" s="1116"/>
      <c r="Q151" s="1215"/>
      <c r="R151" s="1215"/>
      <c r="S151" s="1116"/>
      <c r="T151" s="1116"/>
      <c r="U151" s="1116"/>
      <c r="V151" s="1116"/>
      <c r="W151" s="1116"/>
      <c r="X151" s="1215"/>
      <c r="Y151" s="1215"/>
      <c r="Z151" s="1116"/>
      <c r="AA151" s="1116"/>
      <c r="AB151" s="1116"/>
      <c r="AC151" s="1116"/>
      <c r="AD151" s="1116"/>
      <c r="AE151" s="1215"/>
      <c r="AF151" s="1215"/>
      <c r="AG151" s="1116"/>
      <c r="AH151" s="1116"/>
      <c r="AI151" s="1334"/>
      <c r="AJ151" s="731">
        <f>SUM(E151:AI151)</f>
        <v>0</v>
      </c>
      <c r="AK151" s="1004">
        <f t="shared" si="88"/>
        <v>0</v>
      </c>
      <c r="AL151" s="653">
        <f>+AJ151*AN145</f>
        <v>0</v>
      </c>
      <c r="AM151" s="1008">
        <f t="shared" si="89"/>
        <v>0</v>
      </c>
      <c r="AN151" s="31"/>
      <c r="AO151" s="622"/>
      <c r="AP151" s="47" t="s">
        <v>106</v>
      </c>
      <c r="AQ151" s="48">
        <f>AQ147*AN145</f>
        <v>0</v>
      </c>
      <c r="AR151" s="48">
        <f>AR147*AN145</f>
        <v>0</v>
      </c>
      <c r="AS151" s="48">
        <f>AS147*AN145</f>
        <v>0</v>
      </c>
      <c r="AT151" s="48">
        <f>AT147*AN145</f>
        <v>0</v>
      </c>
      <c r="AU151" s="48">
        <f>AU147*AN145</f>
        <v>0</v>
      </c>
      <c r="AV151" s="50">
        <f t="shared" si="94"/>
        <v>0</v>
      </c>
    </row>
    <row r="152" spans="1:48" s="644" customFormat="1" ht="20.65" customHeight="1">
      <c r="A152" s="226"/>
      <c r="B152" s="89"/>
      <c r="C152" s="77">
        <v>300000</v>
      </c>
      <c r="D152" s="78" t="s">
        <v>107</v>
      </c>
      <c r="E152" s="1137">
        <v>2</v>
      </c>
      <c r="F152" s="1097">
        <v>2</v>
      </c>
      <c r="G152" s="1205">
        <v>2</v>
      </c>
      <c r="H152" s="1097">
        <v>2</v>
      </c>
      <c r="I152" s="1097">
        <v>2</v>
      </c>
      <c r="J152" s="1205">
        <v>2</v>
      </c>
      <c r="K152" s="1205">
        <v>2</v>
      </c>
      <c r="L152" s="1097">
        <v>2</v>
      </c>
      <c r="M152" s="1097">
        <v>2</v>
      </c>
      <c r="N152" s="1097">
        <v>2</v>
      </c>
      <c r="O152" s="1097">
        <v>2</v>
      </c>
      <c r="P152" s="1097">
        <v>2</v>
      </c>
      <c r="Q152" s="1205">
        <v>2</v>
      </c>
      <c r="R152" s="1205">
        <v>2</v>
      </c>
      <c r="S152" s="1097">
        <v>2</v>
      </c>
      <c r="T152" s="1097">
        <v>2</v>
      </c>
      <c r="U152" s="1097">
        <v>2</v>
      </c>
      <c r="V152" s="1097">
        <v>2</v>
      </c>
      <c r="W152" s="1097">
        <v>2</v>
      </c>
      <c r="X152" s="1205">
        <v>2</v>
      </c>
      <c r="Y152" s="1205">
        <v>2</v>
      </c>
      <c r="Z152" s="1097">
        <v>2</v>
      </c>
      <c r="AA152" s="1097">
        <v>2</v>
      </c>
      <c r="AB152" s="1097">
        <v>2</v>
      </c>
      <c r="AC152" s="1097">
        <v>2</v>
      </c>
      <c r="AD152" s="1097">
        <v>2</v>
      </c>
      <c r="AE152" s="1205">
        <v>2</v>
      </c>
      <c r="AF152" s="1205">
        <v>2</v>
      </c>
      <c r="AG152" s="1097">
        <v>2</v>
      </c>
      <c r="AH152" s="1097">
        <v>2</v>
      </c>
      <c r="AI152" s="1328">
        <v>2</v>
      </c>
      <c r="AJ152" s="663"/>
      <c r="AK152" s="1004">
        <f t="shared" si="88"/>
        <v>0</v>
      </c>
      <c r="AL152" s="646"/>
      <c r="AM152" s="1007">
        <f t="shared" si="89"/>
        <v>0</v>
      </c>
      <c r="AN152" s="31"/>
      <c r="AO152" s="622"/>
      <c r="AP152" s="47"/>
      <c r="AQ152" s="48"/>
      <c r="AR152" s="48"/>
      <c r="AS152" s="48"/>
      <c r="AT152" s="48"/>
      <c r="AU152" s="48"/>
      <c r="AV152" s="214"/>
    </row>
    <row r="153" spans="1:48" s="644" customFormat="1" ht="20.65" customHeight="1">
      <c r="A153" s="224" t="s">
        <v>296</v>
      </c>
      <c r="B153" s="89"/>
      <c r="C153" s="80" t="s">
        <v>108</v>
      </c>
      <c r="D153" s="81" t="s">
        <v>109</v>
      </c>
      <c r="E153" s="1125">
        <f t="shared" ref="E153:AI153" si="96">SUM(E147+E149+E151)/E152</f>
        <v>0</v>
      </c>
      <c r="F153" s="1126">
        <f t="shared" si="96"/>
        <v>0</v>
      </c>
      <c r="G153" s="1235">
        <f t="shared" si="96"/>
        <v>0</v>
      </c>
      <c r="H153" s="1126">
        <f t="shared" si="96"/>
        <v>0</v>
      </c>
      <c r="I153" s="1126">
        <f t="shared" si="96"/>
        <v>0</v>
      </c>
      <c r="J153" s="1235">
        <f t="shared" si="96"/>
        <v>0</v>
      </c>
      <c r="K153" s="1235">
        <f t="shared" si="96"/>
        <v>0</v>
      </c>
      <c r="L153" s="1126">
        <f t="shared" si="96"/>
        <v>0</v>
      </c>
      <c r="M153" s="1126">
        <f t="shared" si="96"/>
        <v>0</v>
      </c>
      <c r="N153" s="1126">
        <f t="shared" si="96"/>
        <v>0</v>
      </c>
      <c r="O153" s="1126">
        <f t="shared" si="96"/>
        <v>0</v>
      </c>
      <c r="P153" s="1126">
        <f t="shared" si="96"/>
        <v>0</v>
      </c>
      <c r="Q153" s="1235">
        <f t="shared" si="96"/>
        <v>0</v>
      </c>
      <c r="R153" s="1235">
        <f t="shared" si="96"/>
        <v>0</v>
      </c>
      <c r="S153" s="1126">
        <f t="shared" si="96"/>
        <v>0</v>
      </c>
      <c r="T153" s="1126">
        <f t="shared" si="96"/>
        <v>0</v>
      </c>
      <c r="U153" s="1126">
        <f t="shared" si="96"/>
        <v>0</v>
      </c>
      <c r="V153" s="1126">
        <f t="shared" si="96"/>
        <v>0</v>
      </c>
      <c r="W153" s="1126">
        <f t="shared" si="96"/>
        <v>0</v>
      </c>
      <c r="X153" s="1235">
        <f t="shared" si="96"/>
        <v>0</v>
      </c>
      <c r="Y153" s="1235">
        <f t="shared" si="96"/>
        <v>0</v>
      </c>
      <c r="Z153" s="1126">
        <f t="shared" si="96"/>
        <v>0</v>
      </c>
      <c r="AA153" s="1126">
        <f t="shared" si="96"/>
        <v>0</v>
      </c>
      <c r="AB153" s="1126">
        <f t="shared" si="96"/>
        <v>0</v>
      </c>
      <c r="AC153" s="1126">
        <f t="shared" si="96"/>
        <v>0</v>
      </c>
      <c r="AD153" s="1126">
        <f t="shared" si="96"/>
        <v>0</v>
      </c>
      <c r="AE153" s="1235">
        <f>SUM(AE147+AE149+AE151)/AE152</f>
        <v>0</v>
      </c>
      <c r="AF153" s="1235">
        <f>SUM(AF147+AF149+AF151)/AF152</f>
        <v>0</v>
      </c>
      <c r="AG153" s="1126">
        <f>SUM(AG147+AG149+AG151)/AG152</f>
        <v>0</v>
      </c>
      <c r="AH153" s="1126">
        <f t="shared" si="96"/>
        <v>0</v>
      </c>
      <c r="AI153" s="1335">
        <f t="shared" si="96"/>
        <v>0</v>
      </c>
      <c r="AJ153" s="104">
        <f>SUM(E153:AI153)</f>
        <v>0</v>
      </c>
      <c r="AK153" s="993">
        <f t="shared" si="88"/>
        <v>0</v>
      </c>
      <c r="AL153" s="650"/>
      <c r="AM153" s="1008">
        <f t="shared" si="89"/>
        <v>0</v>
      </c>
      <c r="AN153" s="31"/>
      <c r="AO153" s="622"/>
      <c r="AP153" s="651"/>
      <c r="AQ153" s="651"/>
      <c r="AR153" s="651"/>
      <c r="AS153" s="651"/>
      <c r="AT153" s="651"/>
      <c r="AU153" s="651"/>
      <c r="AV153" s="651"/>
    </row>
    <row r="154" spans="1:48" s="644" customFormat="1" ht="20.65" customHeight="1">
      <c r="A154" s="215"/>
      <c r="B154" s="89"/>
      <c r="C154" s="84">
        <f>+C152*0.8</f>
        <v>240000</v>
      </c>
      <c r="D154" s="85" t="s">
        <v>110</v>
      </c>
      <c r="E154" s="1105"/>
      <c r="F154" s="1104"/>
      <c r="G154" s="1211"/>
      <c r="H154" s="1104"/>
      <c r="I154" s="1104"/>
      <c r="J154" s="1211"/>
      <c r="K154" s="1211"/>
      <c r="L154" s="1104"/>
      <c r="M154" s="1104"/>
      <c r="N154" s="1104"/>
      <c r="O154" s="1104"/>
      <c r="P154" s="1104"/>
      <c r="Q154" s="1211"/>
      <c r="R154" s="1211"/>
      <c r="S154" s="1104"/>
      <c r="T154" s="1104"/>
      <c r="U154" s="1104"/>
      <c r="V154" s="1104"/>
      <c r="W154" s="1104"/>
      <c r="X154" s="1211"/>
      <c r="Y154" s="1211"/>
      <c r="Z154" s="1104"/>
      <c r="AA154" s="1104"/>
      <c r="AB154" s="1104"/>
      <c r="AC154" s="1104"/>
      <c r="AD154" s="1104"/>
      <c r="AE154" s="1211"/>
      <c r="AF154" s="1211"/>
      <c r="AG154" s="1104"/>
      <c r="AH154" s="1104"/>
      <c r="AI154" s="1353"/>
      <c r="AJ154" s="729"/>
      <c r="AK154" s="1004">
        <f t="shared" si="88"/>
        <v>0</v>
      </c>
      <c r="AL154" s="647"/>
      <c r="AM154" s="1008">
        <f t="shared" si="89"/>
        <v>0</v>
      </c>
      <c r="AN154" s="31"/>
      <c r="AO154" s="622"/>
      <c r="AP154" s="651"/>
      <c r="AQ154" s="651"/>
      <c r="AR154" s="651"/>
      <c r="AS154" s="651"/>
      <c r="AT154" s="651"/>
      <c r="AU154" s="651"/>
      <c r="AV154" s="651"/>
    </row>
    <row r="155" spans="1:48" s="644" customFormat="1" ht="20.65" customHeight="1">
      <c r="A155" s="215"/>
      <c r="B155" s="89"/>
      <c r="C155" s="77"/>
      <c r="D155" s="88" t="s">
        <v>111</v>
      </c>
      <c r="E155" s="1125">
        <f>IF(E154="O/H",E153,+E153)</f>
        <v>0</v>
      </c>
      <c r="F155" s="1126">
        <f>IF(F154="O/H",F153,+E155+F153)</f>
        <v>0</v>
      </c>
      <c r="G155" s="1235">
        <f t="shared" ref="G155:AI155" si="97">IF(G154="O/H",G153,+F155+G153)</f>
        <v>0</v>
      </c>
      <c r="H155" s="1126">
        <f t="shared" si="97"/>
        <v>0</v>
      </c>
      <c r="I155" s="1126">
        <f t="shared" si="97"/>
        <v>0</v>
      </c>
      <c r="J155" s="1235">
        <f t="shared" si="97"/>
        <v>0</v>
      </c>
      <c r="K155" s="1235">
        <f t="shared" si="97"/>
        <v>0</v>
      </c>
      <c r="L155" s="1126">
        <f t="shared" si="97"/>
        <v>0</v>
      </c>
      <c r="M155" s="1126">
        <f t="shared" si="97"/>
        <v>0</v>
      </c>
      <c r="N155" s="1126">
        <f t="shared" si="97"/>
        <v>0</v>
      </c>
      <c r="O155" s="1126">
        <f t="shared" si="97"/>
        <v>0</v>
      </c>
      <c r="P155" s="1126">
        <f t="shared" si="97"/>
        <v>0</v>
      </c>
      <c r="Q155" s="1235">
        <f t="shared" si="97"/>
        <v>0</v>
      </c>
      <c r="R155" s="1235">
        <f t="shared" si="97"/>
        <v>0</v>
      </c>
      <c r="S155" s="1126">
        <f t="shared" si="97"/>
        <v>0</v>
      </c>
      <c r="T155" s="1126">
        <f t="shared" si="97"/>
        <v>0</v>
      </c>
      <c r="U155" s="1126">
        <f t="shared" si="97"/>
        <v>0</v>
      </c>
      <c r="V155" s="1126">
        <f t="shared" si="97"/>
        <v>0</v>
      </c>
      <c r="W155" s="1126">
        <f t="shared" si="97"/>
        <v>0</v>
      </c>
      <c r="X155" s="1235">
        <f t="shared" si="97"/>
        <v>0</v>
      </c>
      <c r="Y155" s="1235">
        <f t="shared" si="97"/>
        <v>0</v>
      </c>
      <c r="Z155" s="1126">
        <f t="shared" si="97"/>
        <v>0</v>
      </c>
      <c r="AA155" s="1126">
        <f t="shared" si="97"/>
        <v>0</v>
      </c>
      <c r="AB155" s="1126">
        <f t="shared" si="97"/>
        <v>0</v>
      </c>
      <c r="AC155" s="1126">
        <f t="shared" si="97"/>
        <v>0</v>
      </c>
      <c r="AD155" s="1126">
        <f t="shared" si="97"/>
        <v>0</v>
      </c>
      <c r="AE155" s="1235">
        <f t="shared" si="97"/>
        <v>0</v>
      </c>
      <c r="AF155" s="1235">
        <f t="shared" si="97"/>
        <v>0</v>
      </c>
      <c r="AG155" s="1126">
        <f t="shared" si="97"/>
        <v>0</v>
      </c>
      <c r="AH155" s="1126">
        <f t="shared" si="97"/>
        <v>0</v>
      </c>
      <c r="AI155" s="1335">
        <f t="shared" si="97"/>
        <v>0</v>
      </c>
      <c r="AJ155" s="104"/>
      <c r="AK155" s="993">
        <f t="shared" si="88"/>
        <v>0</v>
      </c>
      <c r="AL155" s="650"/>
      <c r="AM155" s="1008">
        <f t="shared" si="89"/>
        <v>0</v>
      </c>
      <c r="AN155" s="31"/>
      <c r="AO155" s="622"/>
      <c r="AP155" s="651"/>
      <c r="AQ155" s="651"/>
      <c r="AR155" s="651"/>
      <c r="AS155" s="651"/>
      <c r="AT155" s="651"/>
      <c r="AU155" s="651"/>
      <c r="AV155" s="651"/>
    </row>
    <row r="156" spans="1:48" s="644" customFormat="1" ht="20.65" customHeight="1">
      <c r="A156" s="215" t="s">
        <v>242</v>
      </c>
      <c r="B156" s="89" t="s">
        <v>300</v>
      </c>
      <c r="C156" s="80"/>
      <c r="D156" s="90" t="s">
        <v>104</v>
      </c>
      <c r="E156" s="1137"/>
      <c r="F156" s="1097"/>
      <c r="G156" s="1205"/>
      <c r="H156" s="1097"/>
      <c r="I156" s="1097"/>
      <c r="J156" s="1205"/>
      <c r="K156" s="1205"/>
      <c r="L156" s="1097"/>
      <c r="M156" s="1097"/>
      <c r="N156" s="1097"/>
      <c r="O156" s="1097"/>
      <c r="P156" s="1097"/>
      <c r="Q156" s="1205"/>
      <c r="R156" s="1205"/>
      <c r="S156" s="1097"/>
      <c r="T156" s="1097"/>
      <c r="U156" s="1097"/>
      <c r="V156" s="1097"/>
      <c r="W156" s="1097"/>
      <c r="X156" s="1205"/>
      <c r="Y156" s="1205"/>
      <c r="Z156" s="1097"/>
      <c r="AA156" s="1097"/>
      <c r="AB156" s="1097"/>
      <c r="AC156" s="1097"/>
      <c r="AD156" s="1097"/>
      <c r="AE156" s="1205"/>
      <c r="AF156" s="1205"/>
      <c r="AG156" s="1097"/>
      <c r="AH156" s="1097"/>
      <c r="AI156" s="1328"/>
      <c r="AJ156" s="664"/>
      <c r="AK156" s="1004">
        <f t="shared" si="88"/>
        <v>0</v>
      </c>
      <c r="AL156" s="646"/>
      <c r="AM156" s="1007">
        <f t="shared" si="89"/>
        <v>0</v>
      </c>
      <c r="AN156" s="31"/>
      <c r="AO156" s="622"/>
      <c r="AP156" s="651"/>
      <c r="AQ156" s="651"/>
      <c r="AR156" s="651"/>
      <c r="AS156" s="651"/>
      <c r="AT156" s="651"/>
      <c r="AU156" s="651"/>
      <c r="AV156" s="651"/>
    </row>
    <row r="157" spans="1:48" s="644" customFormat="1" ht="20.65" customHeight="1" thickBot="1">
      <c r="A157" s="216" t="s">
        <v>242</v>
      </c>
      <c r="B157" s="93"/>
      <c r="C157" s="94"/>
      <c r="D157" s="230" t="s">
        <v>258</v>
      </c>
      <c r="E157" s="1453">
        <f>IF(E156="O/H",E153,+E153)</f>
        <v>0</v>
      </c>
      <c r="F157" s="1128">
        <f t="shared" ref="F157:AI157" si="98">IF(F156="O/H",F153,+E157+F153)</f>
        <v>0</v>
      </c>
      <c r="G157" s="1303">
        <f t="shared" si="98"/>
        <v>0</v>
      </c>
      <c r="H157" s="1128">
        <f t="shared" si="98"/>
        <v>0</v>
      </c>
      <c r="I157" s="1128">
        <f t="shared" si="98"/>
        <v>0</v>
      </c>
      <c r="J157" s="1303">
        <f t="shared" si="98"/>
        <v>0</v>
      </c>
      <c r="K157" s="1303">
        <f t="shared" si="98"/>
        <v>0</v>
      </c>
      <c r="L157" s="1128">
        <f t="shared" si="98"/>
        <v>0</v>
      </c>
      <c r="M157" s="1128">
        <f t="shared" si="98"/>
        <v>0</v>
      </c>
      <c r="N157" s="1128">
        <f t="shared" si="98"/>
        <v>0</v>
      </c>
      <c r="O157" s="1128">
        <f t="shared" si="98"/>
        <v>0</v>
      </c>
      <c r="P157" s="1128">
        <f t="shared" si="98"/>
        <v>0</v>
      </c>
      <c r="Q157" s="1303">
        <f t="shared" si="98"/>
        <v>0</v>
      </c>
      <c r="R157" s="1303">
        <f t="shared" si="98"/>
        <v>0</v>
      </c>
      <c r="S157" s="1128">
        <f t="shared" si="98"/>
        <v>0</v>
      </c>
      <c r="T157" s="1128">
        <f t="shared" si="98"/>
        <v>0</v>
      </c>
      <c r="U157" s="1128">
        <f t="shared" si="98"/>
        <v>0</v>
      </c>
      <c r="V157" s="1128">
        <f t="shared" si="98"/>
        <v>0</v>
      </c>
      <c r="W157" s="1128">
        <f t="shared" si="98"/>
        <v>0</v>
      </c>
      <c r="X157" s="1303">
        <f t="shared" si="98"/>
        <v>0</v>
      </c>
      <c r="Y157" s="1303">
        <f t="shared" si="98"/>
        <v>0</v>
      </c>
      <c r="Z157" s="1128">
        <f t="shared" si="98"/>
        <v>0</v>
      </c>
      <c r="AA157" s="1128">
        <f t="shared" si="98"/>
        <v>0</v>
      </c>
      <c r="AB157" s="1128">
        <f t="shared" si="98"/>
        <v>0</v>
      </c>
      <c r="AC157" s="1128">
        <f t="shared" si="98"/>
        <v>0</v>
      </c>
      <c r="AD157" s="1128">
        <f t="shared" si="98"/>
        <v>0</v>
      </c>
      <c r="AE157" s="1303">
        <f t="shared" si="98"/>
        <v>0</v>
      </c>
      <c r="AF157" s="1303">
        <f t="shared" si="98"/>
        <v>0</v>
      </c>
      <c r="AG157" s="1128">
        <f t="shared" si="98"/>
        <v>0</v>
      </c>
      <c r="AH157" s="1128">
        <f t="shared" si="98"/>
        <v>0</v>
      </c>
      <c r="AI157" s="1454">
        <f t="shared" si="98"/>
        <v>0</v>
      </c>
      <c r="AJ157" s="730"/>
      <c r="AK157" s="1005">
        <f t="shared" si="88"/>
        <v>0</v>
      </c>
      <c r="AL157" s="652"/>
      <c r="AM157" s="1009">
        <f t="shared" si="89"/>
        <v>0</v>
      </c>
      <c r="AN157" s="98"/>
      <c r="AO157" s="625"/>
      <c r="AP157" s="651"/>
      <c r="AQ157" s="651"/>
      <c r="AR157" s="651"/>
      <c r="AS157" s="651"/>
      <c r="AT157" s="651"/>
      <c r="AU157" s="651"/>
      <c r="AV157" s="651"/>
    </row>
    <row r="158" spans="1:48" s="644" customFormat="1" ht="20.65" customHeight="1" thickTop="1">
      <c r="A158" s="943" t="s">
        <v>610</v>
      </c>
      <c r="B158" s="219" t="s">
        <v>574</v>
      </c>
      <c r="C158" s="1495" t="str">
        <f>Table511[[#This Row],[M/C No.]]</f>
        <v>A12(50Ton)</v>
      </c>
      <c r="D158" s="28" t="s">
        <v>82</v>
      </c>
      <c r="E158" s="1124"/>
      <c r="F158" s="1111"/>
      <c r="G158" s="1201"/>
      <c r="H158" s="1111"/>
      <c r="I158" s="1111"/>
      <c r="J158" s="1201"/>
      <c r="K158" s="1201"/>
      <c r="L158" s="1111"/>
      <c r="M158" s="1111"/>
      <c r="N158" s="1111"/>
      <c r="O158" s="1111"/>
      <c r="P158" s="1111"/>
      <c r="Q158" s="1201"/>
      <c r="R158" s="1201"/>
      <c r="S158" s="1111"/>
      <c r="T158" s="1111"/>
      <c r="U158" s="1111"/>
      <c r="V158" s="1111"/>
      <c r="W158" s="1111"/>
      <c r="X158" s="1201"/>
      <c r="Y158" s="1201"/>
      <c r="Z158" s="1111"/>
      <c r="AA158" s="1111"/>
      <c r="AB158" s="1111"/>
      <c r="AC158" s="1111"/>
      <c r="AD158" s="1111"/>
      <c r="AE158" s="1201"/>
      <c r="AF158" s="1201"/>
      <c r="AG158" s="1111"/>
      <c r="AH158" s="1111"/>
      <c r="AI158" s="1412"/>
      <c r="AJ158" s="570">
        <f>SUM(E158:AI158)</f>
        <v>0</v>
      </c>
      <c r="AK158" s="991">
        <f t="shared" si="88"/>
        <v>0</v>
      </c>
      <c r="AL158" s="571">
        <f>+AJ158*AN158</f>
        <v>0</v>
      </c>
      <c r="AM158" s="992">
        <f t="shared" si="89"/>
        <v>0</v>
      </c>
      <c r="AN158" s="102">
        <v>31.220299999999998</v>
      </c>
      <c r="AO158" s="622">
        <f>Table511[[#This Row],[Total]]*B162/1000</f>
        <v>0</v>
      </c>
      <c r="AP158" s="32" t="s">
        <v>301</v>
      </c>
      <c r="AQ158" s="33" t="s">
        <v>84</v>
      </c>
      <c r="AR158" s="33" t="s">
        <v>85</v>
      </c>
      <c r="AS158" s="33" t="s">
        <v>86</v>
      </c>
      <c r="AT158" s="33" t="s">
        <v>87</v>
      </c>
      <c r="AU158" s="33" t="s">
        <v>88</v>
      </c>
      <c r="AV158" s="34" t="s">
        <v>68</v>
      </c>
    </row>
    <row r="159" spans="1:48" s="644" customFormat="1" ht="20.65" customHeight="1">
      <c r="A159" s="639"/>
      <c r="B159" s="219" t="s">
        <v>302</v>
      </c>
      <c r="C159" s="640"/>
      <c r="D159" s="37" t="s">
        <v>90</v>
      </c>
      <c r="E159" s="1323">
        <f>IF(E158="",0,+ E158/E165)</f>
        <v>0</v>
      </c>
      <c r="F159" s="1096">
        <f t="shared" ref="F159:AC159" si="99">IF(F158="",0, E159+F158/F165)</f>
        <v>0</v>
      </c>
      <c r="G159" s="1207">
        <f t="shared" si="99"/>
        <v>0</v>
      </c>
      <c r="H159" s="1096">
        <f t="shared" si="99"/>
        <v>0</v>
      </c>
      <c r="I159" s="1096">
        <f t="shared" si="99"/>
        <v>0</v>
      </c>
      <c r="J159" s="1207">
        <f t="shared" si="99"/>
        <v>0</v>
      </c>
      <c r="K159" s="1207">
        <f t="shared" si="99"/>
        <v>0</v>
      </c>
      <c r="L159" s="1096">
        <f t="shared" si="99"/>
        <v>0</v>
      </c>
      <c r="M159" s="1096">
        <f t="shared" si="99"/>
        <v>0</v>
      </c>
      <c r="N159" s="1096">
        <f t="shared" si="99"/>
        <v>0</v>
      </c>
      <c r="O159" s="1096">
        <f t="shared" si="99"/>
        <v>0</v>
      </c>
      <c r="P159" s="1096">
        <f t="shared" si="99"/>
        <v>0</v>
      </c>
      <c r="Q159" s="1207">
        <f t="shared" si="99"/>
        <v>0</v>
      </c>
      <c r="R159" s="1207">
        <f t="shared" si="99"/>
        <v>0</v>
      </c>
      <c r="S159" s="1096">
        <f t="shared" si="99"/>
        <v>0</v>
      </c>
      <c r="T159" s="1096">
        <f t="shared" si="99"/>
        <v>0</v>
      </c>
      <c r="U159" s="1096">
        <f t="shared" si="99"/>
        <v>0</v>
      </c>
      <c r="V159" s="1096">
        <f t="shared" si="99"/>
        <v>0</v>
      </c>
      <c r="W159" s="1096">
        <f t="shared" si="99"/>
        <v>0</v>
      </c>
      <c r="X159" s="1207">
        <f t="shared" si="99"/>
        <v>0</v>
      </c>
      <c r="Y159" s="1207">
        <f t="shared" si="99"/>
        <v>0</v>
      </c>
      <c r="Z159" s="1096">
        <f t="shared" si="99"/>
        <v>0</v>
      </c>
      <c r="AA159" s="1096">
        <f t="shared" si="99"/>
        <v>0</v>
      </c>
      <c r="AB159" s="1096">
        <f t="shared" si="99"/>
        <v>0</v>
      </c>
      <c r="AC159" s="1096">
        <f t="shared" si="99"/>
        <v>0</v>
      </c>
      <c r="AD159" s="1096">
        <f>IF(AD158="",0, Z159+AD158/AD165)</f>
        <v>0</v>
      </c>
      <c r="AE159" s="1207">
        <f>IF(AE158="",0, AA159+AE158/AE165)</f>
        <v>0</v>
      </c>
      <c r="AF159" s="1207">
        <f>IF(AF158="",0, AB159+AF158/AF165)</f>
        <v>0</v>
      </c>
      <c r="AG159" s="1096">
        <f>IF(AG158="",0, AC159+AG158/AG165)</f>
        <v>0</v>
      </c>
      <c r="AH159" s="1096">
        <f>IF(AH158="",0, AD159+AH158/AH165)</f>
        <v>0</v>
      </c>
      <c r="AI159" s="1324">
        <f>IF(AI158="",0, AH159+AI158/AI165)</f>
        <v>0</v>
      </c>
      <c r="AJ159" s="728"/>
      <c r="AK159" s="1003">
        <f t="shared" si="88"/>
        <v>0</v>
      </c>
      <c r="AL159" s="641"/>
      <c r="AM159" s="1006">
        <f t="shared" si="89"/>
        <v>0</v>
      </c>
      <c r="AN159" s="642"/>
      <c r="AO159" s="630"/>
      <c r="AP159" s="39" t="s">
        <v>91</v>
      </c>
      <c r="AQ159" s="40">
        <f>SUM(E158:K158)</f>
        <v>0</v>
      </c>
      <c r="AR159" s="41">
        <f>SUM(L158:R158)</f>
        <v>0</v>
      </c>
      <c r="AS159" s="41">
        <f>SUM(S158:Y158)</f>
        <v>0</v>
      </c>
      <c r="AT159" s="41">
        <f>SUM(Z158:AF158)</f>
        <v>0</v>
      </c>
      <c r="AU159" s="41">
        <f>SUM(AG158:AI158)</f>
        <v>0</v>
      </c>
      <c r="AV159" s="34">
        <f t="shared" ref="AV159:AV164" si="100">SUM(AQ159:AU159)</f>
        <v>0</v>
      </c>
    </row>
    <row r="160" spans="1:48" s="644" customFormat="1" ht="20.65" customHeight="1">
      <c r="A160" s="210"/>
      <c r="B160" s="89" t="s">
        <v>263</v>
      </c>
      <c r="C160" s="42"/>
      <c r="D160" s="43" t="s">
        <v>93</v>
      </c>
      <c r="E160" s="1108"/>
      <c r="F160" s="1089"/>
      <c r="G160" s="44"/>
      <c r="H160" s="1089"/>
      <c r="I160" s="1089"/>
      <c r="J160" s="44"/>
      <c r="K160" s="44"/>
      <c r="L160" s="1089"/>
      <c r="M160" s="1089"/>
      <c r="N160" s="1089"/>
      <c r="O160" s="1089"/>
      <c r="P160" s="1089"/>
      <c r="Q160" s="44"/>
      <c r="R160" s="44"/>
      <c r="S160" s="1089"/>
      <c r="T160" s="1089"/>
      <c r="U160" s="1089"/>
      <c r="V160" s="1089"/>
      <c r="W160" s="1089"/>
      <c r="X160" s="44"/>
      <c r="Y160" s="44"/>
      <c r="Z160" s="1089"/>
      <c r="AA160" s="1089"/>
      <c r="AB160" s="1089"/>
      <c r="AC160" s="1089"/>
      <c r="AD160" s="1089"/>
      <c r="AE160" s="44"/>
      <c r="AF160" s="44"/>
      <c r="AG160" s="1089"/>
      <c r="AH160" s="1089"/>
      <c r="AI160" s="1326"/>
      <c r="AJ160" s="662">
        <f>SUM(E160:AI160)</f>
        <v>0</v>
      </c>
      <c r="AK160" s="1004">
        <f t="shared" si="88"/>
        <v>0</v>
      </c>
      <c r="AL160" s="645">
        <f>+AJ160*AN158</f>
        <v>0</v>
      </c>
      <c r="AM160" s="1007">
        <f t="shared" si="89"/>
        <v>0</v>
      </c>
      <c r="AN160" s="31"/>
      <c r="AO160" s="632">
        <f>(AJ160+AJ162+AJ163+AJ164)*B162/1000</f>
        <v>0</v>
      </c>
      <c r="AP160" s="47" t="s">
        <v>94</v>
      </c>
      <c r="AQ160" s="48">
        <f>SUM(E160:K160)</f>
        <v>0</v>
      </c>
      <c r="AR160" s="49">
        <f>SUM(L160:R160)</f>
        <v>0</v>
      </c>
      <c r="AS160" s="49">
        <f>SUM(S160:Y160)</f>
        <v>0</v>
      </c>
      <c r="AT160" s="49">
        <f>SUM(Z160:AF160)</f>
        <v>0</v>
      </c>
      <c r="AU160" s="49">
        <f>SUM(AG160:AI160)</f>
        <v>0</v>
      </c>
      <c r="AV160" s="50">
        <f t="shared" si="100"/>
        <v>0</v>
      </c>
    </row>
    <row r="161" spans="1:48" s="644" customFormat="1" ht="20.65" customHeight="1">
      <c r="A161" s="210"/>
      <c r="B161" s="638" t="s">
        <v>247</v>
      </c>
      <c r="C161" s="52" t="s">
        <v>95</v>
      </c>
      <c r="D161" s="53" t="s">
        <v>96</v>
      </c>
      <c r="E161" s="1137">
        <f t="shared" ref="E161:AJ161" si="101">+E160-E158</f>
        <v>0</v>
      </c>
      <c r="F161" s="1097">
        <f t="shared" si="101"/>
        <v>0</v>
      </c>
      <c r="G161" s="1205">
        <f t="shared" si="101"/>
        <v>0</v>
      </c>
      <c r="H161" s="1097">
        <f t="shared" si="101"/>
        <v>0</v>
      </c>
      <c r="I161" s="1097">
        <f t="shared" si="101"/>
        <v>0</v>
      </c>
      <c r="J161" s="1205">
        <f t="shared" si="101"/>
        <v>0</v>
      </c>
      <c r="K161" s="1205">
        <f t="shared" si="101"/>
        <v>0</v>
      </c>
      <c r="L161" s="1097">
        <f t="shared" si="101"/>
        <v>0</v>
      </c>
      <c r="M161" s="1097">
        <f t="shared" si="101"/>
        <v>0</v>
      </c>
      <c r="N161" s="1097">
        <f t="shared" si="101"/>
        <v>0</v>
      </c>
      <c r="O161" s="1097">
        <f t="shared" si="101"/>
        <v>0</v>
      </c>
      <c r="P161" s="1097">
        <f t="shared" si="101"/>
        <v>0</v>
      </c>
      <c r="Q161" s="1205">
        <f t="shared" si="101"/>
        <v>0</v>
      </c>
      <c r="R161" s="1205">
        <f t="shared" si="101"/>
        <v>0</v>
      </c>
      <c r="S161" s="1097">
        <f t="shared" si="101"/>
        <v>0</v>
      </c>
      <c r="T161" s="1097">
        <f t="shared" si="101"/>
        <v>0</v>
      </c>
      <c r="U161" s="1097">
        <f t="shared" si="101"/>
        <v>0</v>
      </c>
      <c r="V161" s="1097">
        <f t="shared" si="101"/>
        <v>0</v>
      </c>
      <c r="W161" s="1097">
        <f t="shared" si="101"/>
        <v>0</v>
      </c>
      <c r="X161" s="1205">
        <f t="shared" si="101"/>
        <v>0</v>
      </c>
      <c r="Y161" s="1205">
        <f t="shared" si="101"/>
        <v>0</v>
      </c>
      <c r="Z161" s="1097">
        <f t="shared" si="101"/>
        <v>0</v>
      </c>
      <c r="AA161" s="1097">
        <f t="shared" si="101"/>
        <v>0</v>
      </c>
      <c r="AB161" s="1097">
        <f t="shared" si="101"/>
        <v>0</v>
      </c>
      <c r="AC161" s="1097">
        <f t="shared" si="101"/>
        <v>0</v>
      </c>
      <c r="AD161" s="1097">
        <f t="shared" si="101"/>
        <v>0</v>
      </c>
      <c r="AE161" s="1205">
        <f t="shared" si="101"/>
        <v>0</v>
      </c>
      <c r="AF161" s="1205">
        <f t="shared" si="101"/>
        <v>0</v>
      </c>
      <c r="AG161" s="1097">
        <f>+AG160-AG158</f>
        <v>0</v>
      </c>
      <c r="AH161" s="1097">
        <f t="shared" si="101"/>
        <v>0</v>
      </c>
      <c r="AI161" s="1328">
        <f t="shared" si="101"/>
        <v>0</v>
      </c>
      <c r="AJ161" s="663">
        <f t="shared" si="101"/>
        <v>0</v>
      </c>
      <c r="AK161" s="1004">
        <f t="shared" si="88"/>
        <v>0</v>
      </c>
      <c r="AL161" s="646">
        <f>+AJ161*AN158</f>
        <v>0</v>
      </c>
      <c r="AM161" s="1007">
        <f t="shared" si="89"/>
        <v>0</v>
      </c>
      <c r="AN161" s="31" t="s">
        <v>97</v>
      </c>
      <c r="AO161" s="622"/>
      <c r="AP161" s="39" t="s">
        <v>98</v>
      </c>
      <c r="AQ161" s="56">
        <f>AQ160-AQ159</f>
        <v>0</v>
      </c>
      <c r="AR161" s="70">
        <f>AR160-AR159</f>
        <v>0</v>
      </c>
      <c r="AS161" s="70">
        <f>AS160-AS159</f>
        <v>0</v>
      </c>
      <c r="AT161" s="70">
        <f>AT160-AT159</f>
        <v>0</v>
      </c>
      <c r="AU161" s="70">
        <f>AU160-AU159</f>
        <v>0</v>
      </c>
      <c r="AV161" s="57">
        <f t="shared" si="100"/>
        <v>0</v>
      </c>
    </row>
    <row r="162" spans="1:48" s="644" customFormat="1" ht="20.65" customHeight="1">
      <c r="A162" s="210"/>
      <c r="B162" s="211"/>
      <c r="C162" s="60" t="s">
        <v>100</v>
      </c>
      <c r="D162" s="61" t="s">
        <v>101</v>
      </c>
      <c r="E162" s="1098"/>
      <c r="F162" s="1099"/>
      <c r="G162" s="1208"/>
      <c r="H162" s="1099"/>
      <c r="I162" s="1099"/>
      <c r="J162" s="1208"/>
      <c r="K162" s="1208"/>
      <c r="L162" s="1099"/>
      <c r="M162" s="1099"/>
      <c r="N162" s="1099"/>
      <c r="O162" s="1099"/>
      <c r="P162" s="1099"/>
      <c r="Q162" s="1208"/>
      <c r="R162" s="1208"/>
      <c r="S162" s="1099"/>
      <c r="T162" s="1099"/>
      <c r="U162" s="1099"/>
      <c r="V162" s="1099"/>
      <c r="W162" s="1099"/>
      <c r="X162" s="1208"/>
      <c r="Y162" s="1208"/>
      <c r="Z162" s="1099"/>
      <c r="AA162" s="1099"/>
      <c r="AB162" s="1099"/>
      <c r="AC162" s="1099"/>
      <c r="AD162" s="1099"/>
      <c r="AE162" s="1208"/>
      <c r="AF162" s="1208"/>
      <c r="AG162" s="1099"/>
      <c r="AH162" s="1099"/>
      <c r="AI162" s="1330"/>
      <c r="AJ162" s="664">
        <f>SUM(E162:AI162)</f>
        <v>0</v>
      </c>
      <c r="AK162" s="1004">
        <f t="shared" si="88"/>
        <v>0</v>
      </c>
      <c r="AL162" s="647">
        <f>+AJ162*AN158</f>
        <v>0</v>
      </c>
      <c r="AM162" s="1008">
        <f t="shared" si="89"/>
        <v>0</v>
      </c>
      <c r="AN162" s="64" t="e">
        <f>+AJ162/AJ160*100</f>
        <v>#DIV/0!</v>
      </c>
      <c r="AO162" s="635" t="e">
        <f>AO160/AO158</f>
        <v>#DIV/0!</v>
      </c>
      <c r="AP162" s="39" t="s">
        <v>102</v>
      </c>
      <c r="AQ162" s="56">
        <f>SUM(E162:K162)</f>
        <v>0</v>
      </c>
      <c r="AR162" s="70">
        <f>SUM(L162:R162)</f>
        <v>0</v>
      </c>
      <c r="AS162" s="70">
        <f>SUM(S162:Y162)</f>
        <v>0</v>
      </c>
      <c r="AT162" s="70">
        <f>SUM(Z162:AF162)</f>
        <v>0</v>
      </c>
      <c r="AU162" s="70">
        <f>SUM(AG162:AI162)</f>
        <v>0</v>
      </c>
      <c r="AV162" s="57">
        <f t="shared" si="100"/>
        <v>0</v>
      </c>
    </row>
    <row r="163" spans="1:48" s="644" customFormat="1" ht="20.65" customHeight="1">
      <c r="A163" s="210" t="s">
        <v>245</v>
      </c>
      <c r="B163" s="213"/>
      <c r="C163" s="66"/>
      <c r="D163" s="67" t="s">
        <v>103</v>
      </c>
      <c r="E163" s="1100"/>
      <c r="F163" s="1101"/>
      <c r="G163" s="1209"/>
      <c r="H163" s="1101"/>
      <c r="I163" s="1101"/>
      <c r="J163" s="1209"/>
      <c r="K163" s="1209"/>
      <c r="L163" s="1101"/>
      <c r="M163" s="1101"/>
      <c r="N163" s="1101"/>
      <c r="O163" s="1101"/>
      <c r="P163" s="1101"/>
      <c r="Q163" s="1209"/>
      <c r="R163" s="1209"/>
      <c r="S163" s="1101"/>
      <c r="T163" s="1101"/>
      <c r="U163" s="1101"/>
      <c r="V163" s="1101"/>
      <c r="W163" s="1101"/>
      <c r="X163" s="1209"/>
      <c r="Y163" s="1209"/>
      <c r="Z163" s="1101"/>
      <c r="AA163" s="1101"/>
      <c r="AB163" s="1101"/>
      <c r="AC163" s="1101"/>
      <c r="AD163" s="1101"/>
      <c r="AE163" s="1209"/>
      <c r="AF163" s="1209"/>
      <c r="AG163" s="1101"/>
      <c r="AH163" s="1101"/>
      <c r="AI163" s="1332"/>
      <c r="AJ163" s="665">
        <f>SUM(E163:AI163)</f>
        <v>0</v>
      </c>
      <c r="AK163" s="1004">
        <f t="shared" si="88"/>
        <v>0</v>
      </c>
      <c r="AL163" s="648">
        <f>+AJ163*AN157</f>
        <v>0</v>
      </c>
      <c r="AM163" s="1008">
        <f t="shared" si="89"/>
        <v>0</v>
      </c>
      <c r="AN163" s="31"/>
      <c r="AO163" s="622"/>
      <c r="AP163" s="39" t="s">
        <v>19</v>
      </c>
      <c r="AQ163" s="56">
        <f>AQ162*AN158</f>
        <v>0</v>
      </c>
      <c r="AR163" s="56">
        <f>AR162*AN158</f>
        <v>0</v>
      </c>
      <c r="AS163" s="56">
        <f>AS162*AN158</f>
        <v>0</v>
      </c>
      <c r="AT163" s="56">
        <f>AT162*AN158</f>
        <v>0</v>
      </c>
      <c r="AU163" s="56">
        <f>AU162*AN158</f>
        <v>0</v>
      </c>
      <c r="AV163" s="57">
        <f t="shared" si="100"/>
        <v>0</v>
      </c>
    </row>
    <row r="164" spans="1:48" s="644" customFormat="1" ht="20.65" customHeight="1">
      <c r="A164" s="210" t="s">
        <v>245</v>
      </c>
      <c r="B164" s="213"/>
      <c r="C164" s="72" t="s">
        <v>104</v>
      </c>
      <c r="D164" s="73" t="s">
        <v>105</v>
      </c>
      <c r="E164" s="1115"/>
      <c r="F164" s="1116"/>
      <c r="G164" s="1215"/>
      <c r="H164" s="1116"/>
      <c r="I164" s="1116"/>
      <c r="J164" s="1215"/>
      <c r="K164" s="1215"/>
      <c r="L164" s="1116"/>
      <c r="M164" s="1116"/>
      <c r="N164" s="1116"/>
      <c r="O164" s="1116"/>
      <c r="P164" s="1116"/>
      <c r="Q164" s="1215"/>
      <c r="R164" s="1215"/>
      <c r="S164" s="1116"/>
      <c r="T164" s="1116"/>
      <c r="U164" s="1116"/>
      <c r="V164" s="1116"/>
      <c r="W164" s="1116"/>
      <c r="X164" s="1215"/>
      <c r="Y164" s="1215"/>
      <c r="Z164" s="1116"/>
      <c r="AA164" s="1116"/>
      <c r="AB164" s="1116"/>
      <c r="AC164" s="1116"/>
      <c r="AD164" s="1116"/>
      <c r="AE164" s="1215"/>
      <c r="AF164" s="1215"/>
      <c r="AG164" s="1116"/>
      <c r="AH164" s="1116"/>
      <c r="AI164" s="1334"/>
      <c r="AJ164" s="731">
        <f>SUM(E164:AI164)</f>
        <v>0</v>
      </c>
      <c r="AK164" s="1004">
        <f t="shared" si="88"/>
        <v>0</v>
      </c>
      <c r="AL164" s="653">
        <f>+AJ164*AN158</f>
        <v>0</v>
      </c>
      <c r="AM164" s="1008">
        <f t="shared" si="89"/>
        <v>0</v>
      </c>
      <c r="AN164" s="31"/>
      <c r="AO164" s="622"/>
      <c r="AP164" s="47" t="s">
        <v>106</v>
      </c>
      <c r="AQ164" s="48">
        <f>AQ160*AN158</f>
        <v>0</v>
      </c>
      <c r="AR164" s="48">
        <f>AR160*AN158</f>
        <v>0</v>
      </c>
      <c r="AS164" s="48">
        <f>AS160*AN158</f>
        <v>0</v>
      </c>
      <c r="AT164" s="48">
        <f>AT160*AN158</f>
        <v>0</v>
      </c>
      <c r="AU164" s="48">
        <f>AU160*AN158</f>
        <v>0</v>
      </c>
      <c r="AV164" s="50">
        <f t="shared" si="100"/>
        <v>0</v>
      </c>
    </row>
    <row r="165" spans="1:48" s="644" customFormat="1" ht="20.65" customHeight="1">
      <c r="A165" s="212"/>
      <c r="B165" s="89"/>
      <c r="C165" s="77">
        <v>300000</v>
      </c>
      <c r="D165" s="78" t="s">
        <v>107</v>
      </c>
      <c r="E165" s="1137">
        <v>2</v>
      </c>
      <c r="F165" s="1097">
        <v>2</v>
      </c>
      <c r="G165" s="1205">
        <v>2</v>
      </c>
      <c r="H165" s="1097">
        <v>2</v>
      </c>
      <c r="I165" s="1097">
        <v>2</v>
      </c>
      <c r="J165" s="1205">
        <v>2</v>
      </c>
      <c r="K165" s="1205">
        <v>2</v>
      </c>
      <c r="L165" s="1097">
        <v>2</v>
      </c>
      <c r="M165" s="1097">
        <v>2</v>
      </c>
      <c r="N165" s="1097">
        <v>2</v>
      </c>
      <c r="O165" s="1097">
        <v>2</v>
      </c>
      <c r="P165" s="1097">
        <v>2</v>
      </c>
      <c r="Q165" s="1205">
        <v>2</v>
      </c>
      <c r="R165" s="1205">
        <v>2</v>
      </c>
      <c r="S165" s="1097">
        <v>2</v>
      </c>
      <c r="T165" s="1097">
        <v>2</v>
      </c>
      <c r="U165" s="1097">
        <v>2</v>
      </c>
      <c r="V165" s="1097">
        <v>2</v>
      </c>
      <c r="W165" s="1097">
        <v>2</v>
      </c>
      <c r="X165" s="1205">
        <v>2</v>
      </c>
      <c r="Y165" s="1205">
        <v>2</v>
      </c>
      <c r="Z165" s="1097">
        <v>2</v>
      </c>
      <c r="AA165" s="1097">
        <v>2</v>
      </c>
      <c r="AB165" s="1097">
        <v>2</v>
      </c>
      <c r="AC165" s="1097">
        <v>2</v>
      </c>
      <c r="AD165" s="1097">
        <v>2</v>
      </c>
      <c r="AE165" s="1205">
        <v>2</v>
      </c>
      <c r="AF165" s="1205">
        <v>2</v>
      </c>
      <c r="AG165" s="1097">
        <v>2</v>
      </c>
      <c r="AH165" s="1097">
        <v>2</v>
      </c>
      <c r="AI165" s="1328">
        <v>2</v>
      </c>
      <c r="AJ165" s="663"/>
      <c r="AK165" s="1004">
        <f t="shared" si="88"/>
        <v>0</v>
      </c>
      <c r="AL165" s="646"/>
      <c r="AM165" s="1007">
        <f t="shared" si="89"/>
        <v>0</v>
      </c>
      <c r="AN165" s="31"/>
      <c r="AO165" s="622"/>
      <c r="AP165" s="47"/>
      <c r="AQ165" s="48"/>
      <c r="AR165" s="48"/>
      <c r="AS165" s="48"/>
      <c r="AT165" s="48"/>
      <c r="AU165" s="48"/>
      <c r="AV165" s="214"/>
    </row>
    <row r="166" spans="1:48" s="644" customFormat="1" ht="20.65" customHeight="1">
      <c r="A166" s="210"/>
      <c r="B166" s="89"/>
      <c r="C166" s="80" t="s">
        <v>108</v>
      </c>
      <c r="D166" s="81" t="s">
        <v>109</v>
      </c>
      <c r="E166" s="1125">
        <f t="shared" ref="E166:AI166" si="102">SUM(E160+E162+E164)/E165</f>
        <v>0</v>
      </c>
      <c r="F166" s="1126">
        <f t="shared" si="102"/>
        <v>0</v>
      </c>
      <c r="G166" s="1235">
        <f t="shared" si="102"/>
        <v>0</v>
      </c>
      <c r="H166" s="1126">
        <f t="shared" si="102"/>
        <v>0</v>
      </c>
      <c r="I166" s="1126">
        <f t="shared" si="102"/>
        <v>0</v>
      </c>
      <c r="J166" s="1235">
        <f t="shared" si="102"/>
        <v>0</v>
      </c>
      <c r="K166" s="1235">
        <f t="shared" si="102"/>
        <v>0</v>
      </c>
      <c r="L166" s="1126">
        <f t="shared" si="102"/>
        <v>0</v>
      </c>
      <c r="M166" s="1126">
        <f t="shared" si="102"/>
        <v>0</v>
      </c>
      <c r="N166" s="1126">
        <f t="shared" si="102"/>
        <v>0</v>
      </c>
      <c r="O166" s="1126">
        <f t="shared" si="102"/>
        <v>0</v>
      </c>
      <c r="P166" s="1126">
        <f t="shared" si="102"/>
        <v>0</v>
      </c>
      <c r="Q166" s="1235">
        <f t="shared" si="102"/>
        <v>0</v>
      </c>
      <c r="R166" s="1235">
        <f t="shared" si="102"/>
        <v>0</v>
      </c>
      <c r="S166" s="1126">
        <f t="shared" si="102"/>
        <v>0</v>
      </c>
      <c r="T166" s="1126">
        <f t="shared" si="102"/>
        <v>0</v>
      </c>
      <c r="U166" s="1126">
        <f t="shared" si="102"/>
        <v>0</v>
      </c>
      <c r="V166" s="1126">
        <f t="shared" si="102"/>
        <v>0</v>
      </c>
      <c r="W166" s="1126">
        <f t="shared" si="102"/>
        <v>0</v>
      </c>
      <c r="X166" s="1235">
        <f t="shared" si="102"/>
        <v>0</v>
      </c>
      <c r="Y166" s="1235">
        <f t="shared" si="102"/>
        <v>0</v>
      </c>
      <c r="Z166" s="1126">
        <f t="shared" si="102"/>
        <v>0</v>
      </c>
      <c r="AA166" s="1126">
        <f t="shared" si="102"/>
        <v>0</v>
      </c>
      <c r="AB166" s="1126">
        <f t="shared" si="102"/>
        <v>0</v>
      </c>
      <c r="AC166" s="1126">
        <f t="shared" si="102"/>
        <v>0</v>
      </c>
      <c r="AD166" s="1126">
        <f t="shared" si="102"/>
        <v>0</v>
      </c>
      <c r="AE166" s="1235">
        <f>SUM(AE160+AE162+AE164)/AE165</f>
        <v>0</v>
      </c>
      <c r="AF166" s="1235">
        <f>SUM(AF160+AF162+AF164)/AF165</f>
        <v>0</v>
      </c>
      <c r="AG166" s="1126">
        <f>SUM(AG160+AG162+AG164)/AG165</f>
        <v>0</v>
      </c>
      <c r="AH166" s="1126">
        <f t="shared" si="102"/>
        <v>0</v>
      </c>
      <c r="AI166" s="1335">
        <f t="shared" si="102"/>
        <v>0</v>
      </c>
      <c r="AJ166" s="104">
        <f>SUM(E166:AI166)</f>
        <v>0</v>
      </c>
      <c r="AK166" s="993">
        <f t="shared" si="88"/>
        <v>0</v>
      </c>
      <c r="AL166" s="650"/>
      <c r="AM166" s="1008">
        <f t="shared" si="89"/>
        <v>0</v>
      </c>
      <c r="AN166" s="31"/>
      <c r="AO166" s="622"/>
      <c r="AP166" s="651"/>
      <c r="AQ166" s="651"/>
      <c r="AR166" s="651"/>
      <c r="AS166" s="651"/>
      <c r="AT166" s="651"/>
      <c r="AU166" s="651"/>
      <c r="AV166" s="651"/>
    </row>
    <row r="167" spans="1:48" s="644" customFormat="1" ht="20.65" customHeight="1">
      <c r="A167" s="215"/>
      <c r="B167" s="89"/>
      <c r="C167" s="84">
        <f>+C165*0.8</f>
        <v>240000</v>
      </c>
      <c r="D167" s="85" t="s">
        <v>110</v>
      </c>
      <c r="E167" s="1105"/>
      <c r="F167" s="1104"/>
      <c r="G167" s="1211"/>
      <c r="H167" s="1104"/>
      <c r="I167" s="1104"/>
      <c r="J167" s="1211"/>
      <c r="K167" s="1211"/>
      <c r="L167" s="1104"/>
      <c r="M167" s="1104"/>
      <c r="N167" s="1104"/>
      <c r="O167" s="1104"/>
      <c r="P167" s="1104"/>
      <c r="Q167" s="1211"/>
      <c r="R167" s="1211"/>
      <c r="S167" s="1104"/>
      <c r="T167" s="1104"/>
      <c r="U167" s="1104"/>
      <c r="V167" s="1104"/>
      <c r="W167" s="1104"/>
      <c r="X167" s="1211"/>
      <c r="Y167" s="1211"/>
      <c r="Z167" s="1104"/>
      <c r="AA167" s="1104"/>
      <c r="AB167" s="1104"/>
      <c r="AC167" s="1104"/>
      <c r="AD167" s="1104"/>
      <c r="AE167" s="1211"/>
      <c r="AF167" s="1211"/>
      <c r="AG167" s="1104"/>
      <c r="AH167" s="1104"/>
      <c r="AI167" s="1353"/>
      <c r="AJ167" s="729"/>
      <c r="AK167" s="1004">
        <f t="shared" si="88"/>
        <v>0</v>
      </c>
      <c r="AL167" s="647"/>
      <c r="AM167" s="1008">
        <f t="shared" si="89"/>
        <v>0</v>
      </c>
      <c r="AN167" s="31"/>
      <c r="AO167" s="622"/>
      <c r="AP167" s="651"/>
      <c r="AQ167" s="651"/>
      <c r="AR167" s="651"/>
      <c r="AS167" s="651"/>
      <c r="AT167" s="651"/>
      <c r="AU167" s="651"/>
      <c r="AV167" s="651"/>
    </row>
    <row r="168" spans="1:48" s="644" customFormat="1" ht="20.65" customHeight="1">
      <c r="A168" s="215"/>
      <c r="B168" s="89"/>
      <c r="C168" s="77"/>
      <c r="D168" s="88" t="s">
        <v>111</v>
      </c>
      <c r="E168" s="1125">
        <f>IF(E167="O/H",E166,+E166)</f>
        <v>0</v>
      </c>
      <c r="F168" s="1126">
        <f>IF(F167="O/H",F166,+E168+F166)</f>
        <v>0</v>
      </c>
      <c r="G168" s="1235">
        <f t="shared" ref="G168:AI168" si="103">IF(G167="O/H",G166,+F168+G166)</f>
        <v>0</v>
      </c>
      <c r="H168" s="1126">
        <f t="shared" si="103"/>
        <v>0</v>
      </c>
      <c r="I168" s="1126">
        <f t="shared" si="103"/>
        <v>0</v>
      </c>
      <c r="J168" s="1235">
        <f t="shared" si="103"/>
        <v>0</v>
      </c>
      <c r="K168" s="1235">
        <f t="shared" si="103"/>
        <v>0</v>
      </c>
      <c r="L168" s="1126">
        <f t="shared" si="103"/>
        <v>0</v>
      </c>
      <c r="M168" s="1126">
        <f t="shared" si="103"/>
        <v>0</v>
      </c>
      <c r="N168" s="1126">
        <f t="shared" si="103"/>
        <v>0</v>
      </c>
      <c r="O168" s="1126">
        <f t="shared" si="103"/>
        <v>0</v>
      </c>
      <c r="P168" s="1126">
        <f t="shared" si="103"/>
        <v>0</v>
      </c>
      <c r="Q168" s="1235">
        <f t="shared" si="103"/>
        <v>0</v>
      </c>
      <c r="R168" s="1235">
        <f t="shared" si="103"/>
        <v>0</v>
      </c>
      <c r="S168" s="1126">
        <f t="shared" si="103"/>
        <v>0</v>
      </c>
      <c r="T168" s="1126">
        <f t="shared" si="103"/>
        <v>0</v>
      </c>
      <c r="U168" s="1126">
        <f t="shared" si="103"/>
        <v>0</v>
      </c>
      <c r="V168" s="1126">
        <f t="shared" si="103"/>
        <v>0</v>
      </c>
      <c r="W168" s="1126">
        <f t="shared" si="103"/>
        <v>0</v>
      </c>
      <c r="X168" s="1235">
        <f t="shared" si="103"/>
        <v>0</v>
      </c>
      <c r="Y168" s="1235">
        <f t="shared" si="103"/>
        <v>0</v>
      </c>
      <c r="Z168" s="1126">
        <f t="shared" si="103"/>
        <v>0</v>
      </c>
      <c r="AA168" s="1126">
        <f t="shared" si="103"/>
        <v>0</v>
      </c>
      <c r="AB168" s="1126">
        <f t="shared" si="103"/>
        <v>0</v>
      </c>
      <c r="AC168" s="1126">
        <f t="shared" si="103"/>
        <v>0</v>
      </c>
      <c r="AD168" s="1126">
        <f t="shared" si="103"/>
        <v>0</v>
      </c>
      <c r="AE168" s="1235">
        <f t="shared" si="103"/>
        <v>0</v>
      </c>
      <c r="AF168" s="1235">
        <f t="shared" si="103"/>
        <v>0</v>
      </c>
      <c r="AG168" s="1126">
        <f t="shared" si="103"/>
        <v>0</v>
      </c>
      <c r="AH168" s="1126">
        <f t="shared" si="103"/>
        <v>0</v>
      </c>
      <c r="AI168" s="1335">
        <f t="shared" si="103"/>
        <v>0</v>
      </c>
      <c r="AJ168" s="104"/>
      <c r="AK168" s="993">
        <f t="shared" si="88"/>
        <v>0</v>
      </c>
      <c r="AL168" s="650"/>
      <c r="AM168" s="1008">
        <f t="shared" si="89"/>
        <v>0</v>
      </c>
      <c r="AN168" s="31"/>
      <c r="AO168" s="622"/>
      <c r="AP168" s="651"/>
      <c r="AQ168" s="651"/>
      <c r="AR168" s="651"/>
      <c r="AS168" s="651"/>
      <c r="AT168" s="651"/>
      <c r="AU168" s="651"/>
      <c r="AV168" s="651"/>
    </row>
    <row r="169" spans="1:48" s="644" customFormat="1" ht="20.65" customHeight="1">
      <c r="A169" s="215" t="s">
        <v>242</v>
      </c>
      <c r="B169" s="89"/>
      <c r="C169" s="80"/>
      <c r="D169" s="90" t="s">
        <v>104</v>
      </c>
      <c r="E169" s="1137"/>
      <c r="F169" s="1097"/>
      <c r="G169" s="1205"/>
      <c r="H169" s="1097"/>
      <c r="I169" s="1097"/>
      <c r="J169" s="1205"/>
      <c r="K169" s="1205"/>
      <c r="L169" s="1097"/>
      <c r="M169" s="1097"/>
      <c r="N169" s="1097"/>
      <c r="O169" s="1097"/>
      <c r="P169" s="1097"/>
      <c r="Q169" s="1205"/>
      <c r="R169" s="1205"/>
      <c r="S169" s="1097"/>
      <c r="T169" s="1097"/>
      <c r="U169" s="1097"/>
      <c r="V169" s="1097"/>
      <c r="W169" s="1097"/>
      <c r="X169" s="1205"/>
      <c r="Y169" s="1205"/>
      <c r="Z169" s="1097"/>
      <c r="AA169" s="1097"/>
      <c r="AB169" s="1097"/>
      <c r="AC169" s="1097"/>
      <c r="AD169" s="1097"/>
      <c r="AE169" s="1205"/>
      <c r="AF169" s="1205"/>
      <c r="AG169" s="1097"/>
      <c r="AH169" s="1097"/>
      <c r="AI169" s="1328"/>
      <c r="AJ169" s="664"/>
      <c r="AK169" s="1004">
        <f t="shared" si="88"/>
        <v>0</v>
      </c>
      <c r="AL169" s="646"/>
      <c r="AM169" s="1007">
        <f t="shared" si="89"/>
        <v>0</v>
      </c>
      <c r="AN169" s="31"/>
      <c r="AO169" s="622"/>
      <c r="AP169" s="651"/>
      <c r="AQ169" s="651"/>
      <c r="AR169" s="651"/>
      <c r="AS169" s="651"/>
      <c r="AT169" s="651"/>
      <c r="AU169" s="651"/>
      <c r="AV169" s="651"/>
    </row>
    <row r="170" spans="1:48" s="644" customFormat="1" ht="20.65" customHeight="1" thickBot="1">
      <c r="A170" s="216" t="s">
        <v>242</v>
      </c>
      <c r="B170" s="93"/>
      <c r="C170" s="94"/>
      <c r="D170" s="230" t="s">
        <v>258</v>
      </c>
      <c r="E170" s="1453">
        <f>IF(E169="O/H",E166,+E166)</f>
        <v>0</v>
      </c>
      <c r="F170" s="1128">
        <f t="shared" ref="F170:AI170" si="104">IF(F169="O/H",F166,+E170+F166)</f>
        <v>0</v>
      </c>
      <c r="G170" s="1303">
        <f t="shared" si="104"/>
        <v>0</v>
      </c>
      <c r="H170" s="1128">
        <f t="shared" si="104"/>
        <v>0</v>
      </c>
      <c r="I170" s="1128">
        <f t="shared" si="104"/>
        <v>0</v>
      </c>
      <c r="J170" s="1303">
        <f t="shared" si="104"/>
        <v>0</v>
      </c>
      <c r="K170" s="1303">
        <f t="shared" si="104"/>
        <v>0</v>
      </c>
      <c r="L170" s="1128">
        <f t="shared" si="104"/>
        <v>0</v>
      </c>
      <c r="M170" s="1128">
        <f t="shared" si="104"/>
        <v>0</v>
      </c>
      <c r="N170" s="1128">
        <f t="shared" si="104"/>
        <v>0</v>
      </c>
      <c r="O170" s="1128">
        <f t="shared" si="104"/>
        <v>0</v>
      </c>
      <c r="P170" s="1128">
        <f t="shared" si="104"/>
        <v>0</v>
      </c>
      <c r="Q170" s="1303">
        <f t="shared" si="104"/>
        <v>0</v>
      </c>
      <c r="R170" s="1303">
        <f t="shared" si="104"/>
        <v>0</v>
      </c>
      <c r="S170" s="1128">
        <f t="shared" si="104"/>
        <v>0</v>
      </c>
      <c r="T170" s="1128">
        <f t="shared" si="104"/>
        <v>0</v>
      </c>
      <c r="U170" s="1128">
        <f t="shared" si="104"/>
        <v>0</v>
      </c>
      <c r="V170" s="1128">
        <f t="shared" si="104"/>
        <v>0</v>
      </c>
      <c r="W170" s="1128">
        <f t="shared" si="104"/>
        <v>0</v>
      </c>
      <c r="X170" s="1303">
        <f t="shared" si="104"/>
        <v>0</v>
      </c>
      <c r="Y170" s="1303">
        <f t="shared" si="104"/>
        <v>0</v>
      </c>
      <c r="Z170" s="1128">
        <f t="shared" si="104"/>
        <v>0</v>
      </c>
      <c r="AA170" s="1128">
        <f t="shared" si="104"/>
        <v>0</v>
      </c>
      <c r="AB170" s="1128">
        <f t="shared" si="104"/>
        <v>0</v>
      </c>
      <c r="AC170" s="1128">
        <f t="shared" si="104"/>
        <v>0</v>
      </c>
      <c r="AD170" s="1128">
        <f t="shared" si="104"/>
        <v>0</v>
      </c>
      <c r="AE170" s="1303">
        <f t="shared" si="104"/>
        <v>0</v>
      </c>
      <c r="AF170" s="1303">
        <f t="shared" si="104"/>
        <v>0</v>
      </c>
      <c r="AG170" s="1128">
        <f t="shared" si="104"/>
        <v>0</v>
      </c>
      <c r="AH170" s="1128">
        <f t="shared" si="104"/>
        <v>0</v>
      </c>
      <c r="AI170" s="1454">
        <f t="shared" si="104"/>
        <v>0</v>
      </c>
      <c r="AJ170" s="730"/>
      <c r="AK170" s="1005">
        <f t="shared" si="88"/>
        <v>0</v>
      </c>
      <c r="AL170" s="652"/>
      <c r="AM170" s="1009">
        <f t="shared" si="89"/>
        <v>0</v>
      </c>
      <c r="AN170" s="98"/>
      <c r="AO170" s="625"/>
      <c r="AP170" s="651"/>
      <c r="AQ170" s="651"/>
      <c r="AR170" s="651"/>
      <c r="AS170" s="651"/>
      <c r="AT170" s="651"/>
      <c r="AU170" s="651"/>
      <c r="AV170" s="651"/>
    </row>
    <row r="171" spans="1:48" s="644" customFormat="1" ht="20.65" customHeight="1" thickTop="1">
      <c r="A171" s="943" t="s">
        <v>610</v>
      </c>
      <c r="B171" s="219" t="s">
        <v>303</v>
      </c>
      <c r="C171" s="1495" t="str">
        <f>Table511[[#This Row],[M/C No.]]</f>
        <v>A12(50Ton)</v>
      </c>
      <c r="D171" s="28" t="s">
        <v>82</v>
      </c>
      <c r="E171" s="1124"/>
      <c r="F171" s="1111"/>
      <c r="G171" s="1201"/>
      <c r="H171" s="1111"/>
      <c r="I171" s="1111"/>
      <c r="J171" s="1201"/>
      <c r="K171" s="1201"/>
      <c r="L171" s="1111"/>
      <c r="M171" s="1111"/>
      <c r="N171" s="1111"/>
      <c r="O171" s="1111"/>
      <c r="P171" s="1111"/>
      <c r="Q171" s="1201"/>
      <c r="R171" s="1201"/>
      <c r="S171" s="1111"/>
      <c r="T171" s="1111"/>
      <c r="U171" s="1111"/>
      <c r="V171" s="1111"/>
      <c r="W171" s="1111"/>
      <c r="X171" s="1201"/>
      <c r="Y171" s="1201"/>
      <c r="Z171" s="1111"/>
      <c r="AA171" s="1111"/>
      <c r="AB171" s="1111"/>
      <c r="AC171" s="1111"/>
      <c r="AD171" s="1111"/>
      <c r="AE171" s="1201"/>
      <c r="AF171" s="1201"/>
      <c r="AG171" s="1111"/>
      <c r="AH171" s="1111"/>
      <c r="AI171" s="1412"/>
      <c r="AJ171" s="570">
        <f>SUM(E171:AI171)</f>
        <v>0</v>
      </c>
      <c r="AK171" s="991">
        <f t="shared" si="88"/>
        <v>0</v>
      </c>
      <c r="AL171" s="571">
        <f>+AJ171*AN171</f>
        <v>0</v>
      </c>
      <c r="AM171" s="1002">
        <f t="shared" si="89"/>
        <v>0</v>
      </c>
      <c r="AN171" s="102">
        <v>35.834660000000007</v>
      </c>
      <c r="AO171" s="622">
        <f>Table511[[#This Row],[Total]]*B175/1000</f>
        <v>0</v>
      </c>
      <c r="AP171" s="32" t="s">
        <v>301</v>
      </c>
      <c r="AQ171" s="33" t="s">
        <v>84</v>
      </c>
      <c r="AR171" s="33" t="s">
        <v>85</v>
      </c>
      <c r="AS171" s="33" t="s">
        <v>86</v>
      </c>
      <c r="AT171" s="33" t="s">
        <v>87</v>
      </c>
      <c r="AU171" s="33" t="s">
        <v>88</v>
      </c>
      <c r="AV171" s="34" t="s">
        <v>68</v>
      </c>
    </row>
    <row r="172" spans="1:48" s="644" customFormat="1" ht="20.65" customHeight="1">
      <c r="A172" s="639"/>
      <c r="B172" s="219" t="s">
        <v>304</v>
      </c>
      <c r="C172" s="640"/>
      <c r="D172" s="37" t="s">
        <v>90</v>
      </c>
      <c r="E172" s="1323">
        <f>IF(E171="",0,+ E171/E178)</f>
        <v>0</v>
      </c>
      <c r="F172" s="1096">
        <f t="shared" ref="F172:AC172" si="105">IF(F171="",0, E172+F171/F178)</f>
        <v>0</v>
      </c>
      <c r="G172" s="1207">
        <f t="shared" si="105"/>
        <v>0</v>
      </c>
      <c r="H172" s="1096">
        <f t="shared" si="105"/>
        <v>0</v>
      </c>
      <c r="I172" s="1096">
        <f t="shared" si="105"/>
        <v>0</v>
      </c>
      <c r="J172" s="1207">
        <f t="shared" si="105"/>
        <v>0</v>
      </c>
      <c r="K172" s="1207">
        <f t="shared" si="105"/>
        <v>0</v>
      </c>
      <c r="L172" s="1096">
        <f t="shared" si="105"/>
        <v>0</v>
      </c>
      <c r="M172" s="1096">
        <f t="shared" si="105"/>
        <v>0</v>
      </c>
      <c r="N172" s="1096">
        <f t="shared" si="105"/>
        <v>0</v>
      </c>
      <c r="O172" s="1096">
        <f t="shared" si="105"/>
        <v>0</v>
      </c>
      <c r="P172" s="1096">
        <f t="shared" si="105"/>
        <v>0</v>
      </c>
      <c r="Q172" s="1207">
        <f t="shared" si="105"/>
        <v>0</v>
      </c>
      <c r="R172" s="1207">
        <f t="shared" si="105"/>
        <v>0</v>
      </c>
      <c r="S172" s="1096">
        <f t="shared" si="105"/>
        <v>0</v>
      </c>
      <c r="T172" s="1096">
        <f t="shared" si="105"/>
        <v>0</v>
      </c>
      <c r="U172" s="1096">
        <f t="shared" si="105"/>
        <v>0</v>
      </c>
      <c r="V172" s="1096">
        <f t="shared" si="105"/>
        <v>0</v>
      </c>
      <c r="W172" s="1096">
        <f t="shared" si="105"/>
        <v>0</v>
      </c>
      <c r="X172" s="1207">
        <f t="shared" si="105"/>
        <v>0</v>
      </c>
      <c r="Y172" s="1207">
        <f t="shared" si="105"/>
        <v>0</v>
      </c>
      <c r="Z172" s="1096">
        <f t="shared" si="105"/>
        <v>0</v>
      </c>
      <c r="AA172" s="1096">
        <f t="shared" si="105"/>
        <v>0</v>
      </c>
      <c r="AB172" s="1096">
        <f t="shared" si="105"/>
        <v>0</v>
      </c>
      <c r="AC172" s="1096">
        <f t="shared" si="105"/>
        <v>0</v>
      </c>
      <c r="AD172" s="1096">
        <f>IF(AD171="",0, Z172+AD171/AD178)</f>
        <v>0</v>
      </c>
      <c r="AE172" s="1207">
        <f>IF(AE171="",0, AA172+AE171/AE178)</f>
        <v>0</v>
      </c>
      <c r="AF172" s="1207">
        <f>IF(AF171="",0, AB172+AF171/AF178)</f>
        <v>0</v>
      </c>
      <c r="AG172" s="1096">
        <f>IF(AG171="",0, AC172+AG171/AG178)</f>
        <v>0</v>
      </c>
      <c r="AH172" s="1096">
        <f>IF(AH171="",0, AD172+AH171/AH178)</f>
        <v>0</v>
      </c>
      <c r="AI172" s="1324">
        <f>IF(AI171="",0, AH172+AI171/AI178)</f>
        <v>0</v>
      </c>
      <c r="AJ172" s="728"/>
      <c r="AK172" s="1003">
        <f t="shared" si="88"/>
        <v>0</v>
      </c>
      <c r="AL172" s="641"/>
      <c r="AM172" s="1006">
        <f t="shared" si="89"/>
        <v>0</v>
      </c>
      <c r="AN172" s="642"/>
      <c r="AO172" s="630"/>
      <c r="AP172" s="39" t="s">
        <v>91</v>
      </c>
      <c r="AQ172" s="40">
        <f>SUM(E171:K171)</f>
        <v>0</v>
      </c>
      <c r="AR172" s="41">
        <f>SUM(L171:R171)</f>
        <v>0</v>
      </c>
      <c r="AS172" s="41">
        <f>SUM(S171:Y171)</f>
        <v>0</v>
      </c>
      <c r="AT172" s="41">
        <f>SUM(Z171:AF171)</f>
        <v>0</v>
      </c>
      <c r="AU172" s="41">
        <f>SUM(AG171:AI171)</f>
        <v>0</v>
      </c>
      <c r="AV172" s="34">
        <f t="shared" ref="AV172:AV177" si="106">SUM(AQ172:AU172)</f>
        <v>0</v>
      </c>
    </row>
    <row r="173" spans="1:48" s="644" customFormat="1" ht="20.65" customHeight="1">
      <c r="A173" s="210" t="s">
        <v>305</v>
      </c>
      <c r="B173" s="743" t="s">
        <v>246</v>
      </c>
      <c r="C173" s="42"/>
      <c r="D173" s="43" t="s">
        <v>93</v>
      </c>
      <c r="E173" s="1108"/>
      <c r="F173" s="1089"/>
      <c r="G173" s="44"/>
      <c r="H173" s="1089"/>
      <c r="I173" s="1089"/>
      <c r="J173" s="44"/>
      <c r="K173" s="44"/>
      <c r="L173" s="1089"/>
      <c r="M173" s="1089"/>
      <c r="N173" s="1089"/>
      <c r="O173" s="1089"/>
      <c r="P173" s="1089"/>
      <c r="Q173" s="44"/>
      <c r="R173" s="44"/>
      <c r="S173" s="1089"/>
      <c r="T173" s="1089"/>
      <c r="U173" s="1089"/>
      <c r="V173" s="1089"/>
      <c r="W173" s="1089"/>
      <c r="X173" s="44"/>
      <c r="Y173" s="44"/>
      <c r="Z173" s="1089"/>
      <c r="AA173" s="1089"/>
      <c r="AB173" s="1089"/>
      <c r="AC173" s="1089"/>
      <c r="AD173" s="1089"/>
      <c r="AE173" s="44"/>
      <c r="AF173" s="44"/>
      <c r="AG173" s="1089"/>
      <c r="AH173" s="1089"/>
      <c r="AI173" s="1326"/>
      <c r="AJ173" s="662">
        <f>SUM(E173:AI173)</f>
        <v>0</v>
      </c>
      <c r="AK173" s="1004">
        <f t="shared" si="88"/>
        <v>0</v>
      </c>
      <c r="AL173" s="645">
        <f>+AJ173*AN171</f>
        <v>0</v>
      </c>
      <c r="AM173" s="1007">
        <f t="shared" si="89"/>
        <v>0</v>
      </c>
      <c r="AN173" s="31"/>
      <c r="AO173" s="632">
        <f>(AJ173+AJ175+AJ176+AJ177)*B175/1000</f>
        <v>0</v>
      </c>
      <c r="AP173" s="47" t="s">
        <v>94</v>
      </c>
      <c r="AQ173" s="48">
        <f>SUM(E173:K173)</f>
        <v>0</v>
      </c>
      <c r="AR173" s="49">
        <f>SUM(L173:R173)</f>
        <v>0</v>
      </c>
      <c r="AS173" s="49">
        <f>SUM(S173:Y173)</f>
        <v>0</v>
      </c>
      <c r="AT173" s="49">
        <f>SUM(Z173:AF173)</f>
        <v>0</v>
      </c>
      <c r="AU173" s="49">
        <f>SUM(AG173:AI173)</f>
        <v>0</v>
      </c>
      <c r="AV173" s="50">
        <f t="shared" si="106"/>
        <v>0</v>
      </c>
    </row>
    <row r="174" spans="1:48" s="644" customFormat="1" ht="20.65" customHeight="1">
      <c r="A174" s="210" t="s">
        <v>305</v>
      </c>
      <c r="B174" s="638" t="s">
        <v>247</v>
      </c>
      <c r="C174" s="52" t="s">
        <v>95</v>
      </c>
      <c r="D174" s="53" t="s">
        <v>96</v>
      </c>
      <c r="E174" s="1137">
        <f>+E173-E171</f>
        <v>0</v>
      </c>
      <c r="F174" s="1097">
        <f t="shared" ref="F174:AJ174" si="107">+F173-F171</f>
        <v>0</v>
      </c>
      <c r="G174" s="1205">
        <f>+G173-G171</f>
        <v>0</v>
      </c>
      <c r="H174" s="1097">
        <f t="shared" si="107"/>
        <v>0</v>
      </c>
      <c r="I174" s="1097">
        <f t="shared" si="107"/>
        <v>0</v>
      </c>
      <c r="J174" s="1205">
        <f t="shared" si="107"/>
        <v>0</v>
      </c>
      <c r="K174" s="1205">
        <f t="shared" si="107"/>
        <v>0</v>
      </c>
      <c r="L174" s="1097">
        <f t="shared" si="107"/>
        <v>0</v>
      </c>
      <c r="M174" s="1097">
        <f t="shared" si="107"/>
        <v>0</v>
      </c>
      <c r="N174" s="1097">
        <f t="shared" si="107"/>
        <v>0</v>
      </c>
      <c r="O174" s="1097">
        <f t="shared" si="107"/>
        <v>0</v>
      </c>
      <c r="P174" s="1097">
        <f t="shared" si="107"/>
        <v>0</v>
      </c>
      <c r="Q174" s="1205">
        <f t="shared" si="107"/>
        <v>0</v>
      </c>
      <c r="R174" s="1205">
        <f t="shared" si="107"/>
        <v>0</v>
      </c>
      <c r="S174" s="1097">
        <f t="shared" si="107"/>
        <v>0</v>
      </c>
      <c r="T174" s="1097">
        <f t="shared" si="107"/>
        <v>0</v>
      </c>
      <c r="U174" s="1097">
        <f t="shared" si="107"/>
        <v>0</v>
      </c>
      <c r="V174" s="1097">
        <f t="shared" si="107"/>
        <v>0</v>
      </c>
      <c r="W174" s="1097">
        <f t="shared" si="107"/>
        <v>0</v>
      </c>
      <c r="X174" s="1205">
        <f t="shared" si="107"/>
        <v>0</v>
      </c>
      <c r="Y174" s="1205">
        <f t="shared" si="107"/>
        <v>0</v>
      </c>
      <c r="Z174" s="1097">
        <f t="shared" si="107"/>
        <v>0</v>
      </c>
      <c r="AA174" s="1097">
        <f t="shared" si="107"/>
        <v>0</v>
      </c>
      <c r="AB174" s="1097">
        <f t="shared" si="107"/>
        <v>0</v>
      </c>
      <c r="AC174" s="1097">
        <f t="shared" si="107"/>
        <v>0</v>
      </c>
      <c r="AD174" s="1097">
        <f t="shared" si="107"/>
        <v>0</v>
      </c>
      <c r="AE174" s="1205">
        <f t="shared" si="107"/>
        <v>0</v>
      </c>
      <c r="AF174" s="1205">
        <f t="shared" si="107"/>
        <v>0</v>
      </c>
      <c r="AG174" s="1097">
        <f t="shared" si="107"/>
        <v>0</v>
      </c>
      <c r="AH174" s="1097">
        <f t="shared" si="107"/>
        <v>0</v>
      </c>
      <c r="AI174" s="1328">
        <f t="shared" si="107"/>
        <v>0</v>
      </c>
      <c r="AJ174" s="663">
        <f t="shared" si="107"/>
        <v>0</v>
      </c>
      <c r="AK174" s="1004">
        <f t="shared" si="88"/>
        <v>0</v>
      </c>
      <c r="AL174" s="646">
        <f>+AJ174*AN171</f>
        <v>0</v>
      </c>
      <c r="AM174" s="1007">
        <f t="shared" si="89"/>
        <v>0</v>
      </c>
      <c r="AN174" s="31" t="s">
        <v>97</v>
      </c>
      <c r="AO174" s="622"/>
      <c r="AP174" s="39" t="s">
        <v>98</v>
      </c>
      <c r="AQ174" s="56">
        <f>AQ173-AQ172</f>
        <v>0</v>
      </c>
      <c r="AR174" s="70">
        <f>AR173-AR172</f>
        <v>0</v>
      </c>
      <c r="AS174" s="70">
        <f>AS173-AS172</f>
        <v>0</v>
      </c>
      <c r="AT174" s="70">
        <f>AT173-AT172</f>
        <v>0</v>
      </c>
      <c r="AU174" s="70">
        <f>AU173-AU172</f>
        <v>0</v>
      </c>
      <c r="AV174" s="57">
        <f t="shared" si="106"/>
        <v>0</v>
      </c>
    </row>
    <row r="175" spans="1:48" s="644" customFormat="1" ht="20.65" customHeight="1">
      <c r="A175" s="212"/>
      <c r="B175" s="211"/>
      <c r="C175" s="60" t="s">
        <v>100</v>
      </c>
      <c r="D175" s="61" t="s">
        <v>101</v>
      </c>
      <c r="E175" s="1098"/>
      <c r="F175" s="1099"/>
      <c r="G175" s="1208"/>
      <c r="H175" s="1099"/>
      <c r="I175" s="1099"/>
      <c r="J175" s="1208"/>
      <c r="K175" s="1208"/>
      <c r="L175" s="1099"/>
      <c r="M175" s="1099"/>
      <c r="N175" s="1099"/>
      <c r="O175" s="1099"/>
      <c r="P175" s="1099"/>
      <c r="Q175" s="1208"/>
      <c r="R175" s="1208"/>
      <c r="S175" s="1099"/>
      <c r="T175" s="1099"/>
      <c r="U175" s="1099"/>
      <c r="V175" s="1099"/>
      <c r="W175" s="1099"/>
      <c r="X175" s="1208"/>
      <c r="Y175" s="1208"/>
      <c r="Z175" s="1099"/>
      <c r="AA175" s="1099"/>
      <c r="AB175" s="1099"/>
      <c r="AC175" s="1099"/>
      <c r="AD175" s="1099"/>
      <c r="AE175" s="1208"/>
      <c r="AF175" s="1208"/>
      <c r="AG175" s="1099"/>
      <c r="AH175" s="1099"/>
      <c r="AI175" s="1330"/>
      <c r="AJ175" s="664">
        <f>SUM(E175:AI175)</f>
        <v>0</v>
      </c>
      <c r="AK175" s="1004">
        <f t="shared" si="88"/>
        <v>0</v>
      </c>
      <c r="AL175" s="647">
        <f>+AJ175*AN171</f>
        <v>0</v>
      </c>
      <c r="AM175" s="1008">
        <f t="shared" si="89"/>
        <v>0</v>
      </c>
      <c r="AN175" s="64" t="e">
        <f>+AJ175/AJ173*100</f>
        <v>#DIV/0!</v>
      </c>
      <c r="AO175" s="635" t="e">
        <f>AO173/AO171</f>
        <v>#DIV/0!</v>
      </c>
      <c r="AP175" s="39" t="s">
        <v>102</v>
      </c>
      <c r="AQ175" s="56">
        <f>SUM(E175:K175)</f>
        <v>0</v>
      </c>
      <c r="AR175" s="70">
        <f>SUM(L175:R175)</f>
        <v>0</v>
      </c>
      <c r="AS175" s="70">
        <f>SUM(S175:Y175)</f>
        <v>0</v>
      </c>
      <c r="AT175" s="70">
        <f>SUM(Z175:AF175)</f>
        <v>0</v>
      </c>
      <c r="AU175" s="70">
        <f>SUM(AG175:AI175)</f>
        <v>0</v>
      </c>
      <c r="AV175" s="57">
        <f t="shared" si="106"/>
        <v>0</v>
      </c>
    </row>
    <row r="176" spans="1:48" s="644" customFormat="1" ht="20.65" customHeight="1">
      <c r="A176" s="210" t="s">
        <v>245</v>
      </c>
      <c r="B176" s="213"/>
      <c r="C176" s="66"/>
      <c r="D176" s="67" t="s">
        <v>103</v>
      </c>
      <c r="E176" s="1100"/>
      <c r="F176" s="1101"/>
      <c r="G176" s="1209"/>
      <c r="H176" s="1101"/>
      <c r="I176" s="1101"/>
      <c r="J176" s="1209"/>
      <c r="K176" s="1209"/>
      <c r="L176" s="1101"/>
      <c r="M176" s="1101"/>
      <c r="N176" s="1101"/>
      <c r="O176" s="1101"/>
      <c r="P176" s="1101"/>
      <c r="Q176" s="1209"/>
      <c r="R176" s="1209"/>
      <c r="S176" s="1101"/>
      <c r="T176" s="1101"/>
      <c r="U176" s="1101"/>
      <c r="V176" s="1101"/>
      <c r="W176" s="1101"/>
      <c r="X176" s="1209"/>
      <c r="Y176" s="1209"/>
      <c r="Z176" s="1101"/>
      <c r="AA176" s="1101"/>
      <c r="AB176" s="1101"/>
      <c r="AC176" s="1101"/>
      <c r="AD176" s="1101"/>
      <c r="AE176" s="1209"/>
      <c r="AF176" s="1209"/>
      <c r="AG176" s="1101"/>
      <c r="AH176" s="1101"/>
      <c r="AI176" s="1332"/>
      <c r="AJ176" s="665">
        <f>SUM(E176:AI176)</f>
        <v>0</v>
      </c>
      <c r="AK176" s="1004">
        <f t="shared" si="88"/>
        <v>0</v>
      </c>
      <c r="AL176" s="648">
        <f>+AJ176*AN170</f>
        <v>0</v>
      </c>
      <c r="AM176" s="1008">
        <f t="shared" si="89"/>
        <v>0</v>
      </c>
      <c r="AN176" s="31"/>
      <c r="AO176" s="622"/>
      <c r="AP176" s="39" t="s">
        <v>19</v>
      </c>
      <c r="AQ176" s="56">
        <f>AQ175*AN171</f>
        <v>0</v>
      </c>
      <c r="AR176" s="56">
        <f>AR175*AN171</f>
        <v>0</v>
      </c>
      <c r="AS176" s="56">
        <f>AS175*AN171</f>
        <v>0</v>
      </c>
      <c r="AT176" s="56">
        <f>AT175*AN171</f>
        <v>0</v>
      </c>
      <c r="AU176" s="56">
        <f>AU175*AN171</f>
        <v>0</v>
      </c>
      <c r="AV176" s="57">
        <f t="shared" si="106"/>
        <v>0</v>
      </c>
    </row>
    <row r="177" spans="1:48" s="644" customFormat="1" ht="20.65" customHeight="1">
      <c r="A177" s="210" t="s">
        <v>245</v>
      </c>
      <c r="B177" s="213"/>
      <c r="C177" s="72" t="s">
        <v>104</v>
      </c>
      <c r="D177" s="73" t="s">
        <v>105</v>
      </c>
      <c r="E177" s="1115"/>
      <c r="F177" s="1116"/>
      <c r="G177" s="1215"/>
      <c r="H177" s="1116"/>
      <c r="I177" s="1116"/>
      <c r="J177" s="1215"/>
      <c r="K177" s="1215"/>
      <c r="L177" s="1116"/>
      <c r="M177" s="1116"/>
      <c r="N177" s="1116"/>
      <c r="O177" s="1116"/>
      <c r="P177" s="1116"/>
      <c r="Q177" s="1215"/>
      <c r="R177" s="1215"/>
      <c r="S177" s="1116"/>
      <c r="T177" s="1116"/>
      <c r="U177" s="1116"/>
      <c r="V177" s="1116"/>
      <c r="W177" s="1116"/>
      <c r="X177" s="1215"/>
      <c r="Y177" s="1215"/>
      <c r="Z177" s="1116"/>
      <c r="AA177" s="1116"/>
      <c r="AB177" s="1116"/>
      <c r="AC177" s="1116"/>
      <c r="AD177" s="1116"/>
      <c r="AE177" s="1215"/>
      <c r="AF177" s="1215"/>
      <c r="AG177" s="1116"/>
      <c r="AH177" s="1116"/>
      <c r="AI177" s="1334"/>
      <c r="AJ177" s="731">
        <f>SUM(E177:AI177)</f>
        <v>0</v>
      </c>
      <c r="AK177" s="1004">
        <f t="shared" si="88"/>
        <v>0</v>
      </c>
      <c r="AL177" s="653">
        <f>+AJ177*AN171</f>
        <v>0</v>
      </c>
      <c r="AM177" s="1008">
        <f t="shared" si="89"/>
        <v>0</v>
      </c>
      <c r="AN177" s="31"/>
      <c r="AO177" s="622"/>
      <c r="AP177" s="47" t="s">
        <v>106</v>
      </c>
      <c r="AQ177" s="48">
        <f>AQ173*AN171</f>
        <v>0</v>
      </c>
      <c r="AR177" s="48">
        <f>AR173*AN171</f>
        <v>0</v>
      </c>
      <c r="AS177" s="48">
        <f>AS173*AN171</f>
        <v>0</v>
      </c>
      <c r="AT177" s="48">
        <f>AT173*AN171</f>
        <v>0</v>
      </c>
      <c r="AU177" s="48">
        <f>AU173*AN171</f>
        <v>0</v>
      </c>
      <c r="AV177" s="50">
        <f t="shared" si="106"/>
        <v>0</v>
      </c>
    </row>
    <row r="178" spans="1:48" s="644" customFormat="1" ht="20.65" customHeight="1">
      <c r="A178" s="212"/>
      <c r="B178" s="89"/>
      <c r="C178" s="77">
        <v>300000</v>
      </c>
      <c r="D178" s="78" t="s">
        <v>107</v>
      </c>
      <c r="E178" s="1137">
        <v>2</v>
      </c>
      <c r="F178" s="1097">
        <v>2</v>
      </c>
      <c r="G178" s="1205">
        <v>2</v>
      </c>
      <c r="H178" s="1097">
        <v>2</v>
      </c>
      <c r="I178" s="1097">
        <v>2</v>
      </c>
      <c r="J178" s="1205">
        <v>2</v>
      </c>
      <c r="K178" s="1205">
        <v>2</v>
      </c>
      <c r="L178" s="1097">
        <v>2</v>
      </c>
      <c r="M178" s="1097">
        <v>2</v>
      </c>
      <c r="N178" s="1097">
        <v>2</v>
      </c>
      <c r="O178" s="1097">
        <v>2</v>
      </c>
      <c r="P178" s="1097">
        <v>2</v>
      </c>
      <c r="Q178" s="1205">
        <v>2</v>
      </c>
      <c r="R178" s="1205">
        <v>2</v>
      </c>
      <c r="S178" s="1097">
        <v>2</v>
      </c>
      <c r="T178" s="1097">
        <v>2</v>
      </c>
      <c r="U178" s="1097">
        <v>2</v>
      </c>
      <c r="V178" s="1097">
        <v>2</v>
      </c>
      <c r="W178" s="1097">
        <v>2</v>
      </c>
      <c r="X178" s="1205">
        <v>2</v>
      </c>
      <c r="Y178" s="1205">
        <v>2</v>
      </c>
      <c r="Z178" s="1097">
        <v>2</v>
      </c>
      <c r="AA178" s="1097">
        <v>2</v>
      </c>
      <c r="AB178" s="1097">
        <v>2</v>
      </c>
      <c r="AC178" s="1097">
        <v>2</v>
      </c>
      <c r="AD178" s="1097">
        <v>2</v>
      </c>
      <c r="AE178" s="1205">
        <v>2</v>
      </c>
      <c r="AF178" s="1205">
        <v>2</v>
      </c>
      <c r="AG178" s="1097">
        <v>2</v>
      </c>
      <c r="AH178" s="1097">
        <v>2</v>
      </c>
      <c r="AI178" s="1328">
        <v>2</v>
      </c>
      <c r="AJ178" s="663"/>
      <c r="AK178" s="1004">
        <f t="shared" si="88"/>
        <v>0</v>
      </c>
      <c r="AL178" s="646"/>
      <c r="AM178" s="1007">
        <f t="shared" si="89"/>
        <v>0</v>
      </c>
      <c r="AN178" s="31"/>
      <c r="AO178" s="622"/>
      <c r="AP178" s="47"/>
      <c r="AQ178" s="48"/>
      <c r="AR178" s="48"/>
      <c r="AS178" s="48"/>
      <c r="AT178" s="48"/>
      <c r="AU178" s="48"/>
      <c r="AV178" s="214"/>
    </row>
    <row r="179" spans="1:48" s="644" customFormat="1" ht="20.65" customHeight="1">
      <c r="A179" s="210" t="s">
        <v>305</v>
      </c>
      <c r="B179" s="89"/>
      <c r="C179" s="80" t="s">
        <v>108</v>
      </c>
      <c r="D179" s="81" t="s">
        <v>109</v>
      </c>
      <c r="E179" s="1125">
        <f t="shared" ref="E179:AI179" si="108">SUM(E173+E175+E177)/E178</f>
        <v>0</v>
      </c>
      <c r="F179" s="1126">
        <f t="shared" si="108"/>
        <v>0</v>
      </c>
      <c r="G179" s="1235">
        <f t="shared" si="108"/>
        <v>0</v>
      </c>
      <c r="H179" s="1126">
        <f t="shared" si="108"/>
        <v>0</v>
      </c>
      <c r="I179" s="1126">
        <f t="shared" si="108"/>
        <v>0</v>
      </c>
      <c r="J179" s="1235">
        <f t="shared" si="108"/>
        <v>0</v>
      </c>
      <c r="K179" s="1235">
        <f t="shared" si="108"/>
        <v>0</v>
      </c>
      <c r="L179" s="1126">
        <f t="shared" si="108"/>
        <v>0</v>
      </c>
      <c r="M179" s="1126">
        <f t="shared" si="108"/>
        <v>0</v>
      </c>
      <c r="N179" s="1126">
        <f t="shared" si="108"/>
        <v>0</v>
      </c>
      <c r="O179" s="1126">
        <f t="shared" si="108"/>
        <v>0</v>
      </c>
      <c r="P179" s="1126">
        <f t="shared" si="108"/>
        <v>0</v>
      </c>
      <c r="Q179" s="1235">
        <f t="shared" si="108"/>
        <v>0</v>
      </c>
      <c r="R179" s="1235">
        <f t="shared" si="108"/>
        <v>0</v>
      </c>
      <c r="S179" s="1126">
        <f t="shared" si="108"/>
        <v>0</v>
      </c>
      <c r="T179" s="1126">
        <f t="shared" si="108"/>
        <v>0</v>
      </c>
      <c r="U179" s="1126">
        <f t="shared" si="108"/>
        <v>0</v>
      </c>
      <c r="V179" s="1126">
        <f t="shared" si="108"/>
        <v>0</v>
      </c>
      <c r="W179" s="1126">
        <f t="shared" si="108"/>
        <v>0</v>
      </c>
      <c r="X179" s="1235">
        <f t="shared" si="108"/>
        <v>0</v>
      </c>
      <c r="Y179" s="1235">
        <f t="shared" si="108"/>
        <v>0</v>
      </c>
      <c r="Z179" s="1126">
        <f t="shared" si="108"/>
        <v>0</v>
      </c>
      <c r="AA179" s="1126">
        <f t="shared" si="108"/>
        <v>0</v>
      </c>
      <c r="AB179" s="1126">
        <f t="shared" si="108"/>
        <v>0</v>
      </c>
      <c r="AC179" s="1126">
        <f t="shared" si="108"/>
        <v>0</v>
      </c>
      <c r="AD179" s="1126">
        <f t="shared" si="108"/>
        <v>0</v>
      </c>
      <c r="AE179" s="1235">
        <f>SUM(AE173+AE175+AE177)/AE178</f>
        <v>0</v>
      </c>
      <c r="AF179" s="1235">
        <f>SUM(AF173+AF175+AF177)/AF178</f>
        <v>0</v>
      </c>
      <c r="AG179" s="1126">
        <f>SUM(AG173+AG175+AG177)/AG178</f>
        <v>0</v>
      </c>
      <c r="AH179" s="1126">
        <f t="shared" si="108"/>
        <v>0</v>
      </c>
      <c r="AI179" s="1335">
        <f t="shared" si="108"/>
        <v>0</v>
      </c>
      <c r="AJ179" s="104">
        <f>SUM(E179:AI179)</f>
        <v>0</v>
      </c>
      <c r="AK179" s="993">
        <f t="shared" si="88"/>
        <v>0</v>
      </c>
      <c r="AL179" s="650"/>
      <c r="AM179" s="1008">
        <f t="shared" si="89"/>
        <v>0</v>
      </c>
      <c r="AN179" s="31"/>
      <c r="AO179" s="622"/>
      <c r="AP179" s="651"/>
      <c r="AQ179" s="651"/>
      <c r="AR179" s="651"/>
      <c r="AS179" s="651"/>
      <c r="AT179" s="651"/>
      <c r="AU179" s="651"/>
      <c r="AV179" s="651"/>
    </row>
    <row r="180" spans="1:48" s="644" customFormat="1" ht="20.65" customHeight="1">
      <c r="A180" s="215"/>
      <c r="B180" s="89"/>
      <c r="C180" s="84">
        <f>+C178*0.8</f>
        <v>240000</v>
      </c>
      <c r="D180" s="85" t="s">
        <v>110</v>
      </c>
      <c r="E180" s="1105"/>
      <c r="F180" s="1104"/>
      <c r="G180" s="1211"/>
      <c r="H180" s="1104"/>
      <c r="I180" s="1104"/>
      <c r="J180" s="1211"/>
      <c r="K180" s="1211"/>
      <c r="L180" s="1104"/>
      <c r="M180" s="1104"/>
      <c r="N180" s="1104"/>
      <c r="O180" s="1104"/>
      <c r="P180" s="1104"/>
      <c r="Q180" s="1211"/>
      <c r="R180" s="1211"/>
      <c r="S180" s="1104"/>
      <c r="T180" s="1104"/>
      <c r="U180" s="1104"/>
      <c r="V180" s="1104"/>
      <c r="W180" s="1104"/>
      <c r="X180" s="1211"/>
      <c r="Y180" s="1211"/>
      <c r="Z180" s="1104"/>
      <c r="AA180" s="1104"/>
      <c r="AB180" s="1104"/>
      <c r="AC180" s="1104"/>
      <c r="AD180" s="1104"/>
      <c r="AE180" s="1211"/>
      <c r="AF180" s="1211"/>
      <c r="AG180" s="1104"/>
      <c r="AH180" s="1104"/>
      <c r="AI180" s="1353"/>
      <c r="AJ180" s="729"/>
      <c r="AK180" s="1004">
        <f t="shared" si="88"/>
        <v>0</v>
      </c>
      <c r="AL180" s="647"/>
      <c r="AM180" s="1008">
        <f t="shared" si="89"/>
        <v>0</v>
      </c>
      <c r="AN180" s="31"/>
      <c r="AO180" s="622"/>
      <c r="AP180" s="651"/>
      <c r="AQ180" s="651"/>
      <c r="AR180" s="651"/>
      <c r="AS180" s="651"/>
      <c r="AT180" s="651"/>
      <c r="AU180" s="651"/>
      <c r="AV180" s="651"/>
    </row>
    <row r="181" spans="1:48" s="644" customFormat="1" ht="20.65" customHeight="1">
      <c r="A181" s="215"/>
      <c r="B181" s="89"/>
      <c r="C181" s="77"/>
      <c r="D181" s="88" t="s">
        <v>111</v>
      </c>
      <c r="E181" s="1125">
        <f>IF(E180="O/H",E179,+E179)</f>
        <v>0</v>
      </c>
      <c r="F181" s="1126">
        <f>IF(F180="O/H",F179,+E181+F179)</f>
        <v>0</v>
      </c>
      <c r="G181" s="1235">
        <f t="shared" ref="G181:AI181" si="109">IF(G180="O/H",G179,+F181+G179)</f>
        <v>0</v>
      </c>
      <c r="H181" s="1126">
        <f t="shared" si="109"/>
        <v>0</v>
      </c>
      <c r="I181" s="1126">
        <f t="shared" si="109"/>
        <v>0</v>
      </c>
      <c r="J181" s="1235">
        <f t="shared" si="109"/>
        <v>0</v>
      </c>
      <c r="K181" s="1235">
        <f t="shared" si="109"/>
        <v>0</v>
      </c>
      <c r="L181" s="1126">
        <f t="shared" si="109"/>
        <v>0</v>
      </c>
      <c r="M181" s="1126">
        <f t="shared" si="109"/>
        <v>0</v>
      </c>
      <c r="N181" s="1126">
        <f t="shared" si="109"/>
        <v>0</v>
      </c>
      <c r="O181" s="1126">
        <f t="shared" si="109"/>
        <v>0</v>
      </c>
      <c r="P181" s="1126">
        <f t="shared" si="109"/>
        <v>0</v>
      </c>
      <c r="Q181" s="1235">
        <f t="shared" si="109"/>
        <v>0</v>
      </c>
      <c r="R181" s="1235">
        <f t="shared" si="109"/>
        <v>0</v>
      </c>
      <c r="S181" s="1126">
        <f t="shared" si="109"/>
        <v>0</v>
      </c>
      <c r="T181" s="1126">
        <f t="shared" si="109"/>
        <v>0</v>
      </c>
      <c r="U181" s="1126">
        <f t="shared" si="109"/>
        <v>0</v>
      </c>
      <c r="V181" s="1126">
        <f t="shared" si="109"/>
        <v>0</v>
      </c>
      <c r="W181" s="1126">
        <f t="shared" si="109"/>
        <v>0</v>
      </c>
      <c r="X181" s="1235">
        <f t="shared" si="109"/>
        <v>0</v>
      </c>
      <c r="Y181" s="1235">
        <f t="shared" si="109"/>
        <v>0</v>
      </c>
      <c r="Z181" s="1126">
        <f t="shared" si="109"/>
        <v>0</v>
      </c>
      <c r="AA181" s="1126">
        <f t="shared" si="109"/>
        <v>0</v>
      </c>
      <c r="AB181" s="1126">
        <f t="shared" si="109"/>
        <v>0</v>
      </c>
      <c r="AC181" s="1126">
        <f t="shared" si="109"/>
        <v>0</v>
      </c>
      <c r="AD181" s="1126">
        <f t="shared" si="109"/>
        <v>0</v>
      </c>
      <c r="AE181" s="1235">
        <f t="shared" si="109"/>
        <v>0</v>
      </c>
      <c r="AF181" s="1235">
        <f t="shared" si="109"/>
        <v>0</v>
      </c>
      <c r="AG181" s="1126">
        <f t="shared" si="109"/>
        <v>0</v>
      </c>
      <c r="AH181" s="1126">
        <f t="shared" si="109"/>
        <v>0</v>
      </c>
      <c r="AI181" s="1335">
        <f t="shared" si="109"/>
        <v>0</v>
      </c>
      <c r="AJ181" s="104"/>
      <c r="AK181" s="993">
        <f t="shared" si="88"/>
        <v>0</v>
      </c>
      <c r="AL181" s="650"/>
      <c r="AM181" s="1008">
        <f t="shared" si="89"/>
        <v>0</v>
      </c>
      <c r="AN181" s="31"/>
      <c r="AO181" s="622"/>
      <c r="AP181" s="651"/>
      <c r="AQ181" s="651"/>
      <c r="AR181" s="651"/>
      <c r="AS181" s="651"/>
      <c r="AT181" s="651"/>
      <c r="AU181" s="651"/>
      <c r="AV181" s="651"/>
    </row>
    <row r="182" spans="1:48" s="644" customFormat="1" ht="20.65" customHeight="1">
      <c r="A182" s="215" t="s">
        <v>242</v>
      </c>
      <c r="B182" s="89" t="s">
        <v>306</v>
      </c>
      <c r="C182" s="80"/>
      <c r="D182" s="90" t="s">
        <v>104</v>
      </c>
      <c r="E182" s="1137"/>
      <c r="F182" s="1097"/>
      <c r="G182" s="1205"/>
      <c r="H182" s="1097"/>
      <c r="I182" s="1097"/>
      <c r="J182" s="1205"/>
      <c r="K182" s="1205"/>
      <c r="L182" s="1097"/>
      <c r="M182" s="1097"/>
      <c r="N182" s="1097"/>
      <c r="O182" s="1097"/>
      <c r="P182" s="1097"/>
      <c r="Q182" s="1205"/>
      <c r="R182" s="1205"/>
      <c r="S182" s="1097"/>
      <c r="T182" s="1097"/>
      <c r="U182" s="1097"/>
      <c r="V182" s="1097"/>
      <c r="W182" s="1097"/>
      <c r="X182" s="1205"/>
      <c r="Y182" s="1205"/>
      <c r="Z182" s="1097"/>
      <c r="AA182" s="1097"/>
      <c r="AB182" s="1097"/>
      <c r="AC182" s="1097"/>
      <c r="AD182" s="1097"/>
      <c r="AE182" s="1205"/>
      <c r="AF182" s="1205"/>
      <c r="AG182" s="1097"/>
      <c r="AH182" s="1097"/>
      <c r="AI182" s="1328"/>
      <c r="AJ182" s="664"/>
      <c r="AK182" s="1004">
        <f t="shared" si="88"/>
        <v>0</v>
      </c>
      <c r="AL182" s="646"/>
      <c r="AM182" s="1007">
        <f t="shared" si="89"/>
        <v>0</v>
      </c>
      <c r="AN182" s="31"/>
      <c r="AO182" s="622"/>
      <c r="AP182" s="651"/>
      <c r="AQ182" s="651"/>
      <c r="AR182" s="651"/>
      <c r="AS182" s="651"/>
      <c r="AT182" s="651"/>
      <c r="AU182" s="651"/>
      <c r="AV182" s="651"/>
    </row>
    <row r="183" spans="1:48" s="644" customFormat="1" ht="20.65" customHeight="1" thickBot="1">
      <c r="A183" s="216" t="s">
        <v>242</v>
      </c>
      <c r="B183" s="93"/>
      <c r="C183" s="94"/>
      <c r="D183" s="230" t="s">
        <v>258</v>
      </c>
      <c r="E183" s="1453">
        <f>IF(E182="O/H",E179,+E179)</f>
        <v>0</v>
      </c>
      <c r="F183" s="1128">
        <f t="shared" ref="F183:AI183" si="110">IF(F182="O/H",F179,+E183+F179)</f>
        <v>0</v>
      </c>
      <c r="G183" s="1303">
        <f t="shared" si="110"/>
        <v>0</v>
      </c>
      <c r="H183" s="1128">
        <f t="shared" si="110"/>
        <v>0</v>
      </c>
      <c r="I183" s="1128">
        <f t="shared" si="110"/>
        <v>0</v>
      </c>
      <c r="J183" s="1303">
        <f t="shared" si="110"/>
        <v>0</v>
      </c>
      <c r="K183" s="1303">
        <f t="shared" si="110"/>
        <v>0</v>
      </c>
      <c r="L183" s="1128">
        <f t="shared" si="110"/>
        <v>0</v>
      </c>
      <c r="M183" s="1128">
        <f t="shared" si="110"/>
        <v>0</v>
      </c>
      <c r="N183" s="1128">
        <f t="shared" si="110"/>
        <v>0</v>
      </c>
      <c r="O183" s="1128">
        <f t="shared" si="110"/>
        <v>0</v>
      </c>
      <c r="P183" s="1128">
        <f t="shared" si="110"/>
        <v>0</v>
      </c>
      <c r="Q183" s="1303">
        <f t="shared" si="110"/>
        <v>0</v>
      </c>
      <c r="R183" s="1303">
        <f t="shared" si="110"/>
        <v>0</v>
      </c>
      <c r="S183" s="1128">
        <f t="shared" si="110"/>
        <v>0</v>
      </c>
      <c r="T183" s="1128">
        <f t="shared" si="110"/>
        <v>0</v>
      </c>
      <c r="U183" s="1128">
        <f t="shared" si="110"/>
        <v>0</v>
      </c>
      <c r="V183" s="1128">
        <f t="shared" si="110"/>
        <v>0</v>
      </c>
      <c r="W183" s="1128">
        <f t="shared" si="110"/>
        <v>0</v>
      </c>
      <c r="X183" s="1303">
        <f t="shared" si="110"/>
        <v>0</v>
      </c>
      <c r="Y183" s="1303">
        <f t="shared" si="110"/>
        <v>0</v>
      </c>
      <c r="Z183" s="1128">
        <f t="shared" si="110"/>
        <v>0</v>
      </c>
      <c r="AA183" s="1128">
        <f t="shared" si="110"/>
        <v>0</v>
      </c>
      <c r="AB183" s="1128">
        <f t="shared" si="110"/>
        <v>0</v>
      </c>
      <c r="AC183" s="1128">
        <f t="shared" si="110"/>
        <v>0</v>
      </c>
      <c r="AD183" s="1128">
        <f t="shared" si="110"/>
        <v>0</v>
      </c>
      <c r="AE183" s="1303">
        <f t="shared" si="110"/>
        <v>0</v>
      </c>
      <c r="AF183" s="1303">
        <f t="shared" si="110"/>
        <v>0</v>
      </c>
      <c r="AG183" s="1128">
        <f t="shared" si="110"/>
        <v>0</v>
      </c>
      <c r="AH183" s="1128">
        <f t="shared" si="110"/>
        <v>0</v>
      </c>
      <c r="AI183" s="1454">
        <f t="shared" si="110"/>
        <v>0</v>
      </c>
      <c r="AJ183" s="730"/>
      <c r="AK183" s="1005">
        <f t="shared" si="88"/>
        <v>0</v>
      </c>
      <c r="AL183" s="652"/>
      <c r="AM183" s="1009">
        <f t="shared" si="89"/>
        <v>0</v>
      </c>
      <c r="AN183" s="98"/>
      <c r="AO183" s="625"/>
      <c r="AP183" s="651"/>
      <c r="AQ183" s="651"/>
      <c r="AR183" s="651"/>
      <c r="AS183" s="651"/>
      <c r="AT183" s="651"/>
      <c r="AU183" s="651"/>
      <c r="AV183" s="651"/>
    </row>
    <row r="184" spans="1:48" s="644" customFormat="1" ht="20.65" customHeight="1" thickTop="1">
      <c r="A184" s="943" t="s">
        <v>610</v>
      </c>
      <c r="B184" s="219" t="s">
        <v>307</v>
      </c>
      <c r="C184" s="1495" t="str">
        <f>Table511[[#This Row],[M/C No.]]</f>
        <v>A12(50Ton)</v>
      </c>
      <c r="D184" s="28" t="s">
        <v>82</v>
      </c>
      <c r="E184" s="1124"/>
      <c r="F184" s="1111"/>
      <c r="G184" s="1201"/>
      <c r="H184" s="1111"/>
      <c r="I184" s="1111"/>
      <c r="J184" s="1201"/>
      <c r="K184" s="1201"/>
      <c r="L184" s="1111"/>
      <c r="M184" s="1111"/>
      <c r="N184" s="1111"/>
      <c r="O184" s="1111"/>
      <c r="P184" s="1111"/>
      <c r="Q184" s="1201"/>
      <c r="R184" s="1201"/>
      <c r="S184" s="1111"/>
      <c r="T184" s="1111"/>
      <c r="U184" s="1111"/>
      <c r="V184" s="1111"/>
      <c r="W184" s="1111"/>
      <c r="X184" s="1201"/>
      <c r="Y184" s="1201"/>
      <c r="Z184" s="1111"/>
      <c r="AA184" s="1111"/>
      <c r="AB184" s="1111"/>
      <c r="AC184" s="1111"/>
      <c r="AD184" s="1111"/>
      <c r="AE184" s="1201"/>
      <c r="AF184" s="1201"/>
      <c r="AG184" s="1111"/>
      <c r="AH184" s="1111"/>
      <c r="AI184" s="1412"/>
      <c r="AJ184" s="570">
        <f>SUM(E184:AI184)</f>
        <v>0</v>
      </c>
      <c r="AK184" s="991">
        <f t="shared" si="88"/>
        <v>0</v>
      </c>
      <c r="AL184" s="571">
        <f>+AJ184*AN184</f>
        <v>0</v>
      </c>
      <c r="AM184" s="992">
        <f t="shared" si="89"/>
        <v>0</v>
      </c>
      <c r="AN184" s="102">
        <v>28.594909999999999</v>
      </c>
      <c r="AO184" s="622">
        <f>Table511[[#This Row],[Total]]*B188/1000</f>
        <v>0</v>
      </c>
      <c r="AP184" s="32" t="s">
        <v>301</v>
      </c>
      <c r="AQ184" s="33" t="s">
        <v>84</v>
      </c>
      <c r="AR184" s="33" t="s">
        <v>85</v>
      </c>
      <c r="AS184" s="33" t="s">
        <v>86</v>
      </c>
      <c r="AT184" s="33" t="s">
        <v>87</v>
      </c>
      <c r="AU184" s="33" t="s">
        <v>88</v>
      </c>
      <c r="AV184" s="34" t="s">
        <v>68</v>
      </c>
    </row>
    <row r="185" spans="1:48" s="644" customFormat="1" ht="20.65" customHeight="1">
      <c r="A185" s="639"/>
      <c r="B185" s="219" t="s">
        <v>308</v>
      </c>
      <c r="C185" s="640"/>
      <c r="D185" s="37" t="s">
        <v>90</v>
      </c>
      <c r="E185" s="1323">
        <f>IF(E184="",0,+ E184/E191)</f>
        <v>0</v>
      </c>
      <c r="F185" s="1096">
        <f t="shared" ref="F185:AC185" si="111">IF(F184="",0, E185+F184/F191)</f>
        <v>0</v>
      </c>
      <c r="G185" s="1207">
        <f t="shared" si="111"/>
        <v>0</v>
      </c>
      <c r="H185" s="1096">
        <f t="shared" si="111"/>
        <v>0</v>
      </c>
      <c r="I185" s="1096">
        <f t="shared" si="111"/>
        <v>0</v>
      </c>
      <c r="J185" s="1207">
        <f t="shared" si="111"/>
        <v>0</v>
      </c>
      <c r="K185" s="1207">
        <f t="shared" si="111"/>
        <v>0</v>
      </c>
      <c r="L185" s="1096">
        <f t="shared" si="111"/>
        <v>0</v>
      </c>
      <c r="M185" s="1096">
        <f t="shared" si="111"/>
        <v>0</v>
      </c>
      <c r="N185" s="1096">
        <f t="shared" si="111"/>
        <v>0</v>
      </c>
      <c r="O185" s="1096">
        <f t="shared" si="111"/>
        <v>0</v>
      </c>
      <c r="P185" s="1096">
        <f t="shared" si="111"/>
        <v>0</v>
      </c>
      <c r="Q185" s="1207">
        <f t="shared" si="111"/>
        <v>0</v>
      </c>
      <c r="R185" s="1207">
        <f t="shared" si="111"/>
        <v>0</v>
      </c>
      <c r="S185" s="1096">
        <f t="shared" si="111"/>
        <v>0</v>
      </c>
      <c r="T185" s="1096">
        <f t="shared" si="111"/>
        <v>0</v>
      </c>
      <c r="U185" s="1096">
        <f t="shared" si="111"/>
        <v>0</v>
      </c>
      <c r="V185" s="1096">
        <f t="shared" si="111"/>
        <v>0</v>
      </c>
      <c r="W185" s="1096">
        <f t="shared" si="111"/>
        <v>0</v>
      </c>
      <c r="X185" s="1207">
        <f t="shared" si="111"/>
        <v>0</v>
      </c>
      <c r="Y185" s="1207">
        <f t="shared" si="111"/>
        <v>0</v>
      </c>
      <c r="Z185" s="1096">
        <f t="shared" si="111"/>
        <v>0</v>
      </c>
      <c r="AA185" s="1096">
        <f t="shared" si="111"/>
        <v>0</v>
      </c>
      <c r="AB185" s="1096">
        <f t="shared" si="111"/>
        <v>0</v>
      </c>
      <c r="AC185" s="1096">
        <f t="shared" si="111"/>
        <v>0</v>
      </c>
      <c r="AD185" s="1096">
        <f>IF(AD184="",0, Z185+AD184/AD191)</f>
        <v>0</v>
      </c>
      <c r="AE185" s="1207">
        <f>IF(AE184="",0, AA185+AE184/AE191)</f>
        <v>0</v>
      </c>
      <c r="AF185" s="1207">
        <f>IF(AF184="",0, AB185+AF184/AF191)</f>
        <v>0</v>
      </c>
      <c r="AG185" s="1096">
        <f>IF(AG184="",0, AC185+AG184/AG191)</f>
        <v>0</v>
      </c>
      <c r="AH185" s="1096">
        <f>IF(AH184="",0, AD185+AH184/AH191)</f>
        <v>0</v>
      </c>
      <c r="AI185" s="1324">
        <f>IF(AI184="",0, AH185+AI184/AI191)</f>
        <v>0</v>
      </c>
      <c r="AJ185" s="728"/>
      <c r="AK185" s="1003">
        <f t="shared" si="88"/>
        <v>0</v>
      </c>
      <c r="AL185" s="641"/>
      <c r="AM185" s="1006">
        <f t="shared" si="89"/>
        <v>0</v>
      </c>
      <c r="AN185" s="642"/>
      <c r="AO185" s="630"/>
      <c r="AP185" s="39" t="s">
        <v>91</v>
      </c>
      <c r="AQ185" s="40">
        <f>SUM(E184:K184)</f>
        <v>0</v>
      </c>
      <c r="AR185" s="41">
        <f>SUM(L184:R184)</f>
        <v>0</v>
      </c>
      <c r="AS185" s="41">
        <f>SUM(S184:Y184)</f>
        <v>0</v>
      </c>
      <c r="AT185" s="41">
        <f>SUM(Z184:AF184)</f>
        <v>0</v>
      </c>
      <c r="AU185" s="41">
        <f>SUM(AG184:AI184)</f>
        <v>0</v>
      </c>
      <c r="AV185" s="34">
        <f t="shared" ref="AV185:AV190" si="112">SUM(AQ185:AU185)</f>
        <v>0</v>
      </c>
    </row>
    <row r="186" spans="1:48" s="644" customFormat="1" ht="20.65" customHeight="1">
      <c r="A186" s="210" t="s">
        <v>305</v>
      </c>
      <c r="B186" s="89" t="s">
        <v>246</v>
      </c>
      <c r="C186" s="42"/>
      <c r="D186" s="43" t="s">
        <v>93</v>
      </c>
      <c r="E186" s="1108"/>
      <c r="F186" s="1089"/>
      <c r="G186" s="44"/>
      <c r="H186" s="1089"/>
      <c r="I186" s="1089"/>
      <c r="J186" s="44"/>
      <c r="K186" s="44"/>
      <c r="L186" s="1089"/>
      <c r="M186" s="1089"/>
      <c r="N186" s="1089"/>
      <c r="O186" s="1089"/>
      <c r="P186" s="1089"/>
      <c r="Q186" s="44"/>
      <c r="R186" s="44"/>
      <c r="S186" s="1089"/>
      <c r="T186" s="1089"/>
      <c r="U186" s="1089"/>
      <c r="V186" s="1089"/>
      <c r="W186" s="1089"/>
      <c r="X186" s="44"/>
      <c r="Y186" s="44"/>
      <c r="Z186" s="1089"/>
      <c r="AA186" s="1089"/>
      <c r="AB186" s="1089"/>
      <c r="AC186" s="1089"/>
      <c r="AD186" s="1089"/>
      <c r="AE186" s="44"/>
      <c r="AF186" s="44"/>
      <c r="AG186" s="1089"/>
      <c r="AH186" s="1089"/>
      <c r="AI186" s="1326"/>
      <c r="AJ186" s="662">
        <f>SUM(E186:AI186)</f>
        <v>0</v>
      </c>
      <c r="AK186" s="1004">
        <f t="shared" si="88"/>
        <v>0</v>
      </c>
      <c r="AL186" s="645">
        <f>+AJ186*AN184</f>
        <v>0</v>
      </c>
      <c r="AM186" s="1007">
        <f t="shared" si="89"/>
        <v>0</v>
      </c>
      <c r="AN186" s="31"/>
      <c r="AO186" s="632">
        <f>(AJ186+AJ188+AJ189+AJ190)*B188/1000</f>
        <v>0</v>
      </c>
      <c r="AP186" s="47" t="s">
        <v>94</v>
      </c>
      <c r="AQ186" s="48">
        <f>SUM(E186:K186)</f>
        <v>0</v>
      </c>
      <c r="AR186" s="49">
        <f>SUM(L186:R186)</f>
        <v>0</v>
      </c>
      <c r="AS186" s="49">
        <f>SUM(S186:Y186)</f>
        <v>0</v>
      </c>
      <c r="AT186" s="49">
        <f>SUM(Z186:AF186)</f>
        <v>0</v>
      </c>
      <c r="AU186" s="49">
        <f>SUM(AG186:AI186)</f>
        <v>0</v>
      </c>
      <c r="AV186" s="50">
        <f t="shared" si="112"/>
        <v>0</v>
      </c>
    </row>
    <row r="187" spans="1:48" s="644" customFormat="1" ht="20.65" customHeight="1">
      <c r="A187" s="210" t="s">
        <v>305</v>
      </c>
      <c r="B187" s="638" t="s">
        <v>247</v>
      </c>
      <c r="C187" s="52" t="s">
        <v>95</v>
      </c>
      <c r="D187" s="53" t="s">
        <v>96</v>
      </c>
      <c r="E187" s="1137">
        <f t="shared" ref="E187:AJ187" si="113">+E186-E184</f>
        <v>0</v>
      </c>
      <c r="F187" s="1097">
        <f t="shared" si="113"/>
        <v>0</v>
      </c>
      <c r="G187" s="1205">
        <f t="shared" si="113"/>
        <v>0</v>
      </c>
      <c r="H187" s="1097">
        <f t="shared" si="113"/>
        <v>0</v>
      </c>
      <c r="I187" s="1097">
        <f t="shared" si="113"/>
        <v>0</v>
      </c>
      <c r="J187" s="1205">
        <f t="shared" si="113"/>
        <v>0</v>
      </c>
      <c r="K187" s="1205">
        <f t="shared" si="113"/>
        <v>0</v>
      </c>
      <c r="L187" s="1097">
        <f t="shared" si="113"/>
        <v>0</v>
      </c>
      <c r="M187" s="1097">
        <f t="shared" si="113"/>
        <v>0</v>
      </c>
      <c r="N187" s="1097">
        <f t="shared" si="113"/>
        <v>0</v>
      </c>
      <c r="O187" s="1097">
        <f t="shared" si="113"/>
        <v>0</v>
      </c>
      <c r="P187" s="1097">
        <f t="shared" si="113"/>
        <v>0</v>
      </c>
      <c r="Q187" s="1205">
        <f t="shared" si="113"/>
        <v>0</v>
      </c>
      <c r="R187" s="1205">
        <f t="shared" si="113"/>
        <v>0</v>
      </c>
      <c r="S187" s="1097">
        <f t="shared" si="113"/>
        <v>0</v>
      </c>
      <c r="T187" s="1097">
        <f t="shared" si="113"/>
        <v>0</v>
      </c>
      <c r="U187" s="1097">
        <f t="shared" si="113"/>
        <v>0</v>
      </c>
      <c r="V187" s="1097">
        <f t="shared" si="113"/>
        <v>0</v>
      </c>
      <c r="W187" s="1097">
        <f t="shared" si="113"/>
        <v>0</v>
      </c>
      <c r="X187" s="1205">
        <f t="shared" si="113"/>
        <v>0</v>
      </c>
      <c r="Y187" s="1205">
        <f t="shared" si="113"/>
        <v>0</v>
      </c>
      <c r="Z187" s="1097">
        <f t="shared" si="113"/>
        <v>0</v>
      </c>
      <c r="AA187" s="1097">
        <f t="shared" si="113"/>
        <v>0</v>
      </c>
      <c r="AB187" s="1097">
        <f t="shared" si="113"/>
        <v>0</v>
      </c>
      <c r="AC187" s="1097">
        <f t="shared" si="113"/>
        <v>0</v>
      </c>
      <c r="AD187" s="1097">
        <f t="shared" si="113"/>
        <v>0</v>
      </c>
      <c r="AE187" s="1205">
        <f t="shared" si="113"/>
        <v>0</v>
      </c>
      <c r="AF187" s="1205">
        <f t="shared" si="113"/>
        <v>0</v>
      </c>
      <c r="AG187" s="1097">
        <f t="shared" si="113"/>
        <v>0</v>
      </c>
      <c r="AH187" s="1097">
        <f t="shared" si="113"/>
        <v>0</v>
      </c>
      <c r="AI187" s="1328">
        <f t="shared" si="113"/>
        <v>0</v>
      </c>
      <c r="AJ187" s="663">
        <f t="shared" si="113"/>
        <v>0</v>
      </c>
      <c r="AK187" s="1004">
        <f t="shared" si="88"/>
        <v>0</v>
      </c>
      <c r="AL187" s="646">
        <f>+AJ187*AN184</f>
        <v>0</v>
      </c>
      <c r="AM187" s="1007">
        <f t="shared" si="89"/>
        <v>0</v>
      </c>
      <c r="AN187" s="31" t="s">
        <v>97</v>
      </c>
      <c r="AO187" s="622"/>
      <c r="AP187" s="39" t="s">
        <v>98</v>
      </c>
      <c r="AQ187" s="56">
        <f>AQ186-AQ185</f>
        <v>0</v>
      </c>
      <c r="AR187" s="70">
        <f>AR186-AR185</f>
        <v>0</v>
      </c>
      <c r="AS187" s="70">
        <f>AS186-AS185</f>
        <v>0</v>
      </c>
      <c r="AT187" s="70">
        <f>AT186-AT185</f>
        <v>0</v>
      </c>
      <c r="AU187" s="70">
        <f>AU186-AU185</f>
        <v>0</v>
      </c>
      <c r="AV187" s="57">
        <f t="shared" si="112"/>
        <v>0</v>
      </c>
    </row>
    <row r="188" spans="1:48" s="644" customFormat="1" ht="20.65" customHeight="1">
      <c r="A188" s="212"/>
      <c r="B188" s="211"/>
      <c r="C188" s="60" t="s">
        <v>100</v>
      </c>
      <c r="D188" s="61" t="s">
        <v>101</v>
      </c>
      <c r="E188" s="1098"/>
      <c r="F188" s="1099"/>
      <c r="G188" s="1208"/>
      <c r="H188" s="1099"/>
      <c r="I188" s="1099"/>
      <c r="J188" s="1208"/>
      <c r="K188" s="1208"/>
      <c r="L188" s="1099"/>
      <c r="M188" s="1099"/>
      <c r="N188" s="1099"/>
      <c r="O188" s="1099"/>
      <c r="P188" s="1099"/>
      <c r="Q188" s="1208"/>
      <c r="R188" s="1208"/>
      <c r="S188" s="1099"/>
      <c r="T188" s="1099"/>
      <c r="U188" s="1099"/>
      <c r="V188" s="1099"/>
      <c r="W188" s="1099"/>
      <c r="X188" s="1208"/>
      <c r="Y188" s="1208"/>
      <c r="Z188" s="1099"/>
      <c r="AA188" s="1099"/>
      <c r="AB188" s="1099"/>
      <c r="AC188" s="1099"/>
      <c r="AD188" s="1099"/>
      <c r="AE188" s="1208"/>
      <c r="AF188" s="1208"/>
      <c r="AG188" s="1099"/>
      <c r="AH188" s="1099"/>
      <c r="AI188" s="1330"/>
      <c r="AJ188" s="664">
        <f>SUM(E188:AI188)</f>
        <v>0</v>
      </c>
      <c r="AK188" s="1004">
        <f t="shared" si="88"/>
        <v>0</v>
      </c>
      <c r="AL188" s="647">
        <f>+AJ188*AN184</f>
        <v>0</v>
      </c>
      <c r="AM188" s="1008">
        <f t="shared" si="89"/>
        <v>0</v>
      </c>
      <c r="AN188" s="64" t="e">
        <f>+AJ188/AJ186*100</f>
        <v>#DIV/0!</v>
      </c>
      <c r="AO188" s="635" t="e">
        <f>AO186/AO184</f>
        <v>#DIV/0!</v>
      </c>
      <c r="AP188" s="39" t="s">
        <v>102</v>
      </c>
      <c r="AQ188" s="56">
        <f>SUM(E188:K188)</f>
        <v>0</v>
      </c>
      <c r="AR188" s="70">
        <f>SUM(L188:R188)</f>
        <v>0</v>
      </c>
      <c r="AS188" s="70">
        <f>SUM(S188:Y188)</f>
        <v>0</v>
      </c>
      <c r="AT188" s="70">
        <f>SUM(Z188:AF188)</f>
        <v>0</v>
      </c>
      <c r="AU188" s="70">
        <f>SUM(AG188:AI188)</f>
        <v>0</v>
      </c>
      <c r="AV188" s="57">
        <f t="shared" si="112"/>
        <v>0</v>
      </c>
    </row>
    <row r="189" spans="1:48" s="644" customFormat="1" ht="20.65" customHeight="1">
      <c r="A189" s="210" t="s">
        <v>245</v>
      </c>
      <c r="B189" s="213"/>
      <c r="C189" s="66"/>
      <c r="D189" s="67" t="s">
        <v>103</v>
      </c>
      <c r="E189" s="1100"/>
      <c r="F189" s="1101"/>
      <c r="G189" s="1209"/>
      <c r="H189" s="1101"/>
      <c r="I189" s="1101"/>
      <c r="J189" s="1209"/>
      <c r="K189" s="1209"/>
      <c r="L189" s="1101"/>
      <c r="M189" s="1101"/>
      <c r="N189" s="1101"/>
      <c r="O189" s="1101"/>
      <c r="P189" s="1101"/>
      <c r="Q189" s="1209"/>
      <c r="R189" s="1209"/>
      <c r="S189" s="1101"/>
      <c r="T189" s="1101"/>
      <c r="U189" s="1101"/>
      <c r="V189" s="1101"/>
      <c r="W189" s="1101"/>
      <c r="X189" s="1209"/>
      <c r="Y189" s="1209"/>
      <c r="Z189" s="1101"/>
      <c r="AA189" s="1101"/>
      <c r="AB189" s="1101"/>
      <c r="AC189" s="1101"/>
      <c r="AD189" s="1101"/>
      <c r="AE189" s="1209"/>
      <c r="AF189" s="1209"/>
      <c r="AG189" s="1101"/>
      <c r="AH189" s="1101"/>
      <c r="AI189" s="1332"/>
      <c r="AJ189" s="665">
        <f>SUM(E189:AI189)</f>
        <v>0</v>
      </c>
      <c r="AK189" s="1004">
        <f t="shared" si="88"/>
        <v>0</v>
      </c>
      <c r="AL189" s="648">
        <f>+AJ189*AN183</f>
        <v>0</v>
      </c>
      <c r="AM189" s="1008">
        <f t="shared" si="89"/>
        <v>0</v>
      </c>
      <c r="AN189" s="31"/>
      <c r="AO189" s="622"/>
      <c r="AP189" s="39" t="s">
        <v>19</v>
      </c>
      <c r="AQ189" s="56">
        <f>AQ188*AN184</f>
        <v>0</v>
      </c>
      <c r="AR189" s="56">
        <f>AR188*AN184</f>
        <v>0</v>
      </c>
      <c r="AS189" s="56">
        <f>AS188*AN184</f>
        <v>0</v>
      </c>
      <c r="AT189" s="56">
        <f>AT188*AN184</f>
        <v>0</v>
      </c>
      <c r="AU189" s="56">
        <f>AU188*AN184</f>
        <v>0</v>
      </c>
      <c r="AV189" s="57">
        <f t="shared" si="112"/>
        <v>0</v>
      </c>
    </row>
    <row r="190" spans="1:48" s="644" customFormat="1" ht="20.65" customHeight="1">
      <c r="A190" s="210" t="s">
        <v>245</v>
      </c>
      <c r="B190" s="213"/>
      <c r="C190" s="72" t="s">
        <v>104</v>
      </c>
      <c r="D190" s="73" t="s">
        <v>105</v>
      </c>
      <c r="E190" s="1115"/>
      <c r="F190" s="1116"/>
      <c r="G190" s="1215"/>
      <c r="H190" s="1116"/>
      <c r="I190" s="1116"/>
      <c r="J190" s="1215"/>
      <c r="K190" s="1215"/>
      <c r="L190" s="1116"/>
      <c r="M190" s="1116"/>
      <c r="N190" s="1116"/>
      <c r="O190" s="1116"/>
      <c r="P190" s="1116"/>
      <c r="Q190" s="1215"/>
      <c r="R190" s="1215"/>
      <c r="S190" s="1116"/>
      <c r="T190" s="1116"/>
      <c r="U190" s="1116"/>
      <c r="V190" s="1116"/>
      <c r="W190" s="1116"/>
      <c r="X190" s="1215"/>
      <c r="Y190" s="1215"/>
      <c r="Z190" s="1116"/>
      <c r="AA190" s="1116"/>
      <c r="AB190" s="1116"/>
      <c r="AC190" s="1116"/>
      <c r="AD190" s="1116"/>
      <c r="AE190" s="1215"/>
      <c r="AF190" s="1215"/>
      <c r="AG190" s="1116"/>
      <c r="AH190" s="1116"/>
      <c r="AI190" s="1334"/>
      <c r="AJ190" s="731">
        <f>SUM(E190:AI190)</f>
        <v>0</v>
      </c>
      <c r="AK190" s="1004">
        <f t="shared" si="88"/>
        <v>0</v>
      </c>
      <c r="AL190" s="653">
        <f>+AJ190*AN184</f>
        <v>0</v>
      </c>
      <c r="AM190" s="1008">
        <f t="shared" si="89"/>
        <v>0</v>
      </c>
      <c r="AN190" s="31"/>
      <c r="AO190" s="622"/>
      <c r="AP190" s="47" t="s">
        <v>106</v>
      </c>
      <c r="AQ190" s="48">
        <f>AQ186*AN184</f>
        <v>0</v>
      </c>
      <c r="AR190" s="48">
        <f>AR186*AN184</f>
        <v>0</v>
      </c>
      <c r="AS190" s="48">
        <f>AS186*AN184</f>
        <v>0</v>
      </c>
      <c r="AT190" s="48">
        <f>AT186*AN184</f>
        <v>0</v>
      </c>
      <c r="AU190" s="48">
        <f>AU186*AN184</f>
        <v>0</v>
      </c>
      <c r="AV190" s="50">
        <f t="shared" si="112"/>
        <v>0</v>
      </c>
    </row>
    <row r="191" spans="1:48" s="644" customFormat="1" ht="20.65" customHeight="1">
      <c r="A191" s="212"/>
      <c r="B191" s="89"/>
      <c r="C191" s="77">
        <v>300000</v>
      </c>
      <c r="D191" s="78" t="s">
        <v>107</v>
      </c>
      <c r="E191" s="1137">
        <v>4</v>
      </c>
      <c r="F191" s="1097">
        <v>4</v>
      </c>
      <c r="G191" s="1205">
        <v>4</v>
      </c>
      <c r="H191" s="1097">
        <v>4</v>
      </c>
      <c r="I191" s="1097">
        <v>4</v>
      </c>
      <c r="J191" s="1205">
        <v>4</v>
      </c>
      <c r="K191" s="1205">
        <v>4</v>
      </c>
      <c r="L191" s="1097">
        <v>4</v>
      </c>
      <c r="M191" s="1097">
        <v>4</v>
      </c>
      <c r="N191" s="1097">
        <v>4</v>
      </c>
      <c r="O191" s="1097">
        <v>4</v>
      </c>
      <c r="P191" s="1097">
        <v>4</v>
      </c>
      <c r="Q191" s="1205">
        <v>4</v>
      </c>
      <c r="R191" s="1205">
        <v>4</v>
      </c>
      <c r="S191" s="1097">
        <v>4</v>
      </c>
      <c r="T191" s="1097">
        <v>4</v>
      </c>
      <c r="U191" s="1097">
        <v>4</v>
      </c>
      <c r="V191" s="1097">
        <v>4</v>
      </c>
      <c r="W191" s="1097">
        <v>4</v>
      </c>
      <c r="X191" s="1205">
        <v>4</v>
      </c>
      <c r="Y191" s="1205">
        <v>4</v>
      </c>
      <c r="Z191" s="1097">
        <v>4</v>
      </c>
      <c r="AA191" s="1097">
        <v>4</v>
      </c>
      <c r="AB191" s="1097">
        <v>4</v>
      </c>
      <c r="AC191" s="1097">
        <v>4</v>
      </c>
      <c r="AD191" s="1097">
        <v>4</v>
      </c>
      <c r="AE191" s="1205">
        <v>4</v>
      </c>
      <c r="AF191" s="1205">
        <v>4</v>
      </c>
      <c r="AG191" s="1097">
        <v>4</v>
      </c>
      <c r="AH191" s="1097">
        <v>4</v>
      </c>
      <c r="AI191" s="1328">
        <v>4</v>
      </c>
      <c r="AJ191" s="663"/>
      <c r="AK191" s="1004">
        <f t="shared" si="88"/>
        <v>0</v>
      </c>
      <c r="AL191" s="646"/>
      <c r="AM191" s="1007">
        <f t="shared" si="89"/>
        <v>0</v>
      </c>
      <c r="AN191" s="31"/>
      <c r="AO191" s="622"/>
      <c r="AP191" s="47"/>
      <c r="AQ191" s="48"/>
      <c r="AR191" s="48"/>
      <c r="AS191" s="48"/>
      <c r="AT191" s="48"/>
      <c r="AU191" s="48"/>
      <c r="AV191" s="214"/>
    </row>
    <row r="192" spans="1:48" s="644" customFormat="1" ht="20.65" customHeight="1">
      <c r="A192" s="210" t="s">
        <v>305</v>
      </c>
      <c r="B192" s="89"/>
      <c r="C192" s="80" t="s">
        <v>108</v>
      </c>
      <c r="D192" s="81" t="s">
        <v>109</v>
      </c>
      <c r="E192" s="1125">
        <f t="shared" ref="E192:AI192" si="114">SUM(E186+E188+E190)/E191</f>
        <v>0</v>
      </c>
      <c r="F192" s="1126">
        <f t="shared" si="114"/>
        <v>0</v>
      </c>
      <c r="G192" s="1235">
        <f t="shared" si="114"/>
        <v>0</v>
      </c>
      <c r="H192" s="1126">
        <f t="shared" si="114"/>
        <v>0</v>
      </c>
      <c r="I192" s="1126">
        <f t="shared" si="114"/>
        <v>0</v>
      </c>
      <c r="J192" s="1235">
        <f t="shared" si="114"/>
        <v>0</v>
      </c>
      <c r="K192" s="1235">
        <f t="shared" si="114"/>
        <v>0</v>
      </c>
      <c r="L192" s="1126">
        <f t="shared" si="114"/>
        <v>0</v>
      </c>
      <c r="M192" s="1126">
        <f t="shared" si="114"/>
        <v>0</v>
      </c>
      <c r="N192" s="1126">
        <f t="shared" si="114"/>
        <v>0</v>
      </c>
      <c r="O192" s="1126">
        <f t="shared" si="114"/>
        <v>0</v>
      </c>
      <c r="P192" s="1126">
        <f t="shared" si="114"/>
        <v>0</v>
      </c>
      <c r="Q192" s="1235">
        <f t="shared" si="114"/>
        <v>0</v>
      </c>
      <c r="R192" s="1235">
        <f t="shared" si="114"/>
        <v>0</v>
      </c>
      <c r="S192" s="1126">
        <f t="shared" si="114"/>
        <v>0</v>
      </c>
      <c r="T192" s="1126">
        <f t="shared" si="114"/>
        <v>0</v>
      </c>
      <c r="U192" s="1126">
        <f t="shared" si="114"/>
        <v>0</v>
      </c>
      <c r="V192" s="1126">
        <f t="shared" si="114"/>
        <v>0</v>
      </c>
      <c r="W192" s="1126">
        <f t="shared" si="114"/>
        <v>0</v>
      </c>
      <c r="X192" s="1235">
        <f t="shared" si="114"/>
        <v>0</v>
      </c>
      <c r="Y192" s="1235">
        <f t="shared" si="114"/>
        <v>0</v>
      </c>
      <c r="Z192" s="1126">
        <f t="shared" si="114"/>
        <v>0</v>
      </c>
      <c r="AA192" s="1126">
        <f t="shared" si="114"/>
        <v>0</v>
      </c>
      <c r="AB192" s="1126">
        <f t="shared" si="114"/>
        <v>0</v>
      </c>
      <c r="AC192" s="1126">
        <f t="shared" si="114"/>
        <v>0</v>
      </c>
      <c r="AD192" s="1126">
        <f t="shared" si="114"/>
        <v>0</v>
      </c>
      <c r="AE192" s="1235">
        <f>SUM(AE186+AE188+AE190)/AE191</f>
        <v>0</v>
      </c>
      <c r="AF192" s="1235">
        <f>SUM(AF186+AF188+AF190)/AF191</f>
        <v>0</v>
      </c>
      <c r="AG192" s="1126">
        <f>SUM(AG186+AG188+AG190)/AG191</f>
        <v>0</v>
      </c>
      <c r="AH192" s="1126">
        <f t="shared" si="114"/>
        <v>0</v>
      </c>
      <c r="AI192" s="1335">
        <f t="shared" si="114"/>
        <v>0</v>
      </c>
      <c r="AJ192" s="104">
        <f>SUM(E192:AI192)</f>
        <v>0</v>
      </c>
      <c r="AK192" s="993">
        <f t="shared" si="88"/>
        <v>0</v>
      </c>
      <c r="AL192" s="650"/>
      <c r="AM192" s="1008">
        <f t="shared" si="89"/>
        <v>0</v>
      </c>
      <c r="AN192" s="31"/>
      <c r="AO192" s="622"/>
      <c r="AP192" s="651"/>
      <c r="AQ192" s="651"/>
      <c r="AR192" s="651"/>
      <c r="AS192" s="651"/>
      <c r="AT192" s="651"/>
      <c r="AU192" s="651"/>
      <c r="AV192" s="651"/>
    </row>
    <row r="193" spans="1:48" s="644" customFormat="1" ht="20.65" customHeight="1">
      <c r="A193" s="215"/>
      <c r="B193" s="89"/>
      <c r="C193" s="84">
        <f>+C191*0.8</f>
        <v>240000</v>
      </c>
      <c r="D193" s="85" t="s">
        <v>110</v>
      </c>
      <c r="E193" s="1105"/>
      <c r="F193" s="1104"/>
      <c r="G193" s="1211"/>
      <c r="H193" s="1104"/>
      <c r="I193" s="1104"/>
      <c r="J193" s="1211"/>
      <c r="K193" s="1211"/>
      <c r="L193" s="1104"/>
      <c r="M193" s="1104"/>
      <c r="N193" s="1104"/>
      <c r="O193" s="1104"/>
      <c r="P193" s="1104"/>
      <c r="Q193" s="1211"/>
      <c r="R193" s="1211"/>
      <c r="S193" s="1104"/>
      <c r="T193" s="1104"/>
      <c r="U193" s="1104"/>
      <c r="V193" s="1104"/>
      <c r="W193" s="1104"/>
      <c r="X193" s="1211"/>
      <c r="Y193" s="1211"/>
      <c r="Z193" s="1104"/>
      <c r="AA193" s="1104"/>
      <c r="AB193" s="1104"/>
      <c r="AC193" s="1104"/>
      <c r="AD193" s="1104"/>
      <c r="AE193" s="1211"/>
      <c r="AF193" s="1211"/>
      <c r="AG193" s="1104"/>
      <c r="AH193" s="1104"/>
      <c r="AI193" s="1353"/>
      <c r="AJ193" s="729"/>
      <c r="AK193" s="1004">
        <f t="shared" si="88"/>
        <v>0</v>
      </c>
      <c r="AL193" s="647"/>
      <c r="AM193" s="1008">
        <f t="shared" si="89"/>
        <v>0</v>
      </c>
      <c r="AN193" s="31"/>
      <c r="AO193" s="622"/>
      <c r="AP193" s="651"/>
      <c r="AQ193" s="651"/>
      <c r="AR193" s="651"/>
      <c r="AS193" s="651"/>
      <c r="AT193" s="651"/>
      <c r="AU193" s="651"/>
      <c r="AV193" s="651"/>
    </row>
    <row r="194" spans="1:48" s="644" customFormat="1" ht="20.65" customHeight="1">
      <c r="A194" s="215"/>
      <c r="B194" s="89"/>
      <c r="C194" s="77"/>
      <c r="D194" s="88" t="s">
        <v>111</v>
      </c>
      <c r="E194" s="1125">
        <f>IF(E193="O/H",E192,+E192)</f>
        <v>0</v>
      </c>
      <c r="F194" s="1126">
        <f>IF(F193="O/H",F192,+E194+F192)</f>
        <v>0</v>
      </c>
      <c r="G194" s="1235">
        <f t="shared" ref="G194:AI194" si="115">IF(G193="O/H",G192,+F194+G192)</f>
        <v>0</v>
      </c>
      <c r="H194" s="1126">
        <f t="shared" si="115"/>
        <v>0</v>
      </c>
      <c r="I194" s="1126">
        <f t="shared" si="115"/>
        <v>0</v>
      </c>
      <c r="J194" s="1235">
        <f t="shared" si="115"/>
        <v>0</v>
      </c>
      <c r="K194" s="1235">
        <f t="shared" si="115"/>
        <v>0</v>
      </c>
      <c r="L194" s="1126">
        <f t="shared" si="115"/>
        <v>0</v>
      </c>
      <c r="M194" s="1126">
        <f t="shared" si="115"/>
        <v>0</v>
      </c>
      <c r="N194" s="1126">
        <f t="shared" si="115"/>
        <v>0</v>
      </c>
      <c r="O194" s="1126">
        <f t="shared" si="115"/>
        <v>0</v>
      </c>
      <c r="P194" s="1126">
        <f t="shared" si="115"/>
        <v>0</v>
      </c>
      <c r="Q194" s="1235">
        <f t="shared" si="115"/>
        <v>0</v>
      </c>
      <c r="R194" s="1235">
        <f t="shared" si="115"/>
        <v>0</v>
      </c>
      <c r="S194" s="1126">
        <f t="shared" si="115"/>
        <v>0</v>
      </c>
      <c r="T194" s="1126">
        <f t="shared" si="115"/>
        <v>0</v>
      </c>
      <c r="U194" s="1126">
        <f t="shared" si="115"/>
        <v>0</v>
      </c>
      <c r="V194" s="1126">
        <f t="shared" si="115"/>
        <v>0</v>
      </c>
      <c r="W194" s="1126">
        <f t="shared" si="115"/>
        <v>0</v>
      </c>
      <c r="X194" s="1235">
        <f t="shared" si="115"/>
        <v>0</v>
      </c>
      <c r="Y194" s="1235">
        <f t="shared" si="115"/>
        <v>0</v>
      </c>
      <c r="Z194" s="1126">
        <f t="shared" si="115"/>
        <v>0</v>
      </c>
      <c r="AA194" s="1126">
        <f t="shared" si="115"/>
        <v>0</v>
      </c>
      <c r="AB194" s="1126">
        <f t="shared" si="115"/>
        <v>0</v>
      </c>
      <c r="AC194" s="1126">
        <f t="shared" si="115"/>
        <v>0</v>
      </c>
      <c r="AD194" s="1126">
        <f t="shared" si="115"/>
        <v>0</v>
      </c>
      <c r="AE194" s="1235">
        <f t="shared" si="115"/>
        <v>0</v>
      </c>
      <c r="AF194" s="1235">
        <f t="shared" si="115"/>
        <v>0</v>
      </c>
      <c r="AG194" s="1126">
        <f t="shared" si="115"/>
        <v>0</v>
      </c>
      <c r="AH194" s="1126">
        <f t="shared" si="115"/>
        <v>0</v>
      </c>
      <c r="AI194" s="1335">
        <f t="shared" si="115"/>
        <v>0</v>
      </c>
      <c r="AJ194" s="104"/>
      <c r="AK194" s="993">
        <f t="shared" si="88"/>
        <v>0</v>
      </c>
      <c r="AL194" s="650"/>
      <c r="AM194" s="1008">
        <f t="shared" si="89"/>
        <v>0</v>
      </c>
      <c r="AN194" s="31"/>
      <c r="AO194" s="622"/>
      <c r="AP194" s="651"/>
      <c r="AQ194" s="651"/>
      <c r="AR194" s="651"/>
      <c r="AS194" s="651"/>
      <c r="AT194" s="651"/>
      <c r="AU194" s="651"/>
      <c r="AV194" s="651"/>
    </row>
    <row r="195" spans="1:48" s="644" customFormat="1" ht="20.65" customHeight="1">
      <c r="A195" s="215" t="s">
        <v>242</v>
      </c>
      <c r="B195" s="89" t="s">
        <v>309</v>
      </c>
      <c r="C195" s="80"/>
      <c r="D195" s="90" t="s">
        <v>104</v>
      </c>
      <c r="E195" s="1137"/>
      <c r="F195" s="1097"/>
      <c r="G195" s="1205"/>
      <c r="H195" s="1097"/>
      <c r="I195" s="1097"/>
      <c r="J195" s="1205"/>
      <c r="K195" s="1205"/>
      <c r="L195" s="1097"/>
      <c r="M195" s="1097"/>
      <c r="N195" s="1097"/>
      <c r="O195" s="1097"/>
      <c r="P195" s="1097"/>
      <c r="Q195" s="1205"/>
      <c r="R195" s="1205"/>
      <c r="S195" s="1097"/>
      <c r="T195" s="1097"/>
      <c r="U195" s="1097"/>
      <c r="V195" s="1097"/>
      <c r="W195" s="1097"/>
      <c r="X195" s="1205"/>
      <c r="Y195" s="1205"/>
      <c r="Z195" s="1097"/>
      <c r="AA195" s="1097"/>
      <c r="AB195" s="1097"/>
      <c r="AC195" s="1097"/>
      <c r="AD195" s="1097"/>
      <c r="AE195" s="1205"/>
      <c r="AF195" s="1205"/>
      <c r="AG195" s="1097"/>
      <c r="AH195" s="1097"/>
      <c r="AI195" s="1328"/>
      <c r="AJ195" s="664"/>
      <c r="AK195" s="1004">
        <f t="shared" si="88"/>
        <v>0</v>
      </c>
      <c r="AL195" s="646"/>
      <c r="AM195" s="1007">
        <f t="shared" si="89"/>
        <v>0</v>
      </c>
      <c r="AN195" s="31"/>
      <c r="AO195" s="622"/>
      <c r="AP195" s="651"/>
      <c r="AQ195" s="651"/>
      <c r="AR195" s="651"/>
      <c r="AS195" s="651"/>
      <c r="AT195" s="651"/>
      <c r="AU195" s="651"/>
      <c r="AV195" s="651"/>
    </row>
    <row r="196" spans="1:48" s="644" customFormat="1" ht="20.65" customHeight="1" thickBot="1">
      <c r="A196" s="216" t="s">
        <v>242</v>
      </c>
      <c r="B196" s="93"/>
      <c r="C196" s="94"/>
      <c r="D196" s="230" t="s">
        <v>258</v>
      </c>
      <c r="E196" s="1453">
        <f>IF(E195="O/H",E192,+E192)</f>
        <v>0</v>
      </c>
      <c r="F196" s="1128">
        <f t="shared" ref="F196:AI196" si="116">IF(F195="O/H",F192,+E196+F192)</f>
        <v>0</v>
      </c>
      <c r="G196" s="1303">
        <f t="shared" si="116"/>
        <v>0</v>
      </c>
      <c r="H196" s="1128">
        <f t="shared" si="116"/>
        <v>0</v>
      </c>
      <c r="I196" s="1128">
        <f t="shared" si="116"/>
        <v>0</v>
      </c>
      <c r="J196" s="1303">
        <f t="shared" si="116"/>
        <v>0</v>
      </c>
      <c r="K196" s="1303">
        <f t="shared" si="116"/>
        <v>0</v>
      </c>
      <c r="L196" s="1128">
        <f t="shared" si="116"/>
        <v>0</v>
      </c>
      <c r="M196" s="1128">
        <f t="shared" si="116"/>
        <v>0</v>
      </c>
      <c r="N196" s="1128">
        <f t="shared" si="116"/>
        <v>0</v>
      </c>
      <c r="O196" s="1128">
        <f t="shared" si="116"/>
        <v>0</v>
      </c>
      <c r="P196" s="1128">
        <f t="shared" si="116"/>
        <v>0</v>
      </c>
      <c r="Q196" s="1303">
        <f t="shared" si="116"/>
        <v>0</v>
      </c>
      <c r="R196" s="1303">
        <f t="shared" si="116"/>
        <v>0</v>
      </c>
      <c r="S196" s="1128">
        <f t="shared" si="116"/>
        <v>0</v>
      </c>
      <c r="T196" s="1128">
        <f t="shared" si="116"/>
        <v>0</v>
      </c>
      <c r="U196" s="1128">
        <f t="shared" si="116"/>
        <v>0</v>
      </c>
      <c r="V196" s="1128">
        <f t="shared" si="116"/>
        <v>0</v>
      </c>
      <c r="W196" s="1128">
        <f t="shared" si="116"/>
        <v>0</v>
      </c>
      <c r="X196" s="1303">
        <f t="shared" si="116"/>
        <v>0</v>
      </c>
      <c r="Y196" s="1303">
        <f t="shared" si="116"/>
        <v>0</v>
      </c>
      <c r="Z196" s="1128">
        <f t="shared" si="116"/>
        <v>0</v>
      </c>
      <c r="AA196" s="1128">
        <f t="shared" si="116"/>
        <v>0</v>
      </c>
      <c r="AB196" s="1128">
        <f t="shared" si="116"/>
        <v>0</v>
      </c>
      <c r="AC196" s="1128">
        <f t="shared" si="116"/>
        <v>0</v>
      </c>
      <c r="AD196" s="1128">
        <f t="shared" si="116"/>
        <v>0</v>
      </c>
      <c r="AE196" s="1303">
        <f t="shared" si="116"/>
        <v>0</v>
      </c>
      <c r="AF196" s="1303">
        <f t="shared" si="116"/>
        <v>0</v>
      </c>
      <c r="AG196" s="1128">
        <f t="shared" si="116"/>
        <v>0</v>
      </c>
      <c r="AH196" s="1128">
        <f t="shared" si="116"/>
        <v>0</v>
      </c>
      <c r="AI196" s="1454">
        <f t="shared" si="116"/>
        <v>0</v>
      </c>
      <c r="AJ196" s="730"/>
      <c r="AK196" s="1005">
        <f t="shared" si="88"/>
        <v>0</v>
      </c>
      <c r="AL196" s="652"/>
      <c r="AM196" s="1009">
        <f t="shared" si="89"/>
        <v>0</v>
      </c>
      <c r="AN196" s="98"/>
      <c r="AO196" s="625"/>
      <c r="AP196" s="651"/>
      <c r="AQ196" s="651"/>
      <c r="AR196" s="651"/>
      <c r="AS196" s="651"/>
      <c r="AT196" s="651"/>
      <c r="AU196" s="651"/>
      <c r="AV196" s="651"/>
    </row>
    <row r="197" spans="1:48" s="644" customFormat="1" ht="20.65" customHeight="1" thickTop="1">
      <c r="A197" s="943" t="s">
        <v>610</v>
      </c>
      <c r="B197" s="219" t="s">
        <v>310</v>
      </c>
      <c r="C197" s="1495" t="str">
        <f>Table511[[#This Row],[M/C No.]]</f>
        <v>A12(50Ton)</v>
      </c>
      <c r="D197" s="28" t="s">
        <v>82</v>
      </c>
      <c r="E197" s="1111"/>
      <c r="F197" s="1111"/>
      <c r="G197" s="1201"/>
      <c r="H197" s="1111"/>
      <c r="I197" s="1111"/>
      <c r="J197" s="1201"/>
      <c r="K197" s="1201"/>
      <c r="L197" s="1111"/>
      <c r="M197" s="1111"/>
      <c r="N197" s="1111"/>
      <c r="O197" s="1111"/>
      <c r="P197" s="1111"/>
      <c r="Q197" s="1201"/>
      <c r="R197" s="1201"/>
      <c r="S197" s="1111"/>
      <c r="T197" s="1111"/>
      <c r="U197" s="1111"/>
      <c r="V197" s="1111"/>
      <c r="W197" s="1111"/>
      <c r="X197" s="1201"/>
      <c r="Y197" s="1201"/>
      <c r="Z197" s="1111"/>
      <c r="AA197" s="1111"/>
      <c r="AB197" s="1111"/>
      <c r="AC197" s="1111"/>
      <c r="AD197" s="1111"/>
      <c r="AE197" s="1201"/>
      <c r="AF197" s="1201"/>
      <c r="AG197" s="1111"/>
      <c r="AH197" s="1111"/>
      <c r="AI197" s="1412"/>
      <c r="AJ197" s="570">
        <f>SUM(E197:AI197)</f>
        <v>0</v>
      </c>
      <c r="AK197" s="991">
        <f t="shared" si="88"/>
        <v>0</v>
      </c>
      <c r="AL197" s="571">
        <f>+AJ197*AN197</f>
        <v>0</v>
      </c>
      <c r="AM197" s="1002">
        <f t="shared" si="89"/>
        <v>0</v>
      </c>
      <c r="AN197" s="102">
        <v>32.050730000000001</v>
      </c>
      <c r="AO197" s="622">
        <f>Table511[[#This Row],[Total]]*B201/1000</f>
        <v>0</v>
      </c>
      <c r="AP197" s="32" t="s">
        <v>301</v>
      </c>
      <c r="AQ197" s="33" t="s">
        <v>84</v>
      </c>
      <c r="AR197" s="33" t="s">
        <v>85</v>
      </c>
      <c r="AS197" s="33" t="s">
        <v>86</v>
      </c>
      <c r="AT197" s="33" t="s">
        <v>87</v>
      </c>
      <c r="AU197" s="33" t="s">
        <v>88</v>
      </c>
      <c r="AV197" s="34" t="s">
        <v>68</v>
      </c>
    </row>
    <row r="198" spans="1:48" s="644" customFormat="1" ht="20.65" customHeight="1">
      <c r="A198" s="639"/>
      <c r="B198" s="219" t="s">
        <v>311</v>
      </c>
      <c r="C198" s="640"/>
      <c r="D198" s="37" t="s">
        <v>90</v>
      </c>
      <c r="E198" s="1323">
        <f>IF(E197="",0,+ E197/E204)</f>
        <v>0</v>
      </c>
      <c r="F198" s="1096">
        <f t="shared" ref="F198:AC198" si="117">IF(F197="",0, E198+F197/F204)</f>
        <v>0</v>
      </c>
      <c r="G198" s="1207">
        <f t="shared" si="117"/>
        <v>0</v>
      </c>
      <c r="H198" s="1096">
        <f t="shared" si="117"/>
        <v>0</v>
      </c>
      <c r="I198" s="1096">
        <f t="shared" si="117"/>
        <v>0</v>
      </c>
      <c r="J198" s="1207">
        <f t="shared" si="117"/>
        <v>0</v>
      </c>
      <c r="K198" s="1207">
        <f t="shared" si="117"/>
        <v>0</v>
      </c>
      <c r="L198" s="1096">
        <f t="shared" si="117"/>
        <v>0</v>
      </c>
      <c r="M198" s="1096">
        <f t="shared" si="117"/>
        <v>0</v>
      </c>
      <c r="N198" s="1096">
        <f t="shared" si="117"/>
        <v>0</v>
      </c>
      <c r="O198" s="1096">
        <f t="shared" si="117"/>
        <v>0</v>
      </c>
      <c r="P198" s="1096">
        <f t="shared" si="117"/>
        <v>0</v>
      </c>
      <c r="Q198" s="1207">
        <f t="shared" si="117"/>
        <v>0</v>
      </c>
      <c r="R198" s="1207">
        <f t="shared" si="117"/>
        <v>0</v>
      </c>
      <c r="S198" s="1096">
        <f t="shared" si="117"/>
        <v>0</v>
      </c>
      <c r="T198" s="1096">
        <f t="shared" si="117"/>
        <v>0</v>
      </c>
      <c r="U198" s="1096">
        <f t="shared" si="117"/>
        <v>0</v>
      </c>
      <c r="V198" s="1096">
        <f t="shared" si="117"/>
        <v>0</v>
      </c>
      <c r="W198" s="1096">
        <f t="shared" si="117"/>
        <v>0</v>
      </c>
      <c r="X198" s="1207">
        <f t="shared" si="117"/>
        <v>0</v>
      </c>
      <c r="Y198" s="1207">
        <f t="shared" si="117"/>
        <v>0</v>
      </c>
      <c r="Z198" s="1096">
        <f t="shared" si="117"/>
        <v>0</v>
      </c>
      <c r="AA198" s="1096">
        <f t="shared" si="117"/>
        <v>0</v>
      </c>
      <c r="AB198" s="1096">
        <f t="shared" si="117"/>
        <v>0</v>
      </c>
      <c r="AC198" s="1096">
        <f t="shared" si="117"/>
        <v>0</v>
      </c>
      <c r="AD198" s="1096">
        <f>IF(AD197="",0, Z198+AD197/AD204)</f>
        <v>0</v>
      </c>
      <c r="AE198" s="1207">
        <f>IF(AE197="",0, AA198+AE197/AE204)</f>
        <v>0</v>
      </c>
      <c r="AF198" s="1207">
        <f>IF(AF197="",0, AB198+AF197/AF204)</f>
        <v>0</v>
      </c>
      <c r="AG198" s="1096">
        <f>IF(AG197="",0, AC198+AG197/AG204)</f>
        <v>0</v>
      </c>
      <c r="AH198" s="1096">
        <f>IF(AH197="",0, AD198+AH197/AH204)</f>
        <v>0</v>
      </c>
      <c r="AI198" s="1324">
        <f>IF(AI197="",0, AH198+AI197/AI204)</f>
        <v>0</v>
      </c>
      <c r="AJ198" s="728"/>
      <c r="AK198" s="1003">
        <f t="shared" si="88"/>
        <v>0</v>
      </c>
      <c r="AL198" s="641"/>
      <c r="AM198" s="1006">
        <f t="shared" si="89"/>
        <v>0</v>
      </c>
      <c r="AN198" s="642"/>
      <c r="AO198" s="630"/>
      <c r="AP198" s="39" t="s">
        <v>91</v>
      </c>
      <c r="AQ198" s="40">
        <f>SUM(E197:K197)</f>
        <v>0</v>
      </c>
      <c r="AR198" s="41">
        <f>SUM(L197:R197)</f>
        <v>0</v>
      </c>
      <c r="AS198" s="41">
        <f>SUM(S197:Y197)</f>
        <v>0</v>
      </c>
      <c r="AT198" s="41">
        <f>SUM(Z197:AF197)</f>
        <v>0</v>
      </c>
      <c r="AU198" s="41">
        <f>SUM(AG197:AI197)</f>
        <v>0</v>
      </c>
      <c r="AV198" s="34">
        <f t="shared" ref="AV198:AV203" si="118">SUM(AQ198:AU198)</f>
        <v>0</v>
      </c>
    </row>
    <row r="199" spans="1:48" s="644" customFormat="1" ht="20.65" customHeight="1">
      <c r="A199" s="210" t="s">
        <v>305</v>
      </c>
      <c r="B199" s="89" t="s">
        <v>246</v>
      </c>
      <c r="C199" s="42"/>
      <c r="D199" s="43" t="s">
        <v>93</v>
      </c>
      <c r="E199" s="1108"/>
      <c r="F199" s="1089"/>
      <c r="G199" s="44"/>
      <c r="H199" s="1089"/>
      <c r="I199" s="1089"/>
      <c r="J199" s="44"/>
      <c r="K199" s="44"/>
      <c r="L199" s="1089"/>
      <c r="M199" s="1089"/>
      <c r="N199" s="1089"/>
      <c r="O199" s="1089"/>
      <c r="P199" s="1089"/>
      <c r="Q199" s="44"/>
      <c r="R199" s="44"/>
      <c r="S199" s="1089"/>
      <c r="T199" s="1089"/>
      <c r="U199" s="1089"/>
      <c r="V199" s="1089"/>
      <c r="W199" s="1089"/>
      <c r="X199" s="44"/>
      <c r="Y199" s="44"/>
      <c r="Z199" s="1089"/>
      <c r="AA199" s="1089"/>
      <c r="AB199" s="1089"/>
      <c r="AC199" s="1089"/>
      <c r="AD199" s="1089"/>
      <c r="AE199" s="44"/>
      <c r="AF199" s="44"/>
      <c r="AG199" s="1089"/>
      <c r="AH199" s="1089"/>
      <c r="AI199" s="1326"/>
      <c r="AJ199" s="662">
        <f>SUM(E199:AI199)</f>
        <v>0</v>
      </c>
      <c r="AK199" s="1004">
        <f t="shared" si="88"/>
        <v>0</v>
      </c>
      <c r="AL199" s="645">
        <f>+AJ199*AN197</f>
        <v>0</v>
      </c>
      <c r="AM199" s="1007">
        <f t="shared" si="89"/>
        <v>0</v>
      </c>
      <c r="AN199" s="31"/>
      <c r="AO199" s="632">
        <f>(AJ199+AJ201+AJ202+AJ203)*B201/1000</f>
        <v>0</v>
      </c>
      <c r="AP199" s="47" t="s">
        <v>94</v>
      </c>
      <c r="AQ199" s="48">
        <f>SUM(E199:K199)</f>
        <v>0</v>
      </c>
      <c r="AR199" s="49">
        <f>SUM(L199:R199)</f>
        <v>0</v>
      </c>
      <c r="AS199" s="49">
        <f>SUM(S199:Y199)</f>
        <v>0</v>
      </c>
      <c r="AT199" s="49">
        <f>SUM(Z199:AF199)</f>
        <v>0</v>
      </c>
      <c r="AU199" s="49">
        <f>SUM(AG199:AI199)</f>
        <v>0</v>
      </c>
      <c r="AV199" s="50">
        <f t="shared" si="118"/>
        <v>0</v>
      </c>
    </row>
    <row r="200" spans="1:48" s="644" customFormat="1" ht="20.65" customHeight="1">
      <c r="A200" s="210" t="s">
        <v>305</v>
      </c>
      <c r="B200" s="638" t="s">
        <v>247</v>
      </c>
      <c r="C200" s="52" t="s">
        <v>95</v>
      </c>
      <c r="D200" s="53" t="s">
        <v>96</v>
      </c>
      <c r="E200" s="1137">
        <f t="shared" ref="E200:AJ200" si="119">+E199-E197</f>
        <v>0</v>
      </c>
      <c r="F200" s="1097">
        <f t="shared" si="119"/>
        <v>0</v>
      </c>
      <c r="G200" s="1205">
        <f t="shared" si="119"/>
        <v>0</v>
      </c>
      <c r="H200" s="1097">
        <f t="shared" si="119"/>
        <v>0</v>
      </c>
      <c r="I200" s="1097">
        <f t="shared" si="119"/>
        <v>0</v>
      </c>
      <c r="J200" s="1205">
        <f t="shared" si="119"/>
        <v>0</v>
      </c>
      <c r="K200" s="1205">
        <f t="shared" si="119"/>
        <v>0</v>
      </c>
      <c r="L200" s="1097">
        <f t="shared" si="119"/>
        <v>0</v>
      </c>
      <c r="M200" s="1097">
        <f t="shared" si="119"/>
        <v>0</v>
      </c>
      <c r="N200" s="1097">
        <f t="shared" si="119"/>
        <v>0</v>
      </c>
      <c r="O200" s="1097">
        <f t="shared" si="119"/>
        <v>0</v>
      </c>
      <c r="P200" s="1097">
        <f t="shared" si="119"/>
        <v>0</v>
      </c>
      <c r="Q200" s="1205">
        <f t="shared" si="119"/>
        <v>0</v>
      </c>
      <c r="R200" s="1205">
        <f t="shared" si="119"/>
        <v>0</v>
      </c>
      <c r="S200" s="1097">
        <f t="shared" si="119"/>
        <v>0</v>
      </c>
      <c r="T200" s="1097">
        <f t="shared" si="119"/>
        <v>0</v>
      </c>
      <c r="U200" s="1097">
        <f t="shared" si="119"/>
        <v>0</v>
      </c>
      <c r="V200" s="1097">
        <f t="shared" si="119"/>
        <v>0</v>
      </c>
      <c r="W200" s="1097">
        <f t="shared" si="119"/>
        <v>0</v>
      </c>
      <c r="X200" s="1205">
        <f t="shared" si="119"/>
        <v>0</v>
      </c>
      <c r="Y200" s="1205">
        <f t="shared" si="119"/>
        <v>0</v>
      </c>
      <c r="Z200" s="1097">
        <f t="shared" si="119"/>
        <v>0</v>
      </c>
      <c r="AA200" s="1097">
        <f t="shared" si="119"/>
        <v>0</v>
      </c>
      <c r="AB200" s="1097">
        <f t="shared" si="119"/>
        <v>0</v>
      </c>
      <c r="AC200" s="1097">
        <f t="shared" si="119"/>
        <v>0</v>
      </c>
      <c r="AD200" s="1097">
        <f t="shared" si="119"/>
        <v>0</v>
      </c>
      <c r="AE200" s="1205">
        <f t="shared" si="119"/>
        <v>0</v>
      </c>
      <c r="AF200" s="1205">
        <f t="shared" si="119"/>
        <v>0</v>
      </c>
      <c r="AG200" s="1097">
        <f t="shared" si="119"/>
        <v>0</v>
      </c>
      <c r="AH200" s="1097">
        <f t="shared" si="119"/>
        <v>0</v>
      </c>
      <c r="AI200" s="1328">
        <f t="shared" si="119"/>
        <v>0</v>
      </c>
      <c r="AJ200" s="663">
        <f t="shared" si="119"/>
        <v>0</v>
      </c>
      <c r="AK200" s="1004">
        <f t="shared" ref="AK200:AK242" si="120">AJ202</f>
        <v>0</v>
      </c>
      <c r="AL200" s="646">
        <f>+AJ200*AN197</f>
        <v>0</v>
      </c>
      <c r="AM200" s="1007">
        <f t="shared" ref="AM200:AM242" si="121">AL202</f>
        <v>0</v>
      </c>
      <c r="AN200" s="31" t="s">
        <v>97</v>
      </c>
      <c r="AO200" s="622"/>
      <c r="AP200" s="39" t="s">
        <v>98</v>
      </c>
      <c r="AQ200" s="56">
        <f>AQ199-AQ198</f>
        <v>0</v>
      </c>
      <c r="AR200" s="70">
        <f>AR199-AR198</f>
        <v>0</v>
      </c>
      <c r="AS200" s="70">
        <f>AS199-AS198</f>
        <v>0</v>
      </c>
      <c r="AT200" s="70">
        <f>AT199-AT198</f>
        <v>0</v>
      </c>
      <c r="AU200" s="70">
        <f>AU199-AU198</f>
        <v>0</v>
      </c>
      <c r="AV200" s="57">
        <f t="shared" si="118"/>
        <v>0</v>
      </c>
    </row>
    <row r="201" spans="1:48" s="644" customFormat="1" ht="20.65" customHeight="1">
      <c r="A201" s="212"/>
      <c r="B201" s="211"/>
      <c r="C201" s="60" t="s">
        <v>100</v>
      </c>
      <c r="D201" s="61" t="s">
        <v>101</v>
      </c>
      <c r="E201" s="1098"/>
      <c r="F201" s="1099"/>
      <c r="G201" s="1208"/>
      <c r="H201" s="1099"/>
      <c r="I201" s="1099"/>
      <c r="J201" s="1208"/>
      <c r="K201" s="1208"/>
      <c r="L201" s="1099"/>
      <c r="M201" s="1099"/>
      <c r="N201" s="1099"/>
      <c r="O201" s="1099"/>
      <c r="P201" s="1099"/>
      <c r="Q201" s="1208"/>
      <c r="R201" s="1208"/>
      <c r="S201" s="1099"/>
      <c r="T201" s="1099"/>
      <c r="U201" s="1099"/>
      <c r="V201" s="1099"/>
      <c r="W201" s="1099"/>
      <c r="X201" s="1208"/>
      <c r="Y201" s="1208"/>
      <c r="Z201" s="1099"/>
      <c r="AA201" s="1099"/>
      <c r="AB201" s="1099"/>
      <c r="AC201" s="1099"/>
      <c r="AD201" s="1099"/>
      <c r="AE201" s="1208"/>
      <c r="AF201" s="1208"/>
      <c r="AG201" s="1099"/>
      <c r="AH201" s="1099"/>
      <c r="AI201" s="1330"/>
      <c r="AJ201" s="664">
        <f>SUM(E201:AI201)</f>
        <v>0</v>
      </c>
      <c r="AK201" s="1004">
        <f t="shared" si="120"/>
        <v>0</v>
      </c>
      <c r="AL201" s="647">
        <f>+AJ201*AN197</f>
        <v>0</v>
      </c>
      <c r="AM201" s="1008">
        <f t="shared" si="121"/>
        <v>0</v>
      </c>
      <c r="AN201" s="64" t="e">
        <f>+AJ201/AJ199*100</f>
        <v>#DIV/0!</v>
      </c>
      <c r="AO201" s="635" t="e">
        <f>AO199/AO197</f>
        <v>#DIV/0!</v>
      </c>
      <c r="AP201" s="39" t="s">
        <v>102</v>
      </c>
      <c r="AQ201" s="56">
        <f>SUM(E201:K201)</f>
        <v>0</v>
      </c>
      <c r="AR201" s="70">
        <f>SUM(L201:R201)</f>
        <v>0</v>
      </c>
      <c r="AS201" s="70">
        <f>SUM(S201:Y201)</f>
        <v>0</v>
      </c>
      <c r="AT201" s="70">
        <f>SUM(Z201:AF201)</f>
        <v>0</v>
      </c>
      <c r="AU201" s="70">
        <f>SUM(AG201:AI201)</f>
        <v>0</v>
      </c>
      <c r="AV201" s="57">
        <f t="shared" si="118"/>
        <v>0</v>
      </c>
    </row>
    <row r="202" spans="1:48" s="644" customFormat="1" ht="20.65" customHeight="1">
      <c r="A202" s="210" t="s">
        <v>245</v>
      </c>
      <c r="B202" s="213"/>
      <c r="C202" s="66"/>
      <c r="D202" s="67" t="s">
        <v>103</v>
      </c>
      <c r="E202" s="1100"/>
      <c r="F202" s="1101"/>
      <c r="G202" s="1209"/>
      <c r="H202" s="1101"/>
      <c r="I202" s="1101"/>
      <c r="J202" s="1209"/>
      <c r="K202" s="1209"/>
      <c r="L202" s="1101"/>
      <c r="M202" s="1101"/>
      <c r="N202" s="1101"/>
      <c r="O202" s="1101"/>
      <c r="P202" s="1101"/>
      <c r="Q202" s="1209"/>
      <c r="R202" s="1209"/>
      <c r="S202" s="1101"/>
      <c r="T202" s="1101"/>
      <c r="U202" s="1101"/>
      <c r="V202" s="1101"/>
      <c r="W202" s="1101"/>
      <c r="X202" s="1209"/>
      <c r="Y202" s="1209"/>
      <c r="Z202" s="1101"/>
      <c r="AA202" s="1101"/>
      <c r="AB202" s="1101"/>
      <c r="AC202" s="1101"/>
      <c r="AD202" s="1101"/>
      <c r="AE202" s="1209"/>
      <c r="AF202" s="1209"/>
      <c r="AG202" s="1101"/>
      <c r="AH202" s="1101"/>
      <c r="AI202" s="1332"/>
      <c r="AJ202" s="665">
        <f>SUM(E202:AI202)</f>
        <v>0</v>
      </c>
      <c r="AK202" s="1004">
        <f t="shared" si="120"/>
        <v>0</v>
      </c>
      <c r="AL202" s="648">
        <f>+AJ202*AN196</f>
        <v>0</v>
      </c>
      <c r="AM202" s="1008">
        <f t="shared" si="121"/>
        <v>0</v>
      </c>
      <c r="AN202" s="31"/>
      <c r="AO202" s="622"/>
      <c r="AP202" s="39" t="s">
        <v>19</v>
      </c>
      <c r="AQ202" s="56">
        <f>AQ201*AN197</f>
        <v>0</v>
      </c>
      <c r="AR202" s="56">
        <f>AR201*AN197</f>
        <v>0</v>
      </c>
      <c r="AS202" s="56">
        <f>AS201*AN197</f>
        <v>0</v>
      </c>
      <c r="AT202" s="56">
        <f>AT201*AN197</f>
        <v>0</v>
      </c>
      <c r="AU202" s="56">
        <f>AU201*AN197</f>
        <v>0</v>
      </c>
      <c r="AV202" s="57">
        <f t="shared" si="118"/>
        <v>0</v>
      </c>
    </row>
    <row r="203" spans="1:48" s="644" customFormat="1" ht="20.65" customHeight="1">
      <c r="A203" s="210" t="s">
        <v>245</v>
      </c>
      <c r="B203" s="213"/>
      <c r="C203" s="72" t="s">
        <v>104</v>
      </c>
      <c r="D203" s="73" t="s">
        <v>105</v>
      </c>
      <c r="E203" s="1115"/>
      <c r="F203" s="1116"/>
      <c r="G203" s="1215"/>
      <c r="H203" s="1116"/>
      <c r="I203" s="1116"/>
      <c r="J203" s="1215"/>
      <c r="K203" s="1215"/>
      <c r="L203" s="1116"/>
      <c r="M203" s="1116"/>
      <c r="N203" s="1116"/>
      <c r="O203" s="1116"/>
      <c r="P203" s="1116"/>
      <c r="Q203" s="1215"/>
      <c r="R203" s="1215"/>
      <c r="S203" s="1116"/>
      <c r="T203" s="1116"/>
      <c r="U203" s="1116"/>
      <c r="V203" s="1116"/>
      <c r="W203" s="1116"/>
      <c r="X203" s="1215"/>
      <c r="Y203" s="1215"/>
      <c r="Z203" s="1116"/>
      <c r="AA203" s="1116"/>
      <c r="AB203" s="1116"/>
      <c r="AC203" s="1116"/>
      <c r="AD203" s="1116"/>
      <c r="AE203" s="1215"/>
      <c r="AF203" s="1215"/>
      <c r="AG203" s="1116"/>
      <c r="AH203" s="1116"/>
      <c r="AI203" s="1334"/>
      <c r="AJ203" s="731">
        <f>SUM(E203:AI203)</f>
        <v>0</v>
      </c>
      <c r="AK203" s="1004">
        <f t="shared" si="120"/>
        <v>0</v>
      </c>
      <c r="AL203" s="653">
        <f>+AJ203*AN197</f>
        <v>0</v>
      </c>
      <c r="AM203" s="1008">
        <f t="shared" si="121"/>
        <v>0</v>
      </c>
      <c r="AN203" s="31"/>
      <c r="AO203" s="622"/>
      <c r="AP203" s="47" t="s">
        <v>106</v>
      </c>
      <c r="AQ203" s="48">
        <f>AQ199*AN197</f>
        <v>0</v>
      </c>
      <c r="AR203" s="48">
        <f>AR199*AN197</f>
        <v>0</v>
      </c>
      <c r="AS203" s="48">
        <f>AS199*AN197</f>
        <v>0</v>
      </c>
      <c r="AT203" s="48">
        <f>AT199*AN197</f>
        <v>0</v>
      </c>
      <c r="AU203" s="48">
        <f>AU199*AN197</f>
        <v>0</v>
      </c>
      <c r="AV203" s="50">
        <f t="shared" si="118"/>
        <v>0</v>
      </c>
    </row>
    <row r="204" spans="1:48" s="644" customFormat="1" ht="20.65" customHeight="1">
      <c r="A204" s="212"/>
      <c r="B204" s="89"/>
      <c r="C204" s="77">
        <v>300000</v>
      </c>
      <c r="D204" s="78" t="s">
        <v>107</v>
      </c>
      <c r="E204" s="1137">
        <v>4</v>
      </c>
      <c r="F204" s="1097">
        <v>4</v>
      </c>
      <c r="G204" s="1205">
        <v>4</v>
      </c>
      <c r="H204" s="1097">
        <v>4</v>
      </c>
      <c r="I204" s="1097">
        <v>4</v>
      </c>
      <c r="J204" s="1205">
        <v>4</v>
      </c>
      <c r="K204" s="1205">
        <v>4</v>
      </c>
      <c r="L204" s="1097">
        <v>4</v>
      </c>
      <c r="M204" s="1097">
        <v>4</v>
      </c>
      <c r="N204" s="1097">
        <v>4</v>
      </c>
      <c r="O204" s="1097">
        <v>4</v>
      </c>
      <c r="P204" s="1097">
        <v>4</v>
      </c>
      <c r="Q204" s="1205">
        <v>4</v>
      </c>
      <c r="R204" s="1205">
        <v>4</v>
      </c>
      <c r="S204" s="1097">
        <v>4</v>
      </c>
      <c r="T204" s="1097">
        <v>4</v>
      </c>
      <c r="U204" s="1097">
        <v>4</v>
      </c>
      <c r="V204" s="1097">
        <v>4</v>
      </c>
      <c r="W204" s="1097">
        <v>4</v>
      </c>
      <c r="X204" s="1205">
        <v>4</v>
      </c>
      <c r="Y204" s="1205">
        <v>4</v>
      </c>
      <c r="Z204" s="1097">
        <v>4</v>
      </c>
      <c r="AA204" s="1097">
        <v>4</v>
      </c>
      <c r="AB204" s="1097">
        <v>4</v>
      </c>
      <c r="AC204" s="1097">
        <v>4</v>
      </c>
      <c r="AD204" s="1097">
        <v>4</v>
      </c>
      <c r="AE204" s="1205">
        <v>4</v>
      </c>
      <c r="AF204" s="1205">
        <v>4</v>
      </c>
      <c r="AG204" s="1097">
        <v>4</v>
      </c>
      <c r="AH204" s="1097">
        <v>4</v>
      </c>
      <c r="AI204" s="1328">
        <v>4</v>
      </c>
      <c r="AJ204" s="663"/>
      <c r="AK204" s="1004">
        <f t="shared" si="120"/>
        <v>0</v>
      </c>
      <c r="AL204" s="646"/>
      <c r="AM204" s="1007">
        <f t="shared" si="121"/>
        <v>0</v>
      </c>
      <c r="AN204" s="31"/>
      <c r="AO204" s="622"/>
      <c r="AP204" s="47"/>
      <c r="AQ204" s="48"/>
      <c r="AR204" s="48"/>
      <c r="AS204" s="48"/>
      <c r="AT204" s="48"/>
      <c r="AU204" s="48"/>
      <c r="AV204" s="214"/>
    </row>
    <row r="205" spans="1:48" s="644" customFormat="1" ht="20.65" customHeight="1">
      <c r="A205" s="210" t="s">
        <v>305</v>
      </c>
      <c r="B205" s="89"/>
      <c r="C205" s="80" t="s">
        <v>108</v>
      </c>
      <c r="D205" s="81" t="s">
        <v>109</v>
      </c>
      <c r="E205" s="1125">
        <f t="shared" ref="E205:AI205" si="122">SUM(E199+E201+E203)/E204</f>
        <v>0</v>
      </c>
      <c r="F205" s="1126">
        <f t="shared" si="122"/>
        <v>0</v>
      </c>
      <c r="G205" s="1235">
        <f t="shared" si="122"/>
        <v>0</v>
      </c>
      <c r="H205" s="1126">
        <f t="shared" si="122"/>
        <v>0</v>
      </c>
      <c r="I205" s="1126">
        <f t="shared" si="122"/>
        <v>0</v>
      </c>
      <c r="J205" s="1235">
        <f t="shared" si="122"/>
        <v>0</v>
      </c>
      <c r="K205" s="1235">
        <f t="shared" si="122"/>
        <v>0</v>
      </c>
      <c r="L205" s="1126">
        <f t="shared" si="122"/>
        <v>0</v>
      </c>
      <c r="M205" s="1126">
        <f t="shared" si="122"/>
        <v>0</v>
      </c>
      <c r="N205" s="1126">
        <f t="shared" si="122"/>
        <v>0</v>
      </c>
      <c r="O205" s="1126">
        <f t="shared" si="122"/>
        <v>0</v>
      </c>
      <c r="P205" s="1126">
        <f t="shared" si="122"/>
        <v>0</v>
      </c>
      <c r="Q205" s="1235">
        <f t="shared" si="122"/>
        <v>0</v>
      </c>
      <c r="R205" s="1235">
        <f t="shared" si="122"/>
        <v>0</v>
      </c>
      <c r="S205" s="1126">
        <f t="shared" si="122"/>
        <v>0</v>
      </c>
      <c r="T205" s="1126">
        <f t="shared" si="122"/>
        <v>0</v>
      </c>
      <c r="U205" s="1126">
        <f t="shared" si="122"/>
        <v>0</v>
      </c>
      <c r="V205" s="1126">
        <f t="shared" si="122"/>
        <v>0</v>
      </c>
      <c r="W205" s="1126">
        <f t="shared" si="122"/>
        <v>0</v>
      </c>
      <c r="X205" s="1235">
        <f t="shared" si="122"/>
        <v>0</v>
      </c>
      <c r="Y205" s="1235">
        <f t="shared" si="122"/>
        <v>0</v>
      </c>
      <c r="Z205" s="1126">
        <f t="shared" si="122"/>
        <v>0</v>
      </c>
      <c r="AA205" s="1126">
        <f t="shared" si="122"/>
        <v>0</v>
      </c>
      <c r="AB205" s="1126">
        <f t="shared" si="122"/>
        <v>0</v>
      </c>
      <c r="AC205" s="1126">
        <f t="shared" si="122"/>
        <v>0</v>
      </c>
      <c r="AD205" s="1126">
        <f t="shared" si="122"/>
        <v>0</v>
      </c>
      <c r="AE205" s="1235">
        <f>SUM(AE199+AE201+AE203)/AE204</f>
        <v>0</v>
      </c>
      <c r="AF205" s="1235">
        <f>SUM(AF199+AF201+AF203)/AF204</f>
        <v>0</v>
      </c>
      <c r="AG205" s="1126">
        <f>SUM(AG199+AG201+AG203)/AG204</f>
        <v>0</v>
      </c>
      <c r="AH205" s="1126">
        <f t="shared" si="122"/>
        <v>0</v>
      </c>
      <c r="AI205" s="1335">
        <f t="shared" si="122"/>
        <v>0</v>
      </c>
      <c r="AJ205" s="104">
        <f>SUM(E205:AI205)</f>
        <v>0</v>
      </c>
      <c r="AK205" s="993">
        <f t="shared" si="120"/>
        <v>0</v>
      </c>
      <c r="AL205" s="650"/>
      <c r="AM205" s="1008">
        <f t="shared" si="121"/>
        <v>0</v>
      </c>
      <c r="AN205" s="31"/>
      <c r="AO205" s="622"/>
      <c r="AP205" s="651"/>
      <c r="AQ205" s="651"/>
      <c r="AR205" s="651"/>
      <c r="AS205" s="651"/>
      <c r="AT205" s="651"/>
      <c r="AU205" s="651"/>
      <c r="AV205" s="651"/>
    </row>
    <row r="206" spans="1:48" s="644" customFormat="1" ht="20.65" customHeight="1">
      <c r="A206" s="215"/>
      <c r="B206" s="89"/>
      <c r="C206" s="84">
        <f>+C204*0.8</f>
        <v>240000</v>
      </c>
      <c r="D206" s="85" t="s">
        <v>110</v>
      </c>
      <c r="E206" s="1105"/>
      <c r="F206" s="1104"/>
      <c r="G206" s="1211"/>
      <c r="H206" s="1104"/>
      <c r="I206" s="1104"/>
      <c r="J206" s="1211"/>
      <c r="K206" s="1211"/>
      <c r="L206" s="1104"/>
      <c r="M206" s="1104"/>
      <c r="N206" s="1104"/>
      <c r="O206" s="1104"/>
      <c r="P206" s="1104"/>
      <c r="Q206" s="1211"/>
      <c r="R206" s="1211"/>
      <c r="S206" s="1104"/>
      <c r="T206" s="1104"/>
      <c r="U206" s="1104"/>
      <c r="V206" s="1104"/>
      <c r="W206" s="1104"/>
      <c r="X206" s="1211"/>
      <c r="Y206" s="1211"/>
      <c r="Z206" s="1104"/>
      <c r="AA206" s="1104"/>
      <c r="AB206" s="1104"/>
      <c r="AC206" s="1104"/>
      <c r="AD206" s="1104"/>
      <c r="AE206" s="1211"/>
      <c r="AF206" s="1211"/>
      <c r="AG206" s="1104"/>
      <c r="AH206" s="1104"/>
      <c r="AI206" s="1353"/>
      <c r="AJ206" s="729"/>
      <c r="AK206" s="1004">
        <f t="shared" si="120"/>
        <v>0</v>
      </c>
      <c r="AL206" s="647"/>
      <c r="AM206" s="1008">
        <f t="shared" si="121"/>
        <v>0</v>
      </c>
      <c r="AN206" s="31"/>
      <c r="AO206" s="622"/>
      <c r="AP206" s="651"/>
      <c r="AQ206" s="651"/>
      <c r="AR206" s="651"/>
      <c r="AS206" s="651"/>
      <c r="AT206" s="651"/>
      <c r="AU206" s="651"/>
      <c r="AV206" s="651"/>
    </row>
    <row r="207" spans="1:48" s="644" customFormat="1" ht="20.65" customHeight="1">
      <c r="A207" s="215"/>
      <c r="B207" s="89"/>
      <c r="C207" s="77"/>
      <c r="D207" s="88" t="s">
        <v>111</v>
      </c>
      <c r="E207" s="1125">
        <f>IF(E206="O/H",E205,+E205)</f>
        <v>0</v>
      </c>
      <c r="F207" s="1126">
        <f>IF(F206="O/H",F205,+E207+F205)</f>
        <v>0</v>
      </c>
      <c r="G207" s="1235">
        <f t="shared" ref="G207:AI207" si="123">IF(G206="O/H",G205,+F207+G205)</f>
        <v>0</v>
      </c>
      <c r="H207" s="1126">
        <f t="shared" si="123"/>
        <v>0</v>
      </c>
      <c r="I207" s="1126">
        <f t="shared" si="123"/>
        <v>0</v>
      </c>
      <c r="J207" s="1235">
        <f t="shared" si="123"/>
        <v>0</v>
      </c>
      <c r="K207" s="1235">
        <f t="shared" si="123"/>
        <v>0</v>
      </c>
      <c r="L207" s="1126">
        <f t="shared" si="123"/>
        <v>0</v>
      </c>
      <c r="M207" s="1126">
        <f t="shared" si="123"/>
        <v>0</v>
      </c>
      <c r="N207" s="1126">
        <f t="shared" si="123"/>
        <v>0</v>
      </c>
      <c r="O207" s="1126">
        <f t="shared" si="123"/>
        <v>0</v>
      </c>
      <c r="P207" s="1126">
        <f t="shared" si="123"/>
        <v>0</v>
      </c>
      <c r="Q207" s="1235">
        <f t="shared" si="123"/>
        <v>0</v>
      </c>
      <c r="R207" s="1235">
        <f t="shared" si="123"/>
        <v>0</v>
      </c>
      <c r="S207" s="1126">
        <f t="shared" si="123"/>
        <v>0</v>
      </c>
      <c r="T207" s="1126">
        <f t="shared" si="123"/>
        <v>0</v>
      </c>
      <c r="U207" s="1126">
        <f t="shared" si="123"/>
        <v>0</v>
      </c>
      <c r="V207" s="1126">
        <f t="shared" si="123"/>
        <v>0</v>
      </c>
      <c r="W207" s="1126">
        <f t="shared" si="123"/>
        <v>0</v>
      </c>
      <c r="X207" s="1235">
        <f t="shared" si="123"/>
        <v>0</v>
      </c>
      <c r="Y207" s="1235">
        <f t="shared" si="123"/>
        <v>0</v>
      </c>
      <c r="Z207" s="1126">
        <f t="shared" si="123"/>
        <v>0</v>
      </c>
      <c r="AA207" s="1126">
        <f t="shared" si="123"/>
        <v>0</v>
      </c>
      <c r="AB207" s="1126">
        <f t="shared" si="123"/>
        <v>0</v>
      </c>
      <c r="AC207" s="1126">
        <f t="shared" si="123"/>
        <v>0</v>
      </c>
      <c r="AD207" s="1126">
        <f t="shared" si="123"/>
        <v>0</v>
      </c>
      <c r="AE207" s="1235">
        <f t="shared" si="123"/>
        <v>0</v>
      </c>
      <c r="AF207" s="1235">
        <f t="shared" si="123"/>
        <v>0</v>
      </c>
      <c r="AG207" s="1126">
        <f t="shared" si="123"/>
        <v>0</v>
      </c>
      <c r="AH207" s="1126">
        <f t="shared" si="123"/>
        <v>0</v>
      </c>
      <c r="AI207" s="1335">
        <f t="shared" si="123"/>
        <v>0</v>
      </c>
      <c r="AJ207" s="104"/>
      <c r="AK207" s="993">
        <f t="shared" si="120"/>
        <v>0</v>
      </c>
      <c r="AL207" s="650"/>
      <c r="AM207" s="1008">
        <f t="shared" si="121"/>
        <v>0</v>
      </c>
      <c r="AN207" s="31"/>
      <c r="AO207" s="622"/>
      <c r="AP207" s="651"/>
      <c r="AQ207" s="651"/>
      <c r="AR207" s="651"/>
      <c r="AS207" s="651"/>
      <c r="AT207" s="651"/>
      <c r="AU207" s="651"/>
      <c r="AV207" s="651"/>
    </row>
    <row r="208" spans="1:48" s="644" customFormat="1" ht="20.65" customHeight="1">
      <c r="A208" s="215" t="s">
        <v>242</v>
      </c>
      <c r="B208" s="89" t="s">
        <v>312</v>
      </c>
      <c r="C208" s="80"/>
      <c r="D208" s="90" t="s">
        <v>104</v>
      </c>
      <c r="E208" s="1137"/>
      <c r="F208" s="1097"/>
      <c r="G208" s="1205"/>
      <c r="H208" s="1097"/>
      <c r="I208" s="1097"/>
      <c r="J208" s="1205"/>
      <c r="K208" s="1205"/>
      <c r="L208" s="1097"/>
      <c r="M208" s="1097"/>
      <c r="N208" s="1097"/>
      <c r="O208" s="1097"/>
      <c r="P208" s="1097"/>
      <c r="Q208" s="1205"/>
      <c r="R208" s="1205"/>
      <c r="S208" s="1097"/>
      <c r="T208" s="1097"/>
      <c r="U208" s="1097"/>
      <c r="V208" s="1097"/>
      <c r="W208" s="1097"/>
      <c r="X208" s="1205"/>
      <c r="Y208" s="1205"/>
      <c r="Z208" s="1097"/>
      <c r="AA208" s="1097"/>
      <c r="AB208" s="1097"/>
      <c r="AC208" s="1097"/>
      <c r="AD208" s="1097"/>
      <c r="AE208" s="1205"/>
      <c r="AF208" s="1205"/>
      <c r="AG208" s="1097"/>
      <c r="AH208" s="1097"/>
      <c r="AI208" s="1328"/>
      <c r="AJ208" s="664"/>
      <c r="AK208" s="1004">
        <f t="shared" si="120"/>
        <v>0</v>
      </c>
      <c r="AL208" s="646"/>
      <c r="AM208" s="1007">
        <f t="shared" si="121"/>
        <v>0</v>
      </c>
      <c r="AN208" s="31"/>
      <c r="AO208" s="622"/>
      <c r="AP208" s="651"/>
      <c r="AQ208" s="651"/>
      <c r="AR208" s="651"/>
      <c r="AS208" s="651"/>
      <c r="AT208" s="651"/>
      <c r="AU208" s="651"/>
      <c r="AV208" s="651"/>
    </row>
    <row r="209" spans="1:48" s="644" customFormat="1" ht="20.65" customHeight="1" thickBot="1">
      <c r="A209" s="216" t="s">
        <v>242</v>
      </c>
      <c r="B209" s="93"/>
      <c r="C209" s="94"/>
      <c r="D209" s="230" t="s">
        <v>258</v>
      </c>
      <c r="E209" s="1453">
        <f>IF(E208="O/H",E205,+E205)</f>
        <v>0</v>
      </c>
      <c r="F209" s="1128">
        <f t="shared" ref="F209:AI209" si="124">IF(F208="O/H",F205,+E209+F205)</f>
        <v>0</v>
      </c>
      <c r="G209" s="1303">
        <f t="shared" si="124"/>
        <v>0</v>
      </c>
      <c r="H209" s="1128">
        <f t="shared" si="124"/>
        <v>0</v>
      </c>
      <c r="I209" s="1128">
        <f t="shared" si="124"/>
        <v>0</v>
      </c>
      <c r="J209" s="1303">
        <f t="shared" si="124"/>
        <v>0</v>
      </c>
      <c r="K209" s="1303">
        <f t="shared" si="124"/>
        <v>0</v>
      </c>
      <c r="L209" s="1128">
        <f t="shared" si="124"/>
        <v>0</v>
      </c>
      <c r="M209" s="1128">
        <f t="shared" si="124"/>
        <v>0</v>
      </c>
      <c r="N209" s="1128">
        <f t="shared" si="124"/>
        <v>0</v>
      </c>
      <c r="O209" s="1128">
        <f t="shared" si="124"/>
        <v>0</v>
      </c>
      <c r="P209" s="1128">
        <f t="shared" si="124"/>
        <v>0</v>
      </c>
      <c r="Q209" s="1303">
        <f t="shared" si="124"/>
        <v>0</v>
      </c>
      <c r="R209" s="1303">
        <f t="shared" si="124"/>
        <v>0</v>
      </c>
      <c r="S209" s="1128">
        <f t="shared" si="124"/>
        <v>0</v>
      </c>
      <c r="T209" s="1128">
        <f t="shared" si="124"/>
        <v>0</v>
      </c>
      <c r="U209" s="1128">
        <f t="shared" si="124"/>
        <v>0</v>
      </c>
      <c r="V209" s="1128">
        <f t="shared" si="124"/>
        <v>0</v>
      </c>
      <c r="W209" s="1128">
        <f t="shared" si="124"/>
        <v>0</v>
      </c>
      <c r="X209" s="1303">
        <f t="shared" si="124"/>
        <v>0</v>
      </c>
      <c r="Y209" s="1303">
        <f t="shared" si="124"/>
        <v>0</v>
      </c>
      <c r="Z209" s="1128">
        <f t="shared" si="124"/>
        <v>0</v>
      </c>
      <c r="AA209" s="1128">
        <f t="shared" si="124"/>
        <v>0</v>
      </c>
      <c r="AB209" s="1128">
        <f t="shared" si="124"/>
        <v>0</v>
      </c>
      <c r="AC209" s="1128">
        <f t="shared" si="124"/>
        <v>0</v>
      </c>
      <c r="AD209" s="1128">
        <f t="shared" si="124"/>
        <v>0</v>
      </c>
      <c r="AE209" s="1303">
        <f t="shared" si="124"/>
        <v>0</v>
      </c>
      <c r="AF209" s="1303">
        <f t="shared" si="124"/>
        <v>0</v>
      </c>
      <c r="AG209" s="1128">
        <f t="shared" si="124"/>
        <v>0</v>
      </c>
      <c r="AH209" s="1128">
        <f t="shared" si="124"/>
        <v>0</v>
      </c>
      <c r="AI209" s="1454">
        <f t="shared" si="124"/>
        <v>0</v>
      </c>
      <c r="AJ209" s="730"/>
      <c r="AK209" s="1005">
        <f t="shared" si="120"/>
        <v>0</v>
      </c>
      <c r="AL209" s="652"/>
      <c r="AM209" s="1009">
        <f t="shared" si="121"/>
        <v>0</v>
      </c>
      <c r="AN209" s="98"/>
      <c r="AO209" s="625"/>
      <c r="AP209" s="651"/>
      <c r="AQ209" s="651"/>
      <c r="AR209" s="651"/>
      <c r="AS209" s="651"/>
      <c r="AT209" s="651"/>
      <c r="AU209" s="651"/>
      <c r="AV209" s="651"/>
    </row>
    <row r="210" spans="1:48" s="644" customFormat="1" ht="20.65" customHeight="1" thickTop="1">
      <c r="A210" s="943" t="s">
        <v>610</v>
      </c>
      <c r="B210" s="219" t="s">
        <v>313</v>
      </c>
      <c r="C210" s="1495" t="str">
        <f>Table511[[#This Row],[M/C No.]]</f>
        <v>A12(50Ton)</v>
      </c>
      <c r="D210" s="28" t="s">
        <v>82</v>
      </c>
      <c r="E210" s="1124"/>
      <c r="F210" s="1111"/>
      <c r="G210" s="1201"/>
      <c r="H210" s="1111"/>
      <c r="I210" s="1111"/>
      <c r="J210" s="1201"/>
      <c r="K210" s="1201"/>
      <c r="L210" s="1111"/>
      <c r="M210" s="1111"/>
      <c r="N210" s="1111"/>
      <c r="O210" s="1111"/>
      <c r="P210" s="1111"/>
      <c r="Q210" s="1201"/>
      <c r="R210" s="1201"/>
      <c r="S210" s="1111"/>
      <c r="T210" s="1111"/>
      <c r="U210" s="1111"/>
      <c r="V210" s="1111"/>
      <c r="W210" s="1111"/>
      <c r="X210" s="1201"/>
      <c r="Y210" s="1201"/>
      <c r="Z210" s="1111"/>
      <c r="AA210" s="1111"/>
      <c r="AB210" s="1111"/>
      <c r="AC210" s="1111"/>
      <c r="AD210" s="1111"/>
      <c r="AE210" s="1201"/>
      <c r="AF210" s="1201"/>
      <c r="AG210" s="1111"/>
      <c r="AH210" s="1111"/>
      <c r="AI210" s="1412"/>
      <c r="AJ210" s="570">
        <f>SUM(E210:AI210)</f>
        <v>0</v>
      </c>
      <c r="AK210" s="991">
        <f t="shared" si="120"/>
        <v>0</v>
      </c>
      <c r="AL210" s="571">
        <f>+AJ210*AN210</f>
        <v>0</v>
      </c>
      <c r="AM210" s="1002">
        <f t="shared" si="121"/>
        <v>0</v>
      </c>
      <c r="AN210" s="102">
        <v>27.011710000000001</v>
      </c>
      <c r="AO210" s="622">
        <f>Table511[[#This Row],[Total]]*B214/1000</f>
        <v>0</v>
      </c>
      <c r="AP210" s="32" t="s">
        <v>301</v>
      </c>
      <c r="AQ210" s="33" t="s">
        <v>84</v>
      </c>
      <c r="AR210" s="33" t="s">
        <v>85</v>
      </c>
      <c r="AS210" s="33" t="s">
        <v>86</v>
      </c>
      <c r="AT210" s="33" t="s">
        <v>87</v>
      </c>
      <c r="AU210" s="33" t="s">
        <v>88</v>
      </c>
      <c r="AV210" s="34" t="s">
        <v>68</v>
      </c>
    </row>
    <row r="211" spans="1:48" s="644" customFormat="1" ht="20.65" customHeight="1">
      <c r="A211" s="639"/>
      <c r="B211" s="219" t="s">
        <v>314</v>
      </c>
      <c r="C211" s="640"/>
      <c r="D211" s="37" t="s">
        <v>90</v>
      </c>
      <c r="E211" s="1323">
        <f>IF(E210="",0,+ E210/E217)</f>
        <v>0</v>
      </c>
      <c r="F211" s="1096">
        <f t="shared" ref="F211:AC211" si="125">IF(F210="",0, E211+F210/F217)</f>
        <v>0</v>
      </c>
      <c r="G211" s="1207">
        <f t="shared" si="125"/>
        <v>0</v>
      </c>
      <c r="H211" s="1096">
        <f t="shared" si="125"/>
        <v>0</v>
      </c>
      <c r="I211" s="1096">
        <f t="shared" si="125"/>
        <v>0</v>
      </c>
      <c r="J211" s="1207">
        <f t="shared" si="125"/>
        <v>0</v>
      </c>
      <c r="K211" s="1207">
        <f t="shared" si="125"/>
        <v>0</v>
      </c>
      <c r="L211" s="1096">
        <f t="shared" si="125"/>
        <v>0</v>
      </c>
      <c r="M211" s="1096">
        <f t="shared" si="125"/>
        <v>0</v>
      </c>
      <c r="N211" s="1096">
        <f t="shared" si="125"/>
        <v>0</v>
      </c>
      <c r="O211" s="1096">
        <f t="shared" si="125"/>
        <v>0</v>
      </c>
      <c r="P211" s="1096">
        <f t="shared" si="125"/>
        <v>0</v>
      </c>
      <c r="Q211" s="1207">
        <f t="shared" si="125"/>
        <v>0</v>
      </c>
      <c r="R211" s="1207">
        <f t="shared" si="125"/>
        <v>0</v>
      </c>
      <c r="S211" s="1096">
        <f t="shared" si="125"/>
        <v>0</v>
      </c>
      <c r="T211" s="1096">
        <f t="shared" si="125"/>
        <v>0</v>
      </c>
      <c r="U211" s="1096">
        <f t="shared" si="125"/>
        <v>0</v>
      </c>
      <c r="V211" s="1096">
        <f t="shared" si="125"/>
        <v>0</v>
      </c>
      <c r="W211" s="1096">
        <f t="shared" si="125"/>
        <v>0</v>
      </c>
      <c r="X211" s="1207">
        <f t="shared" si="125"/>
        <v>0</v>
      </c>
      <c r="Y211" s="1207">
        <f t="shared" si="125"/>
        <v>0</v>
      </c>
      <c r="Z211" s="1096">
        <f t="shared" si="125"/>
        <v>0</v>
      </c>
      <c r="AA211" s="1096">
        <f t="shared" si="125"/>
        <v>0</v>
      </c>
      <c r="AB211" s="1096">
        <f t="shared" si="125"/>
        <v>0</v>
      </c>
      <c r="AC211" s="1096">
        <f t="shared" si="125"/>
        <v>0</v>
      </c>
      <c r="AD211" s="1096">
        <f>IF(AD210="",0, Z211+AD210/AD217)</f>
        <v>0</v>
      </c>
      <c r="AE211" s="1207">
        <f>IF(AE210="",0, AA211+AE210/AE217)</f>
        <v>0</v>
      </c>
      <c r="AF211" s="1207">
        <f>IF(AF210="",0, AB211+AF210/AF217)</f>
        <v>0</v>
      </c>
      <c r="AG211" s="1096">
        <f>IF(AG210="",0, AC211+AG210/AG217)</f>
        <v>0</v>
      </c>
      <c r="AH211" s="1096">
        <f>IF(AH210="",0, AD211+AH210/AH217)</f>
        <v>0</v>
      </c>
      <c r="AI211" s="1324">
        <f>IF(AI210="",0, AH211+AI210/AI217)</f>
        <v>0</v>
      </c>
      <c r="AJ211" s="728"/>
      <c r="AK211" s="1003">
        <f t="shared" si="120"/>
        <v>0</v>
      </c>
      <c r="AL211" s="641"/>
      <c r="AM211" s="1006">
        <f t="shared" si="121"/>
        <v>0</v>
      </c>
      <c r="AN211" s="642"/>
      <c r="AO211" s="630"/>
      <c r="AP211" s="39" t="s">
        <v>91</v>
      </c>
      <c r="AQ211" s="40">
        <f>SUM(E210:K210)</f>
        <v>0</v>
      </c>
      <c r="AR211" s="41">
        <f>SUM(L210:R210)</f>
        <v>0</v>
      </c>
      <c r="AS211" s="41">
        <f>SUM(S210:Y210)</f>
        <v>0</v>
      </c>
      <c r="AT211" s="41">
        <f>SUM(Z210:AF210)</f>
        <v>0</v>
      </c>
      <c r="AU211" s="41">
        <f>SUM(AG210:AI210)</f>
        <v>0</v>
      </c>
      <c r="AV211" s="34">
        <f t="shared" ref="AV211:AV216" si="126">SUM(AQ211:AU211)</f>
        <v>0</v>
      </c>
    </row>
    <row r="212" spans="1:48" s="644" customFormat="1" ht="20.65" customHeight="1">
      <c r="A212" s="210"/>
      <c r="B212" s="89" t="s">
        <v>246</v>
      </c>
      <c r="C212" s="42"/>
      <c r="D212" s="43" t="s">
        <v>93</v>
      </c>
      <c r="E212" s="1108"/>
      <c r="F212" s="1089"/>
      <c r="G212" s="44"/>
      <c r="H212" s="1089"/>
      <c r="I212" s="1089"/>
      <c r="J212" s="44"/>
      <c r="K212" s="44"/>
      <c r="L212" s="1089"/>
      <c r="M212" s="1089"/>
      <c r="N212" s="1089"/>
      <c r="O212" s="1089"/>
      <c r="P212" s="1089"/>
      <c r="Q212" s="44"/>
      <c r="R212" s="44"/>
      <c r="S212" s="1089"/>
      <c r="T212" s="1089"/>
      <c r="U212" s="1089"/>
      <c r="V212" s="1089"/>
      <c r="W212" s="1089"/>
      <c r="X212" s="44"/>
      <c r="Y212" s="44"/>
      <c r="Z212" s="1089"/>
      <c r="AA212" s="1089"/>
      <c r="AB212" s="1089"/>
      <c r="AC212" s="1089"/>
      <c r="AD212" s="1089"/>
      <c r="AE212" s="44"/>
      <c r="AF212" s="44"/>
      <c r="AG212" s="1089"/>
      <c r="AH212" s="1089"/>
      <c r="AI212" s="1326"/>
      <c r="AJ212" s="662">
        <f>SUM(E212:AI212)</f>
        <v>0</v>
      </c>
      <c r="AK212" s="1004">
        <f t="shared" si="120"/>
        <v>0</v>
      </c>
      <c r="AL212" s="645">
        <f>+AJ212*AN210</f>
        <v>0</v>
      </c>
      <c r="AM212" s="1007">
        <f t="shared" si="121"/>
        <v>0</v>
      </c>
      <c r="AN212" s="31"/>
      <c r="AO212" s="632">
        <f>(AJ212+AJ214+AJ215+AJ216)*B214/1000</f>
        <v>0</v>
      </c>
      <c r="AP212" s="47" t="s">
        <v>94</v>
      </c>
      <c r="AQ212" s="48">
        <f>SUM(E212:K212)</f>
        <v>0</v>
      </c>
      <c r="AR212" s="49">
        <f>SUM(L212:R212)</f>
        <v>0</v>
      </c>
      <c r="AS212" s="49">
        <f>SUM(S212:Y212)</f>
        <v>0</v>
      </c>
      <c r="AT212" s="49">
        <f>SUM(Z212:AF212)</f>
        <v>0</v>
      </c>
      <c r="AU212" s="49">
        <f>SUM(AG212:AI212)</f>
        <v>0</v>
      </c>
      <c r="AV212" s="50">
        <f t="shared" si="126"/>
        <v>0</v>
      </c>
    </row>
    <row r="213" spans="1:48" s="644" customFormat="1" ht="20.65" customHeight="1">
      <c r="A213" s="210"/>
      <c r="B213" s="638" t="s">
        <v>247</v>
      </c>
      <c r="C213" s="52" t="s">
        <v>95</v>
      </c>
      <c r="D213" s="53" t="s">
        <v>96</v>
      </c>
      <c r="E213" s="1137">
        <f t="shared" ref="E213:AJ213" si="127">+E212-E210</f>
        <v>0</v>
      </c>
      <c r="F213" s="1097">
        <f t="shared" si="127"/>
        <v>0</v>
      </c>
      <c r="G213" s="1205">
        <f t="shared" si="127"/>
        <v>0</v>
      </c>
      <c r="H213" s="1097">
        <f t="shared" si="127"/>
        <v>0</v>
      </c>
      <c r="I213" s="1097">
        <f t="shared" si="127"/>
        <v>0</v>
      </c>
      <c r="J213" s="1205">
        <f t="shared" si="127"/>
        <v>0</v>
      </c>
      <c r="K213" s="1205">
        <f t="shared" si="127"/>
        <v>0</v>
      </c>
      <c r="L213" s="1097">
        <f t="shared" si="127"/>
        <v>0</v>
      </c>
      <c r="M213" s="1097">
        <f t="shared" si="127"/>
        <v>0</v>
      </c>
      <c r="N213" s="1097">
        <f t="shared" si="127"/>
        <v>0</v>
      </c>
      <c r="O213" s="1097">
        <f t="shared" si="127"/>
        <v>0</v>
      </c>
      <c r="P213" s="1097">
        <f t="shared" si="127"/>
        <v>0</v>
      </c>
      <c r="Q213" s="1205">
        <f t="shared" si="127"/>
        <v>0</v>
      </c>
      <c r="R213" s="1205">
        <f t="shared" si="127"/>
        <v>0</v>
      </c>
      <c r="S213" s="1097">
        <f t="shared" si="127"/>
        <v>0</v>
      </c>
      <c r="T213" s="1097">
        <f t="shared" si="127"/>
        <v>0</v>
      </c>
      <c r="U213" s="1097">
        <f t="shared" si="127"/>
        <v>0</v>
      </c>
      <c r="V213" s="1097">
        <f t="shared" si="127"/>
        <v>0</v>
      </c>
      <c r="W213" s="1097">
        <f t="shared" si="127"/>
        <v>0</v>
      </c>
      <c r="X213" s="1205">
        <f t="shared" si="127"/>
        <v>0</v>
      </c>
      <c r="Y213" s="1205">
        <f t="shared" si="127"/>
        <v>0</v>
      </c>
      <c r="Z213" s="1097">
        <f t="shared" si="127"/>
        <v>0</v>
      </c>
      <c r="AA213" s="1097">
        <f t="shared" si="127"/>
        <v>0</v>
      </c>
      <c r="AB213" s="1097">
        <f t="shared" si="127"/>
        <v>0</v>
      </c>
      <c r="AC213" s="1097">
        <f t="shared" si="127"/>
        <v>0</v>
      </c>
      <c r="AD213" s="1097">
        <f t="shared" si="127"/>
        <v>0</v>
      </c>
      <c r="AE213" s="1205">
        <f t="shared" si="127"/>
        <v>0</v>
      </c>
      <c r="AF213" s="1205">
        <f t="shared" si="127"/>
        <v>0</v>
      </c>
      <c r="AG213" s="1097">
        <f t="shared" si="127"/>
        <v>0</v>
      </c>
      <c r="AH213" s="1097">
        <f t="shared" si="127"/>
        <v>0</v>
      </c>
      <c r="AI213" s="1328">
        <f t="shared" si="127"/>
        <v>0</v>
      </c>
      <c r="AJ213" s="663">
        <f t="shared" si="127"/>
        <v>0</v>
      </c>
      <c r="AK213" s="1004">
        <f t="shared" si="120"/>
        <v>0</v>
      </c>
      <c r="AL213" s="646">
        <f>+AJ213*AN210</f>
        <v>0</v>
      </c>
      <c r="AM213" s="1007">
        <f t="shared" si="121"/>
        <v>0</v>
      </c>
      <c r="AN213" s="31" t="s">
        <v>97</v>
      </c>
      <c r="AO213" s="622"/>
      <c r="AP213" s="39" t="s">
        <v>98</v>
      </c>
      <c r="AQ213" s="56">
        <f>AQ212-AQ211</f>
        <v>0</v>
      </c>
      <c r="AR213" s="70">
        <f>AR212-AR211</f>
        <v>0</v>
      </c>
      <c r="AS213" s="70">
        <f>AS212-AS211</f>
        <v>0</v>
      </c>
      <c r="AT213" s="70">
        <f>AT212-AT211</f>
        <v>0</v>
      </c>
      <c r="AU213" s="70">
        <f>AU212-AU211</f>
        <v>0</v>
      </c>
      <c r="AV213" s="57">
        <f t="shared" si="126"/>
        <v>0</v>
      </c>
    </row>
    <row r="214" spans="1:48" s="644" customFormat="1" ht="20.65" customHeight="1">
      <c r="A214" s="210"/>
      <c r="B214" s="211"/>
      <c r="C214" s="60" t="s">
        <v>100</v>
      </c>
      <c r="D214" s="61" t="s">
        <v>101</v>
      </c>
      <c r="E214" s="1098"/>
      <c r="F214" s="1099"/>
      <c r="G214" s="1208"/>
      <c r="H214" s="1099"/>
      <c r="I214" s="1099"/>
      <c r="J214" s="1208"/>
      <c r="K214" s="1208"/>
      <c r="L214" s="1099"/>
      <c r="M214" s="1099"/>
      <c r="N214" s="1099"/>
      <c r="O214" s="1099"/>
      <c r="P214" s="1099"/>
      <c r="Q214" s="1208"/>
      <c r="R214" s="1208"/>
      <c r="S214" s="1099"/>
      <c r="T214" s="1099"/>
      <c r="U214" s="1099"/>
      <c r="V214" s="1099"/>
      <c r="W214" s="1099"/>
      <c r="X214" s="1208"/>
      <c r="Y214" s="1208"/>
      <c r="Z214" s="1099"/>
      <c r="AA214" s="1099"/>
      <c r="AB214" s="1099"/>
      <c r="AC214" s="1099"/>
      <c r="AD214" s="1099"/>
      <c r="AE214" s="1208"/>
      <c r="AF214" s="1208"/>
      <c r="AG214" s="1099"/>
      <c r="AH214" s="1099"/>
      <c r="AI214" s="1330"/>
      <c r="AJ214" s="664">
        <f>SUM(E214:AI214)</f>
        <v>0</v>
      </c>
      <c r="AK214" s="1004">
        <f t="shared" si="120"/>
        <v>0</v>
      </c>
      <c r="AL214" s="647">
        <f>+AJ214*AN210</f>
        <v>0</v>
      </c>
      <c r="AM214" s="1008">
        <f t="shared" si="121"/>
        <v>0</v>
      </c>
      <c r="AN214" s="64" t="e">
        <f>+AJ214/AJ212*100</f>
        <v>#DIV/0!</v>
      </c>
      <c r="AO214" s="635" t="e">
        <f>AO212/AO210</f>
        <v>#DIV/0!</v>
      </c>
      <c r="AP214" s="39" t="s">
        <v>102</v>
      </c>
      <c r="AQ214" s="56">
        <f>SUM(E214:K214)</f>
        <v>0</v>
      </c>
      <c r="AR214" s="70">
        <f>SUM(L214:R214)</f>
        <v>0</v>
      </c>
      <c r="AS214" s="70">
        <f>SUM(S214:Y214)</f>
        <v>0</v>
      </c>
      <c r="AT214" s="70">
        <f>SUM(Z214:AF214)</f>
        <v>0</v>
      </c>
      <c r="AU214" s="70">
        <f>SUM(AG214:AI214)</f>
        <v>0</v>
      </c>
      <c r="AV214" s="57">
        <f t="shared" si="126"/>
        <v>0</v>
      </c>
    </row>
    <row r="215" spans="1:48" s="644" customFormat="1" ht="20.65" customHeight="1">
      <c r="A215" s="210" t="s">
        <v>245</v>
      </c>
      <c r="B215" s="213"/>
      <c r="C215" s="66"/>
      <c r="D215" s="67" t="s">
        <v>103</v>
      </c>
      <c r="E215" s="1100"/>
      <c r="F215" s="1101"/>
      <c r="G215" s="1209"/>
      <c r="H215" s="1101"/>
      <c r="I215" s="1101"/>
      <c r="J215" s="1209"/>
      <c r="K215" s="1209"/>
      <c r="L215" s="1101"/>
      <c r="M215" s="1101"/>
      <c r="N215" s="1101"/>
      <c r="O215" s="1101"/>
      <c r="P215" s="1101"/>
      <c r="Q215" s="1209"/>
      <c r="R215" s="1209"/>
      <c r="S215" s="1101"/>
      <c r="T215" s="1101"/>
      <c r="U215" s="1101"/>
      <c r="V215" s="1101"/>
      <c r="W215" s="1101"/>
      <c r="X215" s="1209"/>
      <c r="Y215" s="1209"/>
      <c r="Z215" s="1101"/>
      <c r="AA215" s="1101"/>
      <c r="AB215" s="1101"/>
      <c r="AC215" s="1101"/>
      <c r="AD215" s="1101"/>
      <c r="AE215" s="1209"/>
      <c r="AF215" s="1209"/>
      <c r="AG215" s="1101"/>
      <c r="AH215" s="1101"/>
      <c r="AI215" s="1332"/>
      <c r="AJ215" s="665">
        <f>SUM(E215:AI215)</f>
        <v>0</v>
      </c>
      <c r="AK215" s="1004">
        <f t="shared" si="120"/>
        <v>0</v>
      </c>
      <c r="AL215" s="648">
        <f>+AJ215*AN209</f>
        <v>0</v>
      </c>
      <c r="AM215" s="1008">
        <f t="shared" si="121"/>
        <v>0</v>
      </c>
      <c r="AN215" s="31"/>
      <c r="AO215" s="622"/>
      <c r="AP215" s="39" t="s">
        <v>19</v>
      </c>
      <c r="AQ215" s="56">
        <f>AQ214*AN210</f>
        <v>0</v>
      </c>
      <c r="AR215" s="56">
        <f>AR214*AN210</f>
        <v>0</v>
      </c>
      <c r="AS215" s="56">
        <f>AS214*AN210</f>
        <v>0</v>
      </c>
      <c r="AT215" s="56">
        <f>AT214*AN210</f>
        <v>0</v>
      </c>
      <c r="AU215" s="56">
        <f>AU214*AN210</f>
        <v>0</v>
      </c>
      <c r="AV215" s="57">
        <f t="shared" si="126"/>
        <v>0</v>
      </c>
    </row>
    <row r="216" spans="1:48" s="644" customFormat="1" ht="20.65" customHeight="1">
      <c r="A216" s="210" t="s">
        <v>245</v>
      </c>
      <c r="B216" s="213"/>
      <c r="C216" s="72" t="s">
        <v>104</v>
      </c>
      <c r="D216" s="73" t="s">
        <v>105</v>
      </c>
      <c r="E216" s="1115"/>
      <c r="F216" s="1116"/>
      <c r="G216" s="1215"/>
      <c r="H216" s="1116"/>
      <c r="I216" s="1116"/>
      <c r="J216" s="1215"/>
      <c r="K216" s="1215"/>
      <c r="L216" s="1116"/>
      <c r="M216" s="1116"/>
      <c r="N216" s="1116"/>
      <c r="O216" s="1116"/>
      <c r="P216" s="1116"/>
      <c r="Q216" s="1215"/>
      <c r="R216" s="1215"/>
      <c r="S216" s="1116"/>
      <c r="T216" s="1116"/>
      <c r="U216" s="1116"/>
      <c r="V216" s="1116"/>
      <c r="W216" s="1116"/>
      <c r="X216" s="1215"/>
      <c r="Y216" s="1215"/>
      <c r="Z216" s="1116"/>
      <c r="AA216" s="1116"/>
      <c r="AB216" s="1116"/>
      <c r="AC216" s="1116"/>
      <c r="AD216" s="1116"/>
      <c r="AE216" s="1215"/>
      <c r="AF216" s="1215"/>
      <c r="AG216" s="1116"/>
      <c r="AH216" s="1116"/>
      <c r="AI216" s="1334"/>
      <c r="AJ216" s="731">
        <f>SUM(E216:AI216)</f>
        <v>0</v>
      </c>
      <c r="AK216" s="1004">
        <f t="shared" si="120"/>
        <v>0</v>
      </c>
      <c r="AL216" s="653">
        <f>+AJ216*AN210</f>
        <v>0</v>
      </c>
      <c r="AM216" s="1008">
        <f t="shared" si="121"/>
        <v>0</v>
      </c>
      <c r="AN216" s="31"/>
      <c r="AO216" s="622"/>
      <c r="AP216" s="47" t="s">
        <v>106</v>
      </c>
      <c r="AQ216" s="48">
        <f>AQ212*AN210</f>
        <v>0</v>
      </c>
      <c r="AR216" s="48">
        <f>AR212*AN210</f>
        <v>0</v>
      </c>
      <c r="AS216" s="48">
        <f>AS212*AN210</f>
        <v>0</v>
      </c>
      <c r="AT216" s="48">
        <f>AT212*AN210</f>
        <v>0</v>
      </c>
      <c r="AU216" s="48">
        <f>AU212*AN210</f>
        <v>0</v>
      </c>
      <c r="AV216" s="50">
        <f t="shared" si="126"/>
        <v>0</v>
      </c>
    </row>
    <row r="217" spans="1:48" s="644" customFormat="1" ht="20.65" customHeight="1">
      <c r="A217" s="212"/>
      <c r="B217" s="89"/>
      <c r="C217" s="77">
        <v>300000</v>
      </c>
      <c r="D217" s="78" t="s">
        <v>107</v>
      </c>
      <c r="E217" s="1137">
        <v>4</v>
      </c>
      <c r="F217" s="1097">
        <v>4</v>
      </c>
      <c r="G217" s="1205">
        <v>4</v>
      </c>
      <c r="H217" s="1097">
        <v>4</v>
      </c>
      <c r="I217" s="1097">
        <v>4</v>
      </c>
      <c r="J217" s="1205">
        <v>4</v>
      </c>
      <c r="K217" s="1205">
        <v>4</v>
      </c>
      <c r="L217" s="1097">
        <v>4</v>
      </c>
      <c r="M217" s="1097">
        <v>4</v>
      </c>
      <c r="N217" s="1097">
        <v>4</v>
      </c>
      <c r="O217" s="1097">
        <v>4</v>
      </c>
      <c r="P217" s="1097">
        <v>4</v>
      </c>
      <c r="Q217" s="1205">
        <v>4</v>
      </c>
      <c r="R217" s="1205">
        <v>4</v>
      </c>
      <c r="S217" s="1097">
        <v>4</v>
      </c>
      <c r="T217" s="1097">
        <v>4</v>
      </c>
      <c r="U217" s="1097">
        <v>4</v>
      </c>
      <c r="V217" s="1097">
        <v>4</v>
      </c>
      <c r="W217" s="1097">
        <v>4</v>
      </c>
      <c r="X217" s="1205">
        <v>4</v>
      </c>
      <c r="Y217" s="1205">
        <v>4</v>
      </c>
      <c r="Z217" s="1097">
        <v>4</v>
      </c>
      <c r="AA217" s="1097">
        <v>4</v>
      </c>
      <c r="AB217" s="1097">
        <v>4</v>
      </c>
      <c r="AC217" s="1097">
        <v>4</v>
      </c>
      <c r="AD217" s="1097">
        <v>4</v>
      </c>
      <c r="AE217" s="1205">
        <v>4</v>
      </c>
      <c r="AF217" s="1205">
        <v>4</v>
      </c>
      <c r="AG217" s="1097">
        <v>4</v>
      </c>
      <c r="AH217" s="1097">
        <v>4</v>
      </c>
      <c r="AI217" s="1328">
        <v>4</v>
      </c>
      <c r="AJ217" s="663"/>
      <c r="AK217" s="1004">
        <f t="shared" si="120"/>
        <v>0</v>
      </c>
      <c r="AL217" s="646"/>
      <c r="AM217" s="1007">
        <f t="shared" si="121"/>
        <v>0</v>
      </c>
      <c r="AN217" s="31"/>
      <c r="AO217" s="622"/>
      <c r="AP217" s="47"/>
      <c r="AQ217" s="48"/>
      <c r="AR217" s="48"/>
      <c r="AS217" s="48"/>
      <c r="AT217" s="48"/>
      <c r="AU217" s="48"/>
      <c r="AV217" s="214"/>
    </row>
    <row r="218" spans="1:48" s="644" customFormat="1" ht="20.65" customHeight="1">
      <c r="A218" s="210"/>
      <c r="B218" s="89"/>
      <c r="C218" s="80" t="s">
        <v>108</v>
      </c>
      <c r="D218" s="81" t="s">
        <v>109</v>
      </c>
      <c r="E218" s="1125">
        <f t="shared" ref="E218:AI218" si="128">SUM(E212+E214+E216)/E217</f>
        <v>0</v>
      </c>
      <c r="F218" s="1126">
        <f t="shared" si="128"/>
        <v>0</v>
      </c>
      <c r="G218" s="1235">
        <f t="shared" si="128"/>
        <v>0</v>
      </c>
      <c r="H218" s="1126">
        <f t="shared" si="128"/>
        <v>0</v>
      </c>
      <c r="I218" s="1126">
        <f t="shared" si="128"/>
        <v>0</v>
      </c>
      <c r="J218" s="1235">
        <f t="shared" si="128"/>
        <v>0</v>
      </c>
      <c r="K218" s="1235">
        <f t="shared" si="128"/>
        <v>0</v>
      </c>
      <c r="L218" s="1126">
        <f t="shared" si="128"/>
        <v>0</v>
      </c>
      <c r="M218" s="1126">
        <f t="shared" si="128"/>
        <v>0</v>
      </c>
      <c r="N218" s="1126">
        <f t="shared" si="128"/>
        <v>0</v>
      </c>
      <c r="O218" s="1126">
        <f t="shared" si="128"/>
        <v>0</v>
      </c>
      <c r="P218" s="1126">
        <f t="shared" si="128"/>
        <v>0</v>
      </c>
      <c r="Q218" s="1235">
        <f t="shared" si="128"/>
        <v>0</v>
      </c>
      <c r="R218" s="1235">
        <f t="shared" si="128"/>
        <v>0</v>
      </c>
      <c r="S218" s="1126">
        <f t="shared" si="128"/>
        <v>0</v>
      </c>
      <c r="T218" s="1126">
        <f t="shared" si="128"/>
        <v>0</v>
      </c>
      <c r="U218" s="1126">
        <f t="shared" si="128"/>
        <v>0</v>
      </c>
      <c r="V218" s="1126">
        <f t="shared" si="128"/>
        <v>0</v>
      </c>
      <c r="W218" s="1126">
        <f t="shared" si="128"/>
        <v>0</v>
      </c>
      <c r="X218" s="1235">
        <f t="shared" si="128"/>
        <v>0</v>
      </c>
      <c r="Y218" s="1235">
        <f t="shared" si="128"/>
        <v>0</v>
      </c>
      <c r="Z218" s="1126">
        <f t="shared" si="128"/>
        <v>0</v>
      </c>
      <c r="AA218" s="1126">
        <f t="shared" si="128"/>
        <v>0</v>
      </c>
      <c r="AB218" s="1126">
        <f t="shared" si="128"/>
        <v>0</v>
      </c>
      <c r="AC218" s="1126">
        <f t="shared" si="128"/>
        <v>0</v>
      </c>
      <c r="AD218" s="1126">
        <f t="shared" si="128"/>
        <v>0</v>
      </c>
      <c r="AE218" s="1235">
        <f>SUM(AE212+AE214+AE216)/AE217</f>
        <v>0</v>
      </c>
      <c r="AF218" s="1235">
        <f>SUM(AF212+AF214+AF216)/AF217</f>
        <v>0</v>
      </c>
      <c r="AG218" s="1126">
        <f>SUM(AG212+AG214+AG216)/AG217</f>
        <v>0</v>
      </c>
      <c r="AH218" s="1126">
        <f t="shared" si="128"/>
        <v>0</v>
      </c>
      <c r="AI218" s="1335">
        <f t="shared" si="128"/>
        <v>0</v>
      </c>
      <c r="AJ218" s="104">
        <f>SUM(E218:AI218)</f>
        <v>0</v>
      </c>
      <c r="AK218" s="993">
        <f t="shared" si="120"/>
        <v>0</v>
      </c>
      <c r="AL218" s="650"/>
      <c r="AM218" s="1008">
        <f t="shared" si="121"/>
        <v>0</v>
      </c>
      <c r="AN218" s="31"/>
      <c r="AO218" s="622"/>
      <c r="AP218" s="651"/>
      <c r="AQ218" s="651"/>
      <c r="AR218" s="651"/>
      <c r="AS218" s="651"/>
      <c r="AT218" s="651"/>
      <c r="AU218" s="651"/>
      <c r="AV218" s="651"/>
    </row>
    <row r="219" spans="1:48" s="644" customFormat="1" ht="20.65" customHeight="1">
      <c r="A219" s="215"/>
      <c r="B219" s="89"/>
      <c r="C219" s="84">
        <f>+C217*0.8</f>
        <v>240000</v>
      </c>
      <c r="D219" s="85" t="s">
        <v>110</v>
      </c>
      <c r="E219" s="1105"/>
      <c r="F219" s="1104"/>
      <c r="G219" s="1211"/>
      <c r="H219" s="1104"/>
      <c r="I219" s="1104"/>
      <c r="J219" s="1211"/>
      <c r="K219" s="1211"/>
      <c r="L219" s="1104"/>
      <c r="M219" s="1104"/>
      <c r="N219" s="1104"/>
      <c r="O219" s="1104"/>
      <c r="P219" s="1104"/>
      <c r="Q219" s="1211"/>
      <c r="R219" s="1211"/>
      <c r="S219" s="1104"/>
      <c r="T219" s="1104"/>
      <c r="U219" s="1104"/>
      <c r="V219" s="1104"/>
      <c r="W219" s="1104"/>
      <c r="X219" s="1211"/>
      <c r="Y219" s="1211"/>
      <c r="Z219" s="1104"/>
      <c r="AA219" s="1104"/>
      <c r="AB219" s="1104"/>
      <c r="AC219" s="1104"/>
      <c r="AD219" s="1104"/>
      <c r="AE219" s="1211"/>
      <c r="AF219" s="1211"/>
      <c r="AG219" s="1104"/>
      <c r="AH219" s="1104"/>
      <c r="AI219" s="1353"/>
      <c r="AJ219" s="729"/>
      <c r="AK219" s="1004">
        <f t="shared" si="120"/>
        <v>0</v>
      </c>
      <c r="AL219" s="647"/>
      <c r="AM219" s="1008">
        <f t="shared" si="121"/>
        <v>0</v>
      </c>
      <c r="AN219" s="31"/>
      <c r="AO219" s="622"/>
      <c r="AP219" s="651"/>
      <c r="AQ219" s="651"/>
      <c r="AR219" s="651"/>
      <c r="AS219" s="651"/>
      <c r="AT219" s="651"/>
      <c r="AU219" s="651"/>
      <c r="AV219" s="651"/>
    </row>
    <row r="220" spans="1:48" s="644" customFormat="1" ht="20.65" customHeight="1">
      <c r="A220" s="215"/>
      <c r="B220" s="89"/>
      <c r="C220" s="77"/>
      <c r="D220" s="88" t="s">
        <v>111</v>
      </c>
      <c r="E220" s="1125">
        <f>IF(E219="O/H",E218,+E218)</f>
        <v>0</v>
      </c>
      <c r="F220" s="1126">
        <f>IF(F219="O/H",F218,+E220+F218)</f>
        <v>0</v>
      </c>
      <c r="G220" s="1235">
        <f t="shared" ref="G220:AI220" si="129">IF(G219="O/H",G218,+F220+G218)</f>
        <v>0</v>
      </c>
      <c r="H220" s="1126">
        <f t="shared" si="129"/>
        <v>0</v>
      </c>
      <c r="I220" s="1126">
        <f t="shared" si="129"/>
        <v>0</v>
      </c>
      <c r="J220" s="1235">
        <f t="shared" si="129"/>
        <v>0</v>
      </c>
      <c r="K220" s="1235">
        <f t="shared" si="129"/>
        <v>0</v>
      </c>
      <c r="L220" s="1126">
        <f t="shared" si="129"/>
        <v>0</v>
      </c>
      <c r="M220" s="1126">
        <f t="shared" si="129"/>
        <v>0</v>
      </c>
      <c r="N220" s="1126">
        <f t="shared" si="129"/>
        <v>0</v>
      </c>
      <c r="O220" s="1126">
        <f t="shared" si="129"/>
        <v>0</v>
      </c>
      <c r="P220" s="1126">
        <f t="shared" si="129"/>
        <v>0</v>
      </c>
      <c r="Q220" s="1235">
        <f t="shared" si="129"/>
        <v>0</v>
      </c>
      <c r="R220" s="1235">
        <f t="shared" si="129"/>
        <v>0</v>
      </c>
      <c r="S220" s="1126">
        <f t="shared" si="129"/>
        <v>0</v>
      </c>
      <c r="T220" s="1126">
        <f t="shared" si="129"/>
        <v>0</v>
      </c>
      <c r="U220" s="1126">
        <f t="shared" si="129"/>
        <v>0</v>
      </c>
      <c r="V220" s="1126">
        <f t="shared" si="129"/>
        <v>0</v>
      </c>
      <c r="W220" s="1126">
        <f t="shared" si="129"/>
        <v>0</v>
      </c>
      <c r="X220" s="1235">
        <f t="shared" si="129"/>
        <v>0</v>
      </c>
      <c r="Y220" s="1235">
        <f t="shared" si="129"/>
        <v>0</v>
      </c>
      <c r="Z220" s="1126">
        <f t="shared" si="129"/>
        <v>0</v>
      </c>
      <c r="AA220" s="1126">
        <f t="shared" si="129"/>
        <v>0</v>
      </c>
      <c r="AB220" s="1126">
        <f t="shared" si="129"/>
        <v>0</v>
      </c>
      <c r="AC220" s="1126">
        <f t="shared" si="129"/>
        <v>0</v>
      </c>
      <c r="AD220" s="1126">
        <f t="shared" si="129"/>
        <v>0</v>
      </c>
      <c r="AE220" s="1235">
        <f t="shared" si="129"/>
        <v>0</v>
      </c>
      <c r="AF220" s="1235">
        <f t="shared" si="129"/>
        <v>0</v>
      </c>
      <c r="AG220" s="1126">
        <f t="shared" si="129"/>
        <v>0</v>
      </c>
      <c r="AH220" s="1126">
        <f t="shared" si="129"/>
        <v>0</v>
      </c>
      <c r="AI220" s="1335">
        <f t="shared" si="129"/>
        <v>0</v>
      </c>
      <c r="AJ220" s="104"/>
      <c r="AK220" s="993">
        <f t="shared" si="120"/>
        <v>0</v>
      </c>
      <c r="AL220" s="650"/>
      <c r="AM220" s="1008">
        <f t="shared" si="121"/>
        <v>0</v>
      </c>
      <c r="AN220" s="31"/>
      <c r="AO220" s="622"/>
      <c r="AP220" s="651"/>
      <c r="AQ220" s="651"/>
      <c r="AR220" s="651"/>
      <c r="AS220" s="651"/>
      <c r="AT220" s="651"/>
      <c r="AU220" s="651"/>
      <c r="AV220" s="651"/>
    </row>
    <row r="221" spans="1:48" s="644" customFormat="1" ht="20.65" customHeight="1">
      <c r="A221" s="215" t="s">
        <v>242</v>
      </c>
      <c r="B221" s="89" t="s">
        <v>315</v>
      </c>
      <c r="C221" s="80"/>
      <c r="D221" s="90" t="s">
        <v>104</v>
      </c>
      <c r="E221" s="1137"/>
      <c r="F221" s="1097"/>
      <c r="G221" s="1205"/>
      <c r="H221" s="1097"/>
      <c r="I221" s="1097"/>
      <c r="J221" s="1205"/>
      <c r="K221" s="1205"/>
      <c r="L221" s="1097"/>
      <c r="M221" s="1097"/>
      <c r="N221" s="1097"/>
      <c r="O221" s="1097"/>
      <c r="P221" s="1097"/>
      <c r="Q221" s="1205"/>
      <c r="R221" s="1205"/>
      <c r="S221" s="1097"/>
      <c r="T221" s="1097"/>
      <c r="U221" s="1097"/>
      <c r="V221" s="1097"/>
      <c r="W221" s="1097"/>
      <c r="X221" s="1205"/>
      <c r="Y221" s="1205"/>
      <c r="Z221" s="1097"/>
      <c r="AA221" s="1097"/>
      <c r="AB221" s="1097"/>
      <c r="AC221" s="1097"/>
      <c r="AD221" s="1097"/>
      <c r="AE221" s="1205"/>
      <c r="AF221" s="1205"/>
      <c r="AG221" s="1097"/>
      <c r="AH221" s="1097"/>
      <c r="AI221" s="1328"/>
      <c r="AJ221" s="664"/>
      <c r="AK221" s="1004">
        <f t="shared" si="120"/>
        <v>0</v>
      </c>
      <c r="AL221" s="646"/>
      <c r="AM221" s="1007">
        <f t="shared" si="121"/>
        <v>0</v>
      </c>
      <c r="AN221" s="31"/>
      <c r="AO221" s="622"/>
      <c r="AP221" s="651"/>
      <c r="AQ221" s="651"/>
      <c r="AR221" s="651"/>
      <c r="AS221" s="651"/>
      <c r="AT221" s="651"/>
      <c r="AU221" s="651"/>
      <c r="AV221" s="651"/>
    </row>
    <row r="222" spans="1:48" s="644" customFormat="1" ht="20.65" customHeight="1" thickBot="1">
      <c r="A222" s="216" t="s">
        <v>242</v>
      </c>
      <c r="B222" s="93"/>
      <c r="C222" s="94"/>
      <c r="D222" s="230" t="s">
        <v>258</v>
      </c>
      <c r="E222" s="1453">
        <f>IF(E221="O/H",E218,+E218)</f>
        <v>0</v>
      </c>
      <c r="F222" s="1128">
        <f t="shared" ref="F222:AI222" si="130">IF(F221="O/H",F218,+E222+F218)</f>
        <v>0</v>
      </c>
      <c r="G222" s="1303">
        <f t="shared" si="130"/>
        <v>0</v>
      </c>
      <c r="H222" s="1128">
        <f t="shared" si="130"/>
        <v>0</v>
      </c>
      <c r="I222" s="1128">
        <f t="shared" si="130"/>
        <v>0</v>
      </c>
      <c r="J222" s="1303">
        <f t="shared" si="130"/>
        <v>0</v>
      </c>
      <c r="K222" s="1303">
        <f t="shared" si="130"/>
        <v>0</v>
      </c>
      <c r="L222" s="1128">
        <f t="shared" si="130"/>
        <v>0</v>
      </c>
      <c r="M222" s="1128">
        <f t="shared" si="130"/>
        <v>0</v>
      </c>
      <c r="N222" s="1128">
        <f t="shared" si="130"/>
        <v>0</v>
      </c>
      <c r="O222" s="1128">
        <f t="shared" si="130"/>
        <v>0</v>
      </c>
      <c r="P222" s="1128">
        <f t="shared" si="130"/>
        <v>0</v>
      </c>
      <c r="Q222" s="1303">
        <f t="shared" si="130"/>
        <v>0</v>
      </c>
      <c r="R222" s="1303">
        <f t="shared" si="130"/>
        <v>0</v>
      </c>
      <c r="S222" s="1128">
        <f t="shared" si="130"/>
        <v>0</v>
      </c>
      <c r="T222" s="1128">
        <f t="shared" si="130"/>
        <v>0</v>
      </c>
      <c r="U222" s="1128">
        <f t="shared" si="130"/>
        <v>0</v>
      </c>
      <c r="V222" s="1128">
        <f t="shared" si="130"/>
        <v>0</v>
      </c>
      <c r="W222" s="1128">
        <f t="shared" si="130"/>
        <v>0</v>
      </c>
      <c r="X222" s="1303">
        <f t="shared" si="130"/>
        <v>0</v>
      </c>
      <c r="Y222" s="1303">
        <f t="shared" si="130"/>
        <v>0</v>
      </c>
      <c r="Z222" s="1128">
        <f t="shared" si="130"/>
        <v>0</v>
      </c>
      <c r="AA222" s="1128">
        <f t="shared" si="130"/>
        <v>0</v>
      </c>
      <c r="AB222" s="1128">
        <f t="shared" si="130"/>
        <v>0</v>
      </c>
      <c r="AC222" s="1128">
        <f t="shared" si="130"/>
        <v>0</v>
      </c>
      <c r="AD222" s="1128">
        <f t="shared" si="130"/>
        <v>0</v>
      </c>
      <c r="AE222" s="1303">
        <f t="shared" si="130"/>
        <v>0</v>
      </c>
      <c r="AF222" s="1303">
        <f t="shared" si="130"/>
        <v>0</v>
      </c>
      <c r="AG222" s="1128">
        <f t="shared" si="130"/>
        <v>0</v>
      </c>
      <c r="AH222" s="1128">
        <f t="shared" si="130"/>
        <v>0</v>
      </c>
      <c r="AI222" s="1454">
        <f t="shared" si="130"/>
        <v>0</v>
      </c>
      <c r="AJ222" s="730"/>
      <c r="AK222" s="1005">
        <f t="shared" si="120"/>
        <v>0</v>
      </c>
      <c r="AL222" s="652"/>
      <c r="AM222" s="1009">
        <f t="shared" si="121"/>
        <v>0</v>
      </c>
      <c r="AN222" s="98"/>
      <c r="AO222" s="625"/>
      <c r="AP222" s="651"/>
      <c r="AQ222" s="651"/>
      <c r="AR222" s="651"/>
      <c r="AS222" s="651"/>
      <c r="AT222" s="651"/>
      <c r="AU222" s="651"/>
      <c r="AV222" s="651"/>
    </row>
    <row r="223" spans="1:48" s="644" customFormat="1" ht="20.65" customHeight="1" thickTop="1">
      <c r="A223" s="943" t="s">
        <v>610</v>
      </c>
      <c r="B223" s="219" t="s">
        <v>690</v>
      </c>
      <c r="C223" s="1495" t="str">
        <f>Table511[[#This Row],[M/C No.]]</f>
        <v>A12(50Ton)</v>
      </c>
      <c r="D223" s="28" t="s">
        <v>82</v>
      </c>
      <c r="E223" s="1124"/>
      <c r="F223" s="1124"/>
      <c r="G223" s="1242"/>
      <c r="H223" s="1124"/>
      <c r="I223" s="1124"/>
      <c r="J223" s="1242"/>
      <c r="K223" s="1242"/>
      <c r="L223" s="1124"/>
      <c r="M223" s="1124"/>
      <c r="N223" s="1124"/>
      <c r="O223" s="1124"/>
      <c r="P223" s="1124"/>
      <c r="Q223" s="1242"/>
      <c r="R223" s="1242"/>
      <c r="S223" s="1124"/>
      <c r="T223" s="1124"/>
      <c r="U223" s="1124"/>
      <c r="V223" s="1124"/>
      <c r="W223" s="1124"/>
      <c r="X223" s="1242"/>
      <c r="Y223" s="1242"/>
      <c r="Z223" s="1124"/>
      <c r="AA223" s="1124"/>
      <c r="AB223" s="1124"/>
      <c r="AC223" s="1124"/>
      <c r="AD223" s="1124"/>
      <c r="AE223" s="1242"/>
      <c r="AF223" s="1242"/>
      <c r="AG223" s="1124"/>
      <c r="AH223" s="1124"/>
      <c r="AI223" s="1350"/>
      <c r="AJ223" s="570">
        <f>SUM(E223:AI223)</f>
        <v>0</v>
      </c>
      <c r="AK223" s="991">
        <f t="shared" si="120"/>
        <v>0</v>
      </c>
      <c r="AL223" s="571">
        <f>+AJ223*AN223</f>
        <v>0</v>
      </c>
      <c r="AM223" s="1002">
        <f t="shared" si="121"/>
        <v>0</v>
      </c>
      <c r="AN223" s="102">
        <v>40.192430000000002</v>
      </c>
      <c r="AO223" s="622">
        <f>Table511[[#This Row],[Total]]*B227/1000</f>
        <v>0</v>
      </c>
      <c r="AP223" s="32" t="s">
        <v>301</v>
      </c>
      <c r="AQ223" s="33" t="s">
        <v>84</v>
      </c>
      <c r="AR223" s="33" t="s">
        <v>85</v>
      </c>
      <c r="AS223" s="33" t="s">
        <v>86</v>
      </c>
      <c r="AT223" s="33" t="s">
        <v>87</v>
      </c>
      <c r="AU223" s="33" t="s">
        <v>88</v>
      </c>
      <c r="AV223" s="34" t="s">
        <v>68</v>
      </c>
    </row>
    <row r="224" spans="1:48" s="644" customFormat="1" ht="20.65" customHeight="1">
      <c r="A224" s="639"/>
      <c r="B224" s="219" t="s">
        <v>316</v>
      </c>
      <c r="C224" s="640"/>
      <c r="D224" s="37" t="s">
        <v>90</v>
      </c>
      <c r="E224" s="1323">
        <f>IF(E223="",0,+ E223/E230)</f>
        <v>0</v>
      </c>
      <c r="F224" s="1096">
        <f t="shared" ref="F224:AC224" si="131">IF(F223="",0, E224+F223/F230)</f>
        <v>0</v>
      </c>
      <c r="G224" s="1207">
        <f t="shared" si="131"/>
        <v>0</v>
      </c>
      <c r="H224" s="1096">
        <f t="shared" si="131"/>
        <v>0</v>
      </c>
      <c r="I224" s="1096">
        <f t="shared" si="131"/>
        <v>0</v>
      </c>
      <c r="J224" s="1207">
        <f t="shared" si="131"/>
        <v>0</v>
      </c>
      <c r="K224" s="1207">
        <f t="shared" si="131"/>
        <v>0</v>
      </c>
      <c r="L224" s="1096">
        <f t="shared" si="131"/>
        <v>0</v>
      </c>
      <c r="M224" s="1096">
        <f t="shared" si="131"/>
        <v>0</v>
      </c>
      <c r="N224" s="1096">
        <f t="shared" si="131"/>
        <v>0</v>
      </c>
      <c r="O224" s="1096">
        <f t="shared" si="131"/>
        <v>0</v>
      </c>
      <c r="P224" s="1096">
        <f t="shared" si="131"/>
        <v>0</v>
      </c>
      <c r="Q224" s="1207">
        <f t="shared" si="131"/>
        <v>0</v>
      </c>
      <c r="R224" s="1207">
        <f t="shared" si="131"/>
        <v>0</v>
      </c>
      <c r="S224" s="1096">
        <f t="shared" si="131"/>
        <v>0</v>
      </c>
      <c r="T224" s="1096">
        <f t="shared" si="131"/>
        <v>0</v>
      </c>
      <c r="U224" s="1096">
        <f t="shared" si="131"/>
        <v>0</v>
      </c>
      <c r="V224" s="1096">
        <f t="shared" si="131"/>
        <v>0</v>
      </c>
      <c r="W224" s="1096">
        <f t="shared" si="131"/>
        <v>0</v>
      </c>
      <c r="X224" s="1207">
        <f t="shared" si="131"/>
        <v>0</v>
      </c>
      <c r="Y224" s="1207">
        <f t="shared" si="131"/>
        <v>0</v>
      </c>
      <c r="Z224" s="1096">
        <f t="shared" si="131"/>
        <v>0</v>
      </c>
      <c r="AA224" s="1096">
        <f t="shared" si="131"/>
        <v>0</v>
      </c>
      <c r="AB224" s="1096">
        <f t="shared" si="131"/>
        <v>0</v>
      </c>
      <c r="AC224" s="1096">
        <f t="shared" si="131"/>
        <v>0</v>
      </c>
      <c r="AD224" s="1096">
        <f>IF(AD223="",0, Z224+AD223/AD230)</f>
        <v>0</v>
      </c>
      <c r="AE224" s="1207">
        <f>IF(AE223="",0, AA224+AE223/AE230)</f>
        <v>0</v>
      </c>
      <c r="AF224" s="1207">
        <f>IF(AF223="",0, AB224+AF223/AF230)</f>
        <v>0</v>
      </c>
      <c r="AG224" s="1096">
        <f>IF(AG223="",0, AC224+AG223/AG230)</f>
        <v>0</v>
      </c>
      <c r="AH224" s="1096">
        <f>IF(AH223="",0, AD224+AH223/AH230)</f>
        <v>0</v>
      </c>
      <c r="AI224" s="1324">
        <f>IF(AI223="",0, AH224+AI223/AI230)</f>
        <v>0</v>
      </c>
      <c r="AJ224" s="728"/>
      <c r="AK224" s="1003">
        <f t="shared" si="120"/>
        <v>0</v>
      </c>
      <c r="AL224" s="641"/>
      <c r="AM224" s="1006">
        <f t="shared" si="121"/>
        <v>0</v>
      </c>
      <c r="AN224" s="642"/>
      <c r="AO224" s="630"/>
      <c r="AP224" s="39" t="s">
        <v>91</v>
      </c>
      <c r="AQ224" s="40">
        <f>SUM(E223:I223)</f>
        <v>0</v>
      </c>
      <c r="AR224" s="41">
        <f>SUM(J223:P223)</f>
        <v>0</v>
      </c>
      <c r="AS224" s="41">
        <f>SUM(Q223:W223)</f>
        <v>0</v>
      </c>
      <c r="AT224" s="41">
        <f>SUM(X223:AD223)</f>
        <v>0</v>
      </c>
      <c r="AU224" s="41">
        <f>SUM(AE223:AG223)</f>
        <v>0</v>
      </c>
      <c r="AV224" s="34">
        <f t="shared" ref="AV224:AV229" si="132">SUM(AQ224:AU224)</f>
        <v>0</v>
      </c>
    </row>
    <row r="225" spans="1:48" s="644" customFormat="1" ht="20.65" customHeight="1">
      <c r="A225" s="210"/>
      <c r="B225" s="211" t="s">
        <v>263</v>
      </c>
      <c r="C225" s="42"/>
      <c r="D225" s="43" t="s">
        <v>93</v>
      </c>
      <c r="E225" s="1325"/>
      <c r="F225" s="1089"/>
      <c r="G225" s="44"/>
      <c r="H225" s="1089"/>
      <c r="I225" s="1089"/>
      <c r="J225" s="44"/>
      <c r="K225" s="44"/>
      <c r="L225" s="1089"/>
      <c r="M225" s="1089"/>
      <c r="N225" s="1089"/>
      <c r="O225" s="1089"/>
      <c r="P225" s="1089"/>
      <c r="Q225" s="44"/>
      <c r="R225" s="44"/>
      <c r="S225" s="1089"/>
      <c r="T225" s="1089"/>
      <c r="U225" s="1089"/>
      <c r="V225" s="1089"/>
      <c r="W225" s="1089"/>
      <c r="X225" s="44"/>
      <c r="Y225" s="44"/>
      <c r="Z225" s="1089"/>
      <c r="AA225" s="1089"/>
      <c r="AB225" s="1089"/>
      <c r="AC225" s="1089"/>
      <c r="AD225" s="1089"/>
      <c r="AE225" s="44"/>
      <c r="AF225" s="44"/>
      <c r="AG225" s="1089"/>
      <c r="AH225" s="1089"/>
      <c r="AI225" s="1326"/>
      <c r="AJ225" s="662">
        <f>SUM(E225:AI225)</f>
        <v>0</v>
      </c>
      <c r="AK225" s="1004">
        <f t="shared" si="120"/>
        <v>0</v>
      </c>
      <c r="AL225" s="645">
        <f>+AJ225*AN223</f>
        <v>0</v>
      </c>
      <c r="AM225" s="1007">
        <f t="shared" si="121"/>
        <v>0</v>
      </c>
      <c r="AN225" s="31"/>
      <c r="AO225" s="632">
        <f>(AJ225+AJ227+AJ228+AJ229)*B227/1000</f>
        <v>0</v>
      </c>
      <c r="AP225" s="47" t="s">
        <v>94</v>
      </c>
      <c r="AQ225" s="48">
        <f>SUM(E225:I225)</f>
        <v>0</v>
      </c>
      <c r="AR225" s="49">
        <f>SUM(J225:P225)</f>
        <v>0</v>
      </c>
      <c r="AS225" s="49">
        <f>SUM(Q225:W225)</f>
        <v>0</v>
      </c>
      <c r="AT225" s="49">
        <f>SUM(X225:AD225)</f>
        <v>0</v>
      </c>
      <c r="AU225" s="49">
        <f>SUM(AE225:AG225)</f>
        <v>0</v>
      </c>
      <c r="AV225" s="50">
        <f t="shared" si="132"/>
        <v>0</v>
      </c>
    </row>
    <row r="226" spans="1:48" s="644" customFormat="1" ht="20.65" customHeight="1">
      <c r="A226" s="210"/>
      <c r="B226" s="799" t="s">
        <v>247</v>
      </c>
      <c r="C226" s="52" t="s">
        <v>95</v>
      </c>
      <c r="D226" s="53" t="s">
        <v>96</v>
      </c>
      <c r="E226" s="1327">
        <f t="shared" ref="E226" si="133">+E225-E223</f>
        <v>0</v>
      </c>
      <c r="F226" s="1097">
        <f>+F225-F223</f>
        <v>0</v>
      </c>
      <c r="G226" s="1205">
        <f>+G225-G223</f>
        <v>0</v>
      </c>
      <c r="H226" s="1097">
        <f t="shared" ref="H226:AJ226" si="134">+H225-H223</f>
        <v>0</v>
      </c>
      <c r="I226" s="1097">
        <f t="shared" si="134"/>
        <v>0</v>
      </c>
      <c r="J226" s="1205">
        <f t="shared" si="134"/>
        <v>0</v>
      </c>
      <c r="K226" s="1205">
        <f t="shared" si="134"/>
        <v>0</v>
      </c>
      <c r="L226" s="1097">
        <f t="shared" si="134"/>
        <v>0</v>
      </c>
      <c r="M226" s="1097">
        <f t="shared" si="134"/>
        <v>0</v>
      </c>
      <c r="N226" s="1097">
        <f t="shared" si="134"/>
        <v>0</v>
      </c>
      <c r="O226" s="1097">
        <f t="shared" ref="O226:Q226" si="135">+O225-O223</f>
        <v>0</v>
      </c>
      <c r="P226" s="1097">
        <f t="shared" si="135"/>
        <v>0</v>
      </c>
      <c r="Q226" s="1205">
        <f t="shared" si="135"/>
        <v>0</v>
      </c>
      <c r="R226" s="1205">
        <f t="shared" si="134"/>
        <v>0</v>
      </c>
      <c r="S226" s="1097">
        <f t="shared" si="134"/>
        <v>0</v>
      </c>
      <c r="T226" s="1097">
        <f t="shared" si="134"/>
        <v>0</v>
      </c>
      <c r="U226" s="1097">
        <f t="shared" si="134"/>
        <v>0</v>
      </c>
      <c r="V226" s="1097">
        <f t="shared" si="134"/>
        <v>0</v>
      </c>
      <c r="W226" s="1097">
        <f t="shared" si="134"/>
        <v>0</v>
      </c>
      <c r="X226" s="1205">
        <f t="shared" si="134"/>
        <v>0</v>
      </c>
      <c r="Y226" s="1205">
        <f t="shared" si="134"/>
        <v>0</v>
      </c>
      <c r="Z226" s="1097">
        <f t="shared" si="134"/>
        <v>0</v>
      </c>
      <c r="AA226" s="1097">
        <f t="shared" si="134"/>
        <v>0</v>
      </c>
      <c r="AB226" s="1097">
        <f t="shared" si="134"/>
        <v>0</v>
      </c>
      <c r="AC226" s="1097">
        <f t="shared" si="134"/>
        <v>0</v>
      </c>
      <c r="AD226" s="1097">
        <f t="shared" si="134"/>
        <v>0</v>
      </c>
      <c r="AE226" s="1205">
        <f t="shared" si="134"/>
        <v>0</v>
      </c>
      <c r="AF226" s="1205">
        <f t="shared" si="134"/>
        <v>0</v>
      </c>
      <c r="AG226" s="1097">
        <f t="shared" si="134"/>
        <v>0</v>
      </c>
      <c r="AH226" s="1097">
        <f t="shared" si="134"/>
        <v>0</v>
      </c>
      <c r="AI226" s="1328">
        <f t="shared" si="134"/>
        <v>0</v>
      </c>
      <c r="AJ226" s="663">
        <f t="shared" si="134"/>
        <v>0</v>
      </c>
      <c r="AK226" s="1004">
        <f t="shared" si="120"/>
        <v>0</v>
      </c>
      <c r="AL226" s="646">
        <f>+AJ226*AN223</f>
        <v>0</v>
      </c>
      <c r="AM226" s="1007">
        <f t="shared" si="121"/>
        <v>0</v>
      </c>
      <c r="AN226" s="31" t="s">
        <v>97</v>
      </c>
      <c r="AO226" s="622"/>
      <c r="AP226" s="39" t="s">
        <v>98</v>
      </c>
      <c r="AQ226" s="56">
        <f>AQ225-AQ224</f>
        <v>0</v>
      </c>
      <c r="AR226" s="70">
        <f>AR225-AR224</f>
        <v>0</v>
      </c>
      <c r="AS226" s="70">
        <f>AS225-AS224</f>
        <v>0</v>
      </c>
      <c r="AT226" s="70">
        <f>AT225-AT224</f>
        <v>0</v>
      </c>
      <c r="AU226" s="70">
        <f>AU225-AU224</f>
        <v>0</v>
      </c>
      <c r="AV226" s="57">
        <f t="shared" si="132"/>
        <v>0</v>
      </c>
    </row>
    <row r="227" spans="1:48" s="644" customFormat="1" ht="20.65" customHeight="1">
      <c r="A227" s="210"/>
      <c r="B227" s="799">
        <v>19.283999999999999</v>
      </c>
      <c r="C227" s="60" t="s">
        <v>100</v>
      </c>
      <c r="D227" s="61" t="s">
        <v>101</v>
      </c>
      <c r="E227" s="1367"/>
      <c r="F227" s="1099"/>
      <c r="G227" s="1208"/>
      <c r="H227" s="1099"/>
      <c r="I227" s="1099"/>
      <c r="J227" s="1208"/>
      <c r="K227" s="1208"/>
      <c r="L227" s="1099"/>
      <c r="M227" s="1099"/>
      <c r="N227" s="1099"/>
      <c r="O227" s="1099"/>
      <c r="P227" s="1099"/>
      <c r="Q227" s="1208"/>
      <c r="R227" s="1208"/>
      <c r="S227" s="1099"/>
      <c r="T227" s="1099"/>
      <c r="U227" s="1099"/>
      <c r="V227" s="1099"/>
      <c r="W227" s="1099"/>
      <c r="X227" s="1208"/>
      <c r="Y227" s="1208"/>
      <c r="Z227" s="1099"/>
      <c r="AA227" s="1099"/>
      <c r="AB227" s="1099"/>
      <c r="AC227" s="1099"/>
      <c r="AD227" s="1099"/>
      <c r="AE227" s="1208"/>
      <c r="AF227" s="1208"/>
      <c r="AG227" s="1099"/>
      <c r="AH227" s="1099"/>
      <c r="AI227" s="1330"/>
      <c r="AJ227" s="664">
        <f>SUM(E227:AI227)</f>
        <v>0</v>
      </c>
      <c r="AK227" s="1004">
        <f t="shared" si="120"/>
        <v>0</v>
      </c>
      <c r="AL227" s="647">
        <f>+AJ227*AN223</f>
        <v>0</v>
      </c>
      <c r="AM227" s="1008">
        <f t="shared" si="121"/>
        <v>0</v>
      </c>
      <c r="AN227" s="64" t="e">
        <f>+AJ227/AJ225*100</f>
        <v>#DIV/0!</v>
      </c>
      <c r="AO227" s="635" t="e">
        <f>AO225/AO223</f>
        <v>#DIV/0!</v>
      </c>
      <c r="AP227" s="39" t="s">
        <v>102</v>
      </c>
      <c r="AQ227" s="56">
        <f>SUM(E227:I227)</f>
        <v>0</v>
      </c>
      <c r="AR227" s="70">
        <f>SUM(J227:P227)</f>
        <v>0</v>
      </c>
      <c r="AS227" s="70">
        <f>SUM(Q227:W227)</f>
        <v>0</v>
      </c>
      <c r="AT227" s="70">
        <f>SUM(X227:AD227)</f>
        <v>0</v>
      </c>
      <c r="AU227" s="70">
        <f>SUM(AE227:AG227)</f>
        <v>0</v>
      </c>
      <c r="AV227" s="57">
        <f t="shared" si="132"/>
        <v>0</v>
      </c>
    </row>
    <row r="228" spans="1:48" s="644" customFormat="1" ht="20.65" customHeight="1">
      <c r="A228" s="210" t="s">
        <v>245</v>
      </c>
      <c r="B228" s="800"/>
      <c r="C228" s="66"/>
      <c r="D228" s="67" t="s">
        <v>103</v>
      </c>
      <c r="E228" s="1113"/>
      <c r="F228" s="1101"/>
      <c r="G228" s="1209"/>
      <c r="H228" s="1101"/>
      <c r="I228" s="1101"/>
      <c r="J228" s="1209"/>
      <c r="K228" s="1209"/>
      <c r="L228" s="1101"/>
      <c r="M228" s="1101"/>
      <c r="N228" s="1101"/>
      <c r="O228" s="1101"/>
      <c r="P228" s="1101"/>
      <c r="Q228" s="1209"/>
      <c r="R228" s="1209"/>
      <c r="S228" s="1101"/>
      <c r="T228" s="1101"/>
      <c r="U228" s="1101"/>
      <c r="V228" s="1101"/>
      <c r="W228" s="1101"/>
      <c r="X228" s="1209"/>
      <c r="Y228" s="1209"/>
      <c r="Z228" s="1101"/>
      <c r="AA228" s="1101"/>
      <c r="AB228" s="1101"/>
      <c r="AC228" s="1101"/>
      <c r="AD228" s="1101"/>
      <c r="AE228" s="1209"/>
      <c r="AF228" s="1209"/>
      <c r="AG228" s="1101"/>
      <c r="AH228" s="1101"/>
      <c r="AI228" s="1332"/>
      <c r="AJ228" s="665">
        <f>SUM(E228:AI228)</f>
        <v>0</v>
      </c>
      <c r="AK228" s="1004">
        <f t="shared" si="120"/>
        <v>0</v>
      </c>
      <c r="AL228" s="648">
        <f>+AJ228*AN222</f>
        <v>0</v>
      </c>
      <c r="AM228" s="1008">
        <f t="shared" si="121"/>
        <v>0</v>
      </c>
      <c r="AN228" s="31"/>
      <c r="AO228" s="622"/>
      <c r="AP228" s="39" t="s">
        <v>19</v>
      </c>
      <c r="AQ228" s="56">
        <f>AQ227*AN223</f>
        <v>0</v>
      </c>
      <c r="AR228" s="56">
        <f>AR227*AN223</f>
        <v>0</v>
      </c>
      <c r="AS228" s="56">
        <f>AS227*AN223</f>
        <v>0</v>
      </c>
      <c r="AT228" s="56">
        <f>AT227*AN223</f>
        <v>0</v>
      </c>
      <c r="AU228" s="56">
        <f>AU227*AN223</f>
        <v>0</v>
      </c>
      <c r="AV228" s="57">
        <f t="shared" si="132"/>
        <v>0</v>
      </c>
    </row>
    <row r="229" spans="1:48" s="644" customFormat="1" ht="20.65" customHeight="1">
      <c r="A229" s="210" t="s">
        <v>245</v>
      </c>
      <c r="B229" s="213"/>
      <c r="C229" s="72" t="s">
        <v>104</v>
      </c>
      <c r="D229" s="73" t="s">
        <v>105</v>
      </c>
      <c r="E229" s="1115"/>
      <c r="F229" s="1103"/>
      <c r="G229" s="1210"/>
      <c r="H229" s="1103"/>
      <c r="I229" s="1103"/>
      <c r="J229" s="1210"/>
      <c r="K229" s="1210"/>
      <c r="L229" s="1103"/>
      <c r="M229" s="1103"/>
      <c r="N229" s="1103"/>
      <c r="O229" s="1103"/>
      <c r="P229" s="1103"/>
      <c r="Q229" s="1210"/>
      <c r="R229" s="1210"/>
      <c r="S229" s="1103"/>
      <c r="T229" s="1103"/>
      <c r="U229" s="1103"/>
      <c r="V229" s="1103"/>
      <c r="W229" s="1103"/>
      <c r="X229" s="1210"/>
      <c r="Y229" s="1210"/>
      <c r="Z229" s="1103"/>
      <c r="AA229" s="1103"/>
      <c r="AB229" s="1103"/>
      <c r="AC229" s="1103"/>
      <c r="AD229" s="1103"/>
      <c r="AE229" s="1210"/>
      <c r="AF229" s="1210"/>
      <c r="AG229" s="1103"/>
      <c r="AH229" s="1103"/>
      <c r="AI229" s="1352"/>
      <c r="AJ229" s="666">
        <f>SUM(E229:AI229)</f>
        <v>0</v>
      </c>
      <c r="AK229" s="1004">
        <f t="shared" si="120"/>
        <v>0</v>
      </c>
      <c r="AL229" s="649">
        <f>+AJ229*AN223</f>
        <v>0</v>
      </c>
      <c r="AM229" s="1008">
        <f t="shared" si="121"/>
        <v>0</v>
      </c>
      <c r="AN229" s="31"/>
      <c r="AO229" s="622"/>
      <c r="AP229" s="47" t="s">
        <v>106</v>
      </c>
      <c r="AQ229" s="48">
        <f>AQ225*AN223</f>
        <v>0</v>
      </c>
      <c r="AR229" s="48">
        <f>AR225*AN223</f>
        <v>0</v>
      </c>
      <c r="AS229" s="48">
        <f>AS225*AN223</f>
        <v>0</v>
      </c>
      <c r="AT229" s="48">
        <f>AT225*AN223</f>
        <v>0</v>
      </c>
      <c r="AU229" s="48">
        <f>AU225*AN223</f>
        <v>0</v>
      </c>
      <c r="AV229" s="50">
        <f t="shared" si="132"/>
        <v>0</v>
      </c>
    </row>
    <row r="230" spans="1:48" s="644" customFormat="1" ht="20.65" customHeight="1">
      <c r="A230" s="212"/>
      <c r="B230" s="89"/>
      <c r="C230" s="77">
        <v>300000</v>
      </c>
      <c r="D230" s="78" t="s">
        <v>107</v>
      </c>
      <c r="E230" s="1137">
        <v>2</v>
      </c>
      <c r="F230" s="1097">
        <v>2</v>
      </c>
      <c r="G230" s="1205">
        <v>2</v>
      </c>
      <c r="H230" s="1097">
        <v>2</v>
      </c>
      <c r="I230" s="1097">
        <v>2</v>
      </c>
      <c r="J230" s="1205">
        <v>2</v>
      </c>
      <c r="K230" s="1205">
        <v>2</v>
      </c>
      <c r="L230" s="1097">
        <v>2</v>
      </c>
      <c r="M230" s="1097">
        <v>2</v>
      </c>
      <c r="N230" s="1097">
        <v>2</v>
      </c>
      <c r="O230" s="1097">
        <v>2</v>
      </c>
      <c r="P230" s="1097">
        <v>2</v>
      </c>
      <c r="Q230" s="1205">
        <v>2</v>
      </c>
      <c r="R230" s="1205">
        <v>2</v>
      </c>
      <c r="S230" s="1097">
        <v>2</v>
      </c>
      <c r="T230" s="1097">
        <v>2</v>
      </c>
      <c r="U230" s="1097">
        <v>2</v>
      </c>
      <c r="V230" s="1097">
        <v>2</v>
      </c>
      <c r="W230" s="1097">
        <v>2</v>
      </c>
      <c r="X230" s="1205">
        <v>2</v>
      </c>
      <c r="Y230" s="1205">
        <v>2</v>
      </c>
      <c r="Z230" s="1097">
        <v>2</v>
      </c>
      <c r="AA230" s="1097">
        <v>2</v>
      </c>
      <c r="AB230" s="1097">
        <v>2</v>
      </c>
      <c r="AC230" s="1097">
        <v>2</v>
      </c>
      <c r="AD230" s="1097">
        <v>2</v>
      </c>
      <c r="AE230" s="1205">
        <v>2</v>
      </c>
      <c r="AF230" s="1205">
        <v>2</v>
      </c>
      <c r="AG230" s="1097">
        <v>2</v>
      </c>
      <c r="AH230" s="1097">
        <v>2</v>
      </c>
      <c r="AI230" s="1328">
        <v>2</v>
      </c>
      <c r="AJ230" s="663"/>
      <c r="AK230" s="1004">
        <f t="shared" si="120"/>
        <v>0</v>
      </c>
      <c r="AL230" s="646"/>
      <c r="AM230" s="1007">
        <f t="shared" si="121"/>
        <v>0</v>
      </c>
      <c r="AN230" s="31"/>
      <c r="AO230" s="622"/>
      <c r="AP230" s="47"/>
      <c r="AQ230" s="48"/>
      <c r="AR230" s="48"/>
      <c r="AS230" s="48"/>
      <c r="AT230" s="48"/>
      <c r="AU230" s="48"/>
      <c r="AV230" s="214"/>
    </row>
    <row r="231" spans="1:48" s="644" customFormat="1" ht="20.65" customHeight="1">
      <c r="A231" s="210"/>
      <c r="B231" s="89"/>
      <c r="C231" s="80" t="s">
        <v>108</v>
      </c>
      <c r="D231" s="81" t="s">
        <v>109</v>
      </c>
      <c r="E231" s="1125">
        <f t="shared" ref="E231:L231" si="136">SUM(E225+E227+E229)/E230</f>
        <v>0</v>
      </c>
      <c r="F231" s="1126">
        <f t="shared" si="136"/>
        <v>0</v>
      </c>
      <c r="G231" s="1235">
        <f t="shared" si="136"/>
        <v>0</v>
      </c>
      <c r="H231" s="1126">
        <f t="shared" si="136"/>
        <v>0</v>
      </c>
      <c r="I231" s="1126">
        <f t="shared" si="136"/>
        <v>0</v>
      </c>
      <c r="J231" s="1235">
        <f t="shared" si="136"/>
        <v>0</v>
      </c>
      <c r="K231" s="1235">
        <f t="shared" si="136"/>
        <v>0</v>
      </c>
      <c r="L231" s="1126">
        <f t="shared" si="136"/>
        <v>0</v>
      </c>
      <c r="M231" s="1126">
        <f>SUM(M225+M227+M228+M229)/M230</f>
        <v>0</v>
      </c>
      <c r="N231" s="1126">
        <f t="shared" ref="N231:AH231" si="137">SUM(N225+N227+N228+N229)/N230</f>
        <v>0</v>
      </c>
      <c r="O231" s="1126">
        <f t="shared" si="137"/>
        <v>0</v>
      </c>
      <c r="P231" s="1126">
        <f t="shared" si="137"/>
        <v>0</v>
      </c>
      <c r="Q231" s="1235">
        <f t="shared" si="137"/>
        <v>0</v>
      </c>
      <c r="R231" s="1235">
        <f t="shared" si="137"/>
        <v>0</v>
      </c>
      <c r="S231" s="1126">
        <f t="shared" si="137"/>
        <v>0</v>
      </c>
      <c r="T231" s="1126">
        <f t="shared" si="137"/>
        <v>0</v>
      </c>
      <c r="U231" s="1126">
        <f t="shared" si="137"/>
        <v>0</v>
      </c>
      <c r="V231" s="1126">
        <f t="shared" si="137"/>
        <v>0</v>
      </c>
      <c r="W231" s="1126">
        <f t="shared" si="137"/>
        <v>0</v>
      </c>
      <c r="X231" s="1235">
        <f t="shared" si="137"/>
        <v>0</v>
      </c>
      <c r="Y231" s="1235">
        <f t="shared" si="137"/>
        <v>0</v>
      </c>
      <c r="Z231" s="1126">
        <f t="shared" si="137"/>
        <v>0</v>
      </c>
      <c r="AA231" s="1126">
        <f t="shared" si="137"/>
        <v>0</v>
      </c>
      <c r="AB231" s="1126">
        <f t="shared" si="137"/>
        <v>0</v>
      </c>
      <c r="AC231" s="1126">
        <f t="shared" si="137"/>
        <v>0</v>
      </c>
      <c r="AD231" s="1126">
        <f t="shared" si="137"/>
        <v>0</v>
      </c>
      <c r="AE231" s="1235">
        <f t="shared" si="137"/>
        <v>0</v>
      </c>
      <c r="AF231" s="1235">
        <f t="shared" si="137"/>
        <v>0</v>
      </c>
      <c r="AG231" s="1126">
        <f t="shared" si="137"/>
        <v>0</v>
      </c>
      <c r="AH231" s="1126">
        <f t="shared" si="137"/>
        <v>0</v>
      </c>
      <c r="AI231" s="1335">
        <f>SUM(AI225+AI227+AI229)/AI230</f>
        <v>0</v>
      </c>
      <c r="AJ231" s="104">
        <f>SUM(E231:AI231)</f>
        <v>0</v>
      </c>
      <c r="AK231" s="993">
        <f t="shared" si="120"/>
        <v>0</v>
      </c>
      <c r="AL231" s="650"/>
      <c r="AM231" s="1008">
        <f t="shared" si="121"/>
        <v>0</v>
      </c>
      <c r="AN231" s="31"/>
      <c r="AO231" s="622"/>
      <c r="AP231" s="651"/>
      <c r="AQ231" s="651"/>
      <c r="AR231" s="651"/>
      <c r="AS231" s="651"/>
      <c r="AT231" s="651"/>
      <c r="AU231" s="651"/>
      <c r="AV231" s="651"/>
    </row>
    <row r="232" spans="1:48" s="644" customFormat="1" ht="20.65" customHeight="1">
      <c r="A232" s="215"/>
      <c r="B232" s="89"/>
      <c r="C232" s="84">
        <f>+C230*0.8</f>
        <v>240000</v>
      </c>
      <c r="D232" s="85" t="s">
        <v>110</v>
      </c>
      <c r="E232" s="1105"/>
      <c r="F232" s="1104"/>
      <c r="G232" s="1211"/>
      <c r="H232" s="1104"/>
      <c r="I232" s="1104"/>
      <c r="J232" s="1211"/>
      <c r="K232" s="1211"/>
      <c r="L232" s="1104"/>
      <c r="M232" s="1104"/>
      <c r="N232" s="1104"/>
      <c r="O232" s="1104"/>
      <c r="P232" s="1104"/>
      <c r="Q232" s="1211"/>
      <c r="R232" s="1211"/>
      <c r="S232" s="1104"/>
      <c r="T232" s="1104"/>
      <c r="U232" s="1104"/>
      <c r="V232" s="1104"/>
      <c r="W232" s="1104"/>
      <c r="X232" s="1211"/>
      <c r="Y232" s="1211"/>
      <c r="Z232" s="1104"/>
      <c r="AA232" s="1104"/>
      <c r="AB232" s="1104"/>
      <c r="AC232" s="1104"/>
      <c r="AD232" s="1104"/>
      <c r="AE232" s="1211"/>
      <c r="AF232" s="1211"/>
      <c r="AG232" s="1104"/>
      <c r="AH232" s="1104"/>
      <c r="AI232" s="1353"/>
      <c r="AJ232" s="729"/>
      <c r="AK232" s="1004">
        <f t="shared" si="120"/>
        <v>0</v>
      </c>
      <c r="AL232" s="647"/>
      <c r="AM232" s="1008">
        <f t="shared" si="121"/>
        <v>0</v>
      </c>
      <c r="AN232" s="31"/>
      <c r="AO232" s="622"/>
      <c r="AP232" s="651"/>
      <c r="AQ232" s="651"/>
      <c r="AR232" s="651"/>
      <c r="AS232" s="651"/>
      <c r="AT232" s="651"/>
      <c r="AU232" s="651"/>
      <c r="AV232" s="651"/>
    </row>
    <row r="233" spans="1:48" s="644" customFormat="1" ht="20.65" customHeight="1">
      <c r="A233" s="215"/>
      <c r="B233" s="89"/>
      <c r="C233" s="77"/>
      <c r="D233" s="88" t="s">
        <v>111</v>
      </c>
      <c r="E233" s="1125">
        <f>IF(E232="O/H",E231,+E231)</f>
        <v>0</v>
      </c>
      <c r="F233" s="1126">
        <f>IF(F232="O/H",F231,+E233+F231)</f>
        <v>0</v>
      </c>
      <c r="G233" s="1235">
        <f t="shared" ref="G233:AI233" si="138">IF(G232="O/H",G231,+F233+G231)</f>
        <v>0</v>
      </c>
      <c r="H233" s="1126">
        <f t="shared" si="138"/>
        <v>0</v>
      </c>
      <c r="I233" s="1126">
        <f t="shared" si="138"/>
        <v>0</v>
      </c>
      <c r="J233" s="1235">
        <f t="shared" si="138"/>
        <v>0</v>
      </c>
      <c r="K233" s="1235">
        <f t="shared" si="138"/>
        <v>0</v>
      </c>
      <c r="L233" s="1126">
        <f t="shared" si="138"/>
        <v>0</v>
      </c>
      <c r="M233" s="1126">
        <f t="shared" si="138"/>
        <v>0</v>
      </c>
      <c r="N233" s="1126">
        <f t="shared" si="138"/>
        <v>0</v>
      </c>
      <c r="O233" s="1126">
        <f t="shared" si="138"/>
        <v>0</v>
      </c>
      <c r="P233" s="1126">
        <f t="shared" si="138"/>
        <v>0</v>
      </c>
      <c r="Q233" s="1235">
        <f t="shared" si="138"/>
        <v>0</v>
      </c>
      <c r="R233" s="1235">
        <f t="shared" si="138"/>
        <v>0</v>
      </c>
      <c r="S233" s="1126">
        <f t="shared" si="138"/>
        <v>0</v>
      </c>
      <c r="T233" s="1126">
        <f t="shared" si="138"/>
        <v>0</v>
      </c>
      <c r="U233" s="1126">
        <f t="shared" si="138"/>
        <v>0</v>
      </c>
      <c r="V233" s="1126">
        <f t="shared" si="138"/>
        <v>0</v>
      </c>
      <c r="W233" s="1126">
        <f t="shared" si="138"/>
        <v>0</v>
      </c>
      <c r="X233" s="1235">
        <f t="shared" si="138"/>
        <v>0</v>
      </c>
      <c r="Y233" s="1235">
        <f t="shared" si="138"/>
        <v>0</v>
      </c>
      <c r="Z233" s="1126">
        <f t="shared" si="138"/>
        <v>0</v>
      </c>
      <c r="AA233" s="1126">
        <f t="shared" si="138"/>
        <v>0</v>
      </c>
      <c r="AB233" s="1126">
        <f t="shared" si="138"/>
        <v>0</v>
      </c>
      <c r="AC233" s="1126">
        <f t="shared" si="138"/>
        <v>0</v>
      </c>
      <c r="AD233" s="1126">
        <f t="shared" si="138"/>
        <v>0</v>
      </c>
      <c r="AE233" s="1235">
        <f t="shared" si="138"/>
        <v>0</v>
      </c>
      <c r="AF233" s="1235">
        <f t="shared" si="138"/>
        <v>0</v>
      </c>
      <c r="AG233" s="1126">
        <f t="shared" si="138"/>
        <v>0</v>
      </c>
      <c r="AH233" s="1126">
        <f t="shared" si="138"/>
        <v>0</v>
      </c>
      <c r="AI233" s="1335">
        <f t="shared" si="138"/>
        <v>0</v>
      </c>
      <c r="AJ233" s="104"/>
      <c r="AK233" s="993">
        <f t="shared" si="120"/>
        <v>0</v>
      </c>
      <c r="AL233" s="650"/>
      <c r="AM233" s="1008">
        <f t="shared" si="121"/>
        <v>0</v>
      </c>
      <c r="AN233" s="31"/>
      <c r="AO233" s="622"/>
      <c r="AP233" s="651"/>
      <c r="AQ233" s="651"/>
      <c r="AR233" s="651"/>
      <c r="AS233" s="651"/>
      <c r="AT233" s="651"/>
      <c r="AU233" s="651"/>
      <c r="AV233" s="651"/>
    </row>
    <row r="234" spans="1:48" s="23" customFormat="1" ht="20.65" customHeight="1">
      <c r="A234" s="274"/>
      <c r="B234" s="312"/>
      <c r="C234" s="308"/>
      <c r="D234" s="795" t="s">
        <v>112</v>
      </c>
      <c r="E234" s="1108" t="b">
        <f>IF(AND(ISNUMBER(E225)),56051+E231)</f>
        <v>0</v>
      </c>
      <c r="F234" s="1089" t="str">
        <f>IF(AND(ISNUMBER(F225)),E234+F231,"")</f>
        <v/>
      </c>
      <c r="G234" s="44" t="str">
        <f t="shared" ref="G234:H234" si="139">IF(AND(ISNUMBER(G225)),F234+G231,"")</f>
        <v/>
      </c>
      <c r="H234" s="1089" t="str">
        <f t="shared" si="139"/>
        <v/>
      </c>
      <c r="I234" s="1089" t="str">
        <f>IF(AND(ISNUMBER(I225)),H234+I231,"")</f>
        <v/>
      </c>
      <c r="J234" s="44" t="str">
        <f>IF(AND(ISNUMBER(J225)),I234+J231,"")</f>
        <v/>
      </c>
      <c r="K234" s="44" t="str">
        <f>IF(AND(ISNUMBER(K225)),J234+K231,"")</f>
        <v/>
      </c>
      <c r="L234" s="1089" t="str">
        <f t="shared" ref="L234:AI234" si="140">IF(AND(ISNUMBER(L225)),K234+L231,"")</f>
        <v/>
      </c>
      <c r="M234" s="1089" t="str">
        <f t="shared" si="140"/>
        <v/>
      </c>
      <c r="N234" s="1089" t="str">
        <f t="shared" si="140"/>
        <v/>
      </c>
      <c r="O234" s="1089" t="str">
        <f t="shared" si="140"/>
        <v/>
      </c>
      <c r="P234" s="1089" t="str">
        <f t="shared" si="140"/>
        <v/>
      </c>
      <c r="Q234" s="44" t="str">
        <f t="shared" si="140"/>
        <v/>
      </c>
      <c r="R234" s="44" t="str">
        <f t="shared" si="140"/>
        <v/>
      </c>
      <c r="S234" s="1089" t="str">
        <f t="shared" si="140"/>
        <v/>
      </c>
      <c r="T234" s="1089" t="str">
        <f t="shared" si="140"/>
        <v/>
      </c>
      <c r="U234" s="1089" t="str">
        <f t="shared" si="140"/>
        <v/>
      </c>
      <c r="V234" s="1089" t="str">
        <f t="shared" si="140"/>
        <v/>
      </c>
      <c r="W234" s="1089" t="str">
        <f t="shared" si="140"/>
        <v/>
      </c>
      <c r="X234" s="44" t="str">
        <f t="shared" si="140"/>
        <v/>
      </c>
      <c r="Y234" s="44" t="str">
        <f t="shared" si="140"/>
        <v/>
      </c>
      <c r="Z234" s="1089" t="str">
        <f t="shared" si="140"/>
        <v/>
      </c>
      <c r="AA234" s="1089" t="str">
        <f t="shared" si="140"/>
        <v/>
      </c>
      <c r="AB234" s="1089" t="str">
        <f t="shared" si="140"/>
        <v/>
      </c>
      <c r="AC234" s="1089" t="str">
        <f t="shared" si="140"/>
        <v/>
      </c>
      <c r="AD234" s="1089" t="str">
        <f t="shared" si="140"/>
        <v/>
      </c>
      <c r="AE234" s="44" t="str">
        <f t="shared" si="140"/>
        <v/>
      </c>
      <c r="AF234" s="44" t="str">
        <f t="shared" si="140"/>
        <v/>
      </c>
      <c r="AG234" s="1089" t="str">
        <f t="shared" si="140"/>
        <v/>
      </c>
      <c r="AH234" s="1089" t="str">
        <f t="shared" si="140"/>
        <v/>
      </c>
      <c r="AI234" s="1089" t="str">
        <f t="shared" si="140"/>
        <v/>
      </c>
      <c r="AJ234" s="793"/>
      <c r="AK234" s="985">
        <f t="shared" si="120"/>
        <v>0</v>
      </c>
      <c r="AL234" s="909"/>
      <c r="AM234" s="987">
        <f t="shared" si="121"/>
        <v>0</v>
      </c>
      <c r="AN234" s="76"/>
      <c r="AO234" s="630"/>
      <c r="AP234" s="285"/>
      <c r="AQ234" s="285"/>
      <c r="AR234" s="285"/>
      <c r="AS234" s="285"/>
      <c r="AT234" s="286"/>
      <c r="AU234" s="285"/>
      <c r="AV234" s="287"/>
    </row>
    <row r="235" spans="1:48" s="644" customFormat="1" ht="20.65" customHeight="1">
      <c r="A235" s="215" t="s">
        <v>242</v>
      </c>
      <c r="B235" s="89" t="s">
        <v>317</v>
      </c>
      <c r="C235" s="80"/>
      <c r="D235" s="90" t="s">
        <v>104</v>
      </c>
      <c r="E235" s="1137"/>
      <c r="F235" s="1097"/>
      <c r="G235" s="1205"/>
      <c r="H235" s="1097"/>
      <c r="I235" s="1097"/>
      <c r="J235" s="1205"/>
      <c r="K235" s="1205"/>
      <c r="L235" s="1097"/>
      <c r="M235" s="1097"/>
      <c r="N235" s="1097"/>
      <c r="O235" s="1097"/>
      <c r="P235" s="1097"/>
      <c r="Q235" s="1205"/>
      <c r="R235" s="1205"/>
      <c r="S235" s="1097"/>
      <c r="T235" s="1097"/>
      <c r="U235" s="1097"/>
      <c r="V235" s="1097"/>
      <c r="W235" s="1097"/>
      <c r="X235" s="1205"/>
      <c r="Y235" s="1205"/>
      <c r="Z235" s="1097"/>
      <c r="AA235" s="1097"/>
      <c r="AB235" s="1097"/>
      <c r="AC235" s="1097"/>
      <c r="AD235" s="1097"/>
      <c r="AE235" s="1205"/>
      <c r="AF235" s="1205"/>
      <c r="AG235" s="1097"/>
      <c r="AH235" s="1097"/>
      <c r="AI235" s="1328"/>
      <c r="AJ235" s="664"/>
      <c r="AK235" s="1004">
        <f t="shared" si="120"/>
        <v>0</v>
      </c>
      <c r="AL235" s="646"/>
      <c r="AM235" s="1007">
        <f t="shared" si="121"/>
        <v>0</v>
      </c>
      <c r="AN235" s="31"/>
      <c r="AO235" s="622"/>
      <c r="AP235" s="651"/>
      <c r="AQ235" s="651"/>
      <c r="AR235" s="651"/>
      <c r="AS235" s="651"/>
      <c r="AT235" s="651"/>
      <c r="AU235" s="651"/>
      <c r="AV235" s="651"/>
    </row>
    <row r="236" spans="1:48" s="644" customFormat="1" ht="20.65" customHeight="1" thickBot="1">
      <c r="A236" s="216" t="s">
        <v>242</v>
      </c>
      <c r="B236" s="93"/>
      <c r="C236" s="94"/>
      <c r="D236" s="230" t="s">
        <v>258</v>
      </c>
      <c r="E236" s="1453">
        <f>IF(E235="O/H",E231,+E231)</f>
        <v>0</v>
      </c>
      <c r="F236" s="1128">
        <f t="shared" ref="F236:AI236" si="141">IF(F235="O/H",F231,+E236+F231)</f>
        <v>0</v>
      </c>
      <c r="G236" s="1303">
        <f t="shared" si="141"/>
        <v>0</v>
      </c>
      <c r="H236" s="1128">
        <f t="shared" si="141"/>
        <v>0</v>
      </c>
      <c r="I236" s="1128">
        <f t="shared" si="141"/>
        <v>0</v>
      </c>
      <c r="J236" s="1303">
        <f t="shared" si="141"/>
        <v>0</v>
      </c>
      <c r="K236" s="1303">
        <f t="shared" si="141"/>
        <v>0</v>
      </c>
      <c r="L236" s="1128">
        <f t="shared" si="141"/>
        <v>0</v>
      </c>
      <c r="M236" s="1128">
        <f t="shared" si="141"/>
        <v>0</v>
      </c>
      <c r="N236" s="1128">
        <f t="shared" si="141"/>
        <v>0</v>
      </c>
      <c r="O236" s="1128">
        <f t="shared" si="141"/>
        <v>0</v>
      </c>
      <c r="P236" s="1128">
        <f t="shared" si="141"/>
        <v>0</v>
      </c>
      <c r="Q236" s="1303">
        <f t="shared" si="141"/>
        <v>0</v>
      </c>
      <c r="R236" s="1303">
        <f t="shared" si="141"/>
        <v>0</v>
      </c>
      <c r="S236" s="1128">
        <f t="shared" si="141"/>
        <v>0</v>
      </c>
      <c r="T236" s="1128">
        <f t="shared" si="141"/>
        <v>0</v>
      </c>
      <c r="U236" s="1128">
        <f t="shared" si="141"/>
        <v>0</v>
      </c>
      <c r="V236" s="1128">
        <f t="shared" si="141"/>
        <v>0</v>
      </c>
      <c r="W236" s="1128">
        <f t="shared" si="141"/>
        <v>0</v>
      </c>
      <c r="X236" s="1303">
        <f t="shared" si="141"/>
        <v>0</v>
      </c>
      <c r="Y236" s="1303">
        <f t="shared" si="141"/>
        <v>0</v>
      </c>
      <c r="Z236" s="1128">
        <f t="shared" si="141"/>
        <v>0</v>
      </c>
      <c r="AA236" s="1128">
        <f t="shared" si="141"/>
        <v>0</v>
      </c>
      <c r="AB236" s="1128">
        <f t="shared" si="141"/>
        <v>0</v>
      </c>
      <c r="AC236" s="1128">
        <f t="shared" si="141"/>
        <v>0</v>
      </c>
      <c r="AD236" s="1128">
        <f t="shared" si="141"/>
        <v>0</v>
      </c>
      <c r="AE236" s="1303">
        <f t="shared" si="141"/>
        <v>0</v>
      </c>
      <c r="AF236" s="1303">
        <f t="shared" si="141"/>
        <v>0</v>
      </c>
      <c r="AG236" s="1128">
        <f t="shared" si="141"/>
        <v>0</v>
      </c>
      <c r="AH236" s="1128">
        <f t="shared" si="141"/>
        <v>0</v>
      </c>
      <c r="AI236" s="1454">
        <f t="shared" si="141"/>
        <v>0</v>
      </c>
      <c r="AJ236" s="730"/>
      <c r="AK236" s="1005">
        <f t="shared" si="120"/>
        <v>0</v>
      </c>
      <c r="AL236" s="652"/>
      <c r="AM236" s="1009">
        <f t="shared" si="121"/>
        <v>0</v>
      </c>
      <c r="AN236" s="98"/>
      <c r="AO236" s="625"/>
      <c r="AP236" s="651"/>
      <c r="AQ236" s="651"/>
      <c r="AR236" s="651"/>
      <c r="AS236" s="651"/>
      <c r="AT236" s="651"/>
      <c r="AU236" s="651"/>
      <c r="AV236" s="651"/>
    </row>
    <row r="237" spans="1:48" s="239" customFormat="1" ht="25.15" customHeight="1" thickTop="1">
      <c r="A237" s="112"/>
      <c r="B237" s="237"/>
      <c r="C237" s="238"/>
      <c r="D237" s="115" t="s">
        <v>82</v>
      </c>
      <c r="E237" s="1385">
        <f>E9+E22+E35+E48+E62+E76+E104+E118+E132+E145+E158+E171+E184+E197+E210+E223+E90</f>
        <v>0</v>
      </c>
      <c r="F237" s="116">
        <f t="shared" ref="F237:AJ237" si="142">F9+F22+F35+F48+F62+F76+F104+F118+F132+F145+F158+F171+F184+F197+F210+F223+F90</f>
        <v>0</v>
      </c>
      <c r="G237" s="1217">
        <f t="shared" si="142"/>
        <v>0</v>
      </c>
      <c r="H237" s="116">
        <f t="shared" si="142"/>
        <v>0</v>
      </c>
      <c r="I237" s="116">
        <f t="shared" si="142"/>
        <v>0</v>
      </c>
      <c r="J237" s="1217">
        <f t="shared" si="142"/>
        <v>0</v>
      </c>
      <c r="K237" s="1217">
        <f t="shared" si="142"/>
        <v>0</v>
      </c>
      <c r="L237" s="116">
        <f t="shared" si="142"/>
        <v>0</v>
      </c>
      <c r="M237" s="116">
        <f t="shared" si="142"/>
        <v>0</v>
      </c>
      <c r="N237" s="116">
        <f t="shared" si="142"/>
        <v>0</v>
      </c>
      <c r="O237" s="116">
        <f t="shared" si="142"/>
        <v>0</v>
      </c>
      <c r="P237" s="116">
        <f t="shared" si="142"/>
        <v>0</v>
      </c>
      <c r="Q237" s="1217">
        <f t="shared" si="142"/>
        <v>0</v>
      </c>
      <c r="R237" s="1217">
        <f t="shared" si="142"/>
        <v>0</v>
      </c>
      <c r="S237" s="116">
        <f t="shared" si="142"/>
        <v>0</v>
      </c>
      <c r="T237" s="116">
        <f t="shared" si="142"/>
        <v>0</v>
      </c>
      <c r="U237" s="116">
        <f t="shared" si="142"/>
        <v>0</v>
      </c>
      <c r="V237" s="116">
        <f t="shared" si="142"/>
        <v>0</v>
      </c>
      <c r="W237" s="116">
        <f t="shared" si="142"/>
        <v>0</v>
      </c>
      <c r="X237" s="1217">
        <f t="shared" si="142"/>
        <v>0</v>
      </c>
      <c r="Y237" s="1217">
        <f t="shared" si="142"/>
        <v>0</v>
      </c>
      <c r="Z237" s="116">
        <f t="shared" si="142"/>
        <v>0</v>
      </c>
      <c r="AA237" s="116">
        <f t="shared" si="142"/>
        <v>0</v>
      </c>
      <c r="AB237" s="116">
        <f t="shared" si="142"/>
        <v>0</v>
      </c>
      <c r="AC237" s="116">
        <f t="shared" si="142"/>
        <v>0</v>
      </c>
      <c r="AD237" s="116">
        <f t="shared" si="142"/>
        <v>0</v>
      </c>
      <c r="AE237" s="1217">
        <f t="shared" si="142"/>
        <v>0</v>
      </c>
      <c r="AF237" s="1217">
        <f t="shared" si="142"/>
        <v>0</v>
      </c>
      <c r="AG237" s="116">
        <f t="shared" si="142"/>
        <v>0</v>
      </c>
      <c r="AH237" s="116">
        <f t="shared" si="142"/>
        <v>0</v>
      </c>
      <c r="AI237" s="1122">
        <f t="shared" si="142"/>
        <v>0</v>
      </c>
      <c r="AJ237" s="732">
        <f t="shared" si="142"/>
        <v>0</v>
      </c>
      <c r="AK237" s="1088">
        <f>AJ238</f>
        <v>0</v>
      </c>
      <c r="AL237" s="709">
        <f>AL9+AL22+AL35+AL48+AL62+AL76+AL104+AL118+AL132+AL145+AL158+AL171+AL184+AL197+AL210+AL223+AL90</f>
        <v>0</v>
      </c>
      <c r="AM237" s="1092">
        <f>AL238</f>
        <v>0</v>
      </c>
      <c r="AN237" s="119"/>
      <c r="AO237" s="623"/>
      <c r="AP237" s="164"/>
      <c r="AQ237" s="164"/>
      <c r="AR237" s="164"/>
      <c r="AS237" s="164"/>
      <c r="AT237" s="164"/>
      <c r="AU237" s="164"/>
      <c r="AV237" s="164"/>
    </row>
    <row r="238" spans="1:48" s="239" customFormat="1" ht="25.15" customHeight="1">
      <c r="A238" s="112"/>
      <c r="B238" s="113"/>
      <c r="C238" s="114"/>
      <c r="D238" s="120" t="s">
        <v>93</v>
      </c>
      <c r="E238" s="1387">
        <f t="shared" ref="E238:AI238" si="143">E11+E24+E37+E50+E50+E64+E64+E78+E92+E106+E120+E134+E147+E160+E173+E186+E199+E212+E225</f>
        <v>0</v>
      </c>
      <c r="F238" s="1129">
        <f t="shared" si="143"/>
        <v>0</v>
      </c>
      <c r="G238" s="1259">
        <f t="shared" si="143"/>
        <v>0</v>
      </c>
      <c r="H238" s="1129">
        <f t="shared" si="143"/>
        <v>0</v>
      </c>
      <c r="I238" s="1129">
        <f t="shared" si="143"/>
        <v>0</v>
      </c>
      <c r="J238" s="1259">
        <f t="shared" si="143"/>
        <v>0</v>
      </c>
      <c r="K238" s="1259">
        <f t="shared" si="143"/>
        <v>0</v>
      </c>
      <c r="L238" s="1129">
        <f t="shared" si="143"/>
        <v>0</v>
      </c>
      <c r="M238" s="1129">
        <f t="shared" si="143"/>
        <v>0</v>
      </c>
      <c r="N238" s="1129">
        <f t="shared" si="143"/>
        <v>0</v>
      </c>
      <c r="O238" s="1129">
        <f t="shared" si="143"/>
        <v>0</v>
      </c>
      <c r="P238" s="1129">
        <f t="shared" si="143"/>
        <v>0</v>
      </c>
      <c r="Q238" s="1259">
        <f t="shared" si="143"/>
        <v>0</v>
      </c>
      <c r="R238" s="1259">
        <f t="shared" si="143"/>
        <v>0</v>
      </c>
      <c r="S238" s="1129">
        <f t="shared" si="143"/>
        <v>0</v>
      </c>
      <c r="T238" s="1129">
        <f t="shared" si="143"/>
        <v>0</v>
      </c>
      <c r="U238" s="1129">
        <f t="shared" si="143"/>
        <v>0</v>
      </c>
      <c r="V238" s="1129">
        <f t="shared" si="143"/>
        <v>0</v>
      </c>
      <c r="W238" s="1129">
        <f t="shared" si="143"/>
        <v>0</v>
      </c>
      <c r="X238" s="1259">
        <f t="shared" si="143"/>
        <v>0</v>
      </c>
      <c r="Y238" s="1259">
        <f t="shared" si="143"/>
        <v>0</v>
      </c>
      <c r="Z238" s="1129">
        <f t="shared" si="143"/>
        <v>0</v>
      </c>
      <c r="AA238" s="1129">
        <f t="shared" si="143"/>
        <v>0</v>
      </c>
      <c r="AB238" s="1129">
        <f t="shared" si="143"/>
        <v>0</v>
      </c>
      <c r="AC238" s="1129">
        <f t="shared" si="143"/>
        <v>0</v>
      </c>
      <c r="AD238" s="1129">
        <f t="shared" si="143"/>
        <v>0</v>
      </c>
      <c r="AE238" s="1259">
        <f t="shared" si="143"/>
        <v>0</v>
      </c>
      <c r="AF238" s="1259">
        <f t="shared" si="143"/>
        <v>0</v>
      </c>
      <c r="AG238" s="1129">
        <f t="shared" si="143"/>
        <v>0</v>
      </c>
      <c r="AH238" s="1129">
        <f t="shared" si="143"/>
        <v>0</v>
      </c>
      <c r="AI238" s="1130">
        <f t="shared" si="143"/>
        <v>0</v>
      </c>
      <c r="AJ238" s="733">
        <f>AJ225+AJ212+AJ199+AJ186+AJ173+AJ160+AJ147+AJ134+AJ120+AJ106+AJ92+AJ78+AJ64+AJ50+AJ37+AJ24+AJ11</f>
        <v>0</v>
      </c>
      <c r="AK238" s="997">
        <f t="shared" si="120"/>
        <v>0</v>
      </c>
      <c r="AL238" s="710">
        <f>AL11+AL24+AL37+AL50+AL64+AL78+AL92+AL106+AL120+AL134+AL147+AL160+AL173+AL186+AL199+AL212+AL225</f>
        <v>0</v>
      </c>
      <c r="AM238" s="994">
        <f t="shared" si="121"/>
        <v>0</v>
      </c>
      <c r="AN238" s="124"/>
      <c r="AO238" s="627"/>
      <c r="AP238" s="164"/>
      <c r="AQ238" s="164"/>
      <c r="AR238" s="164"/>
      <c r="AS238" s="164"/>
      <c r="AT238" s="164"/>
      <c r="AU238" s="164"/>
      <c r="AV238" s="164"/>
    </row>
    <row r="239" spans="1:48" s="239" customFormat="1" ht="25.15" customHeight="1">
      <c r="A239" s="112"/>
      <c r="B239" s="125" t="s">
        <v>68</v>
      </c>
      <c r="C239" s="114"/>
      <c r="D239" s="126" t="s">
        <v>229</v>
      </c>
      <c r="E239" s="1390">
        <f t="shared" ref="E239:AJ239" si="144">E227+E214+E201+E188+E175+E162+E149+E136+E122+E108+E94+E80+E66+E52+E39+E26+E13</f>
        <v>0</v>
      </c>
      <c r="F239" s="1131">
        <f t="shared" si="144"/>
        <v>0</v>
      </c>
      <c r="G239" s="1260">
        <f t="shared" si="144"/>
        <v>0</v>
      </c>
      <c r="H239" s="1131">
        <f t="shared" si="144"/>
        <v>0</v>
      </c>
      <c r="I239" s="1131">
        <f t="shared" si="144"/>
        <v>0</v>
      </c>
      <c r="J239" s="1260">
        <f t="shared" si="144"/>
        <v>0</v>
      </c>
      <c r="K239" s="1260">
        <f t="shared" si="144"/>
        <v>0</v>
      </c>
      <c r="L239" s="1131">
        <f t="shared" si="144"/>
        <v>0</v>
      </c>
      <c r="M239" s="1131">
        <f t="shared" si="144"/>
        <v>0</v>
      </c>
      <c r="N239" s="1131">
        <f t="shared" si="144"/>
        <v>0</v>
      </c>
      <c r="O239" s="1131">
        <f t="shared" si="144"/>
        <v>0</v>
      </c>
      <c r="P239" s="1131">
        <f t="shared" si="144"/>
        <v>0</v>
      </c>
      <c r="Q239" s="1260">
        <f t="shared" si="144"/>
        <v>0</v>
      </c>
      <c r="R239" s="1260">
        <f t="shared" si="144"/>
        <v>0</v>
      </c>
      <c r="S239" s="1131">
        <f t="shared" si="144"/>
        <v>0</v>
      </c>
      <c r="T239" s="1131">
        <f t="shared" si="144"/>
        <v>0</v>
      </c>
      <c r="U239" s="1131">
        <f t="shared" si="144"/>
        <v>0</v>
      </c>
      <c r="V239" s="1131">
        <f t="shared" si="144"/>
        <v>0</v>
      </c>
      <c r="W239" s="1131">
        <f t="shared" si="144"/>
        <v>0</v>
      </c>
      <c r="X239" s="1260">
        <f t="shared" si="144"/>
        <v>0</v>
      </c>
      <c r="Y239" s="1260">
        <f t="shared" si="144"/>
        <v>0</v>
      </c>
      <c r="Z239" s="1131">
        <f t="shared" si="144"/>
        <v>0</v>
      </c>
      <c r="AA239" s="1131">
        <f t="shared" si="144"/>
        <v>0</v>
      </c>
      <c r="AB239" s="1131">
        <f t="shared" si="144"/>
        <v>0</v>
      </c>
      <c r="AC239" s="1131">
        <f t="shared" si="144"/>
        <v>0</v>
      </c>
      <c r="AD239" s="1131">
        <f t="shared" si="144"/>
        <v>0</v>
      </c>
      <c r="AE239" s="1260">
        <f t="shared" si="144"/>
        <v>0</v>
      </c>
      <c r="AF239" s="1260">
        <f t="shared" si="144"/>
        <v>0</v>
      </c>
      <c r="AG239" s="1131">
        <f t="shared" si="144"/>
        <v>0</v>
      </c>
      <c r="AH239" s="1131">
        <f t="shared" si="144"/>
        <v>0</v>
      </c>
      <c r="AI239" s="1132">
        <f t="shared" si="144"/>
        <v>0</v>
      </c>
      <c r="AJ239" s="734">
        <f t="shared" si="144"/>
        <v>0</v>
      </c>
      <c r="AK239" s="998">
        <f t="shared" si="120"/>
        <v>0</v>
      </c>
      <c r="AL239" s="711">
        <f>AL227+AL214+AL201+AL188+AL175+AL162+AL149+AL136+AL122+AL108+AL94+AL80+AL66+AL52+AL39+AL26+AL13</f>
        <v>0</v>
      </c>
      <c r="AM239" s="995">
        <f t="shared" si="121"/>
        <v>0</v>
      </c>
      <c r="AN239" s="91"/>
      <c r="AO239" s="623"/>
      <c r="AP239" s="164"/>
      <c r="AQ239" s="164"/>
      <c r="AR239" s="164"/>
      <c r="AS239" s="164"/>
      <c r="AT239" s="164"/>
      <c r="AU239" s="164"/>
      <c r="AV239" s="164"/>
    </row>
    <row r="240" spans="1:48" s="239" customFormat="1" ht="25.15" customHeight="1">
      <c r="A240" s="112"/>
      <c r="B240" s="113"/>
      <c r="C240" s="114"/>
      <c r="D240" s="130" t="s">
        <v>103</v>
      </c>
      <c r="E240" s="1455">
        <f t="shared" ref="E240:AJ240" si="145">E228+E215+E202+E189+E176+E163+E150+E137+E123+E109+E95+E81+E67+E53+E40+E27+E14</f>
        <v>0</v>
      </c>
      <c r="F240" s="1133">
        <f t="shared" si="145"/>
        <v>0</v>
      </c>
      <c r="G240" s="1261">
        <f t="shared" si="145"/>
        <v>0</v>
      </c>
      <c r="H240" s="1133">
        <f t="shared" si="145"/>
        <v>0</v>
      </c>
      <c r="I240" s="1133">
        <f t="shared" si="145"/>
        <v>0</v>
      </c>
      <c r="J240" s="1261">
        <f t="shared" si="145"/>
        <v>0</v>
      </c>
      <c r="K240" s="1261">
        <f t="shared" si="145"/>
        <v>0</v>
      </c>
      <c r="L240" s="1133">
        <f t="shared" si="145"/>
        <v>0</v>
      </c>
      <c r="M240" s="1133">
        <f t="shared" si="145"/>
        <v>0</v>
      </c>
      <c r="N240" s="1133">
        <f t="shared" si="145"/>
        <v>0</v>
      </c>
      <c r="O240" s="1133">
        <f t="shared" si="145"/>
        <v>0</v>
      </c>
      <c r="P240" s="1133">
        <f t="shared" si="145"/>
        <v>0</v>
      </c>
      <c r="Q240" s="1261">
        <f t="shared" si="145"/>
        <v>0</v>
      </c>
      <c r="R240" s="1261">
        <f t="shared" si="145"/>
        <v>0</v>
      </c>
      <c r="S240" s="1133">
        <f t="shared" si="145"/>
        <v>0</v>
      </c>
      <c r="T240" s="1133">
        <f t="shared" si="145"/>
        <v>0</v>
      </c>
      <c r="U240" s="1133">
        <f t="shared" si="145"/>
        <v>0</v>
      </c>
      <c r="V240" s="1133">
        <f t="shared" si="145"/>
        <v>0</v>
      </c>
      <c r="W240" s="1133">
        <f t="shared" si="145"/>
        <v>0</v>
      </c>
      <c r="X240" s="1261">
        <f t="shared" si="145"/>
        <v>0</v>
      </c>
      <c r="Y240" s="1261">
        <f t="shared" si="145"/>
        <v>0</v>
      </c>
      <c r="Z240" s="1133">
        <f t="shared" si="145"/>
        <v>0</v>
      </c>
      <c r="AA240" s="1133">
        <f t="shared" si="145"/>
        <v>0</v>
      </c>
      <c r="AB240" s="1133">
        <f t="shared" si="145"/>
        <v>0</v>
      </c>
      <c r="AC240" s="1133">
        <f t="shared" si="145"/>
        <v>0</v>
      </c>
      <c r="AD240" s="1133">
        <f t="shared" si="145"/>
        <v>0</v>
      </c>
      <c r="AE240" s="1261">
        <f t="shared" si="145"/>
        <v>0</v>
      </c>
      <c r="AF240" s="1261">
        <f t="shared" si="145"/>
        <v>0</v>
      </c>
      <c r="AG240" s="1133">
        <f t="shared" si="145"/>
        <v>0</v>
      </c>
      <c r="AH240" s="1133">
        <f t="shared" si="145"/>
        <v>0</v>
      </c>
      <c r="AI240" s="1456">
        <f t="shared" si="145"/>
        <v>0</v>
      </c>
      <c r="AJ240" s="735">
        <f t="shared" si="145"/>
        <v>0</v>
      </c>
      <c r="AK240" s="998" t="e">
        <f t="shared" si="120"/>
        <v>#DIV/0!</v>
      </c>
      <c r="AL240" s="712">
        <f>AL228+AL215+AL202+AL189+AL176+AL163+AL150+AL137+AL123+AL109+AL95+AL81+AL67+AL53+AL40+AL27+AL14</f>
        <v>0</v>
      </c>
      <c r="AM240" s="995" t="e">
        <f t="shared" si="121"/>
        <v>#DIV/0!</v>
      </c>
      <c r="AN240" s="91"/>
      <c r="AO240" s="623"/>
      <c r="AP240" s="164"/>
      <c r="AQ240" s="164"/>
      <c r="AR240" s="164"/>
      <c r="AS240" s="164"/>
      <c r="AT240" s="164"/>
      <c r="AU240" s="164"/>
      <c r="AV240" s="164"/>
    </row>
    <row r="241" spans="1:48" s="239" customFormat="1" ht="25.15" customHeight="1">
      <c r="A241" s="112"/>
      <c r="B241" s="113"/>
      <c r="C241" s="114"/>
      <c r="D241" s="134" t="e">
        <f>#REF!</f>
        <v>#REF!</v>
      </c>
      <c r="E241" s="1395">
        <f t="shared" ref="E241:AI241" si="146">E229+E216+E203+E190+E177+E164+E151+E138+E124+E109+E96+E82+E68+E54+E41+E28+E15</f>
        <v>0</v>
      </c>
      <c r="F241" s="1134">
        <f t="shared" si="146"/>
        <v>0</v>
      </c>
      <c r="G241" s="1262">
        <f t="shared" si="146"/>
        <v>0</v>
      </c>
      <c r="H241" s="1134">
        <f t="shared" si="146"/>
        <v>0</v>
      </c>
      <c r="I241" s="1134">
        <f t="shared" si="146"/>
        <v>0</v>
      </c>
      <c r="J241" s="1262">
        <f t="shared" si="146"/>
        <v>0</v>
      </c>
      <c r="K241" s="1262">
        <f t="shared" si="146"/>
        <v>0</v>
      </c>
      <c r="L241" s="1134">
        <f t="shared" si="146"/>
        <v>0</v>
      </c>
      <c r="M241" s="1134">
        <f t="shared" si="146"/>
        <v>0</v>
      </c>
      <c r="N241" s="1134">
        <f t="shared" si="146"/>
        <v>0</v>
      </c>
      <c r="O241" s="1134">
        <f t="shared" si="146"/>
        <v>0</v>
      </c>
      <c r="P241" s="1134">
        <f t="shared" si="146"/>
        <v>0</v>
      </c>
      <c r="Q241" s="1262">
        <f t="shared" si="146"/>
        <v>0</v>
      </c>
      <c r="R241" s="1262">
        <f t="shared" si="146"/>
        <v>0</v>
      </c>
      <c r="S241" s="1134">
        <f t="shared" si="146"/>
        <v>0</v>
      </c>
      <c r="T241" s="1134">
        <f t="shared" si="146"/>
        <v>0</v>
      </c>
      <c r="U241" s="1134">
        <f t="shared" si="146"/>
        <v>0</v>
      </c>
      <c r="V241" s="1134">
        <f t="shared" si="146"/>
        <v>0</v>
      </c>
      <c r="W241" s="1134">
        <f t="shared" si="146"/>
        <v>0</v>
      </c>
      <c r="X241" s="1262">
        <f t="shared" si="146"/>
        <v>0</v>
      </c>
      <c r="Y241" s="1262">
        <f t="shared" si="146"/>
        <v>0</v>
      </c>
      <c r="Z241" s="1134">
        <f t="shared" si="146"/>
        <v>0</v>
      </c>
      <c r="AA241" s="1134">
        <f t="shared" si="146"/>
        <v>0</v>
      </c>
      <c r="AB241" s="1134">
        <f t="shared" si="146"/>
        <v>0</v>
      </c>
      <c r="AC241" s="1134">
        <f t="shared" si="146"/>
        <v>0</v>
      </c>
      <c r="AD241" s="1134">
        <f t="shared" si="146"/>
        <v>0</v>
      </c>
      <c r="AE241" s="1262">
        <f t="shared" si="146"/>
        <v>0</v>
      </c>
      <c r="AF241" s="1262">
        <f t="shared" si="146"/>
        <v>0</v>
      </c>
      <c r="AG241" s="1134">
        <f t="shared" si="146"/>
        <v>0</v>
      </c>
      <c r="AH241" s="1134">
        <f t="shared" si="146"/>
        <v>0</v>
      </c>
      <c r="AI241" s="1135">
        <f t="shared" si="146"/>
        <v>0</v>
      </c>
      <c r="AJ241" s="736">
        <f>AJ229+AJ216+AJ203+AJ190+AJ177+AJ164+AJ151+AJ138+AJ124+AJ110+AJ96+AJ82+AJ68+AJ54+AJ41+AJ28+AJ15</f>
        <v>0</v>
      </c>
      <c r="AK241" s="998">
        <f t="shared" si="120"/>
        <v>0</v>
      </c>
      <c r="AL241" s="713">
        <f>AL229+AL216+AL203+AL190+AL177+AL164+AL151+AL138+AL124+AL110+AL96+AL82+AL68+AL54+AL41+AL28+AL15</f>
        <v>0</v>
      </c>
      <c r="AM241" s="995">
        <f t="shared" si="121"/>
        <v>0</v>
      </c>
      <c r="AN241" s="91"/>
      <c r="AO241" s="623"/>
      <c r="AP241" s="164"/>
      <c r="AQ241" s="164"/>
      <c r="AR241" s="164"/>
      <c r="AS241" s="164"/>
      <c r="AT241" s="164"/>
      <c r="AU241" s="164"/>
      <c r="AV241" s="164"/>
    </row>
    <row r="242" spans="1:48" s="239" customFormat="1" ht="25.15" customHeight="1" thickBot="1">
      <c r="A242" s="138"/>
      <c r="B242" s="139"/>
      <c r="C242" s="140"/>
      <c r="D242" s="141" t="s">
        <v>230</v>
      </c>
      <c r="E242" s="1457" t="e">
        <f>E239/E238</f>
        <v>#DIV/0!</v>
      </c>
      <c r="F242" s="1136" t="e">
        <f t="shared" ref="F242:AL242" si="147">F239/F238</f>
        <v>#DIV/0!</v>
      </c>
      <c r="G242" s="1304" t="e">
        <f t="shared" si="147"/>
        <v>#DIV/0!</v>
      </c>
      <c r="H242" s="1136" t="e">
        <f t="shared" si="147"/>
        <v>#DIV/0!</v>
      </c>
      <c r="I242" s="1136" t="e">
        <f t="shared" si="147"/>
        <v>#DIV/0!</v>
      </c>
      <c r="J242" s="1304" t="e">
        <f t="shared" si="147"/>
        <v>#DIV/0!</v>
      </c>
      <c r="K242" s="1304" t="e">
        <f t="shared" si="147"/>
        <v>#DIV/0!</v>
      </c>
      <c r="L242" s="1136" t="e">
        <f t="shared" si="147"/>
        <v>#DIV/0!</v>
      </c>
      <c r="M242" s="1136" t="e">
        <f t="shared" si="147"/>
        <v>#DIV/0!</v>
      </c>
      <c r="N242" s="1136" t="e">
        <f t="shared" si="147"/>
        <v>#DIV/0!</v>
      </c>
      <c r="O242" s="1136" t="e">
        <f t="shared" si="147"/>
        <v>#DIV/0!</v>
      </c>
      <c r="P242" s="1136" t="e">
        <f t="shared" si="147"/>
        <v>#DIV/0!</v>
      </c>
      <c r="Q242" s="1304" t="e">
        <f t="shared" si="147"/>
        <v>#DIV/0!</v>
      </c>
      <c r="R242" s="1304" t="e">
        <f t="shared" si="147"/>
        <v>#DIV/0!</v>
      </c>
      <c r="S242" s="1136" t="e">
        <f t="shared" si="147"/>
        <v>#DIV/0!</v>
      </c>
      <c r="T242" s="1136" t="e">
        <f t="shared" si="147"/>
        <v>#DIV/0!</v>
      </c>
      <c r="U242" s="1136" t="e">
        <f t="shared" si="147"/>
        <v>#DIV/0!</v>
      </c>
      <c r="V242" s="1136" t="e">
        <f t="shared" si="147"/>
        <v>#DIV/0!</v>
      </c>
      <c r="W242" s="1136" t="e">
        <f t="shared" si="147"/>
        <v>#DIV/0!</v>
      </c>
      <c r="X242" s="1304" t="e">
        <f t="shared" si="147"/>
        <v>#DIV/0!</v>
      </c>
      <c r="Y242" s="1304" t="e">
        <f t="shared" si="147"/>
        <v>#DIV/0!</v>
      </c>
      <c r="Z242" s="1136" t="e">
        <f t="shared" si="147"/>
        <v>#DIV/0!</v>
      </c>
      <c r="AA242" s="1136" t="e">
        <f t="shared" si="147"/>
        <v>#DIV/0!</v>
      </c>
      <c r="AB242" s="1136" t="e">
        <f t="shared" si="147"/>
        <v>#DIV/0!</v>
      </c>
      <c r="AC242" s="1136" t="e">
        <f t="shared" si="147"/>
        <v>#DIV/0!</v>
      </c>
      <c r="AD242" s="1136" t="e">
        <f t="shared" si="147"/>
        <v>#DIV/0!</v>
      </c>
      <c r="AE242" s="1304" t="e">
        <f t="shared" si="147"/>
        <v>#DIV/0!</v>
      </c>
      <c r="AF242" s="1304" t="e">
        <f t="shared" si="147"/>
        <v>#DIV/0!</v>
      </c>
      <c r="AG242" s="1136" t="e">
        <f t="shared" si="147"/>
        <v>#DIV/0!</v>
      </c>
      <c r="AH242" s="1458" t="e">
        <f t="shared" si="147"/>
        <v>#DIV/0!</v>
      </c>
      <c r="AI242" s="1459" t="e">
        <f t="shared" si="147"/>
        <v>#DIV/0!</v>
      </c>
      <c r="AJ242" s="737" t="e">
        <f t="shared" si="147"/>
        <v>#DIV/0!</v>
      </c>
      <c r="AK242" s="999">
        <f t="shared" si="120"/>
        <v>0</v>
      </c>
      <c r="AL242" s="714" t="e">
        <f t="shared" si="147"/>
        <v>#DIV/0!</v>
      </c>
      <c r="AM242" s="996">
        <f t="shared" si="121"/>
        <v>0</v>
      </c>
      <c r="AN242" s="145"/>
      <c r="AO242" s="628"/>
      <c r="AP242" s="164"/>
      <c r="AQ242" s="164"/>
      <c r="AR242" s="164"/>
      <c r="AS242" s="164"/>
      <c r="AT242" s="164"/>
      <c r="AU242" s="164"/>
      <c r="AV242" s="164"/>
    </row>
    <row r="243" spans="1:48" s="239" customFormat="1" ht="32.450000000000003" customHeight="1" thickTop="1">
      <c r="A243" s="36"/>
      <c r="B243" s="36"/>
      <c r="C243" s="36"/>
      <c r="D243" s="240"/>
      <c r="E243" s="164"/>
      <c r="F243" s="164"/>
      <c r="G243" s="164"/>
      <c r="H243" s="164"/>
      <c r="I243" s="164"/>
      <c r="J243" s="164"/>
      <c r="K243" s="164"/>
      <c r="L243" s="164"/>
      <c r="M243" s="164"/>
      <c r="N243" s="164"/>
      <c r="O243" s="164"/>
      <c r="P243" s="164"/>
      <c r="Q243" s="164"/>
      <c r="R243" s="164"/>
      <c r="S243" s="164"/>
      <c r="T243" s="164"/>
      <c r="U243" s="164"/>
      <c r="V243" s="164"/>
      <c r="W243" s="164"/>
      <c r="X243" s="164"/>
      <c r="Y243" s="164"/>
      <c r="Z243" s="164"/>
      <c r="AA243" s="164"/>
      <c r="AB243" s="164"/>
      <c r="AC243" s="164"/>
      <c r="AD243" s="164"/>
      <c r="AE243" s="164"/>
      <c r="AF243" s="164"/>
      <c r="AG243" s="164"/>
      <c r="AH243" s="164"/>
      <c r="AI243" s="164"/>
      <c r="AJ243" s="886"/>
      <c r="AK243" s="164"/>
      <c r="AL243" s="1"/>
      <c r="AM243" s="946"/>
      <c r="AN243" s="1"/>
      <c r="AO243" s="1"/>
      <c r="AP243" s="156" t="s">
        <v>259</v>
      </c>
      <c r="AQ243" s="157" t="s">
        <v>232</v>
      </c>
      <c r="AR243" s="157" t="s">
        <v>233</v>
      </c>
      <c r="AS243" s="157" t="s">
        <v>234</v>
      </c>
      <c r="AT243" s="157" t="s">
        <v>235</v>
      </c>
      <c r="AU243" s="157" t="s">
        <v>236</v>
      </c>
      <c r="AV243" s="157" t="s">
        <v>68</v>
      </c>
    </row>
    <row r="244" spans="1:48" ht="30" customHeight="1">
      <c r="A244" s="241"/>
      <c r="B244" s="242"/>
      <c r="C244" s="242"/>
      <c r="D244" s="240"/>
      <c r="E244" s="164"/>
      <c r="F244" s="164"/>
      <c r="G244" s="164"/>
      <c r="H244" s="164"/>
      <c r="I244" s="164"/>
      <c r="J244" s="164"/>
      <c r="K244" s="164"/>
      <c r="L244" s="164"/>
      <c r="M244" s="164"/>
      <c r="N244" s="164"/>
      <c r="O244" s="164"/>
      <c r="P244" s="164"/>
      <c r="Q244" s="164"/>
      <c r="R244" s="164"/>
      <c r="S244" s="164"/>
      <c r="T244" s="164"/>
      <c r="U244" s="164"/>
      <c r="V244" s="164"/>
      <c r="W244" s="164"/>
      <c r="X244" s="164"/>
      <c r="Y244" s="164"/>
      <c r="Z244" s="164"/>
      <c r="AA244" s="164"/>
      <c r="AB244" s="164"/>
      <c r="AC244" s="164"/>
      <c r="AD244" s="164"/>
      <c r="AE244" s="164"/>
      <c r="AF244" s="164"/>
      <c r="AG244" s="164"/>
      <c r="AH244" s="164"/>
      <c r="AI244" s="164"/>
      <c r="AJ244" s="164"/>
      <c r="AK244" s="164"/>
      <c r="AM244" s="946"/>
      <c r="AP244" s="165" t="s">
        <v>91</v>
      </c>
      <c r="AQ244" s="243">
        <f t="shared" ref="AQ244:AU245" si="148">AQ224+AQ211+AQ198+AQ185+AQ172+AQ159+AQ146+AQ133+AQ119+AQ105+AQ91+AQ77+AQ63+AQ49+AQ36+AQ23+AQ10</f>
        <v>0</v>
      </c>
      <c r="AR244" s="243">
        <f t="shared" si="148"/>
        <v>0</v>
      </c>
      <c r="AS244" s="243">
        <f t="shared" si="148"/>
        <v>0</v>
      </c>
      <c r="AT244" s="243">
        <f t="shared" si="148"/>
        <v>0</v>
      </c>
      <c r="AU244" s="243">
        <f t="shared" si="148"/>
        <v>0</v>
      </c>
      <c r="AV244" s="541">
        <f>SUM(AQ244:AU244)</f>
        <v>0</v>
      </c>
    </row>
    <row r="245" spans="1:48" ht="34.9" customHeight="1">
      <c r="A245" s="244"/>
      <c r="B245" s="245"/>
      <c r="C245" s="246"/>
      <c r="D245" s="240"/>
      <c r="E245" s="164"/>
      <c r="F245" s="164"/>
      <c r="G245" s="164"/>
      <c r="H245" s="164"/>
      <c r="I245" s="164"/>
      <c r="J245" s="164"/>
      <c r="K245" s="164"/>
      <c r="L245" s="164"/>
      <c r="M245" s="164"/>
      <c r="N245" s="164"/>
      <c r="O245" s="164"/>
      <c r="P245" s="164"/>
      <c r="Q245" s="164"/>
      <c r="R245" s="164"/>
      <c r="S245" s="164"/>
      <c r="T245" s="164"/>
      <c r="U245" s="164"/>
      <c r="V245" s="164"/>
      <c r="W245" s="164"/>
      <c r="X245" s="164"/>
      <c r="Y245" s="164"/>
      <c r="Z245" s="164"/>
      <c r="AA245" s="164"/>
      <c r="AB245" s="164"/>
      <c r="AC245" s="164"/>
      <c r="AD245" s="164"/>
      <c r="AE245" s="164"/>
      <c r="AF245" s="164"/>
      <c r="AG245" s="164"/>
      <c r="AH245" s="164"/>
      <c r="AI245" s="164"/>
      <c r="AJ245" s="164"/>
      <c r="AK245" s="164"/>
      <c r="AM245" s="946"/>
      <c r="AP245" s="172" t="s">
        <v>94</v>
      </c>
      <c r="AQ245" s="545">
        <f t="shared" si="148"/>
        <v>0</v>
      </c>
      <c r="AR245" s="545">
        <f t="shared" si="148"/>
        <v>0</v>
      </c>
      <c r="AS245" s="545">
        <f t="shared" si="148"/>
        <v>0</v>
      </c>
      <c r="AT245" s="545">
        <f t="shared" si="148"/>
        <v>0</v>
      </c>
      <c r="AU245" s="545">
        <f t="shared" si="148"/>
        <v>0</v>
      </c>
      <c r="AV245" s="542">
        <f>SUM(AQ245:AU245)</f>
        <v>0</v>
      </c>
    </row>
    <row r="246" spans="1:48" ht="34.9" customHeight="1">
      <c r="A246" s="247"/>
      <c r="B246" s="248"/>
      <c r="C246" s="246"/>
      <c r="D246" s="240"/>
      <c r="E246" s="164"/>
      <c r="F246" s="164"/>
      <c r="G246" s="164"/>
      <c r="H246" s="164"/>
      <c r="I246" s="164"/>
      <c r="J246" s="164"/>
      <c r="K246" s="164"/>
      <c r="L246" s="164"/>
      <c r="M246" s="164"/>
      <c r="N246" s="164"/>
      <c r="O246" s="164"/>
      <c r="P246" s="164"/>
      <c r="Q246" s="164"/>
      <c r="R246" s="164"/>
      <c r="S246" s="164"/>
      <c r="T246" s="164"/>
      <c r="U246" s="164"/>
      <c r="V246" s="164"/>
      <c r="W246" s="164"/>
      <c r="X246" s="164"/>
      <c r="Y246" s="164"/>
      <c r="Z246" s="164"/>
      <c r="AA246" s="164"/>
      <c r="AB246" s="164"/>
      <c r="AC246" s="164"/>
      <c r="AD246" s="164"/>
      <c r="AE246" s="164"/>
      <c r="AF246" s="164"/>
      <c r="AG246" s="164"/>
      <c r="AH246" s="164"/>
      <c r="AI246" s="164"/>
      <c r="AJ246" s="164"/>
      <c r="AK246" s="164"/>
      <c r="AM246" s="946"/>
      <c r="AP246" s="176" t="s">
        <v>237</v>
      </c>
      <c r="AQ246" s="546">
        <f>AQ227+AQ214+AQ201+AQ188+AQ175+AQ162+AQ149+AQ136+AQ121+AQ108+AQ94+AQ80+AQ66+AQ51+AQ39+AQ26+AQ13</f>
        <v>0</v>
      </c>
      <c r="AR246" s="546">
        <f>AR227+AR214+AR201+AR188+AR175+AR162+AR149+AR136+AR121+AR108+AR94+AR80+AR66+AR51+AR39+AR26+AR13</f>
        <v>0</v>
      </c>
      <c r="AS246" s="546">
        <f>AS227+AS214+AS201+AS188+AS175+AS162+AS149+AS136+AS121+AS108+AS94+AS80+AS66+AS51+AS39+AS26+AS13</f>
        <v>0</v>
      </c>
      <c r="AT246" s="546">
        <f>AT227+AT214+AT201+AT188+AT175+AT162+AT149+AT136+AT121+AT108+AT94+AT80+AT66+AT51+AT39+AT26+AT13</f>
        <v>0</v>
      </c>
      <c r="AU246" s="546">
        <f>AU227+AU214+AU201+AU188+AU175+AU162+AU149+AU136+AU121+AU108+AU94+AU80+AU66+AU51+AU39+AU26+AU13</f>
        <v>0</v>
      </c>
      <c r="AV246" s="543">
        <f>SUM(AQ246:AU246)</f>
        <v>0</v>
      </c>
    </row>
    <row r="247" spans="1:48" ht="34.9" customHeight="1">
      <c r="A247" s="244"/>
      <c r="B247" s="249"/>
      <c r="C247" s="250"/>
      <c r="D247" s="240"/>
      <c r="E247" s="164"/>
      <c r="F247" s="164"/>
      <c r="G247" s="164"/>
      <c r="H247" s="164"/>
      <c r="I247" s="164"/>
      <c r="J247" s="164"/>
      <c r="K247" s="164"/>
      <c r="L247" s="164"/>
      <c r="M247" s="164"/>
      <c r="N247" s="164"/>
      <c r="O247" s="164"/>
      <c r="P247" s="164"/>
      <c r="Q247" s="164"/>
      <c r="R247" s="164"/>
      <c r="S247" s="164"/>
      <c r="T247" s="164"/>
      <c r="U247" s="164"/>
      <c r="V247" s="164"/>
      <c r="W247" s="164"/>
      <c r="X247" s="164"/>
      <c r="Y247" s="164"/>
      <c r="Z247" s="164"/>
      <c r="AA247" s="164"/>
      <c r="AB247" s="164"/>
      <c r="AC247" s="164"/>
      <c r="AD247" s="164"/>
      <c r="AE247" s="164"/>
      <c r="AF247" s="164"/>
      <c r="AG247" s="164"/>
      <c r="AH247" s="164"/>
      <c r="AI247" s="164"/>
      <c r="AJ247" s="164"/>
      <c r="AK247" s="164"/>
      <c r="AM247" s="946"/>
      <c r="AP247" s="165" t="s">
        <v>238</v>
      </c>
      <c r="AQ247" s="546">
        <f>AQ227+AQ214+AQ201+AQ188+AQ175+AQ162+AQ149+AQ136+AQ122+AQ108+AQ94+AQ80+AQ66+AQ52+AQ39+AQ26+AQ13</f>
        <v>0</v>
      </c>
      <c r="AR247" s="546">
        <f>AR227+AR214+AR201+AR188+AR175+AR162+AR149+AR136+AR122+AR108+AR94+AR80+AR66+AR52+AR39+AR26+AR13</f>
        <v>0</v>
      </c>
      <c r="AS247" s="546">
        <f>AS227+AS214+AS201+AS188+AS175+AS162+AS149+AS136+AS122+AS108+AS94+AS80+AS66+AS52+AS39+AS26+AS13</f>
        <v>0</v>
      </c>
      <c r="AT247" s="546">
        <f>AT227+AT214+AT201+AT188+AT175+AT162+AT149+AT136+AT122+AT108+AT94+AT80+AT66+AT52+AT39+AT26+AT13</f>
        <v>0</v>
      </c>
      <c r="AU247" s="546">
        <f>AU227+AU214+AU201+AU188+AU175+AU162+AU149+AU136+AU122+AU108+AU94+AU80+AU66+AU52+AU39+AU26+AU13</f>
        <v>0</v>
      </c>
      <c r="AV247" s="543">
        <f>SUM(AQ247:AU247)</f>
        <v>0</v>
      </c>
    </row>
    <row r="248" spans="1:48" ht="34.9" customHeight="1">
      <c r="A248" s="247"/>
      <c r="B248" s="251"/>
      <c r="C248" s="36"/>
      <c r="D248" s="240"/>
      <c r="E248" s="164"/>
      <c r="F248" s="164"/>
      <c r="G248" s="164"/>
      <c r="H248" s="164"/>
      <c r="I248" s="164"/>
      <c r="J248" s="164"/>
      <c r="K248" s="164"/>
      <c r="L248" s="164"/>
      <c r="M248" s="164"/>
      <c r="N248" s="164"/>
      <c r="O248" s="164"/>
      <c r="P248" s="164"/>
      <c r="Q248" s="164"/>
      <c r="R248" s="164"/>
      <c r="S248" s="164"/>
      <c r="T248" s="164"/>
      <c r="U248" s="164"/>
      <c r="V248" s="164"/>
      <c r="W248" s="164"/>
      <c r="X248" s="164"/>
      <c r="Y248" s="164"/>
      <c r="Z248" s="164"/>
      <c r="AA248" s="164"/>
      <c r="AB248" s="164"/>
      <c r="AC248" s="164"/>
      <c r="AD248" s="164"/>
      <c r="AE248" s="164"/>
      <c r="AF248" s="164"/>
      <c r="AG248" s="164"/>
      <c r="AH248" s="164"/>
      <c r="AI248" s="164"/>
      <c r="AJ248" s="164"/>
      <c r="AK248" s="164"/>
      <c r="AM248" s="946"/>
      <c r="AP248" s="188" t="s">
        <v>97</v>
      </c>
      <c r="AQ248" s="548" t="e">
        <f t="shared" ref="AQ248:AV248" si="149">AQ247/AQ245</f>
        <v>#DIV/0!</v>
      </c>
      <c r="AR248" s="548" t="e">
        <f t="shared" si="149"/>
        <v>#DIV/0!</v>
      </c>
      <c r="AS248" s="548" t="e">
        <f t="shared" si="149"/>
        <v>#DIV/0!</v>
      </c>
      <c r="AT248" s="548" t="e">
        <f t="shared" si="149"/>
        <v>#DIV/0!</v>
      </c>
      <c r="AU248" s="548" t="e">
        <f t="shared" si="149"/>
        <v>#DIV/0!</v>
      </c>
      <c r="AV248" s="549" t="e">
        <f t="shared" si="149"/>
        <v>#DIV/0!</v>
      </c>
    </row>
    <row r="249" spans="1:48" ht="34.9" customHeight="1">
      <c r="A249" s="252"/>
      <c r="B249" s="253"/>
      <c r="C249" s="36"/>
      <c r="D249" s="240"/>
      <c r="E249" s="164"/>
      <c r="F249" s="164"/>
      <c r="G249" s="164"/>
      <c r="H249" s="164"/>
      <c r="I249" s="164"/>
      <c r="J249" s="164"/>
      <c r="K249" s="164"/>
      <c r="L249" s="164"/>
      <c r="M249" s="164"/>
      <c r="N249" s="164"/>
      <c r="O249" s="164"/>
      <c r="P249" s="164"/>
      <c r="Q249" s="164"/>
      <c r="R249" s="164"/>
      <c r="S249" s="164"/>
      <c r="T249" s="164"/>
      <c r="U249" s="164"/>
      <c r="V249" s="164"/>
      <c r="W249" s="164"/>
      <c r="X249" s="164"/>
      <c r="Y249" s="164"/>
      <c r="Z249" s="164"/>
      <c r="AA249" s="164"/>
      <c r="AB249" s="164"/>
      <c r="AC249" s="164"/>
      <c r="AD249" s="164"/>
      <c r="AE249" s="164"/>
      <c r="AF249" s="164"/>
      <c r="AG249" s="164"/>
      <c r="AH249" s="164"/>
      <c r="AI249" s="164"/>
      <c r="AJ249" s="164"/>
      <c r="AK249" s="164"/>
      <c r="AM249" s="946"/>
      <c r="AP249" s="194" t="s">
        <v>19</v>
      </c>
      <c r="AQ249" s="546">
        <f t="shared" ref="AQ249:AU250" si="150">AQ228+AQ215+AQ202+AQ189+AQ176+AQ163+AQ150+AQ137+AQ123+AQ109+AQ95+AQ81+AQ67+AQ53+AQ40+AQ27+AQ14</f>
        <v>0</v>
      </c>
      <c r="AR249" s="546">
        <f t="shared" si="150"/>
        <v>0</v>
      </c>
      <c r="AS249" s="546">
        <f t="shared" si="150"/>
        <v>0</v>
      </c>
      <c r="AT249" s="546">
        <f t="shared" si="150"/>
        <v>0</v>
      </c>
      <c r="AU249" s="546">
        <f t="shared" si="150"/>
        <v>0</v>
      </c>
      <c r="AV249" s="543">
        <f>SUM(AQ249:AU249)</f>
        <v>0</v>
      </c>
    </row>
    <row r="250" spans="1:48" ht="34.9" customHeight="1">
      <c r="A250" s="36"/>
      <c r="B250" s="254"/>
      <c r="C250" s="36"/>
      <c r="D250" s="240"/>
      <c r="E250" s="164"/>
      <c r="F250" s="164"/>
      <c r="G250" s="164"/>
      <c r="H250" s="164"/>
      <c r="I250" s="164"/>
      <c r="J250" s="164"/>
      <c r="K250" s="164"/>
      <c r="L250" s="164"/>
      <c r="M250" s="164"/>
      <c r="N250" s="164"/>
      <c r="O250" s="164"/>
      <c r="P250" s="164"/>
      <c r="Q250" s="164"/>
      <c r="R250" s="164"/>
      <c r="S250" s="164"/>
      <c r="T250" s="164"/>
      <c r="U250" s="164"/>
      <c r="V250" s="164"/>
      <c r="W250" s="164"/>
      <c r="X250" s="164"/>
      <c r="Y250" s="164"/>
      <c r="Z250" s="164"/>
      <c r="AA250" s="164"/>
      <c r="AB250" s="164"/>
      <c r="AC250" s="164"/>
      <c r="AD250" s="164"/>
      <c r="AE250" s="164"/>
      <c r="AF250" s="164"/>
      <c r="AG250" s="164"/>
      <c r="AH250" s="164"/>
      <c r="AI250" s="164"/>
      <c r="AJ250" s="164"/>
      <c r="AK250" s="164"/>
      <c r="AM250" s="946"/>
      <c r="AP250" s="197" t="s">
        <v>106</v>
      </c>
      <c r="AQ250" s="545">
        <f>AQ229+AQ216+AQ203+AQ190+AQ177+AQ164+AQ151+AQ138+AQ124+AQ110+AQ96+AQ82+AQ68+AQ54+AQ41+AQ28+AQ15</f>
        <v>0</v>
      </c>
      <c r="AR250" s="545">
        <f t="shared" si="150"/>
        <v>0</v>
      </c>
      <c r="AS250" s="545">
        <f t="shared" si="150"/>
        <v>0</v>
      </c>
      <c r="AT250" s="545">
        <f t="shared" si="150"/>
        <v>0</v>
      </c>
      <c r="AU250" s="545">
        <f t="shared" si="150"/>
        <v>0</v>
      </c>
      <c r="AV250" s="542">
        <f>SUM(AQ250:AU250)</f>
        <v>0</v>
      </c>
    </row>
    <row r="251" spans="1:48" ht="34.9" customHeight="1">
      <c r="A251" s="36"/>
      <c r="B251" s="36"/>
      <c r="C251" s="36"/>
      <c r="D251" s="1"/>
      <c r="E251" s="164"/>
      <c r="F251" s="164"/>
      <c r="G251" s="164"/>
      <c r="H251" s="164"/>
      <c r="I251" s="164"/>
      <c r="J251" s="164"/>
      <c r="K251" s="164"/>
      <c r="L251" s="164"/>
      <c r="M251" s="164"/>
      <c r="N251" s="164"/>
      <c r="O251" s="164"/>
      <c r="P251" s="164"/>
      <c r="Q251" s="164"/>
      <c r="R251" s="164"/>
      <c r="S251" s="164"/>
      <c r="T251" s="164"/>
      <c r="U251" s="164"/>
      <c r="V251" s="164"/>
      <c r="W251" s="164"/>
      <c r="X251" s="164"/>
      <c r="Y251" s="164"/>
      <c r="Z251" s="164"/>
      <c r="AA251" s="164"/>
      <c r="AB251" s="164"/>
      <c r="AC251" s="164"/>
      <c r="AD251" s="164"/>
      <c r="AE251" s="164"/>
      <c r="AF251" s="164"/>
      <c r="AG251" s="164"/>
      <c r="AH251" s="164"/>
      <c r="AI251" s="164"/>
      <c r="AJ251" s="164"/>
      <c r="AK251" s="164"/>
      <c r="AM251" s="946"/>
      <c r="AP251" s="197"/>
      <c r="AQ251" s="545"/>
      <c r="AR251" s="545"/>
      <c r="AS251" s="545"/>
      <c r="AT251" s="545"/>
      <c r="AU251" s="545"/>
      <c r="AV251" s="547"/>
    </row>
    <row r="252" spans="1:48" ht="51" customHeight="1">
      <c r="A252" s="584"/>
      <c r="B252" s="254"/>
      <c r="C252" s="36"/>
      <c r="D252" s="240"/>
      <c r="E252" s="164"/>
      <c r="AA252" s="255"/>
    </row>
    <row r="253" spans="1:48" ht="58.9" customHeight="1">
      <c r="A253" s="585"/>
      <c r="B253" s="586"/>
      <c r="C253" s="587"/>
      <c r="D253" s="588"/>
      <c r="E253" s="589"/>
      <c r="AP253" s="188"/>
      <c r="AQ253" s="578"/>
      <c r="AR253" s="578"/>
      <c r="AS253" s="574"/>
      <c r="AT253" s="574"/>
      <c r="AU253" s="574"/>
      <c r="AV253" s="173"/>
    </row>
    <row r="254" spans="1:48" ht="51" customHeight="1">
      <c r="A254" s="590"/>
      <c r="B254" s="591"/>
      <c r="C254" s="591"/>
      <c r="D254" s="592"/>
      <c r="E254" s="227"/>
      <c r="W254" s="1521"/>
      <c r="X254" s="1521"/>
      <c r="Y254" s="1521"/>
      <c r="Z254" s="1521"/>
      <c r="AP254" s="188"/>
      <c r="AQ254" s="579"/>
      <c r="AR254" s="579"/>
      <c r="AS254" s="575"/>
      <c r="AT254" s="575"/>
      <c r="AU254" s="575"/>
      <c r="AV254" s="173"/>
    </row>
    <row r="255" spans="1:48" ht="51" customHeight="1">
      <c r="A255" s="593"/>
      <c r="B255" s="594"/>
      <c r="C255" s="594"/>
      <c r="D255" s="594"/>
      <c r="E255" s="227"/>
      <c r="AP255" s="573"/>
      <c r="AQ255" s="579"/>
      <c r="AR255" s="579"/>
      <c r="AS255" s="575"/>
      <c r="AT255" s="575"/>
      <c r="AU255" s="575"/>
      <c r="AV255" s="173"/>
    </row>
    <row r="256" spans="1:48" ht="51" customHeight="1">
      <c r="A256" s="593"/>
      <c r="B256" s="595"/>
      <c r="C256" s="595"/>
      <c r="D256" s="595"/>
      <c r="E256" s="596"/>
      <c r="AP256" s="573"/>
      <c r="AQ256" s="579"/>
      <c r="AR256" s="579"/>
      <c r="AS256" s="575"/>
      <c r="AT256" s="575"/>
      <c r="AU256" s="575"/>
      <c r="AV256" s="173"/>
    </row>
    <row r="257" spans="1:48" ht="51" customHeight="1">
      <c r="A257" s="597"/>
      <c r="B257" s="598"/>
      <c r="C257" s="598"/>
      <c r="D257" s="598"/>
      <c r="E257" s="599"/>
      <c r="AV257" s="173"/>
    </row>
    <row r="258" spans="1:48" ht="51" customHeight="1">
      <c r="A258" s="600"/>
      <c r="B258" s="601"/>
      <c r="C258" s="601"/>
      <c r="D258" s="601"/>
      <c r="E258" s="602"/>
      <c r="AP258" s="573"/>
      <c r="AQ258" s="576"/>
      <c r="AR258" s="576"/>
      <c r="AS258" s="576"/>
      <c r="AT258" s="576"/>
      <c r="AU258" s="576"/>
      <c r="AV258" s="173"/>
    </row>
    <row r="261" spans="1:48">
      <c r="E261" s="580"/>
    </row>
    <row r="262" spans="1:48">
      <c r="AQ262" s="577">
        <f>AQ244+'Daily WDC'!AQ591+'Daily Ramp'!AQ527+'Daily Yazaki'!AQ185+'Daily Nidec'!AQ58</f>
        <v>1241800</v>
      </c>
      <c r="AR262" s="577">
        <f>AR244+'Daily WDC'!AR591+'Daily Ramp'!AR527+'Daily Yazaki'!AR185+'Daily Nidec'!AR58</f>
        <v>2125200</v>
      </c>
      <c r="AS262" s="577">
        <f>AS244+'Daily WDC'!AS591+'Daily Ramp'!AS527+'Daily Yazaki'!AS185+'Daily Nidec'!AS58</f>
        <v>1955600</v>
      </c>
      <c r="AT262" s="577">
        <f>AT244+'Daily WDC'!AT591+'Daily Ramp'!AT527+'Daily Yazaki'!AT185+'Daily Nidec'!AT58</f>
        <v>936200</v>
      </c>
      <c r="AU262" s="163"/>
    </row>
    <row r="266" spans="1:48">
      <c r="AV266" s="164"/>
    </row>
  </sheetData>
  <sheetProtection selectLockedCells="1" selectUnlockedCells="1"/>
  <mergeCells count="3">
    <mergeCell ref="D4:D5"/>
    <mergeCell ref="Q6:R6"/>
    <mergeCell ref="W254:Z254"/>
  </mergeCells>
  <conditionalFormatting sqref="E21:AI21">
    <cfRule type="cellIs" dxfId="599" priority="60" operator="greaterThan">
      <formula>300001</formula>
    </cfRule>
    <cfRule type="cellIs" dxfId="598" priority="61" operator="greaterThan">
      <formula>240001</formula>
    </cfRule>
  </conditionalFormatting>
  <conditionalFormatting sqref="E102:AI102">
    <cfRule type="containsText" dxfId="597" priority="3" operator="containsText" text="O/H">
      <formula>NOT(ISERROR(SEARCH("O/H",E102)))</formula>
    </cfRule>
  </conditionalFormatting>
  <conditionalFormatting sqref="E127:AI127">
    <cfRule type="containsText" dxfId="596" priority="2" operator="containsText" text="O/H">
      <formula>NOT(ISERROR(SEARCH("O/H",E127)))</formula>
    </cfRule>
  </conditionalFormatting>
  <conditionalFormatting sqref="E130:AI130">
    <cfRule type="containsText" dxfId="595" priority="1" operator="containsText" text="O/H">
      <formula>NOT(ISERROR(SEARCH("O/H",E130)))</formula>
    </cfRule>
  </conditionalFormatting>
  <printOptions horizontalCentered="1"/>
  <pageMargins left="0.11" right="0.17" top="0.38" bottom="0.12" header="0.12" footer="0.12"/>
  <pageSetup paperSize="8" scale="30" orientation="landscape" horizontalDpi="4294967294" verticalDpi="300" r:id="rId1"/>
  <headerFooter alignWithMargins="0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96447-CEEC-4886-992E-6033C1A91861}">
  <sheetPr codeName="Sheet5">
    <tabColor rgb="FF7030A0"/>
  </sheetPr>
  <dimension ref="A1:AV193"/>
  <sheetViews>
    <sheetView showGridLines="0" zoomScale="70" zoomScaleNormal="70" zoomScaleSheetLayoutView="70" workbookViewId="0">
      <pane xSplit="5" ySplit="8" topLeftCell="X79" activePane="bottomRight" state="frozen"/>
      <selection pane="topRight" activeCell="AO542" sqref="AO541:AO542"/>
      <selection pane="bottomLeft" activeCell="AO542" sqref="AO541:AO542"/>
      <selection pane="bottomRight" activeCell="AA84" sqref="AA84"/>
    </sheetView>
  </sheetViews>
  <sheetFormatPr defaultColWidth="9.42578125" defaultRowHeight="15.75"/>
  <cols>
    <col min="1" max="1" width="19.5703125" style="4" customWidth="1"/>
    <col min="2" max="2" width="49.42578125" style="2" customWidth="1"/>
    <col min="3" max="3" width="24.5703125" style="3" customWidth="1"/>
    <col min="4" max="4" width="39.28515625" style="195" customWidth="1"/>
    <col min="5" max="31" width="13" style="1" customWidth="1"/>
    <col min="32" max="32" width="13.140625" style="1" customWidth="1"/>
    <col min="33" max="34" width="13" style="1" customWidth="1"/>
    <col min="35" max="35" width="14.85546875" style="1" hidden="1" customWidth="1"/>
    <col min="36" max="37" width="17.5703125" style="1" customWidth="1"/>
    <col min="38" max="38" width="19.42578125" style="1" bestFit="1" customWidth="1"/>
    <col min="39" max="39" width="22.7109375" style="1" customWidth="1"/>
    <col min="40" max="40" width="17.5703125" style="1" customWidth="1"/>
    <col min="41" max="41" width="13.5703125" style="1" customWidth="1"/>
    <col min="42" max="42" width="41.140625" style="1" customWidth="1"/>
    <col min="43" max="43" width="11.42578125" style="1" customWidth="1"/>
    <col min="44" max="44" width="13.42578125" style="1" customWidth="1"/>
    <col min="45" max="45" width="13.140625" style="1" customWidth="1"/>
    <col min="46" max="46" width="12.85546875" style="1" customWidth="1"/>
    <col min="47" max="47" width="11" style="1" bestFit="1" customWidth="1"/>
    <col min="48" max="48" width="14.7109375" style="1" customWidth="1"/>
    <col min="49" max="16384" width="9.42578125" style="1"/>
  </cols>
  <sheetData>
    <row r="1" spans="1:48" ht="11.25">
      <c r="D1" s="4"/>
    </row>
    <row r="2" spans="1:48" ht="11.25">
      <c r="D2" s="4"/>
    </row>
    <row r="3" spans="1:48" ht="27" customHeight="1">
      <c r="D3" s="504"/>
    </row>
    <row r="4" spans="1:48" ht="11.1" customHeight="1">
      <c r="D4" s="1520" t="s">
        <v>32</v>
      </c>
    </row>
    <row r="5" spans="1:48" ht="25.35" customHeight="1">
      <c r="A5" s="199" t="s">
        <v>565</v>
      </c>
      <c r="D5" s="1520"/>
    </row>
    <row r="6" spans="1:48" s="7" customFormat="1" ht="25.35" customHeight="1" thickBot="1">
      <c r="A6" s="6" t="s">
        <v>33</v>
      </c>
      <c r="C6" s="8"/>
      <c r="D6" s="9"/>
    </row>
    <row r="7" spans="1:48" ht="30.75" customHeight="1" thickTop="1" thickBot="1">
      <c r="A7" s="11" t="s">
        <v>34</v>
      </c>
      <c r="B7" s="11" t="s">
        <v>318</v>
      </c>
      <c r="C7" s="11" t="s">
        <v>36</v>
      </c>
      <c r="D7" s="505" t="s">
        <v>37</v>
      </c>
      <c r="E7" s="13" t="s">
        <v>561</v>
      </c>
      <c r="F7" s="14" t="s">
        <v>38</v>
      </c>
      <c r="G7" s="14" t="s">
        <v>39</v>
      </c>
      <c r="H7" s="14" t="s">
        <v>40</v>
      </c>
      <c r="I7" s="14" t="s">
        <v>41</v>
      </c>
      <c r="J7" s="14" t="s">
        <v>42</v>
      </c>
      <c r="K7" s="14" t="s">
        <v>43</v>
      </c>
      <c r="L7" s="14" t="s">
        <v>44</v>
      </c>
      <c r="M7" s="14" t="s">
        <v>45</v>
      </c>
      <c r="N7" s="14" t="s">
        <v>46</v>
      </c>
      <c r="O7" s="14" t="s">
        <v>47</v>
      </c>
      <c r="P7" s="14" t="s">
        <v>48</v>
      </c>
      <c r="Q7" s="14" t="s">
        <v>49</v>
      </c>
      <c r="R7" s="14" t="s">
        <v>50</v>
      </c>
      <c r="S7" s="14" t="s">
        <v>51</v>
      </c>
      <c r="T7" s="14" t="s">
        <v>52</v>
      </c>
      <c r="U7" s="14" t="s">
        <v>53</v>
      </c>
      <c r="V7" s="14" t="s">
        <v>54</v>
      </c>
      <c r="W7" s="14" t="s">
        <v>55</v>
      </c>
      <c r="X7" s="14" t="s">
        <v>56</v>
      </c>
      <c r="Y7" s="14" t="s">
        <v>57</v>
      </c>
      <c r="Z7" s="14" t="s">
        <v>58</v>
      </c>
      <c r="AA7" s="14" t="s">
        <v>59</v>
      </c>
      <c r="AB7" s="14" t="s">
        <v>60</v>
      </c>
      <c r="AC7" s="14" t="s">
        <v>61</v>
      </c>
      <c r="AD7" s="14" t="s">
        <v>65</v>
      </c>
      <c r="AE7" s="14" t="s">
        <v>66</v>
      </c>
      <c r="AF7" s="14" t="s">
        <v>67</v>
      </c>
      <c r="AG7" s="14" t="s">
        <v>319</v>
      </c>
      <c r="AH7" s="14" t="s">
        <v>240</v>
      </c>
      <c r="AI7" s="14" t="s">
        <v>320</v>
      </c>
      <c r="AJ7" s="15" t="s">
        <v>68</v>
      </c>
      <c r="AK7" s="1016" t="s">
        <v>69</v>
      </c>
      <c r="AL7" s="506" t="s">
        <v>70</v>
      </c>
      <c r="AM7" s="1012" t="s">
        <v>71</v>
      </c>
      <c r="AN7" s="910" t="s">
        <v>72</v>
      </c>
      <c r="AO7" s="620" t="s">
        <v>73</v>
      </c>
      <c r="AP7" s="507" t="s">
        <v>74</v>
      </c>
      <c r="AQ7" s="507" t="s">
        <v>75</v>
      </c>
      <c r="AR7" s="507" t="s">
        <v>76</v>
      </c>
      <c r="AS7" s="507" t="s">
        <v>77</v>
      </c>
      <c r="AT7" s="507" t="s">
        <v>78</v>
      </c>
      <c r="AU7" s="507" t="s">
        <v>79</v>
      </c>
      <c r="AV7" s="507" t="s">
        <v>80</v>
      </c>
    </row>
    <row r="8" spans="1:48" s="660" customFormat="1" ht="26.25" customHeight="1" thickBot="1">
      <c r="A8" s="609"/>
      <c r="B8" s="369"/>
      <c r="C8" s="508"/>
      <c r="D8" s="509"/>
      <c r="E8" s="1435">
        <v>46174</v>
      </c>
      <c r="F8" s="1138">
        <f>Table1[[#This Row],[June''2026]]+1</f>
        <v>46175</v>
      </c>
      <c r="G8" s="1293">
        <f>Table1[[#This Row],[Column1]]+1</f>
        <v>46176</v>
      </c>
      <c r="H8" s="1138">
        <f>Table1[[#This Row],[Column2]]+1</f>
        <v>46177</v>
      </c>
      <c r="I8" s="1138">
        <f>Table1[[#This Row],[Column3]]+1</f>
        <v>46178</v>
      </c>
      <c r="J8" s="1293">
        <f>Table1[[#This Row],[Column4]]+1</f>
        <v>46179</v>
      </c>
      <c r="K8" s="1293">
        <f>Table1[[#This Row],[Column5]]+1</f>
        <v>46180</v>
      </c>
      <c r="L8" s="1138">
        <f>Table1[[#This Row],[Column6]]+1</f>
        <v>46181</v>
      </c>
      <c r="M8" s="1138">
        <f>Table1[[#This Row],[Column7]]+1</f>
        <v>46182</v>
      </c>
      <c r="N8" s="1138">
        <f>Table1[[#This Row],[Column8]]+1</f>
        <v>46183</v>
      </c>
      <c r="O8" s="1138">
        <f>Table1[[#This Row],[Column9]]+1</f>
        <v>46184</v>
      </c>
      <c r="P8" s="1138">
        <f>Table1[[#This Row],[Column10]]+1</f>
        <v>46185</v>
      </c>
      <c r="Q8" s="1293">
        <f>Table1[[#This Row],[Column11]]+1</f>
        <v>46186</v>
      </c>
      <c r="R8" s="1293">
        <f>Table1[[#This Row],[Column12]]+1</f>
        <v>46187</v>
      </c>
      <c r="S8" s="1138">
        <f>Table1[[#This Row],[Column13]]+1</f>
        <v>46188</v>
      </c>
      <c r="T8" s="1138">
        <f>Table1[[#This Row],[Column14]]+1</f>
        <v>46189</v>
      </c>
      <c r="U8" s="1138">
        <f>Table1[[#This Row],[Column15]]+1</f>
        <v>46190</v>
      </c>
      <c r="V8" s="1138">
        <f>Table1[[#This Row],[Column16]]+1</f>
        <v>46191</v>
      </c>
      <c r="W8" s="1138">
        <f>Table1[[#This Row],[Column17]]+1</f>
        <v>46192</v>
      </c>
      <c r="X8" s="1293">
        <f>Table1[[#This Row],[Column18]]+1</f>
        <v>46193</v>
      </c>
      <c r="Y8" s="1293">
        <f>Table1[[#This Row],[Column19]]+1</f>
        <v>46194</v>
      </c>
      <c r="Z8" s="1138">
        <f>Table1[[#This Row],[Column20]]+1</f>
        <v>46195</v>
      </c>
      <c r="AA8" s="1138">
        <f>Table1[[#This Row],[Column21]]+1</f>
        <v>46196</v>
      </c>
      <c r="AB8" s="1138">
        <f>Table1[[#This Row],[Column22]]+1</f>
        <v>46197</v>
      </c>
      <c r="AC8" s="1138">
        <f>Table1[[#This Row],[Column23]]+1</f>
        <v>46198</v>
      </c>
      <c r="AD8" s="1138">
        <f>Table1[[#This Row],[Column24]]+1</f>
        <v>46199</v>
      </c>
      <c r="AE8" s="1293">
        <f>Table1[[#This Row],[Column25]]+1</f>
        <v>46200</v>
      </c>
      <c r="AF8" s="1293">
        <f>Table1[[#This Row],[Column26]]+1</f>
        <v>46201</v>
      </c>
      <c r="AG8" s="1138">
        <f>Table1[[#This Row],[Column27]]+1</f>
        <v>46202</v>
      </c>
      <c r="AH8" s="1138">
        <f>Table1[[#This Row],[Column252]]+1</f>
        <v>46203</v>
      </c>
      <c r="AI8" s="1436">
        <f>Table1[[#This Row],[Column263]]+1</f>
        <v>46204</v>
      </c>
      <c r="AJ8" s="20"/>
      <c r="AK8" s="20"/>
      <c r="AL8" s="702"/>
      <c r="AM8" s="914"/>
      <c r="AN8" s="753"/>
      <c r="AO8" s="621"/>
    </row>
    <row r="9" spans="1:48" s="644" customFormat="1" ht="19.899999999999999" hidden="1" customHeight="1" thickTop="1">
      <c r="A9" s="228" t="s">
        <v>604</v>
      </c>
      <c r="B9" s="219"/>
      <c r="C9" s="417" t="str">
        <f>Table1[[#This Row],[M/C No.]]</f>
        <v>A1(75ton)</v>
      </c>
      <c r="D9" s="28" t="s">
        <v>82</v>
      </c>
      <c r="E9" s="1139"/>
      <c r="F9" s="1139"/>
      <c r="G9" s="1231"/>
      <c r="H9" s="1139"/>
      <c r="I9" s="1139"/>
      <c r="J9" s="1231"/>
      <c r="K9" s="1231"/>
      <c r="L9" s="1139"/>
      <c r="M9" s="1139"/>
      <c r="N9" s="1139"/>
      <c r="O9" s="1139"/>
      <c r="P9" s="1139"/>
      <c r="Q9" s="1231"/>
      <c r="R9" s="1231"/>
      <c r="S9" s="1139"/>
      <c r="T9" s="1139"/>
      <c r="U9" s="1139"/>
      <c r="V9" s="1139"/>
      <c r="W9" s="1139"/>
      <c r="X9" s="1231"/>
      <c r="Y9" s="1231"/>
      <c r="Z9" s="1139"/>
      <c r="AA9" s="1139"/>
      <c r="AB9" s="1139"/>
      <c r="AC9" s="1139"/>
      <c r="AD9" s="1139"/>
      <c r="AE9" s="1231"/>
      <c r="AF9" s="1231"/>
      <c r="AG9" s="1139"/>
      <c r="AH9" s="1139"/>
      <c r="AI9" s="1139"/>
      <c r="AJ9" s="570">
        <f>SUM(E9:AI9)</f>
        <v>0</v>
      </c>
      <c r="AK9" s="1015">
        <f>AJ11</f>
        <v>0</v>
      </c>
      <c r="AL9" s="572">
        <f>+AJ9*AN9</f>
        <v>0</v>
      </c>
      <c r="AM9" s="1002">
        <f>AL11</f>
        <v>0</v>
      </c>
      <c r="AN9" s="448">
        <v>3.59334</v>
      </c>
      <c r="AO9" s="674">
        <f>Table1[[#This Row],[Total]]*B13/1000</f>
        <v>0</v>
      </c>
      <c r="AP9" s="32" t="s">
        <v>321</v>
      </c>
      <c r="AQ9" s="33" t="s">
        <v>84</v>
      </c>
      <c r="AR9" s="33" t="s">
        <v>85</v>
      </c>
      <c r="AS9" s="33" t="s">
        <v>86</v>
      </c>
      <c r="AT9" s="33" t="s">
        <v>87</v>
      </c>
      <c r="AU9" s="33" t="s">
        <v>88</v>
      </c>
      <c r="AV9" s="34" t="s">
        <v>68</v>
      </c>
    </row>
    <row r="10" spans="1:48" s="644" customFormat="1" ht="19.899999999999999" hidden="1" customHeight="1">
      <c r="A10" s="224" t="s">
        <v>322</v>
      </c>
      <c r="B10" s="219"/>
      <c r="C10" s="510"/>
      <c r="D10" s="37" t="s">
        <v>90</v>
      </c>
      <c r="E10" s="1323">
        <f>IF(E9="",0,+ E9/E16)</f>
        <v>0</v>
      </c>
      <c r="F10" s="1096">
        <f t="shared" ref="F10:AI10" si="0">IF(F9="",0, E10+F9/F16)</f>
        <v>0</v>
      </c>
      <c r="G10" s="1207">
        <f t="shared" si="0"/>
        <v>0</v>
      </c>
      <c r="H10" s="1096">
        <f t="shared" si="0"/>
        <v>0</v>
      </c>
      <c r="I10" s="1096">
        <f t="shared" si="0"/>
        <v>0</v>
      </c>
      <c r="J10" s="1207">
        <f t="shared" si="0"/>
        <v>0</v>
      </c>
      <c r="K10" s="1207">
        <f t="shared" si="0"/>
        <v>0</v>
      </c>
      <c r="L10" s="1096">
        <f t="shared" si="0"/>
        <v>0</v>
      </c>
      <c r="M10" s="1096">
        <f t="shared" si="0"/>
        <v>0</v>
      </c>
      <c r="N10" s="1096">
        <f t="shared" si="0"/>
        <v>0</v>
      </c>
      <c r="O10" s="1096">
        <f t="shared" si="0"/>
        <v>0</v>
      </c>
      <c r="P10" s="1096">
        <f t="shared" si="0"/>
        <v>0</v>
      </c>
      <c r="Q10" s="1207">
        <f t="shared" si="0"/>
        <v>0</v>
      </c>
      <c r="R10" s="1207">
        <f t="shared" si="0"/>
        <v>0</v>
      </c>
      <c r="S10" s="1096">
        <f t="shared" si="0"/>
        <v>0</v>
      </c>
      <c r="T10" s="1096">
        <f t="shared" si="0"/>
        <v>0</v>
      </c>
      <c r="U10" s="1096">
        <f t="shared" si="0"/>
        <v>0</v>
      </c>
      <c r="V10" s="1096">
        <f t="shared" si="0"/>
        <v>0</v>
      </c>
      <c r="W10" s="1096">
        <f t="shared" si="0"/>
        <v>0</v>
      </c>
      <c r="X10" s="1207">
        <f t="shared" si="0"/>
        <v>0</v>
      </c>
      <c r="Y10" s="1207">
        <f t="shared" si="0"/>
        <v>0</v>
      </c>
      <c r="Z10" s="1096">
        <f t="shared" si="0"/>
        <v>0</v>
      </c>
      <c r="AA10" s="1096">
        <f t="shared" si="0"/>
        <v>0</v>
      </c>
      <c r="AB10" s="1096">
        <f t="shared" si="0"/>
        <v>0</v>
      </c>
      <c r="AC10" s="1096">
        <f t="shared" si="0"/>
        <v>0</v>
      </c>
      <c r="AD10" s="1096">
        <f t="shared" si="0"/>
        <v>0</v>
      </c>
      <c r="AE10" s="1207">
        <f t="shared" si="0"/>
        <v>0</v>
      </c>
      <c r="AF10" s="1207">
        <f t="shared" si="0"/>
        <v>0</v>
      </c>
      <c r="AG10" s="1096">
        <f>IF(AG9="",0, AC10+AG9/AG16)</f>
        <v>0</v>
      </c>
      <c r="AH10" s="1096">
        <f>IF(AH9="",0, AD10+AH9/AH16)</f>
        <v>0</v>
      </c>
      <c r="AI10" s="1324">
        <f t="shared" si="0"/>
        <v>0</v>
      </c>
      <c r="AJ10" s="661"/>
      <c r="AK10" s="661"/>
      <c r="AL10" s="572"/>
      <c r="AM10" s="915"/>
      <c r="AN10" s="448"/>
      <c r="AO10" s="675"/>
      <c r="AP10" s="39" t="s">
        <v>91</v>
      </c>
      <c r="AQ10" s="40">
        <f>SUM(E9:I9)</f>
        <v>0</v>
      </c>
      <c r="AR10" s="41">
        <f>SUM(J9:P9)</f>
        <v>0</v>
      </c>
      <c r="AS10" s="41">
        <f>SUM(Q9:W9)</f>
        <v>0</v>
      </c>
      <c r="AT10" s="41">
        <f>SUM(X9:AD9)</f>
        <v>0</v>
      </c>
      <c r="AU10" s="41">
        <f>SUM(AE9:AG9)</f>
        <v>0</v>
      </c>
      <c r="AV10" s="34">
        <f t="shared" ref="AV10:AV15" si="1">SUM(AQ10:AU10)</f>
        <v>0</v>
      </c>
    </row>
    <row r="11" spans="1:48" s="644" customFormat="1" ht="19.899999999999999" hidden="1" customHeight="1">
      <c r="A11" s="224" t="s">
        <v>322</v>
      </c>
      <c r="B11" s="89" t="s">
        <v>523</v>
      </c>
      <c r="C11" s="52" t="s">
        <v>95</v>
      </c>
      <c r="D11" s="43" t="s">
        <v>93</v>
      </c>
      <c r="E11" s="1108"/>
      <c r="F11" s="1089"/>
      <c r="G11" s="44"/>
      <c r="H11" s="1089"/>
      <c r="I11" s="1089"/>
      <c r="J11" s="44"/>
      <c r="K11" s="44"/>
      <c r="L11" s="1089"/>
      <c r="M11" s="1089"/>
      <c r="N11" s="1089"/>
      <c r="O11" s="1089"/>
      <c r="P11" s="1089"/>
      <c r="Q11" s="44"/>
      <c r="R11" s="44"/>
      <c r="S11" s="1089"/>
      <c r="T11" s="1089"/>
      <c r="U11" s="1089"/>
      <c r="V11" s="1089"/>
      <c r="W11" s="1089"/>
      <c r="X11" s="44"/>
      <c r="Y11" s="44"/>
      <c r="Z11" s="1089"/>
      <c r="AA11" s="1089"/>
      <c r="AB11" s="1089"/>
      <c r="AC11" s="1089"/>
      <c r="AD11" s="1089"/>
      <c r="AE11" s="44"/>
      <c r="AF11" s="44"/>
      <c r="AG11" s="1089"/>
      <c r="AH11" s="1089"/>
      <c r="AI11" s="1326"/>
      <c r="AJ11" s="662">
        <f>SUM(E11:AI11)</f>
        <v>0</v>
      </c>
      <c r="AK11" s="662"/>
      <c r="AL11" s="645">
        <f>+AJ11*AN9</f>
        <v>0</v>
      </c>
      <c r="AM11" s="916"/>
      <c r="AN11" s="449"/>
      <c r="AO11" s="632">
        <f>(AJ11+AJ13+AJ14+AJ15)*B13/1000</f>
        <v>0</v>
      </c>
      <c r="AP11" s="47" t="s">
        <v>94</v>
      </c>
      <c r="AQ11" s="48">
        <f>SUM(E11:I11)</f>
        <v>0</v>
      </c>
      <c r="AR11" s="49">
        <f>SUM(J11:P11)</f>
        <v>0</v>
      </c>
      <c r="AS11" s="49">
        <f>SUM(Q11:W11)</f>
        <v>0</v>
      </c>
      <c r="AT11" s="49">
        <f>SUM(X11:AD11)</f>
        <v>0</v>
      </c>
      <c r="AU11" s="49">
        <f>SUM(AE11:AG11)</f>
        <v>0</v>
      </c>
      <c r="AV11" s="50">
        <f t="shared" si="1"/>
        <v>0</v>
      </c>
    </row>
    <row r="12" spans="1:48" s="644" customFormat="1" ht="19.899999999999999" hidden="1" customHeight="1">
      <c r="A12" s="224" t="s">
        <v>322</v>
      </c>
      <c r="B12" s="638" t="s">
        <v>247</v>
      </c>
      <c r="C12" s="379">
        <v>40000</v>
      </c>
      <c r="D12" s="53" t="s">
        <v>96</v>
      </c>
      <c r="E12" s="1137">
        <f t="shared" ref="E12:AJ12" si="2">+E11-E9</f>
        <v>0</v>
      </c>
      <c r="F12" s="1097">
        <f t="shared" si="2"/>
        <v>0</v>
      </c>
      <c r="G12" s="1205">
        <f t="shared" si="2"/>
        <v>0</v>
      </c>
      <c r="H12" s="1097">
        <f t="shared" si="2"/>
        <v>0</v>
      </c>
      <c r="I12" s="1097">
        <f t="shared" ref="I12:M12" si="3">+I11-I9</f>
        <v>0</v>
      </c>
      <c r="J12" s="1205">
        <f t="shared" si="3"/>
        <v>0</v>
      </c>
      <c r="K12" s="1205">
        <f t="shared" ref="K12" si="4">+K11-K9</f>
        <v>0</v>
      </c>
      <c r="L12" s="1097">
        <f t="shared" si="3"/>
        <v>0</v>
      </c>
      <c r="M12" s="1097">
        <f t="shared" si="3"/>
        <v>0</v>
      </c>
      <c r="N12" s="1097">
        <f t="shared" ref="N12:T12" si="5">+N11-N9</f>
        <v>0</v>
      </c>
      <c r="O12" s="1097">
        <f t="shared" si="5"/>
        <v>0</v>
      </c>
      <c r="P12" s="1097">
        <f t="shared" si="5"/>
        <v>0</v>
      </c>
      <c r="Q12" s="1205">
        <f t="shared" si="5"/>
        <v>0</v>
      </c>
      <c r="R12" s="1205">
        <f t="shared" si="5"/>
        <v>0</v>
      </c>
      <c r="S12" s="1097">
        <f t="shared" si="5"/>
        <v>0</v>
      </c>
      <c r="T12" s="1097">
        <f t="shared" si="5"/>
        <v>0</v>
      </c>
      <c r="U12" s="1097">
        <f t="shared" si="2"/>
        <v>0</v>
      </c>
      <c r="V12" s="1097">
        <f t="shared" si="2"/>
        <v>0</v>
      </c>
      <c r="W12" s="1097">
        <f t="shared" si="2"/>
        <v>0</v>
      </c>
      <c r="X12" s="1205">
        <f t="shared" si="2"/>
        <v>0</v>
      </c>
      <c r="Y12" s="1205">
        <f t="shared" si="2"/>
        <v>0</v>
      </c>
      <c r="Z12" s="1097">
        <f t="shared" si="2"/>
        <v>0</v>
      </c>
      <c r="AA12" s="1097">
        <f t="shared" si="2"/>
        <v>0</v>
      </c>
      <c r="AB12" s="1097">
        <f t="shared" si="2"/>
        <v>0</v>
      </c>
      <c r="AC12" s="1097">
        <f t="shared" si="2"/>
        <v>0</v>
      </c>
      <c r="AD12" s="1097">
        <f t="shared" si="2"/>
        <v>0</v>
      </c>
      <c r="AE12" s="1205">
        <f t="shared" si="2"/>
        <v>0</v>
      </c>
      <c r="AF12" s="1205">
        <f t="shared" si="2"/>
        <v>0</v>
      </c>
      <c r="AG12" s="1097">
        <f t="shared" si="2"/>
        <v>0</v>
      </c>
      <c r="AH12" s="1097">
        <f t="shared" si="2"/>
        <v>0</v>
      </c>
      <c r="AI12" s="1328">
        <f t="shared" si="2"/>
        <v>0</v>
      </c>
      <c r="AJ12" s="663">
        <f t="shared" si="2"/>
        <v>0</v>
      </c>
      <c r="AK12" s="663"/>
      <c r="AL12" s="646">
        <f>+AJ12*AN9</f>
        <v>0</v>
      </c>
      <c r="AM12" s="917"/>
      <c r="AN12" s="449" t="s">
        <v>97</v>
      </c>
      <c r="AO12" s="622"/>
      <c r="AP12" s="39" t="s">
        <v>98</v>
      </c>
      <c r="AQ12" s="56">
        <f>AQ11-AQ10</f>
        <v>0</v>
      </c>
      <c r="AR12" s="70">
        <f>AR11-AR10</f>
        <v>0</v>
      </c>
      <c r="AS12" s="70">
        <f>AS11-AS10</f>
        <v>0</v>
      </c>
      <c r="AT12" s="70">
        <f>AT11-AT10</f>
        <v>0</v>
      </c>
      <c r="AU12" s="70">
        <f>AU11-AU10</f>
        <v>0</v>
      </c>
      <c r="AV12" s="57">
        <f t="shared" si="1"/>
        <v>0</v>
      </c>
    </row>
    <row r="13" spans="1:48" s="644" customFormat="1" ht="19.899999999999999" hidden="1" customHeight="1">
      <c r="A13" s="511"/>
      <c r="B13" s="659">
        <v>3.7827500000000001</v>
      </c>
      <c r="C13" s="512"/>
      <c r="D13" s="61" t="s">
        <v>101</v>
      </c>
      <c r="E13" s="1098"/>
      <c r="F13" s="1099"/>
      <c r="G13" s="1208"/>
      <c r="H13" s="1099"/>
      <c r="I13" s="1099"/>
      <c r="J13" s="1208"/>
      <c r="K13" s="1208"/>
      <c r="L13" s="1099"/>
      <c r="M13" s="1099"/>
      <c r="N13" s="1099"/>
      <c r="O13" s="1099"/>
      <c r="P13" s="1099"/>
      <c r="Q13" s="1208"/>
      <c r="R13" s="1208"/>
      <c r="S13" s="1099"/>
      <c r="T13" s="1099"/>
      <c r="U13" s="1099"/>
      <c r="V13" s="1099"/>
      <c r="W13" s="1099"/>
      <c r="X13" s="1208"/>
      <c r="Y13" s="1208"/>
      <c r="Z13" s="1099"/>
      <c r="AA13" s="1099"/>
      <c r="AB13" s="1099"/>
      <c r="AC13" s="1099"/>
      <c r="AD13" s="1099"/>
      <c r="AE13" s="1208"/>
      <c r="AF13" s="1208"/>
      <c r="AG13" s="1099"/>
      <c r="AH13" s="1099"/>
      <c r="AI13" s="1330"/>
      <c r="AJ13" s="664">
        <f>SUM(E13:AI13)</f>
        <v>0</v>
      </c>
      <c r="AK13" s="664"/>
      <c r="AL13" s="647">
        <f>+AJ13*AN9</f>
        <v>0</v>
      </c>
      <c r="AM13" s="918"/>
      <c r="AN13" s="404" t="e">
        <f>+AJ13/AJ11*100</f>
        <v>#DIV/0!</v>
      </c>
      <c r="AO13" s="635" t="e">
        <f>AO11/AO9</f>
        <v>#DIV/0!</v>
      </c>
      <c r="AP13" s="39" t="s">
        <v>102</v>
      </c>
      <c r="AQ13" s="56">
        <f>SUM(E13:I13)</f>
        <v>0</v>
      </c>
      <c r="AR13" s="70">
        <f>SUM(J13:P13)</f>
        <v>0</v>
      </c>
      <c r="AS13" s="70">
        <f>SUM(Q13:W13)</f>
        <v>0</v>
      </c>
      <c r="AT13" s="70">
        <f>SUM(X13:AD13)</f>
        <v>0</v>
      </c>
      <c r="AU13" s="70">
        <f>SUM(AE13:AG13)</f>
        <v>0</v>
      </c>
      <c r="AV13" s="57">
        <f t="shared" si="1"/>
        <v>0</v>
      </c>
    </row>
    <row r="14" spans="1:48" s="644" customFormat="1" ht="19.899999999999999" hidden="1" customHeight="1">
      <c r="A14" s="511"/>
      <c r="B14" s="65"/>
      <c r="C14" s="89" t="s">
        <v>108</v>
      </c>
      <c r="D14" s="67" t="s">
        <v>103</v>
      </c>
      <c r="E14" s="1100"/>
      <c r="F14" s="1101"/>
      <c r="G14" s="1209"/>
      <c r="H14" s="1101"/>
      <c r="I14" s="1101"/>
      <c r="J14" s="1209"/>
      <c r="K14" s="1209"/>
      <c r="L14" s="1101"/>
      <c r="M14" s="1101"/>
      <c r="N14" s="1101"/>
      <c r="O14" s="1101"/>
      <c r="P14" s="1101"/>
      <c r="Q14" s="1209"/>
      <c r="R14" s="1209"/>
      <c r="S14" s="1101"/>
      <c r="T14" s="1101"/>
      <c r="U14" s="1101"/>
      <c r="V14" s="1101"/>
      <c r="W14" s="1101"/>
      <c r="X14" s="1209"/>
      <c r="Y14" s="1209"/>
      <c r="Z14" s="1101"/>
      <c r="AA14" s="1101"/>
      <c r="AB14" s="1101"/>
      <c r="AC14" s="1101"/>
      <c r="AD14" s="1101"/>
      <c r="AE14" s="1209"/>
      <c r="AF14" s="1209"/>
      <c r="AG14" s="1101"/>
      <c r="AH14" s="1101"/>
      <c r="AI14" s="1332"/>
      <c r="AJ14" s="665">
        <f>SUM(E14:AI14)</f>
        <v>0</v>
      </c>
      <c r="AK14" s="665"/>
      <c r="AL14" s="648">
        <f>+AJ14*AN9</f>
        <v>0</v>
      </c>
      <c r="AM14" s="919"/>
      <c r="AN14" s="449"/>
      <c r="AO14" s="622"/>
      <c r="AP14" s="39" t="s">
        <v>19</v>
      </c>
      <c r="AQ14" s="56">
        <f>AQ13*AN9</f>
        <v>0</v>
      </c>
      <c r="AR14" s="56">
        <f>AR13*AN9</f>
        <v>0</v>
      </c>
      <c r="AS14" s="56">
        <f>AS13*AN9</f>
        <v>0</v>
      </c>
      <c r="AT14" s="56">
        <f>AT13*AN9</f>
        <v>0</v>
      </c>
      <c r="AU14" s="56">
        <f>AU13*AN9</f>
        <v>0</v>
      </c>
      <c r="AV14" s="57">
        <f t="shared" si="1"/>
        <v>0</v>
      </c>
    </row>
    <row r="15" spans="1:48" s="644" customFormat="1" ht="19.899999999999999" hidden="1" customHeight="1">
      <c r="A15" s="224"/>
      <c r="B15" s="65"/>
      <c r="C15" s="383">
        <f>+C12*0.8</f>
        <v>32000</v>
      </c>
      <c r="D15" s="73" t="s">
        <v>105</v>
      </c>
      <c r="E15" s="1102"/>
      <c r="F15" s="1103"/>
      <c r="G15" s="1289"/>
      <c r="H15" s="1140"/>
      <c r="I15" s="1140"/>
      <c r="J15" s="1289"/>
      <c r="K15" s="1289"/>
      <c r="L15" s="1140"/>
      <c r="M15" s="1140"/>
      <c r="N15" s="1140"/>
      <c r="O15" s="1140"/>
      <c r="P15" s="1140"/>
      <c r="Q15" s="1289"/>
      <c r="R15" s="1289"/>
      <c r="S15" s="1140"/>
      <c r="T15" s="1140"/>
      <c r="U15" s="1140"/>
      <c r="V15" s="1140"/>
      <c r="W15" s="1140"/>
      <c r="X15" s="1289"/>
      <c r="Y15" s="1289"/>
      <c r="Z15" s="1140"/>
      <c r="AA15" s="1140"/>
      <c r="AB15" s="1140"/>
      <c r="AC15" s="1140"/>
      <c r="AD15" s="1140"/>
      <c r="AE15" s="1289"/>
      <c r="AF15" s="1289"/>
      <c r="AG15" s="1140"/>
      <c r="AH15" s="1140"/>
      <c r="AI15" s="1408"/>
      <c r="AJ15" s="666">
        <f>SUM(E15:AI15)</f>
        <v>0</v>
      </c>
      <c r="AK15" s="666"/>
      <c r="AL15" s="649">
        <f>+AJ15*AN10</f>
        <v>0</v>
      </c>
      <c r="AM15" s="920"/>
      <c r="AN15" s="449"/>
      <c r="AO15" s="622"/>
      <c r="AP15" s="47" t="s">
        <v>106</v>
      </c>
      <c r="AQ15" s="48">
        <f>AQ11*AN9</f>
        <v>0</v>
      </c>
      <c r="AR15" s="48">
        <f>AR11*AN9</f>
        <v>0</v>
      </c>
      <c r="AS15" s="48">
        <f>AS11*AN9</f>
        <v>0</v>
      </c>
      <c r="AT15" s="48">
        <f>AT11*AN9</f>
        <v>0</v>
      </c>
      <c r="AU15" s="48">
        <f>AU11*AN9</f>
        <v>0</v>
      </c>
      <c r="AV15" s="50">
        <f t="shared" si="1"/>
        <v>0</v>
      </c>
    </row>
    <row r="16" spans="1:48" s="644" customFormat="1" ht="19.899999999999999" hidden="1" customHeight="1">
      <c r="A16" s="224" t="s">
        <v>322</v>
      </c>
      <c r="B16" s="65"/>
      <c r="C16" s="513"/>
      <c r="D16" s="78" t="s">
        <v>107</v>
      </c>
      <c r="E16" s="1137">
        <v>4</v>
      </c>
      <c r="F16" s="1097">
        <v>4</v>
      </c>
      <c r="G16" s="1205">
        <v>4</v>
      </c>
      <c r="H16" s="1097">
        <v>4</v>
      </c>
      <c r="I16" s="1097">
        <v>4</v>
      </c>
      <c r="J16" s="1205">
        <v>4</v>
      </c>
      <c r="K16" s="1205">
        <v>4</v>
      </c>
      <c r="L16" s="1097">
        <v>4</v>
      </c>
      <c r="M16" s="1097">
        <v>4</v>
      </c>
      <c r="N16" s="1097">
        <v>4</v>
      </c>
      <c r="O16" s="1097">
        <v>4</v>
      </c>
      <c r="P16" s="1097">
        <v>4</v>
      </c>
      <c r="Q16" s="1205">
        <v>4</v>
      </c>
      <c r="R16" s="1205">
        <v>4</v>
      </c>
      <c r="S16" s="1097">
        <v>4</v>
      </c>
      <c r="T16" s="1097">
        <v>4</v>
      </c>
      <c r="U16" s="1097">
        <v>4</v>
      </c>
      <c r="V16" s="1097">
        <v>4</v>
      </c>
      <c r="W16" s="1097">
        <v>4</v>
      </c>
      <c r="X16" s="1205">
        <v>4</v>
      </c>
      <c r="Y16" s="1205">
        <v>4</v>
      </c>
      <c r="Z16" s="1097">
        <v>4</v>
      </c>
      <c r="AA16" s="1097">
        <v>4</v>
      </c>
      <c r="AB16" s="1097">
        <v>4</v>
      </c>
      <c r="AC16" s="1097">
        <v>4</v>
      </c>
      <c r="AD16" s="1097">
        <v>4</v>
      </c>
      <c r="AE16" s="1205">
        <v>4</v>
      </c>
      <c r="AF16" s="1205">
        <v>4</v>
      </c>
      <c r="AG16" s="1097">
        <v>4</v>
      </c>
      <c r="AH16" s="1097">
        <v>4</v>
      </c>
      <c r="AI16" s="1328">
        <v>4</v>
      </c>
      <c r="AJ16" s="663"/>
      <c r="AK16" s="663"/>
      <c r="AL16" s="646"/>
      <c r="AM16" s="917"/>
      <c r="AN16" s="449"/>
      <c r="AO16" s="622"/>
    </row>
    <row r="17" spans="1:48" s="644" customFormat="1" ht="19.899999999999999" hidden="1" customHeight="1">
      <c r="A17" s="224" t="s">
        <v>322</v>
      </c>
      <c r="B17" s="42"/>
      <c r="C17" s="514"/>
      <c r="D17" s="81" t="s">
        <v>109</v>
      </c>
      <c r="E17" s="1105">
        <f t="shared" ref="E17:AI17" si="6">SUM(E11+E13+E14)/E16</f>
        <v>0</v>
      </c>
      <c r="F17" s="1104">
        <f t="shared" si="6"/>
        <v>0</v>
      </c>
      <c r="G17" s="1211">
        <f t="shared" si="6"/>
        <v>0</v>
      </c>
      <c r="H17" s="1104">
        <f t="shared" si="6"/>
        <v>0</v>
      </c>
      <c r="I17" s="1104">
        <f t="shared" si="6"/>
        <v>0</v>
      </c>
      <c r="J17" s="1211">
        <f t="shared" si="6"/>
        <v>0</v>
      </c>
      <c r="K17" s="1211">
        <f t="shared" si="6"/>
        <v>0</v>
      </c>
      <c r="L17" s="1104">
        <f t="shared" si="6"/>
        <v>0</v>
      </c>
      <c r="M17" s="1104">
        <f t="shared" si="6"/>
        <v>0</v>
      </c>
      <c r="N17" s="1104">
        <f t="shared" si="6"/>
        <v>0</v>
      </c>
      <c r="O17" s="1104">
        <f t="shared" si="6"/>
        <v>0</v>
      </c>
      <c r="P17" s="1104">
        <f t="shared" si="6"/>
        <v>0</v>
      </c>
      <c r="Q17" s="1211">
        <f t="shared" si="6"/>
        <v>0</v>
      </c>
      <c r="R17" s="1211">
        <f t="shared" si="6"/>
        <v>0</v>
      </c>
      <c r="S17" s="1104">
        <f t="shared" si="6"/>
        <v>0</v>
      </c>
      <c r="T17" s="1104">
        <f t="shared" si="6"/>
        <v>0</v>
      </c>
      <c r="U17" s="1104">
        <f t="shared" si="6"/>
        <v>0</v>
      </c>
      <c r="V17" s="1104">
        <f t="shared" si="6"/>
        <v>0</v>
      </c>
      <c r="W17" s="1104">
        <f t="shared" si="6"/>
        <v>0</v>
      </c>
      <c r="X17" s="1211">
        <f t="shared" si="6"/>
        <v>0</v>
      </c>
      <c r="Y17" s="1211">
        <f t="shared" si="6"/>
        <v>0</v>
      </c>
      <c r="Z17" s="1104">
        <f t="shared" si="6"/>
        <v>0</v>
      </c>
      <c r="AA17" s="1104">
        <f t="shared" si="6"/>
        <v>0</v>
      </c>
      <c r="AB17" s="1104">
        <f t="shared" si="6"/>
        <v>0</v>
      </c>
      <c r="AC17" s="1104">
        <f t="shared" si="6"/>
        <v>0</v>
      </c>
      <c r="AD17" s="1104">
        <f>SUM(AD11+AD13+AD14)/AD16</f>
        <v>0</v>
      </c>
      <c r="AE17" s="1211">
        <f>SUM(AE11+AE13+AE14)/AE16</f>
        <v>0</v>
      </c>
      <c r="AF17" s="1211">
        <f>SUM(AF11+AF13+AF14)/AF16</f>
        <v>0</v>
      </c>
      <c r="AG17" s="1104">
        <f t="shared" si="6"/>
        <v>0</v>
      </c>
      <c r="AH17" s="1104">
        <f t="shared" si="6"/>
        <v>0</v>
      </c>
      <c r="AI17" s="1353">
        <f t="shared" si="6"/>
        <v>0</v>
      </c>
      <c r="AJ17" s="104">
        <f>SUM(E17:AI17)</f>
        <v>0</v>
      </c>
      <c r="AK17" s="104"/>
      <c r="AL17" s="650"/>
      <c r="AM17" s="921"/>
      <c r="AN17" s="449"/>
      <c r="AO17" s="622"/>
    </row>
    <row r="18" spans="1:48" s="644" customFormat="1" ht="19.899999999999999" hidden="1" customHeight="1">
      <c r="A18" s="224" t="s">
        <v>322</v>
      </c>
      <c r="B18" s="89"/>
      <c r="C18" s="72"/>
      <c r="D18" s="85" t="s">
        <v>110</v>
      </c>
      <c r="E18" s="1105"/>
      <c r="F18" s="1106"/>
      <c r="G18" s="1211"/>
      <c r="H18" s="1104"/>
      <c r="I18" s="1104"/>
      <c r="J18" s="1211"/>
      <c r="K18" s="1211"/>
      <c r="L18" s="1104"/>
      <c r="M18" s="1107"/>
      <c r="N18" s="1104"/>
      <c r="O18" s="1104"/>
      <c r="P18" s="1104"/>
      <c r="Q18" s="1211"/>
      <c r="R18" s="1211"/>
      <c r="S18" s="1104"/>
      <c r="T18" s="1104"/>
      <c r="U18" s="1104"/>
      <c r="V18" s="1104"/>
      <c r="W18" s="1104"/>
      <c r="X18" s="1211"/>
      <c r="Y18" s="1211"/>
      <c r="Z18" s="1104"/>
      <c r="AA18" s="1104"/>
      <c r="AB18" s="1104"/>
      <c r="AC18" s="1104"/>
      <c r="AD18" s="1104"/>
      <c r="AE18" s="1211"/>
      <c r="AF18" s="1211"/>
      <c r="AG18" s="1104"/>
      <c r="AH18" s="1104"/>
      <c r="AI18" s="1353"/>
      <c r="AJ18" s="667"/>
      <c r="AK18" s="667"/>
      <c r="AL18" s="703"/>
      <c r="AM18" s="922"/>
      <c r="AN18" s="449"/>
      <c r="AO18" s="622"/>
    </row>
    <row r="19" spans="1:48" s="644" customFormat="1" ht="19.899999999999999" hidden="1" customHeight="1">
      <c r="A19" s="224" t="s">
        <v>322</v>
      </c>
      <c r="B19" s="65"/>
      <c r="C19" s="72" t="s">
        <v>104</v>
      </c>
      <c r="D19" s="88" t="s">
        <v>111</v>
      </c>
      <c r="E19" s="1108">
        <f>IF(E18="O/H",E17,0+E17)</f>
        <v>0</v>
      </c>
      <c r="F19" s="1089">
        <f t="shared" ref="F19:AI19" si="7">IF(F18="O/H",F17,+E19+F17)</f>
        <v>0</v>
      </c>
      <c r="G19" s="44">
        <f t="shared" si="7"/>
        <v>0</v>
      </c>
      <c r="H19" s="1089">
        <f t="shared" si="7"/>
        <v>0</v>
      </c>
      <c r="I19" s="1089">
        <f t="shared" si="7"/>
        <v>0</v>
      </c>
      <c r="J19" s="44">
        <f t="shared" si="7"/>
        <v>0</v>
      </c>
      <c r="K19" s="44">
        <f t="shared" si="7"/>
        <v>0</v>
      </c>
      <c r="L19" s="1089">
        <f t="shared" si="7"/>
        <v>0</v>
      </c>
      <c r="M19" s="1089">
        <f t="shared" si="7"/>
        <v>0</v>
      </c>
      <c r="N19" s="1089">
        <f t="shared" si="7"/>
        <v>0</v>
      </c>
      <c r="O19" s="1089">
        <f t="shared" si="7"/>
        <v>0</v>
      </c>
      <c r="P19" s="1089">
        <f t="shared" si="7"/>
        <v>0</v>
      </c>
      <c r="Q19" s="44">
        <f t="shared" si="7"/>
        <v>0</v>
      </c>
      <c r="R19" s="44">
        <f t="shared" si="7"/>
        <v>0</v>
      </c>
      <c r="S19" s="1089">
        <f t="shared" si="7"/>
        <v>0</v>
      </c>
      <c r="T19" s="1089">
        <f t="shared" si="7"/>
        <v>0</v>
      </c>
      <c r="U19" s="1089">
        <f t="shared" si="7"/>
        <v>0</v>
      </c>
      <c r="V19" s="1089">
        <f t="shared" si="7"/>
        <v>0</v>
      </c>
      <c r="W19" s="1089">
        <f t="shared" si="7"/>
        <v>0</v>
      </c>
      <c r="X19" s="44">
        <f t="shared" si="7"/>
        <v>0</v>
      </c>
      <c r="Y19" s="44">
        <f t="shared" si="7"/>
        <v>0</v>
      </c>
      <c r="Z19" s="1089">
        <f t="shared" si="7"/>
        <v>0</v>
      </c>
      <c r="AA19" s="1089">
        <f t="shared" si="7"/>
        <v>0</v>
      </c>
      <c r="AB19" s="1089">
        <f t="shared" si="7"/>
        <v>0</v>
      </c>
      <c r="AC19" s="1089">
        <f t="shared" si="7"/>
        <v>0</v>
      </c>
      <c r="AD19" s="1089">
        <f t="shared" si="7"/>
        <v>0</v>
      </c>
      <c r="AE19" s="44">
        <f t="shared" si="7"/>
        <v>0</v>
      </c>
      <c r="AF19" s="44">
        <f t="shared" si="7"/>
        <v>0</v>
      </c>
      <c r="AG19" s="1089">
        <f t="shared" si="7"/>
        <v>0</v>
      </c>
      <c r="AH19" s="1089">
        <f t="shared" si="7"/>
        <v>0</v>
      </c>
      <c r="AI19" s="1326">
        <f t="shared" si="7"/>
        <v>0</v>
      </c>
      <c r="AJ19" s="663"/>
      <c r="AK19" s="667"/>
      <c r="AL19" s="704"/>
      <c r="AM19" s="923"/>
      <c r="AN19" s="449"/>
      <c r="AO19" s="622"/>
    </row>
    <row r="20" spans="1:48" s="23" customFormat="1" ht="20.65" hidden="1" customHeight="1">
      <c r="A20" s="274"/>
      <c r="B20" s="312"/>
      <c r="C20" s="308">
        <v>300000</v>
      </c>
      <c r="D20" s="795" t="s">
        <v>112</v>
      </c>
      <c r="E20" s="1108" t="b">
        <f>IF(AND(ISNUMBER(E11)),0+E17)</f>
        <v>0</v>
      </c>
      <c r="F20" s="1089" t="str">
        <f>IF(AND(ISNUMBER(F11)),E20+F17,"")</f>
        <v/>
      </c>
      <c r="G20" s="44" t="str">
        <f t="shared" ref="G20" si="8">IF(AND(ISNUMBER(G11)),F20+G17,"")</f>
        <v/>
      </c>
      <c r="H20" s="1089" t="str">
        <f t="shared" ref="H20" si="9">IF(AND(ISNUMBER(H11)),G20+H17,"")</f>
        <v/>
      </c>
      <c r="I20" s="1089" t="str">
        <f>IF(AND(ISNUMBER(I11)),H20+I17,"")</f>
        <v/>
      </c>
      <c r="J20" s="44" t="str">
        <f>IF(AND(ISNUMBER(J11)),I20+J17,"")</f>
        <v/>
      </c>
      <c r="K20" s="44" t="str">
        <f>IF(AND(ISNUMBER(K11)),J20+K17,"")</f>
        <v/>
      </c>
      <c r="L20" s="1089" t="str">
        <f t="shared" ref="L20" si="10">IF(AND(ISNUMBER(L11)),K20+L17,"")</f>
        <v/>
      </c>
      <c r="M20" s="1089" t="str">
        <f t="shared" ref="M20" si="11">IF(AND(ISNUMBER(M11)),L20+M17,"")</f>
        <v/>
      </c>
      <c r="N20" s="1089" t="str">
        <f t="shared" ref="N20" si="12">IF(AND(ISNUMBER(N11)),M20+N17,"")</f>
        <v/>
      </c>
      <c r="O20" s="1089" t="str">
        <f t="shared" ref="O20" si="13">IF(AND(ISNUMBER(O11)),N20+O17,"")</f>
        <v/>
      </c>
      <c r="P20" s="1089" t="str">
        <f t="shared" ref="P20" si="14">IF(AND(ISNUMBER(P11)),O20+P17,"")</f>
        <v/>
      </c>
      <c r="Q20" s="44" t="str">
        <f t="shared" ref="Q20" si="15">IF(AND(ISNUMBER(Q11)),P20+Q17,"")</f>
        <v/>
      </c>
      <c r="R20" s="44" t="str">
        <f t="shared" ref="R20" si="16">IF(AND(ISNUMBER(R11)),Q20+R17,"")</f>
        <v/>
      </c>
      <c r="S20" s="1089" t="str">
        <f t="shared" ref="S20" si="17">IF(AND(ISNUMBER(S11)),R20+S17,"")</f>
        <v/>
      </c>
      <c r="T20" s="1089" t="str">
        <f t="shared" ref="T20" si="18">IF(AND(ISNUMBER(T11)),S20+T17,"")</f>
        <v/>
      </c>
      <c r="U20" s="1089" t="str">
        <f t="shared" ref="U20" si="19">IF(AND(ISNUMBER(U11)),T20+U17,"")</f>
        <v/>
      </c>
      <c r="V20" s="1089" t="str">
        <f t="shared" ref="V20" si="20">IF(AND(ISNUMBER(V11)),U20+V17,"")</f>
        <v/>
      </c>
      <c r="W20" s="1089" t="str">
        <f t="shared" ref="W20" si="21">IF(AND(ISNUMBER(W11)),V20+W17,"")</f>
        <v/>
      </c>
      <c r="X20" s="44" t="str">
        <f t="shared" ref="X20" si="22">IF(AND(ISNUMBER(X11)),W20+X17,"")</f>
        <v/>
      </c>
      <c r="Y20" s="44" t="str">
        <f t="shared" ref="Y20" si="23">IF(AND(ISNUMBER(Y11)),X20+Y17,"")</f>
        <v/>
      </c>
      <c r="Z20" s="1089" t="str">
        <f t="shared" ref="Z20" si="24">IF(AND(ISNUMBER(Z11)),Y20+Z17,"")</f>
        <v/>
      </c>
      <c r="AA20" s="1089" t="str">
        <f t="shared" ref="AA20" si="25">IF(AND(ISNUMBER(AA11)),Z20+AA17,"")</f>
        <v/>
      </c>
      <c r="AB20" s="1089" t="str">
        <f t="shared" ref="AB20" si="26">IF(AND(ISNUMBER(AB11)),AA20+AB17,"")</f>
        <v/>
      </c>
      <c r="AC20" s="1089" t="str">
        <f t="shared" ref="AC20" si="27">IF(AND(ISNUMBER(AC11)),AB20+AC17,"")</f>
        <v/>
      </c>
      <c r="AD20" s="1089" t="str">
        <f t="shared" ref="AD20" si="28">IF(AND(ISNUMBER(AD11)),AC20+AD17,"")</f>
        <v/>
      </c>
      <c r="AE20" s="44" t="str">
        <f t="shared" ref="AE20" si="29">IF(AND(ISNUMBER(AE11)),AD20+AE17,"")</f>
        <v/>
      </c>
      <c r="AF20" s="44" t="str">
        <f t="shared" ref="AF20" si="30">IF(AND(ISNUMBER(AF11)),AE20+AF17,"")</f>
        <v/>
      </c>
      <c r="AG20" s="1089" t="str">
        <f t="shared" ref="AG20" si="31">IF(AND(ISNUMBER(AG11)),AF20+AG17,"")</f>
        <v/>
      </c>
      <c r="AH20" s="1089" t="str">
        <f t="shared" ref="AH20" si="32">IF(AND(ISNUMBER(AH11)),AG20+AH17,"")</f>
        <v/>
      </c>
      <c r="AI20" s="1089" t="str">
        <f t="shared" ref="AI20" si="33">IF(AND(ISNUMBER(AI11)),AH20+AI17,"")</f>
        <v/>
      </c>
      <c r="AJ20" s="793"/>
      <c r="AK20" s="793"/>
      <c r="AL20" s="909"/>
      <c r="AM20" s="890"/>
      <c r="AN20" s="91"/>
      <c r="AO20" s="630"/>
      <c r="AP20" s="285"/>
      <c r="AQ20" s="285"/>
      <c r="AR20" s="285"/>
      <c r="AS20" s="285"/>
      <c r="AT20" s="286"/>
      <c r="AU20" s="285"/>
      <c r="AV20" s="287"/>
    </row>
    <row r="21" spans="1:48" s="644" customFormat="1" ht="19.899999999999999" hidden="1" customHeight="1">
      <c r="A21" s="224"/>
      <c r="B21" s="65"/>
      <c r="C21" s="80" t="s">
        <v>108</v>
      </c>
      <c r="D21" s="90" t="s">
        <v>104</v>
      </c>
      <c r="E21" s="1108"/>
      <c r="F21" s="1089"/>
      <c r="G21" s="44"/>
      <c r="H21" s="1089"/>
      <c r="I21" s="1089"/>
      <c r="J21" s="44"/>
      <c r="K21" s="44"/>
      <c r="L21" s="1089"/>
      <c r="M21" s="1089"/>
      <c r="N21" s="1089"/>
      <c r="O21" s="1089"/>
      <c r="P21" s="1089"/>
      <c r="Q21" s="44"/>
      <c r="R21" s="44"/>
      <c r="S21" s="1089"/>
      <c r="T21" s="1089"/>
      <c r="U21" s="1089"/>
      <c r="V21" s="1089"/>
      <c r="W21" s="1089"/>
      <c r="X21" s="44"/>
      <c r="Y21" s="44"/>
      <c r="Z21" s="1089"/>
      <c r="AA21" s="1089"/>
      <c r="AB21" s="1089"/>
      <c r="AC21" s="1089"/>
      <c r="AD21" s="1089"/>
      <c r="AE21" s="44"/>
      <c r="AF21" s="44"/>
      <c r="AG21" s="1089"/>
      <c r="AH21" s="1089"/>
      <c r="AI21" s="1326"/>
      <c r="AJ21" s="663"/>
      <c r="AK21" s="663"/>
      <c r="AL21" s="647"/>
      <c r="AM21" s="924"/>
      <c r="AN21" s="449"/>
      <c r="AO21" s="622"/>
    </row>
    <row r="22" spans="1:48" s="644" customFormat="1" ht="19.899999999999999" hidden="1" customHeight="1" thickBot="1">
      <c r="A22" s="516"/>
      <c r="B22" s="517"/>
      <c r="C22" s="94">
        <f>+C20*0.8</f>
        <v>240000</v>
      </c>
      <c r="D22" s="88" t="s">
        <v>111</v>
      </c>
      <c r="E22" s="1109">
        <f>IF(E21="O/H",E17,0+E17)</f>
        <v>0</v>
      </c>
      <c r="F22" s="1110">
        <f t="shared" ref="F22:AI22" si="34">IF(F21="O/H",F17,+E22+F17)</f>
        <v>0</v>
      </c>
      <c r="G22" s="1212">
        <f t="shared" si="34"/>
        <v>0</v>
      </c>
      <c r="H22" s="1110">
        <f t="shared" si="34"/>
        <v>0</v>
      </c>
      <c r="I22" s="1110">
        <f t="shared" si="34"/>
        <v>0</v>
      </c>
      <c r="J22" s="1212">
        <f t="shared" si="34"/>
        <v>0</v>
      </c>
      <c r="K22" s="1212">
        <f t="shared" si="34"/>
        <v>0</v>
      </c>
      <c r="L22" s="1110">
        <f t="shared" si="34"/>
        <v>0</v>
      </c>
      <c r="M22" s="1110">
        <f t="shared" si="34"/>
        <v>0</v>
      </c>
      <c r="N22" s="1110">
        <f t="shared" si="34"/>
        <v>0</v>
      </c>
      <c r="O22" s="1110">
        <f t="shared" si="34"/>
        <v>0</v>
      </c>
      <c r="P22" s="1110">
        <f t="shared" si="34"/>
        <v>0</v>
      </c>
      <c r="Q22" s="1212">
        <f t="shared" si="34"/>
        <v>0</v>
      </c>
      <c r="R22" s="1212">
        <f t="shared" si="34"/>
        <v>0</v>
      </c>
      <c r="S22" s="1110">
        <f t="shared" si="34"/>
        <v>0</v>
      </c>
      <c r="T22" s="1110">
        <f t="shared" si="34"/>
        <v>0</v>
      </c>
      <c r="U22" s="1110">
        <f t="shared" si="34"/>
        <v>0</v>
      </c>
      <c r="V22" s="1110">
        <f t="shared" si="34"/>
        <v>0</v>
      </c>
      <c r="W22" s="1110">
        <f t="shared" si="34"/>
        <v>0</v>
      </c>
      <c r="X22" s="1212">
        <f t="shared" si="34"/>
        <v>0</v>
      </c>
      <c r="Y22" s="1212">
        <f t="shared" si="34"/>
        <v>0</v>
      </c>
      <c r="Z22" s="1110">
        <f t="shared" si="34"/>
        <v>0</v>
      </c>
      <c r="AA22" s="1110">
        <f t="shared" si="34"/>
        <v>0</v>
      </c>
      <c r="AB22" s="1110">
        <f t="shared" si="34"/>
        <v>0</v>
      </c>
      <c r="AC22" s="1110">
        <f t="shared" si="34"/>
        <v>0</v>
      </c>
      <c r="AD22" s="1110">
        <f t="shared" si="34"/>
        <v>0</v>
      </c>
      <c r="AE22" s="1212">
        <f t="shared" si="34"/>
        <v>0</v>
      </c>
      <c r="AF22" s="1212">
        <f t="shared" si="34"/>
        <v>0</v>
      </c>
      <c r="AG22" s="1110">
        <f t="shared" si="34"/>
        <v>0</v>
      </c>
      <c r="AH22" s="1110">
        <f t="shared" si="34"/>
        <v>0</v>
      </c>
      <c r="AI22" s="1340">
        <f t="shared" si="34"/>
        <v>0</v>
      </c>
      <c r="AJ22" s="668"/>
      <c r="AK22" s="668"/>
      <c r="AL22" s="705"/>
      <c r="AM22" s="925"/>
      <c r="AN22" s="567"/>
      <c r="AO22" s="625"/>
    </row>
    <row r="23" spans="1:48" s="644" customFormat="1" ht="19.899999999999999" hidden="1" customHeight="1" thickTop="1">
      <c r="A23" s="228" t="s">
        <v>604</v>
      </c>
      <c r="B23" s="219" t="s">
        <v>325</v>
      </c>
      <c r="C23" s="417" t="str">
        <f>Table1[[#This Row],[M/C No.]]</f>
        <v>A1(75ton)</v>
      </c>
      <c r="D23" s="28" t="s">
        <v>82</v>
      </c>
      <c r="E23" s="1139"/>
      <c r="F23" s="1139"/>
      <c r="G23" s="1231"/>
      <c r="H23" s="1139"/>
      <c r="I23" s="1139"/>
      <c r="J23" s="1231"/>
      <c r="K23" s="1231"/>
      <c r="L23" s="1139"/>
      <c r="M23" s="1139"/>
      <c r="N23" s="1139"/>
      <c r="O23" s="1139"/>
      <c r="P23" s="1139"/>
      <c r="Q23" s="1231"/>
      <c r="R23" s="1231"/>
      <c r="S23" s="1139"/>
      <c r="T23" s="1139"/>
      <c r="U23" s="1139"/>
      <c r="V23" s="1139"/>
      <c r="W23" s="1139"/>
      <c r="X23" s="1231"/>
      <c r="Y23" s="1231"/>
      <c r="Z23" s="1139"/>
      <c r="AA23" s="1139"/>
      <c r="AB23" s="1139"/>
      <c r="AC23" s="1139"/>
      <c r="AD23" s="1139"/>
      <c r="AE23" s="1231"/>
      <c r="AF23" s="1231"/>
      <c r="AG23" s="1139"/>
      <c r="AH23" s="1139"/>
      <c r="AI23" s="1139"/>
      <c r="AJ23" s="661">
        <f>SUM(E23:AI23)</f>
        <v>0</v>
      </c>
      <c r="AK23" s="1015">
        <f>AJ25</f>
        <v>0</v>
      </c>
      <c r="AL23" s="572">
        <f>+AJ23*AN23</f>
        <v>0</v>
      </c>
      <c r="AM23" s="1017">
        <f>AL25</f>
        <v>0</v>
      </c>
      <c r="AN23" s="382">
        <v>4.5765699999999994</v>
      </c>
      <c r="AO23" s="633">
        <f>Table1[[#This Row],[Total]]*B27/1000</f>
        <v>0</v>
      </c>
      <c r="AP23" s="32" t="s">
        <v>321</v>
      </c>
      <c r="AQ23" s="33" t="s">
        <v>84</v>
      </c>
      <c r="AR23" s="33" t="s">
        <v>85</v>
      </c>
      <c r="AS23" s="33" t="s">
        <v>86</v>
      </c>
      <c r="AT23" s="33" t="s">
        <v>87</v>
      </c>
      <c r="AU23" s="33" t="s">
        <v>88</v>
      </c>
      <c r="AV23" s="34" t="s">
        <v>68</v>
      </c>
    </row>
    <row r="24" spans="1:48" s="644" customFormat="1" ht="19.899999999999999" hidden="1" customHeight="1">
      <c r="A24" s="224" t="s">
        <v>322</v>
      </c>
      <c r="B24" s="219" t="s">
        <v>326</v>
      </c>
      <c r="C24" s="510"/>
      <c r="D24" s="37" t="s">
        <v>90</v>
      </c>
      <c r="E24" s="1323">
        <f>IF(E23="",0,+ E23/E30)</f>
        <v>0</v>
      </c>
      <c r="F24" s="1096">
        <f t="shared" ref="F24:AI24" si="35">IF(F23="",0, E24+F23/F30)</f>
        <v>0</v>
      </c>
      <c r="G24" s="1207">
        <f t="shared" si="35"/>
        <v>0</v>
      </c>
      <c r="H24" s="1096">
        <f t="shared" si="35"/>
        <v>0</v>
      </c>
      <c r="I24" s="1096">
        <f t="shared" si="35"/>
        <v>0</v>
      </c>
      <c r="J24" s="1207">
        <f t="shared" si="35"/>
        <v>0</v>
      </c>
      <c r="K24" s="1207">
        <f t="shared" si="35"/>
        <v>0</v>
      </c>
      <c r="L24" s="1096">
        <f t="shared" si="35"/>
        <v>0</v>
      </c>
      <c r="M24" s="1096">
        <f t="shared" si="35"/>
        <v>0</v>
      </c>
      <c r="N24" s="1096">
        <f t="shared" si="35"/>
        <v>0</v>
      </c>
      <c r="O24" s="1096">
        <f t="shared" si="35"/>
        <v>0</v>
      </c>
      <c r="P24" s="1096">
        <f t="shared" si="35"/>
        <v>0</v>
      </c>
      <c r="Q24" s="1207">
        <f t="shared" si="35"/>
        <v>0</v>
      </c>
      <c r="R24" s="1207">
        <f t="shared" si="35"/>
        <v>0</v>
      </c>
      <c r="S24" s="1096">
        <f t="shared" si="35"/>
        <v>0</v>
      </c>
      <c r="T24" s="1096">
        <f t="shared" si="35"/>
        <v>0</v>
      </c>
      <c r="U24" s="1096">
        <f t="shared" si="35"/>
        <v>0</v>
      </c>
      <c r="V24" s="1096">
        <f t="shared" si="35"/>
        <v>0</v>
      </c>
      <c r="W24" s="1096">
        <f t="shared" si="35"/>
        <v>0</v>
      </c>
      <c r="X24" s="1207">
        <f t="shared" si="35"/>
        <v>0</v>
      </c>
      <c r="Y24" s="1207">
        <f t="shared" si="35"/>
        <v>0</v>
      </c>
      <c r="Z24" s="1096">
        <f t="shared" si="35"/>
        <v>0</v>
      </c>
      <c r="AA24" s="1096">
        <f t="shared" si="35"/>
        <v>0</v>
      </c>
      <c r="AB24" s="1096">
        <f t="shared" si="35"/>
        <v>0</v>
      </c>
      <c r="AC24" s="1096">
        <f t="shared" si="35"/>
        <v>0</v>
      </c>
      <c r="AD24" s="1096">
        <f>IF(AD23="",0, Z24+AD23/AD30)</f>
        <v>0</v>
      </c>
      <c r="AE24" s="1207">
        <f>IF(AE23="",0, AA24+AE23/AE30)</f>
        <v>0</v>
      </c>
      <c r="AF24" s="1207">
        <f>IF(AF23="",0, AB24+AF23/AF30)</f>
        <v>0</v>
      </c>
      <c r="AG24" s="1096">
        <f>IF(AG23="",0, AC24+AG23/AG30)</f>
        <v>0</v>
      </c>
      <c r="AH24" s="1096">
        <f>IF(AH23="",0, AD24+AH23/AH30)</f>
        <v>0</v>
      </c>
      <c r="AI24" s="1324">
        <f t="shared" si="35"/>
        <v>0</v>
      </c>
      <c r="AJ24" s="663"/>
      <c r="AK24" s="663"/>
      <c r="AL24" s="646"/>
      <c r="AM24" s="917"/>
      <c r="AN24" s="449"/>
      <c r="AO24" s="675"/>
      <c r="AP24" s="39" t="s">
        <v>91</v>
      </c>
      <c r="AQ24" s="40">
        <f>SUM(E23:K23)</f>
        <v>0</v>
      </c>
      <c r="AR24" s="41">
        <f>SUM(L23:R23)</f>
        <v>0</v>
      </c>
      <c r="AS24" s="41">
        <f>SUM(S23:Y23)</f>
        <v>0</v>
      </c>
      <c r="AT24" s="41">
        <f>SUM(Z23:AF23)</f>
        <v>0</v>
      </c>
      <c r="AU24" s="41">
        <f>SUM(AG23:AI23)</f>
        <v>0</v>
      </c>
      <c r="AV24" s="34">
        <f t="shared" ref="AV24:AV29" si="36">SUM(AQ24:AU24)</f>
        <v>0</v>
      </c>
    </row>
    <row r="25" spans="1:48" s="644" customFormat="1" ht="19.899999999999999" hidden="1" customHeight="1">
      <c r="A25" s="224" t="s">
        <v>322</v>
      </c>
      <c r="B25" s="89" t="s">
        <v>246</v>
      </c>
      <c r="C25" s="52" t="s">
        <v>95</v>
      </c>
      <c r="D25" s="43" t="s">
        <v>93</v>
      </c>
      <c r="E25" s="1108"/>
      <c r="F25" s="1089"/>
      <c r="G25" s="44"/>
      <c r="H25" s="1089"/>
      <c r="I25" s="1089"/>
      <c r="J25" s="44"/>
      <c r="K25" s="44"/>
      <c r="L25" s="1089"/>
      <c r="M25" s="1089"/>
      <c r="N25" s="1089"/>
      <c r="O25" s="1089"/>
      <c r="P25" s="1089"/>
      <c r="Q25" s="44"/>
      <c r="R25" s="44"/>
      <c r="S25" s="1089"/>
      <c r="T25" s="1089"/>
      <c r="U25" s="1089"/>
      <c r="V25" s="1089"/>
      <c r="W25" s="1089"/>
      <c r="X25" s="44"/>
      <c r="Y25" s="44"/>
      <c r="Z25" s="1089"/>
      <c r="AA25" s="1089"/>
      <c r="AB25" s="1089"/>
      <c r="AC25" s="1089"/>
      <c r="AD25" s="1089"/>
      <c r="AE25" s="44"/>
      <c r="AF25" s="44"/>
      <c r="AG25" s="1089"/>
      <c r="AH25" s="1089"/>
      <c r="AI25" s="1326"/>
      <c r="AJ25" s="662">
        <f>SUM(E25:AI25)</f>
        <v>0</v>
      </c>
      <c r="AK25" s="662"/>
      <c r="AL25" s="645">
        <f>+AJ25*AN23</f>
        <v>0</v>
      </c>
      <c r="AM25" s="916"/>
      <c r="AN25" s="449"/>
      <c r="AO25" s="632">
        <f>(AJ25+AJ27+AJ28+AJ29)*B27/1000</f>
        <v>0</v>
      </c>
      <c r="AP25" s="47" t="s">
        <v>94</v>
      </c>
      <c r="AQ25" s="48">
        <f>SUM(E25:K25)</f>
        <v>0</v>
      </c>
      <c r="AR25" s="49">
        <f>SUM(L25:R25)</f>
        <v>0</v>
      </c>
      <c r="AS25" s="49">
        <f>SUM(S25:Y25)</f>
        <v>0</v>
      </c>
      <c r="AT25" s="49">
        <f>SUM(Z25:AF25)</f>
        <v>0</v>
      </c>
      <c r="AU25" s="49">
        <f>SUM(AG25:AI25)</f>
        <v>0</v>
      </c>
      <c r="AV25" s="50">
        <f t="shared" si="36"/>
        <v>0</v>
      </c>
    </row>
    <row r="26" spans="1:48" s="644" customFormat="1" ht="19.899999999999999" hidden="1" customHeight="1">
      <c r="A26" s="224" t="s">
        <v>322</v>
      </c>
      <c r="B26" s="763" t="s">
        <v>247</v>
      </c>
      <c r="C26" s="379">
        <v>40000</v>
      </c>
      <c r="D26" s="53" t="s">
        <v>96</v>
      </c>
      <c r="E26" s="1137">
        <f t="shared" ref="E26:AJ26" si="37">+E25-E23</f>
        <v>0</v>
      </c>
      <c r="F26" s="1097">
        <f t="shared" si="37"/>
        <v>0</v>
      </c>
      <c r="G26" s="1205">
        <f t="shared" si="37"/>
        <v>0</v>
      </c>
      <c r="H26" s="1097">
        <f t="shared" si="37"/>
        <v>0</v>
      </c>
      <c r="I26" s="1097">
        <f t="shared" si="37"/>
        <v>0</v>
      </c>
      <c r="J26" s="1205">
        <v>0</v>
      </c>
      <c r="K26" s="1205">
        <v>0</v>
      </c>
      <c r="L26" s="1097">
        <f t="shared" si="37"/>
        <v>0</v>
      </c>
      <c r="M26" s="1097">
        <f t="shared" si="37"/>
        <v>0</v>
      </c>
      <c r="N26" s="1097">
        <f t="shared" si="37"/>
        <v>0</v>
      </c>
      <c r="O26" s="1097">
        <f t="shared" si="37"/>
        <v>0</v>
      </c>
      <c r="P26" s="1097">
        <f t="shared" ref="P26" si="38">+P25-P23</f>
        <v>0</v>
      </c>
      <c r="Q26" s="1205">
        <f t="shared" si="37"/>
        <v>0</v>
      </c>
      <c r="R26" s="1205">
        <f t="shared" si="37"/>
        <v>0</v>
      </c>
      <c r="S26" s="1097">
        <f t="shared" si="37"/>
        <v>0</v>
      </c>
      <c r="T26" s="1097">
        <f t="shared" si="37"/>
        <v>0</v>
      </c>
      <c r="U26" s="1097">
        <f t="shared" si="37"/>
        <v>0</v>
      </c>
      <c r="V26" s="1097">
        <f t="shared" si="37"/>
        <v>0</v>
      </c>
      <c r="W26" s="1097">
        <f t="shared" si="37"/>
        <v>0</v>
      </c>
      <c r="X26" s="1205">
        <f t="shared" si="37"/>
        <v>0</v>
      </c>
      <c r="Y26" s="1205">
        <f t="shared" si="37"/>
        <v>0</v>
      </c>
      <c r="Z26" s="1097">
        <f t="shared" si="37"/>
        <v>0</v>
      </c>
      <c r="AA26" s="1097">
        <f t="shared" si="37"/>
        <v>0</v>
      </c>
      <c r="AB26" s="1097">
        <f t="shared" si="37"/>
        <v>0</v>
      </c>
      <c r="AC26" s="1097">
        <f t="shared" si="37"/>
        <v>0</v>
      </c>
      <c r="AD26" s="1097">
        <f t="shared" si="37"/>
        <v>0</v>
      </c>
      <c r="AE26" s="1205">
        <f t="shared" ref="AE26:AF26" si="39">+AE25-AE23</f>
        <v>0</v>
      </c>
      <c r="AF26" s="1205">
        <f t="shared" si="39"/>
        <v>0</v>
      </c>
      <c r="AG26" s="1097">
        <f t="shared" si="37"/>
        <v>0</v>
      </c>
      <c r="AH26" s="1097">
        <f t="shared" si="37"/>
        <v>0</v>
      </c>
      <c r="AI26" s="1328">
        <f t="shared" si="37"/>
        <v>0</v>
      </c>
      <c r="AJ26" s="663">
        <f t="shared" si="37"/>
        <v>0</v>
      </c>
      <c r="AK26" s="663"/>
      <c r="AL26" s="646">
        <f>+AJ26*AN23</f>
        <v>0</v>
      </c>
      <c r="AM26" s="917"/>
      <c r="AN26" s="449" t="s">
        <v>97</v>
      </c>
      <c r="AO26" s="622"/>
      <c r="AP26" s="39" t="s">
        <v>98</v>
      </c>
      <c r="AQ26" s="56">
        <f>AQ25-AQ24</f>
        <v>0</v>
      </c>
      <c r="AR26" s="70">
        <f>AR25-AR24</f>
        <v>0</v>
      </c>
      <c r="AS26" s="70">
        <f>AS25-AS24</f>
        <v>0</v>
      </c>
      <c r="AT26" s="70">
        <f>AT25-AT24</f>
        <v>0</v>
      </c>
      <c r="AU26" s="70">
        <f>AU25-AU24</f>
        <v>0</v>
      </c>
      <c r="AV26" s="57">
        <f t="shared" si="36"/>
        <v>0</v>
      </c>
    </row>
    <row r="27" spans="1:48" s="644" customFormat="1" ht="19.899999999999999" hidden="1" customHeight="1">
      <c r="A27" s="224" t="s">
        <v>322</v>
      </c>
      <c r="B27" s="763">
        <v>10.035</v>
      </c>
      <c r="C27" s="512"/>
      <c r="D27" s="61" t="s">
        <v>101</v>
      </c>
      <c r="E27" s="1098"/>
      <c r="F27" s="1099"/>
      <c r="G27" s="1208"/>
      <c r="H27" s="1099"/>
      <c r="I27" s="1099"/>
      <c r="J27" s="1208"/>
      <c r="K27" s="1208"/>
      <c r="L27" s="1099"/>
      <c r="M27" s="1099"/>
      <c r="N27" s="1099"/>
      <c r="O27" s="1099"/>
      <c r="P27" s="1099"/>
      <c r="Q27" s="1208"/>
      <c r="R27" s="1208"/>
      <c r="S27" s="1099"/>
      <c r="T27" s="1099"/>
      <c r="U27" s="1099"/>
      <c r="V27" s="1099"/>
      <c r="W27" s="1099"/>
      <c r="X27" s="1208"/>
      <c r="Y27" s="1208"/>
      <c r="Z27" s="1099"/>
      <c r="AA27" s="1099"/>
      <c r="AB27" s="1099"/>
      <c r="AC27" s="1099"/>
      <c r="AD27" s="1099"/>
      <c r="AE27" s="1208"/>
      <c r="AF27" s="1208"/>
      <c r="AG27" s="1099"/>
      <c r="AH27" s="1099"/>
      <c r="AI27" s="1330"/>
      <c r="AJ27" s="664">
        <f>SUM(E27:AI27)</f>
        <v>0</v>
      </c>
      <c r="AK27" s="664"/>
      <c r="AL27" s="647">
        <f>+AJ27*AN23</f>
        <v>0</v>
      </c>
      <c r="AM27" s="918"/>
      <c r="AN27" s="385" t="e">
        <f>+AJ27/AJ25</f>
        <v>#DIV/0!</v>
      </c>
      <c r="AO27" s="635" t="e">
        <f>AO25/AO23</f>
        <v>#DIV/0!</v>
      </c>
      <c r="AP27" s="39" t="s">
        <v>102</v>
      </c>
      <c r="AQ27" s="56">
        <f>SUM(E27:K27)</f>
        <v>0</v>
      </c>
      <c r="AR27" s="70">
        <f>SUM(L27:R27)</f>
        <v>0</v>
      </c>
      <c r="AS27" s="70">
        <f>SUM(S27:Y27)</f>
        <v>0</v>
      </c>
      <c r="AT27" s="70">
        <f>SUM(Z27:AF27)</f>
        <v>0</v>
      </c>
      <c r="AU27" s="70">
        <f>SUM(AG27:AI27)</f>
        <v>0</v>
      </c>
      <c r="AV27" s="57">
        <f t="shared" si="36"/>
        <v>0</v>
      </c>
    </row>
    <row r="28" spans="1:48" s="644" customFormat="1" ht="19.899999999999999" hidden="1" customHeight="1">
      <c r="A28" s="511"/>
      <c r="B28" s="334" t="s">
        <v>327</v>
      </c>
      <c r="C28" s="89" t="s">
        <v>108</v>
      </c>
      <c r="D28" s="67" t="s">
        <v>103</v>
      </c>
      <c r="E28" s="1100"/>
      <c r="F28" s="1101"/>
      <c r="G28" s="1209"/>
      <c r="H28" s="1101"/>
      <c r="I28" s="1101"/>
      <c r="J28" s="1209"/>
      <c r="K28" s="1209"/>
      <c r="L28" s="1101"/>
      <c r="M28" s="1101"/>
      <c r="N28" s="1101"/>
      <c r="O28" s="1101"/>
      <c r="P28" s="1101"/>
      <c r="Q28" s="1209"/>
      <c r="R28" s="1209"/>
      <c r="S28" s="1101"/>
      <c r="T28" s="1101"/>
      <c r="U28" s="1101"/>
      <c r="V28" s="1101"/>
      <c r="W28" s="1101"/>
      <c r="X28" s="1209"/>
      <c r="Y28" s="1209"/>
      <c r="Z28" s="1101"/>
      <c r="AA28" s="1101"/>
      <c r="AB28" s="1101"/>
      <c r="AC28" s="1101"/>
      <c r="AD28" s="1101"/>
      <c r="AE28" s="1209"/>
      <c r="AF28" s="1209"/>
      <c r="AG28" s="1101"/>
      <c r="AH28" s="1101"/>
      <c r="AI28" s="1332"/>
      <c r="AJ28" s="665">
        <f>SUM(E28:AI28)</f>
        <v>0</v>
      </c>
      <c r="AK28" s="665"/>
      <c r="AL28" s="648">
        <f>+AJ28*AN23</f>
        <v>0</v>
      </c>
      <c r="AM28" s="919"/>
      <c r="AN28" s="911"/>
      <c r="AO28" s="670"/>
      <c r="AP28" s="39" t="s">
        <v>19</v>
      </c>
      <c r="AQ28" s="56">
        <f>AQ27*AN23</f>
        <v>0</v>
      </c>
      <c r="AR28" s="56">
        <f>AR27*AN23</f>
        <v>0</v>
      </c>
      <c r="AS28" s="56">
        <f>AS27*AN23</f>
        <v>0</v>
      </c>
      <c r="AT28" s="56">
        <f>AT27*AN23</f>
        <v>0</v>
      </c>
      <c r="AU28" s="56">
        <f>AU27*AN23</f>
        <v>0</v>
      </c>
      <c r="AV28" s="57">
        <f t="shared" si="36"/>
        <v>0</v>
      </c>
    </row>
    <row r="29" spans="1:48" s="644" customFormat="1" ht="19.899999999999999" hidden="1" customHeight="1">
      <c r="A29" s="511"/>
      <c r="B29" s="65"/>
      <c r="C29" s="383">
        <f>+C26*0.8</f>
        <v>32000</v>
      </c>
      <c r="D29" s="73" t="s">
        <v>105</v>
      </c>
      <c r="E29" s="1102"/>
      <c r="F29" s="1103"/>
      <c r="G29" s="1210"/>
      <c r="H29" s="1103"/>
      <c r="I29" s="1103"/>
      <c r="J29" s="1210"/>
      <c r="K29" s="1210"/>
      <c r="L29" s="1103"/>
      <c r="M29" s="1103"/>
      <c r="N29" s="1103"/>
      <c r="O29" s="1103"/>
      <c r="P29" s="1103"/>
      <c r="Q29" s="1210"/>
      <c r="R29" s="1210"/>
      <c r="S29" s="1103"/>
      <c r="T29" s="1103"/>
      <c r="U29" s="1103"/>
      <c r="V29" s="1103"/>
      <c r="W29" s="1103"/>
      <c r="X29" s="1210"/>
      <c r="Y29" s="1210"/>
      <c r="Z29" s="1103"/>
      <c r="AA29" s="1103"/>
      <c r="AB29" s="1103"/>
      <c r="AC29" s="1103"/>
      <c r="AD29" s="1103"/>
      <c r="AE29" s="1210"/>
      <c r="AF29" s="1210"/>
      <c r="AG29" s="1103"/>
      <c r="AH29" s="1103"/>
      <c r="AI29" s="1352"/>
      <c r="AJ29" s="666">
        <f>SUM(E29:AI29)</f>
        <v>0</v>
      </c>
      <c r="AK29" s="666"/>
      <c r="AL29" s="649">
        <f>+AJ29*AN23</f>
        <v>0</v>
      </c>
      <c r="AM29" s="920"/>
      <c r="AN29" s="911"/>
      <c r="AO29" s="670"/>
      <c r="AP29" s="47" t="s">
        <v>106</v>
      </c>
      <c r="AQ29" s="48">
        <f>AQ25*AN23</f>
        <v>0</v>
      </c>
      <c r="AR29" s="48">
        <f>AR25*AN23</f>
        <v>0</v>
      </c>
      <c r="AS29" s="48">
        <f>AS25*AN23</f>
        <v>0</v>
      </c>
      <c r="AT29" s="48">
        <f>AT25*AN23</f>
        <v>0</v>
      </c>
      <c r="AU29" s="48">
        <f>AU25*AN23</f>
        <v>0</v>
      </c>
      <c r="AV29" s="50">
        <f t="shared" si="36"/>
        <v>0</v>
      </c>
    </row>
    <row r="30" spans="1:48" s="644" customFormat="1" ht="19.899999999999999" hidden="1" customHeight="1">
      <c r="A30" s="224" t="s">
        <v>322</v>
      </c>
      <c r="B30" s="65"/>
      <c r="C30" s="113"/>
      <c r="D30" s="78" t="s">
        <v>107</v>
      </c>
      <c r="E30" s="1137">
        <v>4</v>
      </c>
      <c r="F30" s="1097">
        <v>4</v>
      </c>
      <c r="G30" s="1205">
        <v>4</v>
      </c>
      <c r="H30" s="1097">
        <v>4</v>
      </c>
      <c r="I30" s="1097">
        <v>4</v>
      </c>
      <c r="J30" s="1205">
        <v>4</v>
      </c>
      <c r="K30" s="1205">
        <v>4</v>
      </c>
      <c r="L30" s="1097">
        <v>4</v>
      </c>
      <c r="M30" s="1097">
        <v>4</v>
      </c>
      <c r="N30" s="1097">
        <v>4</v>
      </c>
      <c r="O30" s="1097">
        <v>4</v>
      </c>
      <c r="P30" s="1097">
        <v>4</v>
      </c>
      <c r="Q30" s="1205">
        <v>4</v>
      </c>
      <c r="R30" s="1205">
        <v>4</v>
      </c>
      <c r="S30" s="1097">
        <v>4</v>
      </c>
      <c r="T30" s="1097">
        <v>4</v>
      </c>
      <c r="U30" s="1097">
        <v>4</v>
      </c>
      <c r="V30" s="1097">
        <v>4</v>
      </c>
      <c r="W30" s="1097">
        <v>4</v>
      </c>
      <c r="X30" s="1205">
        <v>4</v>
      </c>
      <c r="Y30" s="1205">
        <v>4</v>
      </c>
      <c r="Z30" s="1097">
        <v>4</v>
      </c>
      <c r="AA30" s="1097">
        <v>4</v>
      </c>
      <c r="AB30" s="1097">
        <v>4</v>
      </c>
      <c r="AC30" s="1097">
        <v>4</v>
      </c>
      <c r="AD30" s="1097">
        <v>4</v>
      </c>
      <c r="AE30" s="1205">
        <v>4</v>
      </c>
      <c r="AF30" s="1205">
        <v>4</v>
      </c>
      <c r="AG30" s="1097">
        <v>4</v>
      </c>
      <c r="AH30" s="1097">
        <v>4</v>
      </c>
      <c r="AI30" s="1328">
        <v>4</v>
      </c>
      <c r="AJ30" s="663"/>
      <c r="AK30" s="663"/>
      <c r="AL30" s="646"/>
      <c r="AM30" s="917"/>
      <c r="AN30" s="449"/>
      <c r="AO30" s="622"/>
    </row>
    <row r="31" spans="1:48" s="644" customFormat="1" ht="19.899999999999999" hidden="1" customHeight="1">
      <c r="A31" s="224" t="s">
        <v>322</v>
      </c>
      <c r="B31" s="42"/>
      <c r="C31" s="514"/>
      <c r="D31" s="81" t="s">
        <v>109</v>
      </c>
      <c r="E31" s="1105">
        <f>SUM(E25+E27+E28+E29)/E30</f>
        <v>0</v>
      </c>
      <c r="F31" s="1105">
        <f t="shared" ref="F31:AH31" si="40">SUM(F25+F27+F28+F29)/F30</f>
        <v>0</v>
      </c>
      <c r="G31" s="1198">
        <f t="shared" si="40"/>
        <v>0</v>
      </c>
      <c r="H31" s="1105">
        <f>SUM(H25+H27+H28+H29)/H30</f>
        <v>0</v>
      </c>
      <c r="I31" s="1105">
        <f>SUM(I25+I27+I28+I29)/I30</f>
        <v>0</v>
      </c>
      <c r="J31" s="1198">
        <f>SUM(J25+J27+J28+J29)/J30</f>
        <v>0</v>
      </c>
      <c r="K31" s="1198">
        <f t="shared" si="40"/>
        <v>0</v>
      </c>
      <c r="L31" s="1105">
        <f t="shared" si="40"/>
        <v>0</v>
      </c>
      <c r="M31" s="1105">
        <f>SUM(M25+M27+M28+M29)/M30</f>
        <v>0</v>
      </c>
      <c r="N31" s="1105">
        <f t="shared" si="40"/>
        <v>0</v>
      </c>
      <c r="O31" s="1105">
        <f t="shared" si="40"/>
        <v>0</v>
      </c>
      <c r="P31" s="1105">
        <f t="shared" si="40"/>
        <v>0</v>
      </c>
      <c r="Q31" s="1198">
        <f t="shared" si="40"/>
        <v>0</v>
      </c>
      <c r="R31" s="1198">
        <f t="shared" si="40"/>
        <v>0</v>
      </c>
      <c r="S31" s="1105">
        <f t="shared" si="40"/>
        <v>0</v>
      </c>
      <c r="T31" s="1105">
        <f t="shared" si="40"/>
        <v>0</v>
      </c>
      <c r="U31" s="1105">
        <f t="shared" si="40"/>
        <v>0</v>
      </c>
      <c r="V31" s="1105">
        <f t="shared" si="40"/>
        <v>0</v>
      </c>
      <c r="W31" s="1105">
        <f t="shared" si="40"/>
        <v>0</v>
      </c>
      <c r="X31" s="1198">
        <f t="shared" si="40"/>
        <v>0</v>
      </c>
      <c r="Y31" s="1198">
        <f t="shared" si="40"/>
        <v>0</v>
      </c>
      <c r="Z31" s="1105">
        <f t="shared" si="40"/>
        <v>0</v>
      </c>
      <c r="AA31" s="1105">
        <f t="shared" si="40"/>
        <v>0</v>
      </c>
      <c r="AB31" s="1105">
        <f t="shared" si="40"/>
        <v>0</v>
      </c>
      <c r="AC31" s="1105">
        <f t="shared" si="40"/>
        <v>0</v>
      </c>
      <c r="AD31" s="1105">
        <f t="shared" si="40"/>
        <v>0</v>
      </c>
      <c r="AE31" s="1198">
        <f t="shared" si="40"/>
        <v>0</v>
      </c>
      <c r="AF31" s="1198">
        <f t="shared" si="40"/>
        <v>0</v>
      </c>
      <c r="AG31" s="1105">
        <f t="shared" si="40"/>
        <v>0</v>
      </c>
      <c r="AH31" s="1105">
        <f t="shared" si="40"/>
        <v>0</v>
      </c>
      <c r="AI31" s="1353">
        <f>SUM(AI25+AI27+AI28)/AI30</f>
        <v>0</v>
      </c>
      <c r="AJ31" s="104">
        <f>SUM(E31:AI31)</f>
        <v>0</v>
      </c>
      <c r="AK31" s="104"/>
      <c r="AL31" s="650"/>
      <c r="AM31" s="921"/>
      <c r="AN31" s="449"/>
      <c r="AO31" s="622"/>
    </row>
    <row r="32" spans="1:48" s="644" customFormat="1" ht="19.899999999999999" hidden="1" customHeight="1">
      <c r="A32" s="224" t="s">
        <v>322</v>
      </c>
      <c r="B32" s="518"/>
      <c r="C32" s="72"/>
      <c r="D32" s="85" t="s">
        <v>110</v>
      </c>
      <c r="E32" s="1336"/>
      <c r="F32" s="1106"/>
      <c r="G32" s="1211"/>
      <c r="H32" s="1104"/>
      <c r="I32" s="1104"/>
      <c r="J32" s="1211"/>
      <c r="K32" s="1211"/>
      <c r="L32" s="1104"/>
      <c r="M32" s="1104"/>
      <c r="N32" s="1104"/>
      <c r="O32" s="1104"/>
      <c r="P32" s="1104"/>
      <c r="Q32" s="1211"/>
      <c r="R32" s="1211"/>
      <c r="S32" s="1107"/>
      <c r="T32" s="1104"/>
      <c r="U32" s="1104"/>
      <c r="V32" s="1107"/>
      <c r="W32" s="1104"/>
      <c r="X32" s="1211"/>
      <c r="Y32" s="1211"/>
      <c r="Z32" s="1104"/>
      <c r="AA32" s="1104"/>
      <c r="AB32" s="1104"/>
      <c r="AC32" s="1104"/>
      <c r="AD32" s="1104"/>
      <c r="AE32" s="1211"/>
      <c r="AF32" s="1211"/>
      <c r="AG32" s="1104"/>
      <c r="AH32" s="1104"/>
      <c r="AI32" s="1353"/>
      <c r="AJ32" s="667"/>
      <c r="AK32" s="667"/>
      <c r="AL32" s="703"/>
      <c r="AM32" s="922"/>
      <c r="AN32" s="449"/>
      <c r="AO32" s="622"/>
    </row>
    <row r="33" spans="1:48" s="644" customFormat="1" ht="19.899999999999999" hidden="1" customHeight="1">
      <c r="A33" s="224" t="s">
        <v>322</v>
      </c>
      <c r="B33" s="208" t="s">
        <v>553</v>
      </c>
      <c r="C33" s="72" t="s">
        <v>104</v>
      </c>
      <c r="D33" s="88" t="s">
        <v>111</v>
      </c>
      <c r="E33" s="1108">
        <f>IF(E32="O/H",E31,0+E31)</f>
        <v>0</v>
      </c>
      <c r="F33" s="1089">
        <f t="shared" ref="F33:AI33" si="41">IF(F32="O/H",F31,+E33+F31)</f>
        <v>0</v>
      </c>
      <c r="G33" s="44">
        <f t="shared" si="41"/>
        <v>0</v>
      </c>
      <c r="H33" s="1089">
        <f t="shared" si="41"/>
        <v>0</v>
      </c>
      <c r="I33" s="1089">
        <f t="shared" si="41"/>
        <v>0</v>
      </c>
      <c r="J33" s="44">
        <f t="shared" si="41"/>
        <v>0</v>
      </c>
      <c r="K33" s="44">
        <f t="shared" si="41"/>
        <v>0</v>
      </c>
      <c r="L33" s="1089">
        <f t="shared" si="41"/>
        <v>0</v>
      </c>
      <c r="M33" s="1089">
        <f t="shared" si="41"/>
        <v>0</v>
      </c>
      <c r="N33" s="1089">
        <f t="shared" si="41"/>
        <v>0</v>
      </c>
      <c r="O33" s="1089">
        <f t="shared" si="41"/>
        <v>0</v>
      </c>
      <c r="P33" s="1089">
        <f>IF(P32="O/H",P31,+O33+P31)</f>
        <v>0</v>
      </c>
      <c r="Q33" s="44">
        <f t="shared" si="41"/>
        <v>0</v>
      </c>
      <c r="R33" s="44">
        <f t="shared" si="41"/>
        <v>0</v>
      </c>
      <c r="S33" s="1089">
        <f t="shared" si="41"/>
        <v>0</v>
      </c>
      <c r="T33" s="1089">
        <f t="shared" si="41"/>
        <v>0</v>
      </c>
      <c r="U33" s="1089">
        <f t="shared" si="41"/>
        <v>0</v>
      </c>
      <c r="V33" s="1089">
        <f t="shared" si="41"/>
        <v>0</v>
      </c>
      <c r="W33" s="1089">
        <f t="shared" si="41"/>
        <v>0</v>
      </c>
      <c r="X33" s="44">
        <f t="shared" si="41"/>
        <v>0</v>
      </c>
      <c r="Y33" s="44">
        <f t="shared" si="41"/>
        <v>0</v>
      </c>
      <c r="Z33" s="1089">
        <f t="shared" si="41"/>
        <v>0</v>
      </c>
      <c r="AA33" s="1089">
        <f t="shared" si="41"/>
        <v>0</v>
      </c>
      <c r="AB33" s="1089">
        <f t="shared" si="41"/>
        <v>0</v>
      </c>
      <c r="AC33" s="1089">
        <f t="shared" si="41"/>
        <v>0</v>
      </c>
      <c r="AD33" s="1089">
        <f t="shared" si="41"/>
        <v>0</v>
      </c>
      <c r="AE33" s="44">
        <f t="shared" si="41"/>
        <v>0</v>
      </c>
      <c r="AF33" s="44">
        <f t="shared" si="41"/>
        <v>0</v>
      </c>
      <c r="AG33" s="1089">
        <f t="shared" si="41"/>
        <v>0</v>
      </c>
      <c r="AH33" s="1089">
        <f t="shared" si="41"/>
        <v>0</v>
      </c>
      <c r="AI33" s="1326">
        <f t="shared" si="41"/>
        <v>0</v>
      </c>
      <c r="AJ33" s="663"/>
      <c r="AK33" s="667"/>
      <c r="AL33" s="704"/>
      <c r="AM33" s="923"/>
      <c r="AN33" s="449"/>
      <c r="AO33" s="622"/>
    </row>
    <row r="34" spans="1:48" s="23" customFormat="1" ht="20.65" hidden="1" customHeight="1">
      <c r="A34" s="274"/>
      <c r="B34" s="312"/>
      <c r="C34" s="308">
        <v>300000</v>
      </c>
      <c r="D34" s="795" t="s">
        <v>112</v>
      </c>
      <c r="E34" s="1117" t="b">
        <f>IF(AND(ISNUMBER(E25)),862645+E31)</f>
        <v>0</v>
      </c>
      <c r="F34" s="1118" t="str">
        <f>IF(AND(ISNUMBER(F25)),E34+F31,"")</f>
        <v/>
      </c>
      <c r="G34" s="1216" t="str">
        <f t="shared" ref="G34" si="42">IF(AND(ISNUMBER(G25)),F34+G31,"")</f>
        <v/>
      </c>
      <c r="H34" s="1118" t="str">
        <f t="shared" ref="H34" si="43">IF(AND(ISNUMBER(H25)),G34+H31,"")</f>
        <v/>
      </c>
      <c r="I34" s="1118" t="str">
        <f>IF(AND(ISNUMBER(I25)),H34+I31,"")</f>
        <v/>
      </c>
      <c r="J34" s="1216" t="str">
        <f>IF(AND(ISNUMBER(J25)),I34+J31,"")</f>
        <v/>
      </c>
      <c r="K34" s="1216" t="str">
        <f>IF(AND(ISNUMBER(K25)),J34+K31,"")</f>
        <v/>
      </c>
      <c r="L34" s="1118" t="str">
        <f t="shared" ref="L34" si="44">IF(AND(ISNUMBER(L25)),K34+L31,"")</f>
        <v/>
      </c>
      <c r="M34" s="1118" t="str">
        <f t="shared" ref="M34" si="45">IF(AND(ISNUMBER(M25)),L34+M31,"")</f>
        <v/>
      </c>
      <c r="N34" s="1118" t="str">
        <f t="shared" ref="N34" si="46">IF(AND(ISNUMBER(N25)),M34+N31,"")</f>
        <v/>
      </c>
      <c r="O34" s="1118" t="str">
        <f t="shared" ref="O34" si="47">IF(AND(ISNUMBER(O25)),N34+O31,"")</f>
        <v/>
      </c>
      <c r="P34" s="1118" t="str">
        <f t="shared" ref="P34" si="48">IF(AND(ISNUMBER(P25)),O34+P31,"")</f>
        <v/>
      </c>
      <c r="Q34" s="1216" t="str">
        <f t="shared" ref="Q34" si="49">IF(AND(ISNUMBER(Q25)),P34+Q31,"")</f>
        <v/>
      </c>
      <c r="R34" s="1216" t="str">
        <f t="shared" ref="R34" si="50">IF(AND(ISNUMBER(R25)),Q34+R31,"")</f>
        <v/>
      </c>
      <c r="S34" s="1118" t="str">
        <f t="shared" ref="S34" si="51">IF(AND(ISNUMBER(S25)),R34+S31,"")</f>
        <v/>
      </c>
      <c r="T34" s="1118" t="str">
        <f t="shared" ref="T34" si="52">IF(AND(ISNUMBER(T25)),S34+T31,"")</f>
        <v/>
      </c>
      <c r="U34" s="1118" t="str">
        <f t="shared" ref="U34" si="53">IF(AND(ISNUMBER(U25)),T34+U31,"")</f>
        <v/>
      </c>
      <c r="V34" s="1118" t="str">
        <f t="shared" ref="V34" si="54">IF(AND(ISNUMBER(V25)),U34+V31,"")</f>
        <v/>
      </c>
      <c r="W34" s="1118" t="str">
        <f t="shared" ref="W34" si="55">IF(AND(ISNUMBER(W25)),V34+W31,"")</f>
        <v/>
      </c>
      <c r="X34" s="1216" t="str">
        <f t="shared" ref="X34" si="56">IF(AND(ISNUMBER(X25)),W34+X31,"")</f>
        <v/>
      </c>
      <c r="Y34" s="1216" t="str">
        <f t="shared" ref="Y34" si="57">IF(AND(ISNUMBER(Y25)),X34+Y31,"")</f>
        <v/>
      </c>
      <c r="Z34" s="1118" t="str">
        <f t="shared" ref="Z34" si="58">IF(AND(ISNUMBER(Z25)),Y34+Z31,"")</f>
        <v/>
      </c>
      <c r="AA34" s="1118" t="str">
        <f t="shared" ref="AA34" si="59">IF(AND(ISNUMBER(AA25)),Z34+AA31,"")</f>
        <v/>
      </c>
      <c r="AB34" s="1118" t="str">
        <f t="shared" ref="AB34" si="60">IF(AND(ISNUMBER(AB25)),AA34+AB31,"")</f>
        <v/>
      </c>
      <c r="AC34" s="1118" t="str">
        <f t="shared" ref="AC34" si="61">IF(AND(ISNUMBER(AC25)),AB34+AC31,"")</f>
        <v/>
      </c>
      <c r="AD34" s="1118" t="str">
        <f t="shared" ref="AD34" si="62">IF(AND(ISNUMBER(AD25)),AC34+AD31,"")</f>
        <v/>
      </c>
      <c r="AE34" s="1216" t="str">
        <f t="shared" ref="AE34" si="63">IF(AND(ISNUMBER(AE25)),AD34+AE31,"")</f>
        <v/>
      </c>
      <c r="AF34" s="1216" t="str">
        <f t="shared" ref="AF34" si="64">IF(AND(ISNUMBER(AF25)),AE34+AF31,"")</f>
        <v/>
      </c>
      <c r="AG34" s="1118" t="str">
        <f t="shared" ref="AG34" si="65">IF(AND(ISNUMBER(AG25)),AF34+AG31,"")</f>
        <v/>
      </c>
      <c r="AH34" s="1118" t="str">
        <f t="shared" ref="AH34" si="66">IF(AND(ISNUMBER(AH25)),AG34+AH31,"")</f>
        <v/>
      </c>
      <c r="AI34" s="1089" t="str">
        <f t="shared" ref="AI34" si="67">IF(AND(ISNUMBER(AI25)),AH34+AI31,"")</f>
        <v/>
      </c>
      <c r="AJ34" s="793"/>
      <c r="AK34" s="793"/>
      <c r="AL34" s="909"/>
      <c r="AM34" s="890"/>
      <c r="AN34" s="91"/>
      <c r="AO34" s="630"/>
      <c r="AP34" s="285"/>
      <c r="AQ34" s="285"/>
      <c r="AR34" s="285"/>
      <c r="AS34" s="285"/>
      <c r="AT34" s="286"/>
      <c r="AU34" s="285"/>
      <c r="AV34" s="287"/>
    </row>
    <row r="35" spans="1:48" s="644" customFormat="1" ht="19.899999999999999" hidden="1" customHeight="1">
      <c r="A35" s="224"/>
      <c r="B35" s="89"/>
      <c r="C35" s="80" t="s">
        <v>108</v>
      </c>
      <c r="D35" s="90" t="s">
        <v>104</v>
      </c>
      <c r="E35" s="1372"/>
      <c r="F35" s="1141"/>
      <c r="G35" s="1272"/>
      <c r="H35" s="1141"/>
      <c r="I35" s="1141"/>
      <c r="J35" s="1272"/>
      <c r="K35" s="1272"/>
      <c r="L35" s="1141"/>
      <c r="M35" s="1141"/>
      <c r="N35" s="1141"/>
      <c r="O35" s="1141"/>
      <c r="P35" s="1141"/>
      <c r="Q35" s="1272"/>
      <c r="R35" s="1272"/>
      <c r="S35" s="1141"/>
      <c r="T35" s="1141"/>
      <c r="U35" s="1141"/>
      <c r="V35" s="1141"/>
      <c r="W35" s="1141"/>
      <c r="X35" s="1272"/>
      <c r="Y35" s="1272"/>
      <c r="Z35" s="1141"/>
      <c r="AA35" s="1141"/>
      <c r="AB35" s="1141"/>
      <c r="AC35" s="1141"/>
      <c r="AD35" s="1141"/>
      <c r="AE35" s="1272"/>
      <c r="AF35" s="1272"/>
      <c r="AG35" s="1141"/>
      <c r="AH35" s="1141"/>
      <c r="AI35" s="1416"/>
      <c r="AJ35" s="663"/>
      <c r="AK35" s="663"/>
      <c r="AL35" s="647"/>
      <c r="AM35" s="924"/>
      <c r="AN35" s="449"/>
      <c r="AO35" s="622"/>
    </row>
    <row r="36" spans="1:48" s="644" customFormat="1" ht="19.899999999999999" hidden="1" customHeight="1" thickBot="1">
      <c r="A36" s="516"/>
      <c r="B36" s="519"/>
      <c r="C36" s="94">
        <f>+C34*0.8</f>
        <v>240000</v>
      </c>
      <c r="D36" s="88" t="s">
        <v>111</v>
      </c>
      <c r="E36" s="1437">
        <f>IF(E35="O/H",E31,0+E31)</f>
        <v>0</v>
      </c>
      <c r="F36" s="1142">
        <f t="shared" ref="F36:AI36" si="68">IF(F35="O/H",F31,+E36+F31)</f>
        <v>0</v>
      </c>
      <c r="G36" s="1294">
        <f t="shared" si="68"/>
        <v>0</v>
      </c>
      <c r="H36" s="1142">
        <f t="shared" si="68"/>
        <v>0</v>
      </c>
      <c r="I36" s="1142">
        <f t="shared" si="68"/>
        <v>0</v>
      </c>
      <c r="J36" s="1294">
        <f t="shared" si="68"/>
        <v>0</v>
      </c>
      <c r="K36" s="1294">
        <f t="shared" si="68"/>
        <v>0</v>
      </c>
      <c r="L36" s="1142">
        <f t="shared" si="68"/>
        <v>0</v>
      </c>
      <c r="M36" s="1142">
        <f t="shared" si="68"/>
        <v>0</v>
      </c>
      <c r="N36" s="1142">
        <f t="shared" si="68"/>
        <v>0</v>
      </c>
      <c r="O36" s="1142">
        <f t="shared" si="68"/>
        <v>0</v>
      </c>
      <c r="P36" s="1142">
        <f t="shared" si="68"/>
        <v>0</v>
      </c>
      <c r="Q36" s="1294">
        <f t="shared" si="68"/>
        <v>0</v>
      </c>
      <c r="R36" s="1294">
        <f t="shared" si="68"/>
        <v>0</v>
      </c>
      <c r="S36" s="1142">
        <f t="shared" si="68"/>
        <v>0</v>
      </c>
      <c r="T36" s="1142">
        <f t="shared" si="68"/>
        <v>0</v>
      </c>
      <c r="U36" s="1142">
        <f t="shared" si="68"/>
        <v>0</v>
      </c>
      <c r="V36" s="1142">
        <f t="shared" si="68"/>
        <v>0</v>
      </c>
      <c r="W36" s="1142">
        <f t="shared" si="68"/>
        <v>0</v>
      </c>
      <c r="X36" s="1294">
        <f t="shared" si="68"/>
        <v>0</v>
      </c>
      <c r="Y36" s="1294">
        <f t="shared" si="68"/>
        <v>0</v>
      </c>
      <c r="Z36" s="1142">
        <f t="shared" si="68"/>
        <v>0</v>
      </c>
      <c r="AA36" s="1142">
        <f t="shared" si="68"/>
        <v>0</v>
      </c>
      <c r="AB36" s="1142">
        <f t="shared" si="68"/>
        <v>0</v>
      </c>
      <c r="AC36" s="1142">
        <f t="shared" si="68"/>
        <v>0</v>
      </c>
      <c r="AD36" s="1142">
        <f t="shared" si="68"/>
        <v>0</v>
      </c>
      <c r="AE36" s="1294">
        <f t="shared" si="68"/>
        <v>0</v>
      </c>
      <c r="AF36" s="1294">
        <f>IF(AF35="O/H",AF31,+AE36+AF31)</f>
        <v>0</v>
      </c>
      <c r="AG36" s="1142">
        <f>IF(AG35="O/H",AG31,+AF36+AG31)</f>
        <v>0</v>
      </c>
      <c r="AH36" s="1142">
        <f t="shared" si="68"/>
        <v>0</v>
      </c>
      <c r="AI36" s="1438">
        <f t="shared" si="68"/>
        <v>0</v>
      </c>
      <c r="AJ36" s="668"/>
      <c r="AK36" s="668"/>
      <c r="AL36" s="705"/>
      <c r="AM36" s="925"/>
      <c r="AN36" s="567"/>
      <c r="AO36" s="625"/>
    </row>
    <row r="37" spans="1:48" s="644" customFormat="1" ht="19.899999999999999" hidden="1" customHeight="1" thickTop="1">
      <c r="A37" s="228" t="s">
        <v>604</v>
      </c>
      <c r="B37" s="219" t="s">
        <v>328</v>
      </c>
      <c r="C37" s="418" t="str">
        <f>Table1[[#This Row],[M/C No.]]</f>
        <v>A1(75ton)</v>
      </c>
      <c r="D37" s="28" t="s">
        <v>82</v>
      </c>
      <c r="E37" s="1111"/>
      <c r="F37" s="1111"/>
      <c r="G37" s="1201"/>
      <c r="H37" s="1111"/>
      <c r="I37" s="1111"/>
      <c r="J37" s="1201"/>
      <c r="K37" s="1201"/>
      <c r="L37" s="1111"/>
      <c r="M37" s="1111"/>
      <c r="N37" s="1111"/>
      <c r="O37" s="1111"/>
      <c r="P37" s="1111"/>
      <c r="Q37" s="1201"/>
      <c r="R37" s="1201"/>
      <c r="S37" s="1111"/>
      <c r="T37" s="1111"/>
      <c r="U37" s="1111"/>
      <c r="V37" s="1111"/>
      <c r="W37" s="1111"/>
      <c r="X37" s="1201"/>
      <c r="Y37" s="1201"/>
      <c r="Z37" s="1111"/>
      <c r="AA37" s="1111"/>
      <c r="AB37" s="1111"/>
      <c r="AC37" s="1111"/>
      <c r="AD37" s="1111"/>
      <c r="AE37" s="1201"/>
      <c r="AF37" s="1201"/>
      <c r="AG37" s="1111"/>
      <c r="AH37" s="1111"/>
      <c r="AI37" s="1412"/>
      <c r="AJ37" s="570">
        <f>SUM(E37:AI37)</f>
        <v>0</v>
      </c>
      <c r="AK37" s="991">
        <f>AJ39</f>
        <v>0</v>
      </c>
      <c r="AL37" s="571">
        <f>+AJ37*AN37</f>
        <v>0</v>
      </c>
      <c r="AM37" s="992">
        <f>AL39</f>
        <v>0</v>
      </c>
      <c r="AN37" s="446">
        <v>3.2145799999999998</v>
      </c>
      <c r="AO37" s="622">
        <f>Table1[[#This Row],[Total]]*B41/1000</f>
        <v>0</v>
      </c>
      <c r="AP37" s="32" t="s">
        <v>321</v>
      </c>
      <c r="AQ37" s="33" t="s">
        <v>84</v>
      </c>
      <c r="AR37" s="33" t="s">
        <v>85</v>
      </c>
      <c r="AS37" s="33" t="s">
        <v>86</v>
      </c>
      <c r="AT37" s="33" t="s">
        <v>87</v>
      </c>
      <c r="AU37" s="33" t="s">
        <v>88</v>
      </c>
      <c r="AV37" s="34" t="s">
        <v>68</v>
      </c>
    </row>
    <row r="38" spans="1:48" s="644" customFormat="1" ht="19.899999999999999" hidden="1" customHeight="1">
      <c r="A38" s="224" t="s">
        <v>322</v>
      </c>
      <c r="B38" s="219" t="s">
        <v>329</v>
      </c>
      <c r="C38" s="510"/>
      <c r="D38" s="37" t="s">
        <v>90</v>
      </c>
      <c r="E38" s="1143">
        <f>IF(E37="",0,+E37/E44)</f>
        <v>0</v>
      </c>
      <c r="F38" s="1096">
        <f>IF(F37="",0, E38+F37/F44)</f>
        <v>0</v>
      </c>
      <c r="G38" s="1207">
        <f t="shared" ref="G38:AI38" si="69">IF(G37="",0, F38+G37/G44)</f>
        <v>0</v>
      </c>
      <c r="H38" s="1096">
        <f t="shared" si="69"/>
        <v>0</v>
      </c>
      <c r="I38" s="1096">
        <f t="shared" si="69"/>
        <v>0</v>
      </c>
      <c r="J38" s="1207">
        <f t="shared" si="69"/>
        <v>0</v>
      </c>
      <c r="K38" s="1207">
        <f t="shared" si="69"/>
        <v>0</v>
      </c>
      <c r="L38" s="1096">
        <f t="shared" si="69"/>
        <v>0</v>
      </c>
      <c r="M38" s="1096">
        <f t="shared" si="69"/>
        <v>0</v>
      </c>
      <c r="N38" s="1096">
        <f t="shared" si="69"/>
        <v>0</v>
      </c>
      <c r="O38" s="1096">
        <f t="shared" si="69"/>
        <v>0</v>
      </c>
      <c r="P38" s="1096">
        <f t="shared" si="69"/>
        <v>0</v>
      </c>
      <c r="Q38" s="1207">
        <f t="shared" si="69"/>
        <v>0</v>
      </c>
      <c r="R38" s="1207">
        <f t="shared" si="69"/>
        <v>0</v>
      </c>
      <c r="S38" s="1096">
        <f t="shared" si="69"/>
        <v>0</v>
      </c>
      <c r="T38" s="1096">
        <f t="shared" si="69"/>
        <v>0</v>
      </c>
      <c r="U38" s="1096">
        <f t="shared" si="69"/>
        <v>0</v>
      </c>
      <c r="V38" s="1096">
        <f t="shared" si="69"/>
        <v>0</v>
      </c>
      <c r="W38" s="1096">
        <f t="shared" si="69"/>
        <v>0</v>
      </c>
      <c r="X38" s="1207">
        <f t="shared" si="69"/>
        <v>0</v>
      </c>
      <c r="Y38" s="1207">
        <f t="shared" si="69"/>
        <v>0</v>
      </c>
      <c r="Z38" s="1096">
        <f t="shared" si="69"/>
        <v>0</v>
      </c>
      <c r="AA38" s="1096">
        <f t="shared" si="69"/>
        <v>0</v>
      </c>
      <c r="AB38" s="1096">
        <f t="shared" si="69"/>
        <v>0</v>
      </c>
      <c r="AC38" s="1096">
        <f t="shared" si="69"/>
        <v>0</v>
      </c>
      <c r="AD38" s="1096">
        <f t="shared" si="69"/>
        <v>0</v>
      </c>
      <c r="AE38" s="1207">
        <f t="shared" si="69"/>
        <v>0</v>
      </c>
      <c r="AF38" s="1207">
        <f t="shared" si="69"/>
        <v>0</v>
      </c>
      <c r="AG38" s="1096">
        <f>IF(AG37="",0, AC38+AG37/AG44)</f>
        <v>0</v>
      </c>
      <c r="AH38" s="1096">
        <f>IF(AH37="",0, AD38+AH37/AH44)</f>
        <v>0</v>
      </c>
      <c r="AI38" s="1324">
        <f t="shared" si="69"/>
        <v>0</v>
      </c>
      <c r="AJ38" s="663"/>
      <c r="AK38" s="663"/>
      <c r="AL38" s="646"/>
      <c r="AM38" s="926"/>
      <c r="AN38" s="448"/>
      <c r="AO38" s="675"/>
      <c r="AP38" s="39" t="s">
        <v>91</v>
      </c>
      <c r="AQ38" s="40">
        <f>SUM(E37:K37)</f>
        <v>0</v>
      </c>
      <c r="AR38" s="41">
        <f>SUM(L37:R37)</f>
        <v>0</v>
      </c>
      <c r="AS38" s="41">
        <f>SUM(S37:Y37)</f>
        <v>0</v>
      </c>
      <c r="AT38" s="41">
        <f>SUM(Z37:AF37)</f>
        <v>0</v>
      </c>
      <c r="AU38" s="41">
        <f>SUM(AG37:AI37)</f>
        <v>0</v>
      </c>
      <c r="AV38" s="34">
        <f t="shared" ref="AV38:AV43" si="70">SUM(AQ38:AU38)</f>
        <v>0</v>
      </c>
    </row>
    <row r="39" spans="1:48" s="644" customFormat="1" ht="19.899999999999999" hidden="1" customHeight="1">
      <c r="A39" s="224" t="s">
        <v>322</v>
      </c>
      <c r="B39" s="89" t="s">
        <v>246</v>
      </c>
      <c r="C39" s="52" t="s">
        <v>95</v>
      </c>
      <c r="D39" s="43" t="s">
        <v>93</v>
      </c>
      <c r="E39" s="1108"/>
      <c r="F39" s="1089"/>
      <c r="G39" s="44"/>
      <c r="H39" s="1089"/>
      <c r="I39" s="1089"/>
      <c r="J39" s="44"/>
      <c r="K39" s="44"/>
      <c r="L39" s="1089"/>
      <c r="M39" s="1089"/>
      <c r="N39" s="1089"/>
      <c r="O39" s="1089"/>
      <c r="P39" s="1089"/>
      <c r="Q39" s="44"/>
      <c r="R39" s="44"/>
      <c r="S39" s="1089"/>
      <c r="T39" s="1089"/>
      <c r="U39" s="1089"/>
      <c r="V39" s="1089"/>
      <c r="W39" s="1089"/>
      <c r="X39" s="44"/>
      <c r="Y39" s="44"/>
      <c r="Z39" s="1089"/>
      <c r="AA39" s="1089"/>
      <c r="AB39" s="1089"/>
      <c r="AC39" s="1089"/>
      <c r="AD39" s="1089"/>
      <c r="AE39" s="44"/>
      <c r="AF39" s="44"/>
      <c r="AG39" s="1089"/>
      <c r="AH39" s="1089"/>
      <c r="AI39" s="1326"/>
      <c r="AJ39" s="662">
        <f>SUM(E39:AI39)</f>
        <v>0</v>
      </c>
      <c r="AK39" s="662"/>
      <c r="AL39" s="645">
        <f>+AJ39*AN37</f>
        <v>0</v>
      </c>
      <c r="AM39" s="916"/>
      <c r="AN39" s="449"/>
      <c r="AO39" s="632">
        <f>(AJ39+AJ41+AJ42+AJ43)*B41/1000</f>
        <v>0</v>
      </c>
      <c r="AP39" s="47" t="s">
        <v>94</v>
      </c>
      <c r="AQ39" s="48">
        <f>SUM(E39:K39)</f>
        <v>0</v>
      </c>
      <c r="AR39" s="49">
        <f>SUM(L39:R39)</f>
        <v>0</v>
      </c>
      <c r="AS39" s="49">
        <f>SUM(S39:Y39)</f>
        <v>0</v>
      </c>
      <c r="AT39" s="49">
        <f>SUM(Z39:AF39)</f>
        <v>0</v>
      </c>
      <c r="AU39" s="49">
        <f>SUM(AG39:AI39)</f>
        <v>0</v>
      </c>
      <c r="AV39" s="50">
        <f t="shared" si="70"/>
        <v>0</v>
      </c>
    </row>
    <row r="40" spans="1:48" s="644" customFormat="1" ht="19.899999999999999" hidden="1" customHeight="1">
      <c r="A40" s="224" t="s">
        <v>322</v>
      </c>
      <c r="B40" s="638" t="s">
        <v>247</v>
      </c>
      <c r="C40" s="379">
        <v>40000</v>
      </c>
      <c r="D40" s="53" t="s">
        <v>96</v>
      </c>
      <c r="E40" s="1137">
        <f>+E39-E37</f>
        <v>0</v>
      </c>
      <c r="F40" s="1097">
        <f>+F39-F37</f>
        <v>0</v>
      </c>
      <c r="G40" s="1205">
        <f t="shared" ref="G40:AJ40" si="71">+G39-G37</f>
        <v>0</v>
      </c>
      <c r="H40" s="1097">
        <f t="shared" si="71"/>
        <v>0</v>
      </c>
      <c r="I40" s="1097">
        <f t="shared" si="71"/>
        <v>0</v>
      </c>
      <c r="J40" s="1205">
        <f>+J39-J37</f>
        <v>0</v>
      </c>
      <c r="K40" s="1205">
        <f t="shared" si="71"/>
        <v>0</v>
      </c>
      <c r="L40" s="1097">
        <f t="shared" si="71"/>
        <v>0</v>
      </c>
      <c r="M40" s="1097">
        <f t="shared" si="71"/>
        <v>0</v>
      </c>
      <c r="N40" s="1097">
        <f t="shared" si="71"/>
        <v>0</v>
      </c>
      <c r="O40" s="1097">
        <f>+O39-O37</f>
        <v>0</v>
      </c>
      <c r="P40" s="1097">
        <f t="shared" si="71"/>
        <v>0</v>
      </c>
      <c r="Q40" s="1205">
        <f t="shared" si="71"/>
        <v>0</v>
      </c>
      <c r="R40" s="1205">
        <f t="shared" si="71"/>
        <v>0</v>
      </c>
      <c r="S40" s="1097">
        <f t="shared" si="71"/>
        <v>0</v>
      </c>
      <c r="T40" s="1097">
        <f t="shared" si="71"/>
        <v>0</v>
      </c>
      <c r="U40" s="1097">
        <f t="shared" si="71"/>
        <v>0</v>
      </c>
      <c r="V40" s="1097">
        <f t="shared" si="71"/>
        <v>0</v>
      </c>
      <c r="W40" s="1097">
        <f t="shared" si="71"/>
        <v>0</v>
      </c>
      <c r="X40" s="1205">
        <f t="shared" si="71"/>
        <v>0</v>
      </c>
      <c r="Y40" s="1205">
        <f t="shared" si="71"/>
        <v>0</v>
      </c>
      <c r="Z40" s="1097">
        <f t="shared" si="71"/>
        <v>0</v>
      </c>
      <c r="AA40" s="1097">
        <f t="shared" si="71"/>
        <v>0</v>
      </c>
      <c r="AB40" s="1097">
        <f t="shared" si="71"/>
        <v>0</v>
      </c>
      <c r="AC40" s="1097">
        <f t="shared" si="71"/>
        <v>0</v>
      </c>
      <c r="AD40" s="1097">
        <f t="shared" si="71"/>
        <v>0</v>
      </c>
      <c r="AE40" s="1205">
        <f t="shared" si="71"/>
        <v>0</v>
      </c>
      <c r="AF40" s="1205">
        <f t="shared" si="71"/>
        <v>0</v>
      </c>
      <c r="AG40" s="1097">
        <f t="shared" si="71"/>
        <v>0</v>
      </c>
      <c r="AH40" s="1097">
        <f t="shared" si="71"/>
        <v>0</v>
      </c>
      <c r="AI40" s="1328">
        <f t="shared" si="71"/>
        <v>0</v>
      </c>
      <c r="AJ40" s="663">
        <f t="shared" si="71"/>
        <v>0</v>
      </c>
      <c r="AK40" s="663"/>
      <c r="AL40" s="646">
        <f>+AJ40*AN37</f>
        <v>0</v>
      </c>
      <c r="AM40" s="917"/>
      <c r="AN40" s="449" t="s">
        <v>97</v>
      </c>
      <c r="AO40" s="622"/>
      <c r="AP40" s="39" t="s">
        <v>98</v>
      </c>
      <c r="AQ40" s="56">
        <f>AQ39-AQ38</f>
        <v>0</v>
      </c>
      <c r="AR40" s="70">
        <f>AR39-AR38</f>
        <v>0</v>
      </c>
      <c r="AS40" s="70">
        <f>AS39-AS38</f>
        <v>0</v>
      </c>
      <c r="AT40" s="70">
        <f>AT39-AT38</f>
        <v>0</v>
      </c>
      <c r="AU40" s="70">
        <f>AU39-AU38</f>
        <v>0</v>
      </c>
      <c r="AV40" s="57">
        <f t="shared" si="70"/>
        <v>0</v>
      </c>
    </row>
    <row r="41" spans="1:48" s="644" customFormat="1" ht="19.899999999999999" hidden="1" customHeight="1">
      <c r="A41" s="511"/>
      <c r="B41" s="659">
        <v>4.3875000000000002</v>
      </c>
      <c r="C41" s="512"/>
      <c r="D41" s="61" t="s">
        <v>101</v>
      </c>
      <c r="E41" s="1098"/>
      <c r="F41" s="1099"/>
      <c r="G41" s="1208"/>
      <c r="H41" s="1099"/>
      <c r="I41" s="1099"/>
      <c r="J41" s="1208"/>
      <c r="K41" s="1208"/>
      <c r="L41" s="1099"/>
      <c r="M41" s="1099"/>
      <c r="N41" s="1099"/>
      <c r="O41" s="1099"/>
      <c r="P41" s="1099"/>
      <c r="Q41" s="1208"/>
      <c r="R41" s="1208"/>
      <c r="S41" s="1099"/>
      <c r="T41" s="1099"/>
      <c r="U41" s="1099"/>
      <c r="V41" s="1099"/>
      <c r="W41" s="1099"/>
      <c r="X41" s="1208"/>
      <c r="Y41" s="1208"/>
      <c r="Z41" s="1099"/>
      <c r="AA41" s="1099"/>
      <c r="AB41" s="1099"/>
      <c r="AC41" s="1099"/>
      <c r="AD41" s="1099"/>
      <c r="AE41" s="1208"/>
      <c r="AF41" s="1208"/>
      <c r="AG41" s="1099"/>
      <c r="AH41" s="1099"/>
      <c r="AI41" s="1330"/>
      <c r="AJ41" s="664">
        <f>SUM(E41:AI41)</f>
        <v>0</v>
      </c>
      <c r="AK41" s="664"/>
      <c r="AL41" s="647">
        <f>+AJ41*AN37</f>
        <v>0</v>
      </c>
      <c r="AM41" s="918"/>
      <c r="AN41" s="385" t="e">
        <f>+AJ41/AJ39</f>
        <v>#DIV/0!</v>
      </c>
      <c r="AO41" s="635" t="e">
        <f>AO39/AO37</f>
        <v>#DIV/0!</v>
      </c>
      <c r="AP41" s="39" t="s">
        <v>102</v>
      </c>
      <c r="AQ41" s="56">
        <f>SUM(E41:K41)</f>
        <v>0</v>
      </c>
      <c r="AR41" s="70">
        <f>SUM(L41:R41)</f>
        <v>0</v>
      </c>
      <c r="AS41" s="70">
        <f>SUM(S41:Y41)</f>
        <v>0</v>
      </c>
      <c r="AT41" s="70">
        <f>SUM(Z41:AF41)</f>
        <v>0</v>
      </c>
      <c r="AU41" s="70">
        <f>SUM(AG41:AI41)</f>
        <v>0</v>
      </c>
      <c r="AV41" s="57">
        <f t="shared" si="70"/>
        <v>0</v>
      </c>
    </row>
    <row r="42" spans="1:48" s="644" customFormat="1" ht="19.899999999999999" hidden="1" customHeight="1">
      <c r="A42" s="224" t="s">
        <v>322</v>
      </c>
      <c r="B42" s="65"/>
      <c r="C42" s="89" t="s">
        <v>108</v>
      </c>
      <c r="D42" s="67" t="s">
        <v>103</v>
      </c>
      <c r="E42" s="1100"/>
      <c r="F42" s="1101"/>
      <c r="G42" s="1209"/>
      <c r="H42" s="1101"/>
      <c r="I42" s="1101"/>
      <c r="J42" s="1209"/>
      <c r="K42" s="1209"/>
      <c r="L42" s="1101"/>
      <c r="M42" s="1101"/>
      <c r="N42" s="1101"/>
      <c r="O42" s="1101"/>
      <c r="P42" s="1101"/>
      <c r="Q42" s="1209"/>
      <c r="R42" s="1209"/>
      <c r="S42" s="1101"/>
      <c r="T42" s="1101"/>
      <c r="U42" s="1101"/>
      <c r="V42" s="1101"/>
      <c r="W42" s="1101"/>
      <c r="X42" s="1209"/>
      <c r="Y42" s="1209"/>
      <c r="Z42" s="1101"/>
      <c r="AA42" s="1101"/>
      <c r="AB42" s="1101"/>
      <c r="AC42" s="1101"/>
      <c r="AD42" s="1101"/>
      <c r="AE42" s="1209"/>
      <c r="AF42" s="1209"/>
      <c r="AG42" s="1101"/>
      <c r="AH42" s="1101"/>
      <c r="AI42" s="1332"/>
      <c r="AJ42" s="665">
        <f>SUM(E42:AI42)</f>
        <v>0</v>
      </c>
      <c r="AK42" s="665"/>
      <c r="AL42" s="648">
        <f>+AJ42*AN37</f>
        <v>0</v>
      </c>
      <c r="AM42" s="919"/>
      <c r="AN42" s="449"/>
      <c r="AO42" s="622"/>
      <c r="AP42" s="39" t="s">
        <v>19</v>
      </c>
      <c r="AQ42" s="56">
        <f>AQ41*AN37</f>
        <v>0</v>
      </c>
      <c r="AR42" s="56">
        <f>AR41*AN37</f>
        <v>0</v>
      </c>
      <c r="AS42" s="56">
        <f>AS41*AN37</f>
        <v>0</v>
      </c>
      <c r="AT42" s="56">
        <f>AT41*AN37</f>
        <v>0</v>
      </c>
      <c r="AU42" s="56">
        <f>AU41*AN37</f>
        <v>0</v>
      </c>
      <c r="AV42" s="57">
        <f t="shared" si="70"/>
        <v>0</v>
      </c>
    </row>
    <row r="43" spans="1:48" s="644" customFormat="1" ht="19.899999999999999" hidden="1" customHeight="1">
      <c r="A43" s="511"/>
      <c r="B43" s="65"/>
      <c r="C43" s="383">
        <f>+C40*0.8</f>
        <v>32000</v>
      </c>
      <c r="D43" s="73" t="s">
        <v>105</v>
      </c>
      <c r="E43" s="1102"/>
      <c r="F43" s="1103"/>
      <c r="G43" s="1210"/>
      <c r="H43" s="1103"/>
      <c r="I43" s="1103"/>
      <c r="J43" s="1210"/>
      <c r="K43" s="1210"/>
      <c r="L43" s="1103"/>
      <c r="M43" s="1103"/>
      <c r="N43" s="1103"/>
      <c r="O43" s="1103"/>
      <c r="P43" s="1103"/>
      <c r="Q43" s="1210"/>
      <c r="R43" s="1210"/>
      <c r="S43" s="1103"/>
      <c r="T43" s="1103"/>
      <c r="U43" s="1103"/>
      <c r="V43" s="1103"/>
      <c r="W43" s="1103"/>
      <c r="X43" s="1210"/>
      <c r="Y43" s="1210"/>
      <c r="Z43" s="1103"/>
      <c r="AA43" s="1103"/>
      <c r="AB43" s="1103"/>
      <c r="AC43" s="1103"/>
      <c r="AD43" s="1103"/>
      <c r="AE43" s="1210"/>
      <c r="AF43" s="1210"/>
      <c r="AG43" s="1103"/>
      <c r="AH43" s="1103"/>
      <c r="AI43" s="1352"/>
      <c r="AJ43" s="666">
        <f>SUM(E43:AI43)</f>
        <v>0</v>
      </c>
      <c r="AK43" s="666"/>
      <c r="AL43" s="649">
        <f>+AJ43*AN37</f>
        <v>0</v>
      </c>
      <c r="AM43" s="920"/>
      <c r="AN43" s="449"/>
      <c r="AO43" s="622"/>
      <c r="AP43" s="47" t="s">
        <v>106</v>
      </c>
      <c r="AQ43" s="48">
        <f>AQ39*AN37</f>
        <v>0</v>
      </c>
      <c r="AR43" s="48">
        <f>AR39*AN37</f>
        <v>0</v>
      </c>
      <c r="AS43" s="48">
        <f>AS39*AN37</f>
        <v>0</v>
      </c>
      <c r="AT43" s="48">
        <f>AT39*AN37</f>
        <v>0</v>
      </c>
      <c r="AU43" s="48">
        <f>AU39*AN37</f>
        <v>0</v>
      </c>
      <c r="AV43" s="50">
        <f t="shared" si="70"/>
        <v>0</v>
      </c>
    </row>
    <row r="44" spans="1:48" s="644" customFormat="1" ht="19.899999999999999" hidden="1" customHeight="1">
      <c r="A44" s="224" t="s">
        <v>322</v>
      </c>
      <c r="B44" s="65"/>
      <c r="C44" s="113"/>
      <c r="D44" s="78" t="s">
        <v>107</v>
      </c>
      <c r="E44" s="1137">
        <v>4</v>
      </c>
      <c r="F44" s="1097">
        <v>4</v>
      </c>
      <c r="G44" s="1205">
        <v>4</v>
      </c>
      <c r="H44" s="1097">
        <v>4</v>
      </c>
      <c r="I44" s="1097">
        <v>4</v>
      </c>
      <c r="J44" s="1205">
        <v>4</v>
      </c>
      <c r="K44" s="1205">
        <v>4</v>
      </c>
      <c r="L44" s="1097">
        <v>4</v>
      </c>
      <c r="M44" s="1097">
        <v>4</v>
      </c>
      <c r="N44" s="1097">
        <v>4</v>
      </c>
      <c r="O44" s="1097">
        <v>4</v>
      </c>
      <c r="P44" s="1097">
        <v>4</v>
      </c>
      <c r="Q44" s="1205">
        <v>4</v>
      </c>
      <c r="R44" s="1205">
        <v>4</v>
      </c>
      <c r="S44" s="1097">
        <v>4</v>
      </c>
      <c r="T44" s="1097">
        <v>4</v>
      </c>
      <c r="U44" s="1097">
        <v>4</v>
      </c>
      <c r="V44" s="1097">
        <v>4</v>
      </c>
      <c r="W44" s="1097">
        <v>4</v>
      </c>
      <c r="X44" s="1205">
        <v>4</v>
      </c>
      <c r="Y44" s="1205">
        <v>4</v>
      </c>
      <c r="Z44" s="1097">
        <v>4</v>
      </c>
      <c r="AA44" s="1097">
        <v>4</v>
      </c>
      <c r="AB44" s="1097">
        <v>4</v>
      </c>
      <c r="AC44" s="1097">
        <v>4</v>
      </c>
      <c r="AD44" s="1097">
        <v>4</v>
      </c>
      <c r="AE44" s="1205">
        <v>4</v>
      </c>
      <c r="AF44" s="1205">
        <v>4</v>
      </c>
      <c r="AG44" s="1097">
        <v>4</v>
      </c>
      <c r="AH44" s="1097">
        <v>4</v>
      </c>
      <c r="AI44" s="1328">
        <v>4</v>
      </c>
      <c r="AJ44" s="663"/>
      <c r="AK44" s="663"/>
      <c r="AL44" s="646"/>
      <c r="AM44" s="917"/>
      <c r="AN44" s="449"/>
      <c r="AO44" s="622"/>
    </row>
    <row r="45" spans="1:48" s="644" customFormat="1" ht="19.899999999999999" hidden="1" customHeight="1">
      <c r="A45" s="224" t="s">
        <v>322</v>
      </c>
      <c r="B45" s="42"/>
      <c r="C45" s="514"/>
      <c r="D45" s="81" t="s">
        <v>109</v>
      </c>
      <c r="E45" s="1105">
        <f>SUM(E39+E41+E42+E43)/E44</f>
        <v>0</v>
      </c>
      <c r="F45" s="1105">
        <f>SUM(F39+F41+F42+F43)/F44</f>
        <v>0</v>
      </c>
      <c r="G45" s="1198">
        <f>SUM(G39+G41+G42+G43)/G44</f>
        <v>0</v>
      </c>
      <c r="H45" s="1105">
        <f t="shared" ref="H45:AH45" si="72">SUM(H39+H41+H42+H43)/H44</f>
        <v>0</v>
      </c>
      <c r="I45" s="1105">
        <f t="shared" si="72"/>
        <v>0</v>
      </c>
      <c r="J45" s="1198">
        <f t="shared" si="72"/>
        <v>0</v>
      </c>
      <c r="K45" s="1198">
        <f t="shared" si="72"/>
        <v>0</v>
      </c>
      <c r="L45" s="1105">
        <f t="shared" si="72"/>
        <v>0</v>
      </c>
      <c r="M45" s="1105">
        <f t="shared" si="72"/>
        <v>0</v>
      </c>
      <c r="N45" s="1105">
        <f t="shared" si="72"/>
        <v>0</v>
      </c>
      <c r="O45" s="1105">
        <f t="shared" si="72"/>
        <v>0</v>
      </c>
      <c r="P45" s="1105">
        <f t="shared" si="72"/>
        <v>0</v>
      </c>
      <c r="Q45" s="1198">
        <f t="shared" si="72"/>
        <v>0</v>
      </c>
      <c r="R45" s="1198">
        <f t="shared" si="72"/>
        <v>0</v>
      </c>
      <c r="S45" s="1105">
        <f t="shared" si="72"/>
        <v>0</v>
      </c>
      <c r="T45" s="1105">
        <f t="shared" si="72"/>
        <v>0</v>
      </c>
      <c r="U45" s="1105">
        <f t="shared" si="72"/>
        <v>0</v>
      </c>
      <c r="V45" s="1105">
        <f t="shared" si="72"/>
        <v>0</v>
      </c>
      <c r="W45" s="1105">
        <f t="shared" si="72"/>
        <v>0</v>
      </c>
      <c r="X45" s="1198">
        <f t="shared" si="72"/>
        <v>0</v>
      </c>
      <c r="Y45" s="1198">
        <f t="shared" si="72"/>
        <v>0</v>
      </c>
      <c r="Z45" s="1105">
        <f t="shared" si="72"/>
        <v>0</v>
      </c>
      <c r="AA45" s="1105">
        <f t="shared" si="72"/>
        <v>0</v>
      </c>
      <c r="AB45" s="1105">
        <f t="shared" si="72"/>
        <v>0</v>
      </c>
      <c r="AC45" s="1105">
        <f t="shared" si="72"/>
        <v>0</v>
      </c>
      <c r="AD45" s="1105">
        <f t="shared" si="72"/>
        <v>0</v>
      </c>
      <c r="AE45" s="1198">
        <f t="shared" si="72"/>
        <v>0</v>
      </c>
      <c r="AF45" s="1198">
        <f t="shared" si="72"/>
        <v>0</v>
      </c>
      <c r="AG45" s="1105">
        <f t="shared" si="72"/>
        <v>0</v>
      </c>
      <c r="AH45" s="1105">
        <f t="shared" si="72"/>
        <v>0</v>
      </c>
      <c r="AI45" s="1353">
        <f>SUM(AI39+AI41+AI42)/AI44</f>
        <v>0</v>
      </c>
      <c r="AJ45" s="104">
        <f>SUM(E45:AI45)</f>
        <v>0</v>
      </c>
      <c r="AK45" s="104"/>
      <c r="AL45" s="650"/>
      <c r="AM45" s="921"/>
      <c r="AN45" s="450"/>
      <c r="AO45" s="622"/>
    </row>
    <row r="46" spans="1:48" s="644" customFormat="1" ht="19.899999999999999" hidden="1" customHeight="1">
      <c r="A46" s="224" t="s">
        <v>322</v>
      </c>
      <c r="B46" s="518"/>
      <c r="C46" s="72"/>
      <c r="D46" s="85" t="s">
        <v>110</v>
      </c>
      <c r="E46" s="1336"/>
      <c r="F46" s="1106"/>
      <c r="G46" s="1211"/>
      <c r="H46" s="1104"/>
      <c r="I46" s="1107"/>
      <c r="J46" s="1211"/>
      <c r="K46" s="1228"/>
      <c r="L46" s="1104"/>
      <c r="M46" s="1107"/>
      <c r="N46" s="1107"/>
      <c r="O46" s="1107"/>
      <c r="P46" s="1104"/>
      <c r="Q46" s="1228"/>
      <c r="R46" s="1211"/>
      <c r="S46" s="1104"/>
      <c r="T46" s="1107"/>
      <c r="U46" s="1107"/>
      <c r="V46" s="1107"/>
      <c r="W46" s="1107"/>
      <c r="X46" s="1228"/>
      <c r="Y46" s="1228"/>
      <c r="Z46" s="1104"/>
      <c r="AA46" s="1107"/>
      <c r="AB46" s="1107"/>
      <c r="AC46" s="1104"/>
      <c r="AD46" s="1107"/>
      <c r="AE46" s="1211"/>
      <c r="AF46" s="1211"/>
      <c r="AG46" s="1144"/>
      <c r="AH46" s="1104"/>
      <c r="AI46" s="1353"/>
      <c r="AJ46" s="667"/>
      <c r="AK46" s="667"/>
      <c r="AL46" s="703"/>
      <c r="AM46" s="922"/>
      <c r="AN46" s="449"/>
      <c r="AO46" s="622"/>
    </row>
    <row r="47" spans="1:48" s="644" customFormat="1" ht="19.899999999999999" hidden="1" customHeight="1">
      <c r="A47" s="224" t="s">
        <v>322</v>
      </c>
      <c r="B47" s="518"/>
      <c r="C47" s="72" t="s">
        <v>104</v>
      </c>
      <c r="D47" s="88" t="s">
        <v>111</v>
      </c>
      <c r="E47" s="1108">
        <f>IF(E46="O/H",E45,0+E45)</f>
        <v>0</v>
      </c>
      <c r="F47" s="1089">
        <f t="shared" ref="F47:AI47" si="73">IF(F46="O/H",F45,+E47+F45)</f>
        <v>0</v>
      </c>
      <c r="G47" s="44">
        <f t="shared" si="73"/>
        <v>0</v>
      </c>
      <c r="H47" s="1089">
        <f t="shared" si="73"/>
        <v>0</v>
      </c>
      <c r="I47" s="1089">
        <f t="shared" si="73"/>
        <v>0</v>
      </c>
      <c r="J47" s="44">
        <f t="shared" si="73"/>
        <v>0</v>
      </c>
      <c r="K47" s="44">
        <f t="shared" si="73"/>
        <v>0</v>
      </c>
      <c r="L47" s="1089">
        <f t="shared" si="73"/>
        <v>0</v>
      </c>
      <c r="M47" s="1089">
        <f t="shared" si="73"/>
        <v>0</v>
      </c>
      <c r="N47" s="1089">
        <f t="shared" si="73"/>
        <v>0</v>
      </c>
      <c r="O47" s="1089">
        <f t="shared" si="73"/>
        <v>0</v>
      </c>
      <c r="P47" s="1089">
        <f t="shared" si="73"/>
        <v>0</v>
      </c>
      <c r="Q47" s="44">
        <f t="shared" si="73"/>
        <v>0</v>
      </c>
      <c r="R47" s="44">
        <f t="shared" si="73"/>
        <v>0</v>
      </c>
      <c r="S47" s="1089">
        <f t="shared" si="73"/>
        <v>0</v>
      </c>
      <c r="T47" s="1089">
        <f t="shared" si="73"/>
        <v>0</v>
      </c>
      <c r="U47" s="1089">
        <f t="shared" si="73"/>
        <v>0</v>
      </c>
      <c r="V47" s="1089">
        <f t="shared" si="73"/>
        <v>0</v>
      </c>
      <c r="W47" s="1089">
        <f t="shared" si="73"/>
        <v>0</v>
      </c>
      <c r="X47" s="44">
        <f t="shared" si="73"/>
        <v>0</v>
      </c>
      <c r="Y47" s="44">
        <f t="shared" si="73"/>
        <v>0</v>
      </c>
      <c r="Z47" s="1089">
        <f t="shared" si="73"/>
        <v>0</v>
      </c>
      <c r="AA47" s="1089">
        <f t="shared" si="73"/>
        <v>0</v>
      </c>
      <c r="AB47" s="1089">
        <f t="shared" si="73"/>
        <v>0</v>
      </c>
      <c r="AC47" s="1089">
        <f t="shared" si="73"/>
        <v>0</v>
      </c>
      <c r="AD47" s="1089">
        <f t="shared" si="73"/>
        <v>0</v>
      </c>
      <c r="AE47" s="44">
        <f t="shared" si="73"/>
        <v>0</v>
      </c>
      <c r="AF47" s="44">
        <f t="shared" si="73"/>
        <v>0</v>
      </c>
      <c r="AG47" s="1089">
        <f t="shared" si="73"/>
        <v>0</v>
      </c>
      <c r="AH47" s="1089">
        <f t="shared" si="73"/>
        <v>0</v>
      </c>
      <c r="AI47" s="1326">
        <f t="shared" si="73"/>
        <v>0</v>
      </c>
      <c r="AJ47" s="663"/>
      <c r="AK47" s="667"/>
      <c r="AL47" s="704"/>
      <c r="AM47" s="923"/>
      <c r="AN47" s="449"/>
      <c r="AO47" s="622"/>
    </row>
    <row r="48" spans="1:48" s="23" customFormat="1" ht="20.65" hidden="1" customHeight="1">
      <c r="A48" s="274"/>
      <c r="B48" s="312"/>
      <c r="C48" s="308">
        <v>300000</v>
      </c>
      <c r="D48" s="795" t="s">
        <v>112</v>
      </c>
      <c r="E48" s="1108" t="b">
        <f>IF(AND(ISNUMBER(E39)),3914988+E45)</f>
        <v>0</v>
      </c>
      <c r="F48" s="1089" t="str">
        <f>IF(AND(ISNUMBER(F39)),E48+F45,"")</f>
        <v/>
      </c>
      <c r="G48" s="44" t="str">
        <f t="shared" ref="G48" si="74">IF(AND(ISNUMBER(G39)),F48+G45,"")</f>
        <v/>
      </c>
      <c r="H48" s="1089" t="str">
        <f t="shared" ref="H48" si="75">IF(AND(ISNUMBER(H39)),G48+H45,"")</f>
        <v/>
      </c>
      <c r="I48" s="1089" t="str">
        <f>IF(AND(ISNUMBER(I39)),H48+I45,"")</f>
        <v/>
      </c>
      <c r="J48" s="44" t="str">
        <f>IF(AND(ISNUMBER(J39)),I48+J45,"")</f>
        <v/>
      </c>
      <c r="K48" s="44" t="str">
        <f>IF(AND(ISNUMBER(K39)),J48+K45,"")</f>
        <v/>
      </c>
      <c r="L48" s="1089" t="str">
        <f t="shared" ref="L48" si="76">IF(AND(ISNUMBER(L39)),K48+L45,"")</f>
        <v/>
      </c>
      <c r="M48" s="1089" t="str">
        <f t="shared" ref="M48" si="77">IF(AND(ISNUMBER(M39)),L48+M45,"")</f>
        <v/>
      </c>
      <c r="N48" s="1089" t="str">
        <f t="shared" ref="N48" si="78">IF(AND(ISNUMBER(N39)),M48+N45,"")</f>
        <v/>
      </c>
      <c r="O48" s="1089" t="str">
        <f t="shared" ref="O48" si="79">IF(AND(ISNUMBER(O39)),N48+O45,"")</f>
        <v/>
      </c>
      <c r="P48" s="1089" t="str">
        <f t="shared" ref="P48" si="80">IF(AND(ISNUMBER(P39)),O48+P45,"")</f>
        <v/>
      </c>
      <c r="Q48" s="44" t="str">
        <f t="shared" ref="Q48" si="81">IF(AND(ISNUMBER(Q39)),P48+Q45,"")</f>
        <v/>
      </c>
      <c r="R48" s="44" t="str">
        <f t="shared" ref="R48" si="82">IF(AND(ISNUMBER(R39)),Q48+R45,"")</f>
        <v/>
      </c>
      <c r="S48" s="1089" t="str">
        <f t="shared" ref="S48" si="83">IF(AND(ISNUMBER(S39)),R48+S45,"")</f>
        <v/>
      </c>
      <c r="T48" s="1089" t="str">
        <f t="shared" ref="T48" si="84">IF(AND(ISNUMBER(T39)),S48+T45,"")</f>
        <v/>
      </c>
      <c r="U48" s="1089" t="str">
        <f t="shared" ref="U48" si="85">IF(AND(ISNUMBER(U39)),T48+U45,"")</f>
        <v/>
      </c>
      <c r="V48" s="1089" t="str">
        <f t="shared" ref="V48" si="86">IF(AND(ISNUMBER(V39)),U48+V45,"")</f>
        <v/>
      </c>
      <c r="W48" s="1089" t="str">
        <f t="shared" ref="W48" si="87">IF(AND(ISNUMBER(W39)),V48+W45,"")</f>
        <v/>
      </c>
      <c r="X48" s="44" t="str">
        <f t="shared" ref="X48" si="88">IF(AND(ISNUMBER(X39)),W48+X45,"")</f>
        <v/>
      </c>
      <c r="Y48" s="44" t="str">
        <f t="shared" ref="Y48" si="89">IF(AND(ISNUMBER(Y39)),X48+Y45,"")</f>
        <v/>
      </c>
      <c r="Z48" s="1089" t="str">
        <f t="shared" ref="Z48" si="90">IF(AND(ISNUMBER(Z39)),Y48+Z45,"")</f>
        <v/>
      </c>
      <c r="AA48" s="1089" t="str">
        <f t="shared" ref="AA48" si="91">IF(AND(ISNUMBER(AA39)),Z48+AA45,"")</f>
        <v/>
      </c>
      <c r="AB48" s="1089" t="str">
        <f t="shared" ref="AB48" si="92">IF(AND(ISNUMBER(AB39)),AA48+AB45,"")</f>
        <v/>
      </c>
      <c r="AC48" s="1089" t="str">
        <f t="shared" ref="AC48" si="93">IF(AND(ISNUMBER(AC39)),AB48+AC45,"")</f>
        <v/>
      </c>
      <c r="AD48" s="1089" t="str">
        <f t="shared" ref="AD48" si="94">IF(AND(ISNUMBER(AD39)),AC48+AD45,"")</f>
        <v/>
      </c>
      <c r="AE48" s="44" t="str">
        <f t="shared" ref="AE48" si="95">IF(AND(ISNUMBER(AE39)),AD48+AE45,"")</f>
        <v/>
      </c>
      <c r="AF48" s="44" t="str">
        <f t="shared" ref="AF48" si="96">IF(AND(ISNUMBER(AF39)),AE48+AF45,"")</f>
        <v/>
      </c>
      <c r="AG48" s="1089" t="str">
        <f t="shared" ref="AG48" si="97">IF(AND(ISNUMBER(AG39)),AF48+AG45,"")</f>
        <v/>
      </c>
      <c r="AH48" s="1089" t="str">
        <f t="shared" ref="AH48" si="98">IF(AND(ISNUMBER(AH39)),AG48+AH45,"")</f>
        <v/>
      </c>
      <c r="AI48" s="1089" t="str">
        <f t="shared" ref="AI48" si="99">IF(AND(ISNUMBER(AI39)),AH48+AI45,"")</f>
        <v/>
      </c>
      <c r="AJ48" s="793"/>
      <c r="AK48" s="793"/>
      <c r="AL48" s="909"/>
      <c r="AM48" s="890"/>
      <c r="AN48" s="91"/>
      <c r="AO48" s="630"/>
      <c r="AP48" s="285"/>
      <c r="AQ48" s="285"/>
      <c r="AR48" s="285"/>
      <c r="AS48" s="285"/>
      <c r="AT48" s="286"/>
      <c r="AU48" s="285"/>
      <c r="AV48" s="287"/>
    </row>
    <row r="49" spans="1:48" s="644" customFormat="1" ht="19.899999999999999" hidden="1" customHeight="1">
      <c r="A49" s="224"/>
      <c r="B49" s="89" t="s">
        <v>330</v>
      </c>
      <c r="C49" s="80" t="s">
        <v>108</v>
      </c>
      <c r="D49" s="90" t="s">
        <v>104</v>
      </c>
      <c r="E49" s="1415"/>
      <c r="F49" s="1144"/>
      <c r="G49" s="1272"/>
      <c r="H49" s="1141"/>
      <c r="I49" s="1141"/>
      <c r="J49" s="1272"/>
      <c r="K49" s="1272"/>
      <c r="L49" s="1141"/>
      <c r="M49" s="1141"/>
      <c r="N49" s="1141"/>
      <c r="O49" s="1141"/>
      <c r="P49" s="1141"/>
      <c r="Q49" s="1272"/>
      <c r="R49" s="1272"/>
      <c r="S49" s="1141"/>
      <c r="T49" s="1141"/>
      <c r="U49" s="1141"/>
      <c r="V49" s="1141"/>
      <c r="W49" s="1141"/>
      <c r="X49" s="1272"/>
      <c r="Y49" s="1272"/>
      <c r="Z49" s="1141"/>
      <c r="AA49" s="1141"/>
      <c r="AB49" s="1141"/>
      <c r="AC49" s="1141"/>
      <c r="AD49" s="1144"/>
      <c r="AE49" s="1272"/>
      <c r="AF49" s="1272"/>
      <c r="AG49" s="1141"/>
      <c r="AH49" s="1141"/>
      <c r="AI49" s="1416"/>
      <c r="AJ49" s="663"/>
      <c r="AK49" s="663"/>
      <c r="AL49" s="647"/>
      <c r="AM49" s="924"/>
      <c r="AN49" s="449"/>
      <c r="AO49" s="622"/>
    </row>
    <row r="50" spans="1:48" s="644" customFormat="1" ht="19.899999999999999" hidden="1" customHeight="1" thickBot="1">
      <c r="A50" s="516"/>
      <c r="B50" s="517"/>
      <c r="C50" s="94">
        <f>+C48*0.8</f>
        <v>240000</v>
      </c>
      <c r="D50" s="88" t="s">
        <v>111</v>
      </c>
      <c r="E50" s="1109">
        <f>IF(E49="O/H",E45,0+E45)</f>
        <v>0</v>
      </c>
      <c r="F50" s="1109">
        <f>IF(F49="O/H",F45,+E50+F45)</f>
        <v>0</v>
      </c>
      <c r="G50" s="1200">
        <f t="shared" ref="G50:AI50" si="100">IF(G49="O/H",G45,+F50+G45)</f>
        <v>0</v>
      </c>
      <c r="H50" s="1109">
        <f t="shared" si="100"/>
        <v>0</v>
      </c>
      <c r="I50" s="1109">
        <f t="shared" si="100"/>
        <v>0</v>
      </c>
      <c r="J50" s="1200">
        <f t="shared" si="100"/>
        <v>0</v>
      </c>
      <c r="K50" s="1200">
        <f t="shared" si="100"/>
        <v>0</v>
      </c>
      <c r="L50" s="1109">
        <f t="shared" si="100"/>
        <v>0</v>
      </c>
      <c r="M50" s="1109">
        <f t="shared" si="100"/>
        <v>0</v>
      </c>
      <c r="N50" s="1109">
        <f t="shared" si="100"/>
        <v>0</v>
      </c>
      <c r="O50" s="1109">
        <f t="shared" si="100"/>
        <v>0</v>
      </c>
      <c r="P50" s="1109">
        <f t="shared" si="100"/>
        <v>0</v>
      </c>
      <c r="Q50" s="1200">
        <f t="shared" si="100"/>
        <v>0</v>
      </c>
      <c r="R50" s="1200">
        <f t="shared" si="100"/>
        <v>0</v>
      </c>
      <c r="S50" s="1109">
        <f t="shared" si="100"/>
        <v>0</v>
      </c>
      <c r="T50" s="1109">
        <f t="shared" si="100"/>
        <v>0</v>
      </c>
      <c r="U50" s="1109">
        <f t="shared" si="100"/>
        <v>0</v>
      </c>
      <c r="V50" s="1109">
        <f t="shared" si="100"/>
        <v>0</v>
      </c>
      <c r="W50" s="1109">
        <f t="shared" si="100"/>
        <v>0</v>
      </c>
      <c r="X50" s="1200">
        <f t="shared" si="100"/>
        <v>0</v>
      </c>
      <c r="Y50" s="1200">
        <f t="shared" si="100"/>
        <v>0</v>
      </c>
      <c r="Z50" s="1109">
        <f t="shared" si="100"/>
        <v>0</v>
      </c>
      <c r="AA50" s="1109">
        <f t="shared" si="100"/>
        <v>0</v>
      </c>
      <c r="AB50" s="1109">
        <f t="shared" si="100"/>
        <v>0</v>
      </c>
      <c r="AC50" s="1109">
        <f t="shared" si="100"/>
        <v>0</v>
      </c>
      <c r="AD50" s="1109">
        <f t="shared" si="100"/>
        <v>0</v>
      </c>
      <c r="AE50" s="1200">
        <f t="shared" si="100"/>
        <v>0</v>
      </c>
      <c r="AF50" s="1200">
        <f t="shared" si="100"/>
        <v>0</v>
      </c>
      <c r="AG50" s="1109">
        <f t="shared" si="100"/>
        <v>0</v>
      </c>
      <c r="AH50" s="1109">
        <f t="shared" si="100"/>
        <v>0</v>
      </c>
      <c r="AI50" s="1417">
        <f t="shared" si="100"/>
        <v>0</v>
      </c>
      <c r="AJ50" s="668"/>
      <c r="AK50" s="668"/>
      <c r="AL50" s="705"/>
      <c r="AM50" s="925"/>
      <c r="AN50" s="567"/>
      <c r="AO50" s="625"/>
    </row>
    <row r="51" spans="1:48" s="644" customFormat="1" ht="19.899999999999999" hidden="1" customHeight="1" thickTop="1">
      <c r="A51" s="228" t="s">
        <v>604</v>
      </c>
      <c r="B51" s="89"/>
      <c r="C51" s="418" t="str">
        <f>Table1[[#This Row],[M/C No.]]</f>
        <v>A1(75ton)</v>
      </c>
      <c r="D51" s="28" t="s">
        <v>82</v>
      </c>
      <c r="E51" s="1145"/>
      <c r="F51" s="1145"/>
      <c r="G51" s="1295"/>
      <c r="H51" s="1145"/>
      <c r="I51" s="1145"/>
      <c r="J51" s="1295"/>
      <c r="K51" s="1295"/>
      <c r="L51" s="1145"/>
      <c r="M51" s="1145"/>
      <c r="N51" s="1145"/>
      <c r="O51" s="1145"/>
      <c r="P51" s="1145"/>
      <c r="Q51" s="1295"/>
      <c r="R51" s="1295"/>
      <c r="S51" s="1145"/>
      <c r="T51" s="1145"/>
      <c r="U51" s="1145"/>
      <c r="V51" s="1145"/>
      <c r="W51" s="1145"/>
      <c r="X51" s="1295"/>
      <c r="Y51" s="1295"/>
      <c r="Z51" s="1145"/>
      <c r="AA51" s="1145"/>
      <c r="AB51" s="1145"/>
      <c r="AC51" s="1145"/>
      <c r="AD51" s="1145"/>
      <c r="AE51" s="1295"/>
      <c r="AF51" s="1295"/>
      <c r="AG51" s="1145"/>
      <c r="AH51" s="1145"/>
      <c r="AI51" s="1439"/>
      <c r="AJ51" s="570">
        <f>SUM(E51:AI51)</f>
        <v>0</v>
      </c>
      <c r="AK51" s="1015">
        <f>AJ53</f>
        <v>0</v>
      </c>
      <c r="AL51" s="572">
        <f>+AJ51*AN51</f>
        <v>0</v>
      </c>
      <c r="AM51" s="1002">
        <f>AL53</f>
        <v>0</v>
      </c>
      <c r="AN51" s="448">
        <v>5.0432600000000001</v>
      </c>
      <c r="AO51" s="622">
        <f>Table1[[#This Row],[Total]]*B55/1000</f>
        <v>0</v>
      </c>
      <c r="AP51" s="32" t="s">
        <v>321</v>
      </c>
      <c r="AQ51" s="33" t="s">
        <v>84</v>
      </c>
      <c r="AR51" s="33" t="s">
        <v>85</v>
      </c>
      <c r="AS51" s="33" t="s">
        <v>86</v>
      </c>
      <c r="AT51" s="33" t="s">
        <v>87</v>
      </c>
      <c r="AU51" s="33" t="s">
        <v>88</v>
      </c>
      <c r="AV51" s="34" t="s">
        <v>68</v>
      </c>
    </row>
    <row r="52" spans="1:48" s="644" customFormat="1" ht="19.899999999999999" hidden="1" customHeight="1">
      <c r="A52" s="224"/>
      <c r="B52" s="89" t="s">
        <v>332</v>
      </c>
      <c r="C52" s="510"/>
      <c r="D52" s="37" t="s">
        <v>90</v>
      </c>
      <c r="E52" s="1143">
        <f>IF(E51="",0,+ E51/E58)</f>
        <v>0</v>
      </c>
      <c r="F52" s="1146">
        <f t="shared" ref="F52:AI52" si="101">IF(F51="",0,+ F51/F58)</f>
        <v>0</v>
      </c>
      <c r="G52" s="1265">
        <f t="shared" si="101"/>
        <v>0</v>
      </c>
      <c r="H52" s="1146">
        <f>IF(H51="",0,+ H51/H58)</f>
        <v>0</v>
      </c>
      <c r="I52" s="1146">
        <f t="shared" si="101"/>
        <v>0</v>
      </c>
      <c r="J52" s="1265">
        <f t="shared" si="101"/>
        <v>0</v>
      </c>
      <c r="K52" s="1265">
        <f t="shared" si="101"/>
        <v>0</v>
      </c>
      <c r="L52" s="1146">
        <f t="shared" si="101"/>
        <v>0</v>
      </c>
      <c r="M52" s="1146">
        <f t="shared" si="101"/>
        <v>0</v>
      </c>
      <c r="N52" s="1146">
        <f t="shared" si="101"/>
        <v>0</v>
      </c>
      <c r="O52" s="1146">
        <f t="shared" si="101"/>
        <v>0</v>
      </c>
      <c r="P52" s="1146">
        <f t="shared" si="101"/>
        <v>0</v>
      </c>
      <c r="Q52" s="1265">
        <f t="shared" si="101"/>
        <v>0</v>
      </c>
      <c r="R52" s="1265">
        <f t="shared" si="101"/>
        <v>0</v>
      </c>
      <c r="S52" s="1146">
        <f t="shared" si="101"/>
        <v>0</v>
      </c>
      <c r="T52" s="1146">
        <f t="shared" si="101"/>
        <v>0</v>
      </c>
      <c r="U52" s="1146">
        <f t="shared" si="101"/>
        <v>0</v>
      </c>
      <c r="V52" s="1146">
        <f t="shared" si="101"/>
        <v>0</v>
      </c>
      <c r="W52" s="1146">
        <f t="shared" si="101"/>
        <v>0</v>
      </c>
      <c r="X52" s="1265">
        <f t="shared" si="101"/>
        <v>0</v>
      </c>
      <c r="Y52" s="1265">
        <f t="shared" si="101"/>
        <v>0</v>
      </c>
      <c r="Z52" s="1146">
        <f t="shared" si="101"/>
        <v>0</v>
      </c>
      <c r="AA52" s="1146">
        <f t="shared" si="101"/>
        <v>0</v>
      </c>
      <c r="AB52" s="1146">
        <f t="shared" si="101"/>
        <v>0</v>
      </c>
      <c r="AC52" s="1146">
        <f t="shared" si="101"/>
        <v>0</v>
      </c>
      <c r="AD52" s="1146">
        <f t="shared" si="101"/>
        <v>0</v>
      </c>
      <c r="AE52" s="1265">
        <f t="shared" si="101"/>
        <v>0</v>
      </c>
      <c r="AF52" s="1265">
        <f t="shared" si="101"/>
        <v>0</v>
      </c>
      <c r="AG52" s="1146">
        <f t="shared" si="101"/>
        <v>0</v>
      </c>
      <c r="AH52" s="1146">
        <f t="shared" si="101"/>
        <v>0</v>
      </c>
      <c r="AI52" s="1440">
        <f t="shared" si="101"/>
        <v>0</v>
      </c>
      <c r="AJ52" s="661"/>
      <c r="AK52" s="661"/>
      <c r="AL52" s="572"/>
      <c r="AM52" s="915"/>
      <c r="AN52" s="448"/>
      <c r="AO52" s="675"/>
      <c r="AP52" s="39" t="s">
        <v>91</v>
      </c>
      <c r="AQ52" s="40">
        <f>SUM(E51:K51)</f>
        <v>0</v>
      </c>
      <c r="AR52" s="41">
        <f>SUM(L51:R51)</f>
        <v>0</v>
      </c>
      <c r="AS52" s="41">
        <f>SUM(S51:Y51)</f>
        <v>0</v>
      </c>
      <c r="AT52" s="41">
        <f>SUM(Z51:AF51)</f>
        <v>0</v>
      </c>
      <c r="AU52" s="41">
        <f>SUM(AG51:AI51)</f>
        <v>0</v>
      </c>
      <c r="AV52" s="34">
        <f t="shared" ref="AV52:AV57" si="102">SUM(AQ52:AU52)</f>
        <v>0</v>
      </c>
    </row>
    <row r="53" spans="1:48" s="644" customFormat="1" ht="19.899999999999999" hidden="1" customHeight="1">
      <c r="A53" s="224"/>
      <c r="B53" s="89" t="s">
        <v>324</v>
      </c>
      <c r="C53" s="52" t="s">
        <v>95</v>
      </c>
      <c r="D53" s="43" t="s">
        <v>93</v>
      </c>
      <c r="E53" s="1403"/>
      <c r="F53" s="1119"/>
      <c r="G53" s="1243"/>
      <c r="H53" s="1119"/>
      <c r="I53" s="1119"/>
      <c r="J53" s="1243"/>
      <c r="K53" s="1243"/>
      <c r="L53" s="1119"/>
      <c r="M53" s="1119"/>
      <c r="N53" s="1119"/>
      <c r="O53" s="1119"/>
      <c r="P53" s="1119"/>
      <c r="Q53" s="1243"/>
      <c r="R53" s="1243"/>
      <c r="S53" s="1119"/>
      <c r="T53" s="1119"/>
      <c r="U53" s="1119"/>
      <c r="V53" s="1119"/>
      <c r="W53" s="1119"/>
      <c r="X53" s="1243"/>
      <c r="Y53" s="1243"/>
      <c r="Z53" s="1119"/>
      <c r="AA53" s="1119"/>
      <c r="AB53" s="1119"/>
      <c r="AC53" s="1119"/>
      <c r="AD53" s="1119"/>
      <c r="AE53" s="1243"/>
      <c r="AF53" s="1243"/>
      <c r="AG53" s="1119"/>
      <c r="AH53" s="1119"/>
      <c r="AI53" s="1351"/>
      <c r="AJ53" s="662">
        <f>SUM(E53:AI53)</f>
        <v>0</v>
      </c>
      <c r="AK53" s="662"/>
      <c r="AL53" s="645">
        <f>+AJ53*AN51</f>
        <v>0</v>
      </c>
      <c r="AM53" s="916"/>
      <c r="AN53" s="449"/>
      <c r="AO53" s="632">
        <f>(AJ53+AJ55+AJ56+AJ57)*B55/1000</f>
        <v>0</v>
      </c>
      <c r="AP53" s="47" t="s">
        <v>94</v>
      </c>
      <c r="AQ53" s="48">
        <f>SUM(E53:K53)</f>
        <v>0</v>
      </c>
      <c r="AR53" s="49">
        <f>SUM(L53:R53)</f>
        <v>0</v>
      </c>
      <c r="AS53" s="49">
        <f>SUM(S53:Y53)</f>
        <v>0</v>
      </c>
      <c r="AT53" s="49">
        <f>SUM(Z53:AF53)</f>
        <v>0</v>
      </c>
      <c r="AU53" s="49">
        <f>SUM(AG53:AI53)</f>
        <v>0</v>
      </c>
      <c r="AV53" s="50">
        <f t="shared" si="102"/>
        <v>0</v>
      </c>
    </row>
    <row r="54" spans="1:48" s="644" customFormat="1" ht="19.899999999999999" hidden="1" customHeight="1">
      <c r="A54" s="224"/>
      <c r="B54" s="638" t="s">
        <v>247</v>
      </c>
      <c r="C54" s="379">
        <v>30000</v>
      </c>
      <c r="D54" s="53" t="s">
        <v>96</v>
      </c>
      <c r="E54" s="1137">
        <f t="shared" ref="E54:AJ54" si="103">+E53-E51</f>
        <v>0</v>
      </c>
      <c r="F54" s="1097">
        <f t="shared" si="103"/>
        <v>0</v>
      </c>
      <c r="G54" s="1205">
        <f t="shared" si="103"/>
        <v>0</v>
      </c>
      <c r="H54" s="1097">
        <f t="shared" si="103"/>
        <v>0</v>
      </c>
      <c r="I54" s="1097">
        <f t="shared" si="103"/>
        <v>0</v>
      </c>
      <c r="J54" s="1205">
        <f t="shared" si="103"/>
        <v>0</v>
      </c>
      <c r="K54" s="1205">
        <f t="shared" si="103"/>
        <v>0</v>
      </c>
      <c r="L54" s="1097">
        <f t="shared" si="103"/>
        <v>0</v>
      </c>
      <c r="M54" s="1097">
        <f t="shared" si="103"/>
        <v>0</v>
      </c>
      <c r="N54" s="1097">
        <f t="shared" si="103"/>
        <v>0</v>
      </c>
      <c r="O54" s="1097">
        <f t="shared" si="103"/>
        <v>0</v>
      </c>
      <c r="P54" s="1097">
        <f>+P53-P51</f>
        <v>0</v>
      </c>
      <c r="Q54" s="1205">
        <f t="shared" si="103"/>
        <v>0</v>
      </c>
      <c r="R54" s="1205">
        <f t="shared" si="103"/>
        <v>0</v>
      </c>
      <c r="S54" s="1097">
        <f t="shared" si="103"/>
        <v>0</v>
      </c>
      <c r="T54" s="1097">
        <f t="shared" si="103"/>
        <v>0</v>
      </c>
      <c r="U54" s="1097">
        <f t="shared" si="103"/>
        <v>0</v>
      </c>
      <c r="V54" s="1097">
        <f t="shared" si="103"/>
        <v>0</v>
      </c>
      <c r="W54" s="1097">
        <f t="shared" si="103"/>
        <v>0</v>
      </c>
      <c r="X54" s="1205">
        <f t="shared" si="103"/>
        <v>0</v>
      </c>
      <c r="Y54" s="1205">
        <f t="shared" si="103"/>
        <v>0</v>
      </c>
      <c r="Z54" s="1097">
        <f t="shared" si="103"/>
        <v>0</v>
      </c>
      <c r="AA54" s="1097">
        <f t="shared" si="103"/>
        <v>0</v>
      </c>
      <c r="AB54" s="1097">
        <f t="shared" si="103"/>
        <v>0</v>
      </c>
      <c r="AC54" s="1097">
        <f t="shared" si="103"/>
        <v>0</v>
      </c>
      <c r="AD54" s="1097">
        <f t="shared" si="103"/>
        <v>0</v>
      </c>
      <c r="AE54" s="1205">
        <f t="shared" si="103"/>
        <v>0</v>
      </c>
      <c r="AF54" s="1205">
        <f t="shared" si="103"/>
        <v>0</v>
      </c>
      <c r="AG54" s="1097">
        <f t="shared" si="103"/>
        <v>0</v>
      </c>
      <c r="AH54" s="1097">
        <f t="shared" si="103"/>
        <v>0</v>
      </c>
      <c r="AI54" s="1328">
        <f t="shared" si="103"/>
        <v>0</v>
      </c>
      <c r="AJ54" s="663">
        <f t="shared" si="103"/>
        <v>0</v>
      </c>
      <c r="AK54" s="663"/>
      <c r="AL54" s="646">
        <f>+AJ54*AN51</f>
        <v>0</v>
      </c>
      <c r="AM54" s="917"/>
      <c r="AN54" s="449" t="s">
        <v>97</v>
      </c>
      <c r="AO54" s="622"/>
      <c r="AP54" s="39" t="s">
        <v>98</v>
      </c>
      <c r="AQ54" s="56">
        <f>AQ53-AQ52</f>
        <v>0</v>
      </c>
      <c r="AR54" s="70">
        <f>AR53-AR52</f>
        <v>0</v>
      </c>
      <c r="AS54" s="70">
        <f>AS53-AS52</f>
        <v>0</v>
      </c>
      <c r="AT54" s="70">
        <f>AT53-AT52</f>
        <v>0</v>
      </c>
      <c r="AU54" s="70">
        <f>AU53-AU52</f>
        <v>0</v>
      </c>
      <c r="AV54" s="57">
        <f t="shared" si="102"/>
        <v>0</v>
      </c>
    </row>
    <row r="55" spans="1:48" s="644" customFormat="1" ht="19.899999999999999" hidden="1" customHeight="1">
      <c r="A55" s="224"/>
      <c r="B55" s="638">
        <v>10.266999999999999</v>
      </c>
      <c r="C55" s="521"/>
      <c r="D55" s="61" t="s">
        <v>101</v>
      </c>
      <c r="E55" s="1098"/>
      <c r="F55" s="1099"/>
      <c r="G55" s="1208"/>
      <c r="H55" s="1099"/>
      <c r="I55" s="1099"/>
      <c r="J55" s="1208"/>
      <c r="K55" s="1208"/>
      <c r="L55" s="1099"/>
      <c r="M55" s="1099"/>
      <c r="N55" s="1099"/>
      <c r="O55" s="1099"/>
      <c r="P55" s="1099"/>
      <c r="Q55" s="1208"/>
      <c r="R55" s="1208"/>
      <c r="S55" s="1099"/>
      <c r="T55" s="1099"/>
      <c r="U55" s="1099"/>
      <c r="V55" s="1099"/>
      <c r="W55" s="1099"/>
      <c r="X55" s="1208"/>
      <c r="Y55" s="1208"/>
      <c r="Z55" s="1099"/>
      <c r="AA55" s="1099"/>
      <c r="AB55" s="1099"/>
      <c r="AC55" s="1099"/>
      <c r="AD55" s="1099"/>
      <c r="AE55" s="1208"/>
      <c r="AF55" s="1208"/>
      <c r="AG55" s="1099"/>
      <c r="AH55" s="1099"/>
      <c r="AI55" s="1330"/>
      <c r="AJ55" s="664">
        <f>SUM(E55:AI55)</f>
        <v>0</v>
      </c>
      <c r="AK55" s="664"/>
      <c r="AL55" s="647">
        <f>+AJ55*AN51</f>
        <v>0</v>
      </c>
      <c r="AM55" s="918"/>
      <c r="AN55" s="404" t="e">
        <f>+AJ55/AJ53*100</f>
        <v>#DIV/0!</v>
      </c>
      <c r="AO55" s="635" t="e">
        <f>AO53/AO51</f>
        <v>#DIV/0!</v>
      </c>
      <c r="AP55" s="39" t="s">
        <v>102</v>
      </c>
      <c r="AQ55" s="56">
        <f>SUM(E55:K55)</f>
        <v>0</v>
      </c>
      <c r="AR55" s="70">
        <f>SUM(L55:R55)</f>
        <v>0</v>
      </c>
      <c r="AS55" s="70">
        <f>SUM(S55:Y55)</f>
        <v>0</v>
      </c>
      <c r="AT55" s="70">
        <f>SUM(Z55:AF55)</f>
        <v>0</v>
      </c>
      <c r="AU55" s="70">
        <f>SUM(AG55:AI55)</f>
        <v>0</v>
      </c>
      <c r="AV55" s="57">
        <f t="shared" si="102"/>
        <v>0</v>
      </c>
    </row>
    <row r="56" spans="1:48" s="644" customFormat="1" ht="19.899999999999999" hidden="1" customHeight="1">
      <c r="A56" s="511"/>
      <c r="B56" s="520"/>
      <c r="C56" s="522"/>
      <c r="D56" s="67" t="s">
        <v>103</v>
      </c>
      <c r="E56" s="1100"/>
      <c r="F56" s="1101"/>
      <c r="G56" s="1209"/>
      <c r="H56" s="1101"/>
      <c r="I56" s="1101"/>
      <c r="J56" s="1209"/>
      <c r="K56" s="1209"/>
      <c r="L56" s="1101"/>
      <c r="M56" s="1101"/>
      <c r="N56" s="1101"/>
      <c r="O56" s="1101"/>
      <c r="P56" s="1101"/>
      <c r="Q56" s="1209"/>
      <c r="R56" s="1209"/>
      <c r="S56" s="1101"/>
      <c r="T56" s="1101"/>
      <c r="U56" s="1101"/>
      <c r="V56" s="1101"/>
      <c r="W56" s="1101"/>
      <c r="X56" s="1209"/>
      <c r="Y56" s="1209"/>
      <c r="Z56" s="1101"/>
      <c r="AA56" s="1101"/>
      <c r="AB56" s="1101"/>
      <c r="AC56" s="1101"/>
      <c r="AD56" s="1101"/>
      <c r="AE56" s="1209"/>
      <c r="AF56" s="1209"/>
      <c r="AG56" s="1101"/>
      <c r="AH56" s="1101"/>
      <c r="AI56" s="1332"/>
      <c r="AJ56" s="665">
        <f>SUM(E56:AI56)</f>
        <v>0</v>
      </c>
      <c r="AK56" s="665"/>
      <c r="AL56" s="648">
        <f>+AJ56*AN51</f>
        <v>0</v>
      </c>
      <c r="AM56" s="919"/>
      <c r="AN56" s="449"/>
      <c r="AO56" s="622"/>
      <c r="AP56" s="39" t="s">
        <v>19</v>
      </c>
      <c r="AQ56" s="56">
        <f>AQ55*AN51</f>
        <v>0</v>
      </c>
      <c r="AR56" s="56">
        <f>AR55*AN51</f>
        <v>0</v>
      </c>
      <c r="AS56" s="56">
        <f>AS55*AN51</f>
        <v>0</v>
      </c>
      <c r="AT56" s="56">
        <f>AT55*AN51</f>
        <v>0</v>
      </c>
      <c r="AU56" s="56">
        <f>AU55*AN51</f>
        <v>0</v>
      </c>
      <c r="AV56" s="57">
        <f t="shared" si="102"/>
        <v>0</v>
      </c>
    </row>
    <row r="57" spans="1:48" s="644" customFormat="1" ht="19.899999999999999" hidden="1" customHeight="1">
      <c r="A57" s="511"/>
      <c r="B57" s="520"/>
      <c r="C57" s="89" t="s">
        <v>108</v>
      </c>
      <c r="D57" s="73" t="s">
        <v>105</v>
      </c>
      <c r="E57" s="1103"/>
      <c r="F57" s="1103"/>
      <c r="G57" s="1209"/>
      <c r="H57" s="1101"/>
      <c r="I57" s="1101"/>
      <c r="J57" s="1209"/>
      <c r="K57" s="1209"/>
      <c r="L57" s="1101"/>
      <c r="M57" s="1101"/>
      <c r="N57" s="1101"/>
      <c r="O57" s="1101"/>
      <c r="P57" s="1101"/>
      <c r="Q57" s="1209"/>
      <c r="R57" s="1209"/>
      <c r="S57" s="1101"/>
      <c r="T57" s="1101"/>
      <c r="U57" s="1101"/>
      <c r="V57" s="1101"/>
      <c r="W57" s="1101"/>
      <c r="X57" s="1209"/>
      <c r="Y57" s="1209"/>
      <c r="Z57" s="1101"/>
      <c r="AA57" s="1101"/>
      <c r="AB57" s="1101"/>
      <c r="AC57" s="1101"/>
      <c r="AD57" s="1101"/>
      <c r="AE57" s="1209"/>
      <c r="AF57" s="1209"/>
      <c r="AG57" s="1101"/>
      <c r="AH57" s="1101"/>
      <c r="AI57" s="1332"/>
      <c r="AJ57" s="666">
        <f>SUM(E57:AI57)</f>
        <v>0</v>
      </c>
      <c r="AK57" s="666"/>
      <c r="AL57" s="649">
        <f>+AJ57*AN52</f>
        <v>0</v>
      </c>
      <c r="AM57" s="920"/>
      <c r="AN57" s="449"/>
      <c r="AO57" s="622"/>
      <c r="AP57" s="47" t="s">
        <v>106</v>
      </c>
      <c r="AQ57" s="48">
        <f>AQ53*AN51</f>
        <v>0</v>
      </c>
      <c r="AR57" s="48">
        <f>AR53*AN51</f>
        <v>0</v>
      </c>
      <c r="AS57" s="48">
        <f>AS53*AN51</f>
        <v>0</v>
      </c>
      <c r="AT57" s="48">
        <f>AT53*AN51</f>
        <v>0</v>
      </c>
      <c r="AU57" s="48">
        <f>AU53*AN51</f>
        <v>0</v>
      </c>
      <c r="AV57" s="50">
        <f t="shared" si="102"/>
        <v>0</v>
      </c>
    </row>
    <row r="58" spans="1:48" s="644" customFormat="1" ht="19.899999999999999" hidden="1" customHeight="1">
      <c r="A58" s="224"/>
      <c r="B58" s="520"/>
      <c r="C58" s="383">
        <f>+C54*0.8</f>
        <v>24000</v>
      </c>
      <c r="D58" s="78" t="s">
        <v>107</v>
      </c>
      <c r="E58" s="1137">
        <v>4</v>
      </c>
      <c r="F58" s="1097">
        <v>4</v>
      </c>
      <c r="G58" s="1205">
        <v>4</v>
      </c>
      <c r="H58" s="1097">
        <v>4</v>
      </c>
      <c r="I58" s="1097">
        <v>4</v>
      </c>
      <c r="J58" s="1205">
        <v>4</v>
      </c>
      <c r="K58" s="1205">
        <v>4</v>
      </c>
      <c r="L58" s="1097">
        <v>4</v>
      </c>
      <c r="M58" s="1097">
        <v>4</v>
      </c>
      <c r="N58" s="1097">
        <v>4</v>
      </c>
      <c r="O58" s="1097">
        <v>4</v>
      </c>
      <c r="P58" s="1097">
        <v>4</v>
      </c>
      <c r="Q58" s="1205">
        <v>4</v>
      </c>
      <c r="R58" s="1205">
        <v>4</v>
      </c>
      <c r="S58" s="1097">
        <v>4</v>
      </c>
      <c r="T58" s="1097">
        <v>4</v>
      </c>
      <c r="U58" s="1097">
        <v>4</v>
      </c>
      <c r="V58" s="1097">
        <v>4</v>
      </c>
      <c r="W58" s="1097">
        <v>4</v>
      </c>
      <c r="X58" s="1205">
        <v>4</v>
      </c>
      <c r="Y58" s="1205">
        <v>4</v>
      </c>
      <c r="Z58" s="1097">
        <v>4</v>
      </c>
      <c r="AA58" s="1097">
        <v>4</v>
      </c>
      <c r="AB58" s="1097">
        <v>4</v>
      </c>
      <c r="AC58" s="1097">
        <v>4</v>
      </c>
      <c r="AD58" s="1097">
        <v>4</v>
      </c>
      <c r="AE58" s="1205">
        <v>4</v>
      </c>
      <c r="AF58" s="1205">
        <v>4</v>
      </c>
      <c r="AG58" s="1097">
        <v>4</v>
      </c>
      <c r="AH58" s="1097">
        <v>4</v>
      </c>
      <c r="AI58" s="1328">
        <v>4</v>
      </c>
      <c r="AJ58" s="663"/>
      <c r="AK58" s="663"/>
      <c r="AL58" s="646"/>
      <c r="AM58" s="917"/>
      <c r="AN58" s="449"/>
      <c r="AO58" s="622"/>
    </row>
    <row r="59" spans="1:48" s="644" customFormat="1" ht="19.899999999999999" hidden="1" customHeight="1">
      <c r="A59" s="224"/>
      <c r="B59" s="520"/>
      <c r="C59" s="514"/>
      <c r="D59" s="81" t="s">
        <v>109</v>
      </c>
      <c r="E59" s="1105">
        <f>SUM(E53+E55+E56)/E58</f>
        <v>0</v>
      </c>
      <c r="F59" s="1104">
        <f t="shared" ref="F59:AI59" si="104">SUM(F53+F55+F56)/F58</f>
        <v>0</v>
      </c>
      <c r="G59" s="1211">
        <f t="shared" si="104"/>
        <v>0</v>
      </c>
      <c r="H59" s="1104">
        <f t="shared" si="104"/>
        <v>0</v>
      </c>
      <c r="I59" s="1104">
        <f t="shared" si="104"/>
        <v>0</v>
      </c>
      <c r="J59" s="1211">
        <f t="shared" si="104"/>
        <v>0</v>
      </c>
      <c r="K59" s="1211">
        <f t="shared" si="104"/>
        <v>0</v>
      </c>
      <c r="L59" s="1104">
        <f t="shared" si="104"/>
        <v>0</v>
      </c>
      <c r="M59" s="1104">
        <f t="shared" si="104"/>
        <v>0</v>
      </c>
      <c r="N59" s="1104">
        <f t="shared" si="104"/>
        <v>0</v>
      </c>
      <c r="O59" s="1104">
        <f t="shared" si="104"/>
        <v>0</v>
      </c>
      <c r="P59" s="1104">
        <f t="shared" si="104"/>
        <v>0</v>
      </c>
      <c r="Q59" s="1211">
        <f t="shared" si="104"/>
        <v>0</v>
      </c>
      <c r="R59" s="1211">
        <f t="shared" si="104"/>
        <v>0</v>
      </c>
      <c r="S59" s="1104">
        <f t="shared" si="104"/>
        <v>0</v>
      </c>
      <c r="T59" s="1104">
        <f t="shared" si="104"/>
        <v>0</v>
      </c>
      <c r="U59" s="1104">
        <f t="shared" si="104"/>
        <v>0</v>
      </c>
      <c r="V59" s="1104">
        <f t="shared" si="104"/>
        <v>0</v>
      </c>
      <c r="W59" s="1104">
        <f t="shared" si="104"/>
        <v>0</v>
      </c>
      <c r="X59" s="1211">
        <f t="shared" si="104"/>
        <v>0</v>
      </c>
      <c r="Y59" s="1211">
        <f t="shared" si="104"/>
        <v>0</v>
      </c>
      <c r="Z59" s="1104">
        <f t="shared" si="104"/>
        <v>0</v>
      </c>
      <c r="AA59" s="1104">
        <f t="shared" si="104"/>
        <v>0</v>
      </c>
      <c r="AB59" s="1104">
        <f t="shared" si="104"/>
        <v>0</v>
      </c>
      <c r="AC59" s="1104">
        <f t="shared" si="104"/>
        <v>0</v>
      </c>
      <c r="AD59" s="1104">
        <f>SUM(AD53+AD55+AD56)/AD58</f>
        <v>0</v>
      </c>
      <c r="AE59" s="1211">
        <f>SUM(AE53+AE55+AE56)/AE58</f>
        <v>0</v>
      </c>
      <c r="AF59" s="1211">
        <f>SUM(AF53+AF55+AF56)/AF58</f>
        <v>0</v>
      </c>
      <c r="AG59" s="1104">
        <f t="shared" si="104"/>
        <v>0</v>
      </c>
      <c r="AH59" s="1104">
        <f t="shared" si="104"/>
        <v>0</v>
      </c>
      <c r="AI59" s="1353">
        <f t="shared" si="104"/>
        <v>0</v>
      </c>
      <c r="AJ59" s="104">
        <f>SUM(E59:Q59)</f>
        <v>0</v>
      </c>
      <c r="AK59" s="104"/>
      <c r="AL59" s="650"/>
      <c r="AM59" s="921"/>
      <c r="AN59" s="450"/>
      <c r="AO59" s="622"/>
    </row>
    <row r="60" spans="1:48" s="644" customFormat="1" ht="19.899999999999999" hidden="1" customHeight="1">
      <c r="A60" s="224"/>
      <c r="B60" s="89"/>
      <c r="C60" s="72"/>
      <c r="D60" s="85" t="s">
        <v>110</v>
      </c>
      <c r="E60" s="1105"/>
      <c r="F60" s="1106"/>
      <c r="G60" s="1211"/>
      <c r="H60" s="1104"/>
      <c r="I60" s="1107"/>
      <c r="J60" s="1211"/>
      <c r="K60" s="1211"/>
      <c r="L60" s="1104"/>
      <c r="M60" s="1107"/>
      <c r="N60" s="1104"/>
      <c r="O60" s="1104"/>
      <c r="P60" s="1104"/>
      <c r="Q60" s="1211"/>
      <c r="R60" s="1211"/>
      <c r="S60" s="1104"/>
      <c r="T60" s="1104"/>
      <c r="U60" s="1104"/>
      <c r="V60" s="1104"/>
      <c r="W60" s="1104"/>
      <c r="X60" s="1211"/>
      <c r="Y60" s="1211"/>
      <c r="Z60" s="1104"/>
      <c r="AA60" s="1104"/>
      <c r="AB60" s="1104"/>
      <c r="AC60" s="1104"/>
      <c r="AD60" s="1104"/>
      <c r="AE60" s="1211"/>
      <c r="AF60" s="1211"/>
      <c r="AG60" s="1104"/>
      <c r="AH60" s="1104"/>
      <c r="AI60" s="1353"/>
      <c r="AJ60" s="667"/>
      <c r="AK60" s="667"/>
      <c r="AL60" s="703"/>
      <c r="AM60" s="922"/>
      <c r="AN60" s="449"/>
      <c r="AO60" s="622"/>
    </row>
    <row r="61" spans="1:48" s="644" customFormat="1" ht="19.899999999999999" hidden="1" customHeight="1">
      <c r="A61" s="224"/>
      <c r="B61" s="89"/>
      <c r="C61" s="72" t="s">
        <v>104</v>
      </c>
      <c r="D61" s="88" t="s">
        <v>111</v>
      </c>
      <c r="E61" s="1108">
        <f>IF(E60="O/H",E59,+E59)</f>
        <v>0</v>
      </c>
      <c r="F61" s="1089">
        <f t="shared" ref="F61:AI61" si="105">IF(F60="O/H",F59,+E61+F59)</f>
        <v>0</v>
      </c>
      <c r="G61" s="44">
        <f t="shared" si="105"/>
        <v>0</v>
      </c>
      <c r="H61" s="1089">
        <f t="shared" si="105"/>
        <v>0</v>
      </c>
      <c r="I61" s="1089">
        <f t="shared" si="105"/>
        <v>0</v>
      </c>
      <c r="J61" s="44">
        <f t="shared" si="105"/>
        <v>0</v>
      </c>
      <c r="K61" s="44">
        <f t="shared" si="105"/>
        <v>0</v>
      </c>
      <c r="L61" s="1089">
        <f t="shared" si="105"/>
        <v>0</v>
      </c>
      <c r="M61" s="1089">
        <f t="shared" si="105"/>
        <v>0</v>
      </c>
      <c r="N61" s="1089">
        <f t="shared" si="105"/>
        <v>0</v>
      </c>
      <c r="O61" s="1089">
        <f t="shared" si="105"/>
        <v>0</v>
      </c>
      <c r="P61" s="1089">
        <f t="shared" si="105"/>
        <v>0</v>
      </c>
      <c r="Q61" s="44">
        <f t="shared" si="105"/>
        <v>0</v>
      </c>
      <c r="R61" s="44">
        <f t="shared" si="105"/>
        <v>0</v>
      </c>
      <c r="S61" s="1089">
        <f t="shared" si="105"/>
        <v>0</v>
      </c>
      <c r="T61" s="1089">
        <f t="shared" si="105"/>
        <v>0</v>
      </c>
      <c r="U61" s="1089">
        <f t="shared" si="105"/>
        <v>0</v>
      </c>
      <c r="V61" s="1089">
        <f t="shared" si="105"/>
        <v>0</v>
      </c>
      <c r="W61" s="1089">
        <f t="shared" si="105"/>
        <v>0</v>
      </c>
      <c r="X61" s="44">
        <f t="shared" si="105"/>
        <v>0</v>
      </c>
      <c r="Y61" s="44">
        <f t="shared" si="105"/>
        <v>0</v>
      </c>
      <c r="Z61" s="1089">
        <f t="shared" si="105"/>
        <v>0</v>
      </c>
      <c r="AA61" s="1089">
        <f t="shared" si="105"/>
        <v>0</v>
      </c>
      <c r="AB61" s="1089">
        <f t="shared" si="105"/>
        <v>0</v>
      </c>
      <c r="AC61" s="1089">
        <f t="shared" si="105"/>
        <v>0</v>
      </c>
      <c r="AD61" s="1089">
        <f t="shared" si="105"/>
        <v>0</v>
      </c>
      <c r="AE61" s="44">
        <f t="shared" si="105"/>
        <v>0</v>
      </c>
      <c r="AF61" s="44">
        <f t="shared" si="105"/>
        <v>0</v>
      </c>
      <c r="AG61" s="1089">
        <f t="shared" si="105"/>
        <v>0</v>
      </c>
      <c r="AH61" s="1089">
        <f t="shared" si="105"/>
        <v>0</v>
      </c>
      <c r="AI61" s="1326">
        <f t="shared" si="105"/>
        <v>0</v>
      </c>
      <c r="AJ61" s="663"/>
      <c r="AK61" s="667"/>
      <c r="AL61" s="704"/>
      <c r="AM61" s="923"/>
      <c r="AN61" s="449"/>
      <c r="AO61" s="622"/>
    </row>
    <row r="62" spans="1:48" s="23" customFormat="1" ht="20.65" hidden="1" customHeight="1">
      <c r="A62" s="274"/>
      <c r="B62" s="312"/>
      <c r="C62" s="308">
        <v>300000</v>
      </c>
      <c r="D62" s="795" t="s">
        <v>112</v>
      </c>
      <c r="E62" s="1108" t="b">
        <f>IF(AND(ISNUMBER(E53)),3825660+E59)</f>
        <v>0</v>
      </c>
      <c r="F62" s="1089" t="str">
        <f>IF(AND(ISNUMBER(F53)),E62+F59,"")</f>
        <v/>
      </c>
      <c r="G62" s="44" t="str">
        <f t="shared" ref="G62" si="106">IF(AND(ISNUMBER(G53)),F62+G59,"")</f>
        <v/>
      </c>
      <c r="H62" s="1089" t="str">
        <f t="shared" ref="H62" si="107">IF(AND(ISNUMBER(H53)),G62+H59,"")</f>
        <v/>
      </c>
      <c r="I62" s="1089" t="str">
        <f>IF(AND(ISNUMBER(I53)),H62+I59,"")</f>
        <v/>
      </c>
      <c r="J62" s="44" t="str">
        <f>IF(AND(ISNUMBER(J53)),I62+J59,"")</f>
        <v/>
      </c>
      <c r="K62" s="44" t="str">
        <f>IF(AND(ISNUMBER(K53)),J62+K59,"")</f>
        <v/>
      </c>
      <c r="L62" s="1089" t="str">
        <f t="shared" ref="L62" si="108">IF(AND(ISNUMBER(L53)),K62+L59,"")</f>
        <v/>
      </c>
      <c r="M62" s="1089" t="str">
        <f t="shared" ref="M62" si="109">IF(AND(ISNUMBER(M53)),L62+M59,"")</f>
        <v/>
      </c>
      <c r="N62" s="1089" t="str">
        <f t="shared" ref="N62" si="110">IF(AND(ISNUMBER(N53)),M62+N59,"")</f>
        <v/>
      </c>
      <c r="O62" s="1089" t="str">
        <f t="shared" ref="O62" si="111">IF(AND(ISNUMBER(O53)),N62+O59,"")</f>
        <v/>
      </c>
      <c r="P62" s="1089" t="str">
        <f t="shared" ref="P62" si="112">IF(AND(ISNUMBER(P53)),O62+P59,"")</f>
        <v/>
      </c>
      <c r="Q62" s="44" t="str">
        <f t="shared" ref="Q62" si="113">IF(AND(ISNUMBER(Q53)),P62+Q59,"")</f>
        <v/>
      </c>
      <c r="R62" s="44" t="str">
        <f t="shared" ref="R62" si="114">IF(AND(ISNUMBER(R53)),Q62+R59,"")</f>
        <v/>
      </c>
      <c r="S62" s="1089" t="str">
        <f t="shared" ref="S62" si="115">IF(AND(ISNUMBER(S53)),R62+S59,"")</f>
        <v/>
      </c>
      <c r="T62" s="1089" t="str">
        <f t="shared" ref="T62" si="116">IF(AND(ISNUMBER(T53)),S62+T59,"")</f>
        <v/>
      </c>
      <c r="U62" s="1089" t="str">
        <f t="shared" ref="U62" si="117">IF(AND(ISNUMBER(U53)),T62+U59,"")</f>
        <v/>
      </c>
      <c r="V62" s="1089" t="str">
        <f t="shared" ref="V62" si="118">IF(AND(ISNUMBER(V53)),U62+V59,"")</f>
        <v/>
      </c>
      <c r="W62" s="1089" t="str">
        <f t="shared" ref="W62" si="119">IF(AND(ISNUMBER(W53)),V62+W59,"")</f>
        <v/>
      </c>
      <c r="X62" s="44" t="str">
        <f t="shared" ref="X62" si="120">IF(AND(ISNUMBER(X53)),W62+X59,"")</f>
        <v/>
      </c>
      <c r="Y62" s="44" t="str">
        <f t="shared" ref="Y62" si="121">IF(AND(ISNUMBER(Y53)),X62+Y59,"")</f>
        <v/>
      </c>
      <c r="Z62" s="1089" t="str">
        <f t="shared" ref="Z62" si="122">IF(AND(ISNUMBER(Z53)),Y62+Z59,"")</f>
        <v/>
      </c>
      <c r="AA62" s="1089" t="str">
        <f t="shared" ref="AA62" si="123">IF(AND(ISNUMBER(AA53)),Z62+AA59,"")</f>
        <v/>
      </c>
      <c r="AB62" s="1089" t="str">
        <f t="shared" ref="AB62" si="124">IF(AND(ISNUMBER(AB53)),AA62+AB59,"")</f>
        <v/>
      </c>
      <c r="AC62" s="1089" t="str">
        <f t="shared" ref="AC62" si="125">IF(AND(ISNUMBER(AC53)),AB62+AC59,"")</f>
        <v/>
      </c>
      <c r="AD62" s="1089" t="str">
        <f t="shared" ref="AD62" si="126">IF(AND(ISNUMBER(AD53)),AC62+AD59,"")</f>
        <v/>
      </c>
      <c r="AE62" s="44" t="str">
        <f t="shared" ref="AE62" si="127">IF(AND(ISNUMBER(AE53)),AD62+AE59,"")</f>
        <v/>
      </c>
      <c r="AF62" s="44" t="str">
        <f t="shared" ref="AF62" si="128">IF(AND(ISNUMBER(AF53)),AE62+AF59,"")</f>
        <v/>
      </c>
      <c r="AG62" s="1089" t="str">
        <f t="shared" ref="AG62" si="129">IF(AND(ISNUMBER(AG53)),AF62+AG59,"")</f>
        <v/>
      </c>
      <c r="AH62" s="1089" t="str">
        <f t="shared" ref="AH62" si="130">IF(AND(ISNUMBER(AH53)),AG62+AH59,"")</f>
        <v/>
      </c>
      <c r="AI62" s="1089" t="str">
        <f t="shared" ref="AI62" si="131">IF(AND(ISNUMBER(AI53)),AH62+AI59,"")</f>
        <v/>
      </c>
      <c r="AJ62" s="793"/>
      <c r="AK62" s="793"/>
      <c r="AL62" s="909"/>
      <c r="AM62" s="890"/>
      <c r="AN62" s="91"/>
      <c r="AO62" s="630"/>
      <c r="AP62" s="285"/>
      <c r="AQ62" s="285"/>
      <c r="AR62" s="285"/>
      <c r="AS62" s="285"/>
      <c r="AT62" s="286"/>
      <c r="AU62" s="285"/>
      <c r="AV62" s="287"/>
    </row>
    <row r="63" spans="1:48" s="644" customFormat="1" ht="19.899999999999999" hidden="1" customHeight="1">
      <c r="A63" s="224"/>
      <c r="B63" s="89" t="s">
        <v>333</v>
      </c>
      <c r="C63" s="89" t="s">
        <v>108</v>
      </c>
      <c r="D63" s="90" t="s">
        <v>104</v>
      </c>
      <c r="E63" s="1108"/>
      <c r="F63" s="1089"/>
      <c r="G63" s="44"/>
      <c r="H63" s="1089"/>
      <c r="I63" s="1089"/>
      <c r="J63" s="44"/>
      <c r="K63" s="44"/>
      <c r="L63" s="1089"/>
      <c r="M63" s="1089"/>
      <c r="N63" s="1089"/>
      <c r="O63" s="1089"/>
      <c r="P63" s="1089"/>
      <c r="Q63" s="44"/>
      <c r="R63" s="44"/>
      <c r="S63" s="1089"/>
      <c r="T63" s="1089"/>
      <c r="U63" s="1089"/>
      <c r="V63" s="1089"/>
      <c r="W63" s="1089"/>
      <c r="X63" s="44"/>
      <c r="Y63" s="44"/>
      <c r="Z63" s="1089"/>
      <c r="AA63" s="1089"/>
      <c r="AB63" s="1089"/>
      <c r="AC63" s="1089"/>
      <c r="AD63" s="1089"/>
      <c r="AE63" s="44"/>
      <c r="AF63" s="44"/>
      <c r="AG63" s="1089"/>
      <c r="AH63" s="1089"/>
      <c r="AI63" s="1326"/>
      <c r="AJ63" s="663"/>
      <c r="AK63" s="663"/>
      <c r="AL63" s="647"/>
      <c r="AM63" s="924"/>
      <c r="AN63" s="449"/>
      <c r="AO63" s="622"/>
    </row>
    <row r="64" spans="1:48" s="644" customFormat="1" ht="19.899999999999999" hidden="1" customHeight="1" thickBot="1">
      <c r="A64" s="516"/>
      <c r="B64" s="93"/>
      <c r="C64" s="94">
        <f>+C62*0.8</f>
        <v>240000</v>
      </c>
      <c r="D64" s="88" t="s">
        <v>111</v>
      </c>
      <c r="E64" s="1109">
        <f>IF(E63="O/H",E59,0+E59)</f>
        <v>0</v>
      </c>
      <c r="F64" s="1110">
        <f t="shared" ref="F64:AI64" si="132">IF(F63="O/H",F59,+E64+F59)</f>
        <v>0</v>
      </c>
      <c r="G64" s="1212">
        <f t="shared" si="132"/>
        <v>0</v>
      </c>
      <c r="H64" s="1110">
        <f t="shared" si="132"/>
        <v>0</v>
      </c>
      <c r="I64" s="1110">
        <f t="shared" si="132"/>
        <v>0</v>
      </c>
      <c r="J64" s="1212">
        <f t="shared" si="132"/>
        <v>0</v>
      </c>
      <c r="K64" s="1212">
        <f t="shared" si="132"/>
        <v>0</v>
      </c>
      <c r="L64" s="1110">
        <f t="shared" si="132"/>
        <v>0</v>
      </c>
      <c r="M64" s="1110">
        <f t="shared" si="132"/>
        <v>0</v>
      </c>
      <c r="N64" s="1110">
        <f t="shared" si="132"/>
        <v>0</v>
      </c>
      <c r="O64" s="1110">
        <f t="shared" si="132"/>
        <v>0</v>
      </c>
      <c r="P64" s="1110">
        <f>IF(P63="O/H",P59,+O64+P59)</f>
        <v>0</v>
      </c>
      <c r="Q64" s="1212">
        <f>IF(Q63="O/H",Q59,+P64+Q59)</f>
        <v>0</v>
      </c>
      <c r="R64" s="1212">
        <f t="shared" si="132"/>
        <v>0</v>
      </c>
      <c r="S64" s="1110">
        <f t="shared" si="132"/>
        <v>0</v>
      </c>
      <c r="T64" s="1110">
        <f t="shared" si="132"/>
        <v>0</v>
      </c>
      <c r="U64" s="1110">
        <f t="shared" si="132"/>
        <v>0</v>
      </c>
      <c r="V64" s="1110">
        <f t="shared" si="132"/>
        <v>0</v>
      </c>
      <c r="W64" s="1110">
        <f t="shared" si="132"/>
        <v>0</v>
      </c>
      <c r="X64" s="1212">
        <f t="shared" si="132"/>
        <v>0</v>
      </c>
      <c r="Y64" s="1212">
        <f t="shared" si="132"/>
        <v>0</v>
      </c>
      <c r="Z64" s="1110">
        <f t="shared" si="132"/>
        <v>0</v>
      </c>
      <c r="AA64" s="1110">
        <f t="shared" si="132"/>
        <v>0</v>
      </c>
      <c r="AB64" s="1110">
        <f t="shared" si="132"/>
        <v>0</v>
      </c>
      <c r="AC64" s="1110">
        <f t="shared" si="132"/>
        <v>0</v>
      </c>
      <c r="AD64" s="1110">
        <f t="shared" si="132"/>
        <v>0</v>
      </c>
      <c r="AE64" s="1212">
        <f t="shared" si="132"/>
        <v>0</v>
      </c>
      <c r="AF64" s="1212">
        <f t="shared" si="132"/>
        <v>0</v>
      </c>
      <c r="AG64" s="1110">
        <f t="shared" si="132"/>
        <v>0</v>
      </c>
      <c r="AH64" s="1110">
        <f t="shared" si="132"/>
        <v>0</v>
      </c>
      <c r="AI64" s="1340">
        <f t="shared" si="132"/>
        <v>0</v>
      </c>
      <c r="AJ64" s="668"/>
      <c r="AK64" s="668"/>
      <c r="AL64" s="705"/>
      <c r="AM64" s="925"/>
      <c r="AN64" s="567"/>
      <c r="AO64" s="625"/>
    </row>
    <row r="65" spans="1:48" s="644" customFormat="1" ht="19.5" hidden="1" customHeight="1" thickTop="1">
      <c r="A65" s="228" t="s">
        <v>607</v>
      </c>
      <c r="B65" s="219" t="s">
        <v>719</v>
      </c>
      <c r="C65" s="418" t="str">
        <f>Table1[[#This Row],[M/C No.]]</f>
        <v>A2(100ton)</v>
      </c>
      <c r="D65" s="28" t="s">
        <v>82</v>
      </c>
      <c r="E65" s="1124"/>
      <c r="F65" s="1124"/>
      <c r="G65" s="1242"/>
      <c r="H65" s="1124"/>
      <c r="I65" s="1124"/>
      <c r="J65" s="1242"/>
      <c r="K65" s="1242"/>
      <c r="L65" s="1124"/>
      <c r="M65" s="1124"/>
      <c r="N65" s="1124"/>
      <c r="O65" s="1124"/>
      <c r="P65" s="1124"/>
      <c r="Q65" s="1242"/>
      <c r="R65" s="1242"/>
      <c r="S65" s="1124"/>
      <c r="T65" s="1124"/>
      <c r="U65" s="1124"/>
      <c r="V65" s="1124"/>
      <c r="W65" s="1124"/>
      <c r="X65" s="1242"/>
      <c r="Y65" s="1242"/>
      <c r="Z65" s="1124"/>
      <c r="AA65" s="1124"/>
      <c r="AB65" s="1124"/>
      <c r="AC65" s="1124"/>
      <c r="AD65" s="1124"/>
      <c r="AE65" s="1242"/>
      <c r="AF65" s="1242"/>
      <c r="AG65" s="1124"/>
      <c r="AH65" s="1124"/>
      <c r="AI65" s="1350"/>
      <c r="AJ65" s="570">
        <f>SUM(E65:AI65)</f>
        <v>0</v>
      </c>
      <c r="AK65" s="1015">
        <f>AJ67</f>
        <v>0</v>
      </c>
      <c r="AL65" s="572">
        <f>+AJ65*AN65</f>
        <v>0</v>
      </c>
      <c r="AM65" s="1002">
        <f>AL67</f>
        <v>0</v>
      </c>
      <c r="AN65" s="448">
        <v>3.6534800000000001</v>
      </c>
      <c r="AO65" s="622">
        <f>Table1[[#This Row],[Total]]*B69/1000</f>
        <v>0</v>
      </c>
      <c r="AP65" s="32" t="s">
        <v>334</v>
      </c>
      <c r="AQ65" s="33" t="s">
        <v>84</v>
      </c>
      <c r="AR65" s="33" t="s">
        <v>85</v>
      </c>
      <c r="AS65" s="33" t="s">
        <v>86</v>
      </c>
      <c r="AT65" s="33" t="s">
        <v>87</v>
      </c>
      <c r="AU65" s="33" t="s">
        <v>88</v>
      </c>
      <c r="AV65" s="34" t="s">
        <v>68</v>
      </c>
    </row>
    <row r="66" spans="1:48" s="644" customFormat="1" ht="19.899999999999999" hidden="1" customHeight="1">
      <c r="A66" s="224" t="s">
        <v>335</v>
      </c>
      <c r="B66" s="219" t="s">
        <v>336</v>
      </c>
      <c r="C66" s="510"/>
      <c r="D66" s="37" t="s">
        <v>90</v>
      </c>
      <c r="E66" s="1143">
        <f>IF(E65="",0,+ E65/E72)</f>
        <v>0</v>
      </c>
      <c r="F66" s="1146">
        <f t="shared" ref="F66:AI66" si="133">IF(F65="",0, E66+F65/F72)</f>
        <v>0</v>
      </c>
      <c r="G66" s="1265">
        <f t="shared" si="133"/>
        <v>0</v>
      </c>
      <c r="H66" s="1146">
        <f t="shared" si="133"/>
        <v>0</v>
      </c>
      <c r="I66" s="1146">
        <f t="shared" si="133"/>
        <v>0</v>
      </c>
      <c r="J66" s="1265">
        <f t="shared" si="133"/>
        <v>0</v>
      </c>
      <c r="K66" s="1265">
        <f t="shared" si="133"/>
        <v>0</v>
      </c>
      <c r="L66" s="1146">
        <f t="shared" si="133"/>
        <v>0</v>
      </c>
      <c r="M66" s="1146">
        <f t="shared" si="133"/>
        <v>0</v>
      </c>
      <c r="N66" s="1146">
        <f t="shared" si="133"/>
        <v>0</v>
      </c>
      <c r="O66" s="1146">
        <f t="shared" si="133"/>
        <v>0</v>
      </c>
      <c r="P66" s="1146">
        <f>IF(P65="",0, O66+P65/P72)</f>
        <v>0</v>
      </c>
      <c r="Q66" s="1265">
        <f t="shared" si="133"/>
        <v>0</v>
      </c>
      <c r="R66" s="1265">
        <f t="shared" si="133"/>
        <v>0</v>
      </c>
      <c r="S66" s="1146">
        <f t="shared" si="133"/>
        <v>0</v>
      </c>
      <c r="T66" s="1146">
        <f t="shared" si="133"/>
        <v>0</v>
      </c>
      <c r="U66" s="1146">
        <f t="shared" si="133"/>
        <v>0</v>
      </c>
      <c r="V66" s="1146">
        <f t="shared" si="133"/>
        <v>0</v>
      </c>
      <c r="W66" s="1146">
        <f t="shared" si="133"/>
        <v>0</v>
      </c>
      <c r="X66" s="1265">
        <f t="shared" si="133"/>
        <v>0</v>
      </c>
      <c r="Y66" s="1265">
        <f t="shared" si="133"/>
        <v>0</v>
      </c>
      <c r="Z66" s="1146">
        <f t="shared" si="133"/>
        <v>0</v>
      </c>
      <c r="AA66" s="1146">
        <f t="shared" si="133"/>
        <v>0</v>
      </c>
      <c r="AB66" s="1146">
        <f t="shared" si="133"/>
        <v>0</v>
      </c>
      <c r="AC66" s="1146">
        <f t="shared" si="133"/>
        <v>0</v>
      </c>
      <c r="AD66" s="1146">
        <f t="shared" si="133"/>
        <v>0</v>
      </c>
      <c r="AE66" s="1265">
        <f t="shared" si="133"/>
        <v>0</v>
      </c>
      <c r="AF66" s="1265">
        <f t="shared" si="133"/>
        <v>0</v>
      </c>
      <c r="AG66" s="1146">
        <f>IF(AG65="",0, AC66+AG65/AG72)</f>
        <v>0</v>
      </c>
      <c r="AH66" s="1146">
        <f>IF(AH65="",0, AD66+AH65/AH72)</f>
        <v>0</v>
      </c>
      <c r="AI66" s="1440">
        <f t="shared" si="133"/>
        <v>0</v>
      </c>
      <c r="AJ66" s="661"/>
      <c r="AK66" s="661"/>
      <c r="AL66" s="572"/>
      <c r="AM66" s="915"/>
      <c r="AN66" s="448"/>
      <c r="AO66" s="675"/>
      <c r="AP66" s="39" t="s">
        <v>91</v>
      </c>
      <c r="AQ66" s="40">
        <f>SUM(E65:K65)</f>
        <v>0</v>
      </c>
      <c r="AR66" s="41">
        <f>SUM(L65:R65)</f>
        <v>0</v>
      </c>
      <c r="AS66" s="41">
        <f>SUM(S65:Y65)</f>
        <v>0</v>
      </c>
      <c r="AT66" s="41">
        <f>SUM(Z65:AF65)</f>
        <v>0</v>
      </c>
      <c r="AU66" s="41">
        <f>SUM(AG65:AI65)</f>
        <v>0</v>
      </c>
      <c r="AV66" s="34">
        <f t="shared" ref="AV66:AV71" si="134">SUM(AQ66:AU66)</f>
        <v>0</v>
      </c>
    </row>
    <row r="67" spans="1:48" s="644" customFormat="1" ht="19.899999999999999" hidden="1" customHeight="1">
      <c r="A67" s="224" t="s">
        <v>335</v>
      </c>
      <c r="B67" s="89" t="s">
        <v>337</v>
      </c>
      <c r="C67" s="52" t="s">
        <v>95</v>
      </c>
      <c r="D67" s="43" t="s">
        <v>93</v>
      </c>
      <c r="E67" s="1108"/>
      <c r="F67" s="1089"/>
      <c r="G67" s="44"/>
      <c r="H67" s="1089"/>
      <c r="I67" s="1089"/>
      <c r="J67" s="44"/>
      <c r="K67" s="44"/>
      <c r="L67" s="1089"/>
      <c r="M67" s="1089"/>
      <c r="N67" s="1089"/>
      <c r="O67" s="1089"/>
      <c r="P67" s="1089"/>
      <c r="Q67" s="44"/>
      <c r="R67" s="44"/>
      <c r="S67" s="1089"/>
      <c r="T67" s="1089"/>
      <c r="U67" s="1089"/>
      <c r="V67" s="1089"/>
      <c r="W67" s="1089"/>
      <c r="X67" s="44"/>
      <c r="Y67" s="44"/>
      <c r="Z67" s="1089"/>
      <c r="AA67" s="1089"/>
      <c r="AB67" s="1089"/>
      <c r="AC67" s="1089"/>
      <c r="AD67" s="1089"/>
      <c r="AE67" s="44"/>
      <c r="AF67" s="44"/>
      <c r="AG67" s="1089"/>
      <c r="AH67" s="1089"/>
      <c r="AI67" s="1326"/>
      <c r="AJ67" s="662">
        <f>SUM(E67:AI67)</f>
        <v>0</v>
      </c>
      <c r="AK67" s="662"/>
      <c r="AL67" s="645">
        <f>+AJ67*AN65</f>
        <v>0</v>
      </c>
      <c r="AM67" s="916"/>
      <c r="AN67" s="449"/>
      <c r="AO67" s="632">
        <f>(AJ67+AJ69+AJ70+AJ71)*B69/1000</f>
        <v>0</v>
      </c>
      <c r="AP67" s="47" t="s">
        <v>94</v>
      </c>
      <c r="AQ67" s="48">
        <f>SUM(E67:K67)</f>
        <v>0</v>
      </c>
      <c r="AR67" s="49">
        <f>SUM(L67:R67)</f>
        <v>0</v>
      </c>
      <c r="AS67" s="49">
        <f>SUM(S67:Y67)</f>
        <v>0</v>
      </c>
      <c r="AT67" s="49">
        <f>SUM(Z67:AF67)</f>
        <v>0</v>
      </c>
      <c r="AU67" s="49">
        <f>SUM(AG67:AI67)</f>
        <v>0</v>
      </c>
      <c r="AV67" s="50">
        <f t="shared" si="134"/>
        <v>0</v>
      </c>
    </row>
    <row r="68" spans="1:48" s="644" customFormat="1" ht="19.899999999999999" hidden="1" customHeight="1">
      <c r="A68" s="224" t="s">
        <v>335</v>
      </c>
      <c r="B68" s="638" t="s">
        <v>247</v>
      </c>
      <c r="C68" s="379">
        <v>30000</v>
      </c>
      <c r="D68" s="53" t="s">
        <v>96</v>
      </c>
      <c r="E68" s="1137">
        <f t="shared" ref="E68:AJ68" si="135">+E67-E65</f>
        <v>0</v>
      </c>
      <c r="F68" s="1097">
        <f t="shared" si="135"/>
        <v>0</v>
      </c>
      <c r="G68" s="1205">
        <f t="shared" si="135"/>
        <v>0</v>
      </c>
      <c r="H68" s="1097">
        <f>+H67-H65</f>
        <v>0</v>
      </c>
      <c r="I68" s="1097">
        <f t="shared" si="135"/>
        <v>0</v>
      </c>
      <c r="J68" s="1205">
        <f t="shared" si="135"/>
        <v>0</v>
      </c>
      <c r="K68" s="1205">
        <f>+K67-K65</f>
        <v>0</v>
      </c>
      <c r="L68" s="1097">
        <f t="shared" si="135"/>
        <v>0</v>
      </c>
      <c r="M68" s="1097">
        <f t="shared" si="135"/>
        <v>0</v>
      </c>
      <c r="N68" s="1097">
        <f t="shared" si="135"/>
        <v>0</v>
      </c>
      <c r="O68" s="1097">
        <f t="shared" si="135"/>
        <v>0</v>
      </c>
      <c r="P68" s="1097">
        <f t="shared" si="135"/>
        <v>0</v>
      </c>
      <c r="Q68" s="1205">
        <f t="shared" si="135"/>
        <v>0</v>
      </c>
      <c r="R68" s="1205">
        <f t="shared" ref="R68" si="136">+R67-R65</f>
        <v>0</v>
      </c>
      <c r="S68" s="1097">
        <f t="shared" si="135"/>
        <v>0</v>
      </c>
      <c r="T68" s="1097">
        <f t="shared" si="135"/>
        <v>0</v>
      </c>
      <c r="U68" s="1097">
        <f t="shared" si="135"/>
        <v>0</v>
      </c>
      <c r="V68" s="1097">
        <f t="shared" si="135"/>
        <v>0</v>
      </c>
      <c r="W68" s="1097">
        <f t="shared" si="135"/>
        <v>0</v>
      </c>
      <c r="X68" s="1205">
        <f t="shared" si="135"/>
        <v>0</v>
      </c>
      <c r="Y68" s="1205">
        <f t="shared" si="135"/>
        <v>0</v>
      </c>
      <c r="Z68" s="1097">
        <f t="shared" si="135"/>
        <v>0</v>
      </c>
      <c r="AA68" s="1097">
        <f t="shared" si="135"/>
        <v>0</v>
      </c>
      <c r="AB68" s="1097">
        <f t="shared" si="135"/>
        <v>0</v>
      </c>
      <c r="AC68" s="1097">
        <f t="shared" si="135"/>
        <v>0</v>
      </c>
      <c r="AD68" s="1097">
        <f t="shared" si="135"/>
        <v>0</v>
      </c>
      <c r="AE68" s="1205">
        <f t="shared" si="135"/>
        <v>0</v>
      </c>
      <c r="AF68" s="1205">
        <f t="shared" si="135"/>
        <v>0</v>
      </c>
      <c r="AG68" s="1097">
        <f t="shared" si="135"/>
        <v>0</v>
      </c>
      <c r="AH68" s="1097">
        <f t="shared" si="135"/>
        <v>0</v>
      </c>
      <c r="AI68" s="1328">
        <f t="shared" si="135"/>
        <v>0</v>
      </c>
      <c r="AJ68" s="663">
        <f t="shared" si="135"/>
        <v>0</v>
      </c>
      <c r="AK68" s="663"/>
      <c r="AL68" s="646">
        <f>+AJ68*AN65</f>
        <v>0</v>
      </c>
      <c r="AM68" s="917"/>
      <c r="AN68" s="449" t="s">
        <v>97</v>
      </c>
      <c r="AO68" s="622"/>
      <c r="AP68" s="39" t="s">
        <v>98</v>
      </c>
      <c r="AQ68" s="56">
        <f>AQ67-AQ66</f>
        <v>0</v>
      </c>
      <c r="AR68" s="70">
        <f>AR67-AR66</f>
        <v>0</v>
      </c>
      <c r="AS68" s="70">
        <f>AS67-AS66</f>
        <v>0</v>
      </c>
      <c r="AT68" s="70">
        <f>AT67-AT66</f>
        <v>0</v>
      </c>
      <c r="AU68" s="70">
        <f>AU67-AU66</f>
        <v>0</v>
      </c>
      <c r="AV68" s="57">
        <f t="shared" si="134"/>
        <v>0</v>
      </c>
    </row>
    <row r="69" spans="1:48" s="644" customFormat="1" ht="19.899999999999999" hidden="1" customHeight="1">
      <c r="A69" s="511"/>
      <c r="B69" s="638">
        <v>4.9710000000000001</v>
      </c>
      <c r="C69" s="521"/>
      <c r="D69" s="61" t="s">
        <v>101</v>
      </c>
      <c r="E69" s="1098"/>
      <c r="F69" s="1099"/>
      <c r="G69" s="1208"/>
      <c r="H69" s="1099"/>
      <c r="I69" s="1099"/>
      <c r="J69" s="1208"/>
      <c r="K69" s="1208"/>
      <c r="L69" s="1099"/>
      <c r="M69" s="1099"/>
      <c r="N69" s="1099"/>
      <c r="O69" s="1099"/>
      <c r="P69" s="1099"/>
      <c r="Q69" s="1208"/>
      <c r="R69" s="1208"/>
      <c r="S69" s="1099"/>
      <c r="T69" s="1099"/>
      <c r="U69" s="1099"/>
      <c r="V69" s="1099"/>
      <c r="W69" s="1099"/>
      <c r="X69" s="1208"/>
      <c r="Y69" s="1208"/>
      <c r="Z69" s="1099"/>
      <c r="AA69" s="1099"/>
      <c r="AB69" s="1099"/>
      <c r="AC69" s="1099"/>
      <c r="AD69" s="1099"/>
      <c r="AE69" s="1208"/>
      <c r="AF69" s="1208"/>
      <c r="AG69" s="1099"/>
      <c r="AH69" s="1099"/>
      <c r="AI69" s="1330"/>
      <c r="AJ69" s="664">
        <f>SUM(E69:AI69)</f>
        <v>0</v>
      </c>
      <c r="AK69" s="664"/>
      <c r="AL69" s="647">
        <f>+AJ69*AN65</f>
        <v>0</v>
      </c>
      <c r="AM69" s="918"/>
      <c r="AN69" s="385" t="e">
        <f>+AJ69/AJ67</f>
        <v>#DIV/0!</v>
      </c>
      <c r="AO69" s="635" t="e">
        <f>AO67/AO65</f>
        <v>#DIV/0!</v>
      </c>
      <c r="AP69" s="39" t="s">
        <v>102</v>
      </c>
      <c r="AQ69" s="56">
        <f>SUM(E69:K69)</f>
        <v>0</v>
      </c>
      <c r="AR69" s="70">
        <f>SUM(L69:R69)</f>
        <v>0</v>
      </c>
      <c r="AS69" s="70">
        <f>SUM(S69:Y69)</f>
        <v>0</v>
      </c>
      <c r="AT69" s="70">
        <f>SUM(Z69:AF69)</f>
        <v>0</v>
      </c>
      <c r="AU69" s="70">
        <f>SUM(AG69:AI69)</f>
        <v>0</v>
      </c>
      <c r="AV69" s="57">
        <f t="shared" si="134"/>
        <v>0</v>
      </c>
    </row>
    <row r="70" spans="1:48" s="644" customFormat="1" ht="19.899999999999999" hidden="1" customHeight="1">
      <c r="A70" s="224" t="s">
        <v>335</v>
      </c>
      <c r="B70" s="65"/>
      <c r="C70" s="522"/>
      <c r="D70" s="67" t="s">
        <v>103</v>
      </c>
      <c r="E70" s="1100"/>
      <c r="F70" s="1101"/>
      <c r="G70" s="1209"/>
      <c r="H70" s="1101"/>
      <c r="I70" s="1101"/>
      <c r="J70" s="1209"/>
      <c r="K70" s="1209"/>
      <c r="L70" s="1101"/>
      <c r="M70" s="1101"/>
      <c r="N70" s="1101"/>
      <c r="O70" s="1101"/>
      <c r="P70" s="1101"/>
      <c r="Q70" s="1209"/>
      <c r="R70" s="1209"/>
      <c r="S70" s="1101"/>
      <c r="T70" s="1101"/>
      <c r="U70" s="1101"/>
      <c r="V70" s="1101"/>
      <c r="W70" s="1101"/>
      <c r="X70" s="1209"/>
      <c r="Y70" s="1209"/>
      <c r="Z70" s="1101"/>
      <c r="AA70" s="1101"/>
      <c r="AB70" s="1101"/>
      <c r="AC70" s="1101"/>
      <c r="AD70" s="1101"/>
      <c r="AE70" s="1209"/>
      <c r="AF70" s="1209"/>
      <c r="AG70" s="1101"/>
      <c r="AH70" s="1101"/>
      <c r="AI70" s="1332"/>
      <c r="AJ70" s="665">
        <f>SUM(E70:AI70)</f>
        <v>0</v>
      </c>
      <c r="AK70" s="665"/>
      <c r="AL70" s="648">
        <f>+AJ70*AN65</f>
        <v>0</v>
      </c>
      <c r="AM70" s="919"/>
      <c r="AN70" s="449"/>
      <c r="AO70" s="622"/>
      <c r="AP70" s="39" t="s">
        <v>19</v>
      </c>
      <c r="AQ70" s="56">
        <f>AQ69*AN65</f>
        <v>0</v>
      </c>
      <c r="AR70" s="56">
        <f>AR69*AN65</f>
        <v>0</v>
      </c>
      <c r="AS70" s="56">
        <f>AS69*AN65</f>
        <v>0</v>
      </c>
      <c r="AT70" s="56">
        <f>AT69*AN65</f>
        <v>0</v>
      </c>
      <c r="AU70" s="56">
        <f>AU69*AN65</f>
        <v>0</v>
      </c>
      <c r="AV70" s="57">
        <f t="shared" si="134"/>
        <v>0</v>
      </c>
    </row>
    <row r="71" spans="1:48" s="644" customFormat="1" ht="19.899999999999999" hidden="1" customHeight="1">
      <c r="A71" s="511"/>
      <c r="B71" s="65"/>
      <c r="C71" s="89" t="s">
        <v>108</v>
      </c>
      <c r="D71" s="73" t="s">
        <v>105</v>
      </c>
      <c r="E71" s="1102"/>
      <c r="F71" s="1103"/>
      <c r="G71" s="1210"/>
      <c r="H71" s="1103"/>
      <c r="I71" s="1103"/>
      <c r="J71" s="1210"/>
      <c r="K71" s="1210"/>
      <c r="L71" s="1103"/>
      <c r="M71" s="1103"/>
      <c r="N71" s="1103"/>
      <c r="O71" s="1103"/>
      <c r="P71" s="1103"/>
      <c r="Q71" s="1210"/>
      <c r="R71" s="1210"/>
      <c r="S71" s="1103"/>
      <c r="T71" s="1103"/>
      <c r="U71" s="1103"/>
      <c r="V71" s="1103"/>
      <c r="W71" s="1103"/>
      <c r="X71" s="1210"/>
      <c r="Y71" s="1210"/>
      <c r="Z71" s="1103"/>
      <c r="AA71" s="1103"/>
      <c r="AB71" s="1103"/>
      <c r="AC71" s="1103"/>
      <c r="AD71" s="1103"/>
      <c r="AE71" s="1210"/>
      <c r="AF71" s="1210"/>
      <c r="AG71" s="1103"/>
      <c r="AH71" s="1103"/>
      <c r="AI71" s="1352"/>
      <c r="AJ71" s="666">
        <f>SUM(E71:AI71)</f>
        <v>0</v>
      </c>
      <c r="AK71" s="666"/>
      <c r="AL71" s="649">
        <f>+AJ71*AN66</f>
        <v>0</v>
      </c>
      <c r="AM71" s="920"/>
      <c r="AN71" s="449"/>
      <c r="AO71" s="622"/>
      <c r="AP71" s="47" t="s">
        <v>106</v>
      </c>
      <c r="AQ71" s="48">
        <f>AQ67*AN65</f>
        <v>0</v>
      </c>
      <c r="AR71" s="48">
        <f>AR67*AN65</f>
        <v>0</v>
      </c>
      <c r="AS71" s="48">
        <f>AS67*AN65</f>
        <v>0</v>
      </c>
      <c r="AT71" s="48">
        <f>AT67*AN65</f>
        <v>0</v>
      </c>
      <c r="AU71" s="48">
        <f>AU67*AN65</f>
        <v>0</v>
      </c>
      <c r="AV71" s="50">
        <f t="shared" si="134"/>
        <v>0</v>
      </c>
    </row>
    <row r="72" spans="1:48" s="644" customFormat="1" ht="19.899999999999999" hidden="1" customHeight="1">
      <c r="A72" s="224" t="s">
        <v>335</v>
      </c>
      <c r="B72" s="65"/>
      <c r="C72" s="383">
        <f>+C68*0.8</f>
        <v>24000</v>
      </c>
      <c r="D72" s="78" t="s">
        <v>107</v>
      </c>
      <c r="E72" s="1137">
        <v>16</v>
      </c>
      <c r="F72" s="1097">
        <v>16</v>
      </c>
      <c r="G72" s="1205">
        <v>16</v>
      </c>
      <c r="H72" s="1097">
        <v>16</v>
      </c>
      <c r="I72" s="1097">
        <v>16</v>
      </c>
      <c r="J72" s="1205">
        <v>16</v>
      </c>
      <c r="K72" s="1205">
        <v>16</v>
      </c>
      <c r="L72" s="1097">
        <v>16</v>
      </c>
      <c r="M72" s="1097">
        <v>16</v>
      </c>
      <c r="N72" s="1097">
        <v>16</v>
      </c>
      <c r="O72" s="1097">
        <v>16</v>
      </c>
      <c r="P72" s="1097">
        <v>16</v>
      </c>
      <c r="Q72" s="1205">
        <v>16</v>
      </c>
      <c r="R72" s="1205">
        <v>16</v>
      </c>
      <c r="S72" s="1097">
        <v>16</v>
      </c>
      <c r="T72" s="1097">
        <v>16</v>
      </c>
      <c r="U72" s="1097">
        <v>16</v>
      </c>
      <c r="V72" s="1097">
        <v>16</v>
      </c>
      <c r="W72" s="1097">
        <v>16</v>
      </c>
      <c r="X72" s="1205">
        <v>16</v>
      </c>
      <c r="Y72" s="1205">
        <v>16</v>
      </c>
      <c r="Z72" s="1097">
        <v>16</v>
      </c>
      <c r="AA72" s="1097">
        <v>16</v>
      </c>
      <c r="AB72" s="1097">
        <v>16</v>
      </c>
      <c r="AC72" s="1097">
        <v>16</v>
      </c>
      <c r="AD72" s="1097">
        <v>16</v>
      </c>
      <c r="AE72" s="1205">
        <v>16</v>
      </c>
      <c r="AF72" s="1205">
        <v>16</v>
      </c>
      <c r="AG72" s="1097">
        <v>16</v>
      </c>
      <c r="AH72" s="1097">
        <v>16</v>
      </c>
      <c r="AI72" s="1328">
        <v>16</v>
      </c>
      <c r="AJ72" s="663"/>
      <c r="AK72" s="663"/>
      <c r="AL72" s="646"/>
      <c r="AM72" s="917"/>
      <c r="AN72" s="449"/>
      <c r="AO72" s="622"/>
    </row>
    <row r="73" spans="1:48" s="644" customFormat="1" ht="19.899999999999999" hidden="1" customHeight="1">
      <c r="A73" s="224" t="s">
        <v>335</v>
      </c>
      <c r="B73" s="42"/>
      <c r="C73" s="514"/>
      <c r="D73" s="81" t="s">
        <v>109</v>
      </c>
      <c r="E73" s="1105">
        <f>SUM(E67+E69+E70+E71)/E72</f>
        <v>0</v>
      </c>
      <c r="F73" s="1105">
        <f>SUM(F67+F69+F70+F71)/F72</f>
        <v>0</v>
      </c>
      <c r="G73" s="1198">
        <f>SUM(G67+G69+G70+G71)/G72</f>
        <v>0</v>
      </c>
      <c r="H73" s="1105">
        <f t="shared" ref="H73:AH73" si="137">SUM(H67+H69+H70+H71)/H72</f>
        <v>0</v>
      </c>
      <c r="I73" s="1105">
        <f t="shared" si="137"/>
        <v>0</v>
      </c>
      <c r="J73" s="1198">
        <f t="shared" si="137"/>
        <v>0</v>
      </c>
      <c r="K73" s="1198">
        <f t="shared" si="137"/>
        <v>0</v>
      </c>
      <c r="L73" s="1105">
        <f t="shared" si="137"/>
        <v>0</v>
      </c>
      <c r="M73" s="1105">
        <f t="shared" si="137"/>
        <v>0</v>
      </c>
      <c r="N73" s="1105">
        <f t="shared" si="137"/>
        <v>0</v>
      </c>
      <c r="O73" s="1105">
        <f t="shared" si="137"/>
        <v>0</v>
      </c>
      <c r="P73" s="1105">
        <f t="shared" si="137"/>
        <v>0</v>
      </c>
      <c r="Q73" s="1198">
        <f t="shared" si="137"/>
        <v>0</v>
      </c>
      <c r="R73" s="1198">
        <f t="shared" si="137"/>
        <v>0</v>
      </c>
      <c r="S73" s="1105">
        <f t="shared" si="137"/>
        <v>0</v>
      </c>
      <c r="T73" s="1105">
        <f t="shared" si="137"/>
        <v>0</v>
      </c>
      <c r="U73" s="1105">
        <f t="shared" si="137"/>
        <v>0</v>
      </c>
      <c r="V73" s="1105">
        <f>SUM(V67+V69+V70+V71)/V72</f>
        <v>0</v>
      </c>
      <c r="W73" s="1105">
        <f t="shared" si="137"/>
        <v>0</v>
      </c>
      <c r="X73" s="1198">
        <f t="shared" si="137"/>
        <v>0</v>
      </c>
      <c r="Y73" s="1198">
        <f t="shared" si="137"/>
        <v>0</v>
      </c>
      <c r="Z73" s="1105">
        <f t="shared" si="137"/>
        <v>0</v>
      </c>
      <c r="AA73" s="1105">
        <f t="shared" si="137"/>
        <v>0</v>
      </c>
      <c r="AB73" s="1105">
        <f t="shared" si="137"/>
        <v>0</v>
      </c>
      <c r="AC73" s="1105">
        <f t="shared" si="137"/>
        <v>0</v>
      </c>
      <c r="AD73" s="1105">
        <f t="shared" si="137"/>
        <v>0</v>
      </c>
      <c r="AE73" s="1198">
        <f t="shared" si="137"/>
        <v>0</v>
      </c>
      <c r="AF73" s="1198">
        <f t="shared" si="137"/>
        <v>0</v>
      </c>
      <c r="AG73" s="1105">
        <f t="shared" si="137"/>
        <v>0</v>
      </c>
      <c r="AH73" s="1105">
        <f t="shared" si="137"/>
        <v>0</v>
      </c>
      <c r="AI73" s="1353">
        <f>SUM(AI67+AI69+AI70)/AI72</f>
        <v>0</v>
      </c>
      <c r="AJ73" s="104">
        <f>SUM(E73:AI73)</f>
        <v>0</v>
      </c>
      <c r="AK73" s="104"/>
      <c r="AL73" s="650"/>
      <c r="AM73" s="921"/>
      <c r="AN73" s="450"/>
      <c r="AO73" s="622"/>
    </row>
    <row r="74" spans="1:48" s="644" customFormat="1" ht="19.899999999999999" hidden="1" customHeight="1">
      <c r="A74" s="224" t="s">
        <v>335</v>
      </c>
      <c r="B74" s="518"/>
      <c r="C74" s="72"/>
      <c r="D74" s="85" t="s">
        <v>110</v>
      </c>
      <c r="E74" s="1105"/>
      <c r="F74" s="1106"/>
      <c r="G74" s="1211"/>
      <c r="H74" s="1104"/>
      <c r="I74" s="1107"/>
      <c r="J74" s="1211"/>
      <c r="K74" s="1211"/>
      <c r="L74" s="1104"/>
      <c r="M74" s="1104"/>
      <c r="N74" s="1104"/>
      <c r="O74" s="1104"/>
      <c r="P74" s="1104"/>
      <c r="Q74" s="1211"/>
      <c r="R74" s="1211"/>
      <c r="S74" s="1104"/>
      <c r="T74" s="1104"/>
      <c r="U74" s="1104"/>
      <c r="V74" s="1104"/>
      <c r="W74" s="1104"/>
      <c r="X74" s="1211"/>
      <c r="Y74" s="1211"/>
      <c r="Z74" s="1104"/>
      <c r="AA74" s="1104"/>
      <c r="AB74" s="1104"/>
      <c r="AC74" s="1104"/>
      <c r="AD74" s="1104"/>
      <c r="AE74" s="1211"/>
      <c r="AF74" s="1211"/>
      <c r="AG74" s="1104"/>
      <c r="AH74" s="1104"/>
      <c r="AI74" s="1353"/>
      <c r="AJ74" s="667"/>
      <c r="AK74" s="667"/>
      <c r="AL74" s="703"/>
      <c r="AM74" s="922"/>
      <c r="AN74" s="449"/>
      <c r="AO74" s="622"/>
    </row>
    <row r="75" spans="1:48" s="644" customFormat="1" ht="19.899999999999999" hidden="1" customHeight="1">
      <c r="A75" s="224" t="s">
        <v>335</v>
      </c>
      <c r="B75" s="518"/>
      <c r="C75" s="72" t="s">
        <v>104</v>
      </c>
      <c r="D75" s="88" t="s">
        <v>111</v>
      </c>
      <c r="E75" s="1108">
        <f>IF(E74="O/H",E73,0+E73)</f>
        <v>0</v>
      </c>
      <c r="F75" s="1089">
        <f t="shared" ref="F75:AI75" si="138">IF(F74="O/H",F73,+E75+F73)</f>
        <v>0</v>
      </c>
      <c r="G75" s="44">
        <f t="shared" si="138"/>
        <v>0</v>
      </c>
      <c r="H75" s="1089">
        <f t="shared" si="138"/>
        <v>0</v>
      </c>
      <c r="I75" s="1089">
        <f t="shared" si="138"/>
        <v>0</v>
      </c>
      <c r="J75" s="44">
        <f t="shared" si="138"/>
        <v>0</v>
      </c>
      <c r="K75" s="44">
        <f t="shared" si="138"/>
        <v>0</v>
      </c>
      <c r="L75" s="1089">
        <f t="shared" si="138"/>
        <v>0</v>
      </c>
      <c r="M75" s="1089">
        <f t="shared" si="138"/>
        <v>0</v>
      </c>
      <c r="N75" s="1089">
        <f t="shared" si="138"/>
        <v>0</v>
      </c>
      <c r="O75" s="1089">
        <f t="shared" si="138"/>
        <v>0</v>
      </c>
      <c r="P75" s="1089">
        <f t="shared" si="138"/>
        <v>0</v>
      </c>
      <c r="Q75" s="44">
        <f t="shared" si="138"/>
        <v>0</v>
      </c>
      <c r="R75" s="44">
        <f t="shared" si="138"/>
        <v>0</v>
      </c>
      <c r="S75" s="1089">
        <f t="shared" si="138"/>
        <v>0</v>
      </c>
      <c r="T75" s="1089">
        <f t="shared" si="138"/>
        <v>0</v>
      </c>
      <c r="U75" s="1089">
        <f t="shared" si="138"/>
        <v>0</v>
      </c>
      <c r="V75" s="1089">
        <f t="shared" si="138"/>
        <v>0</v>
      </c>
      <c r="W75" s="1089">
        <f t="shared" si="138"/>
        <v>0</v>
      </c>
      <c r="X75" s="44">
        <f t="shared" si="138"/>
        <v>0</v>
      </c>
      <c r="Y75" s="44">
        <f t="shared" si="138"/>
        <v>0</v>
      </c>
      <c r="Z75" s="1089">
        <f t="shared" si="138"/>
        <v>0</v>
      </c>
      <c r="AA75" s="1089">
        <f t="shared" si="138"/>
        <v>0</v>
      </c>
      <c r="AB75" s="1089">
        <f t="shared" si="138"/>
        <v>0</v>
      </c>
      <c r="AC75" s="1089">
        <f t="shared" si="138"/>
        <v>0</v>
      </c>
      <c r="AD75" s="1089">
        <f t="shared" si="138"/>
        <v>0</v>
      </c>
      <c r="AE75" s="44">
        <f t="shared" si="138"/>
        <v>0</v>
      </c>
      <c r="AF75" s="44">
        <f t="shared" si="138"/>
        <v>0</v>
      </c>
      <c r="AG75" s="1089">
        <f t="shared" si="138"/>
        <v>0</v>
      </c>
      <c r="AH75" s="1089">
        <f t="shared" si="138"/>
        <v>0</v>
      </c>
      <c r="AI75" s="1326">
        <f t="shared" si="138"/>
        <v>0</v>
      </c>
      <c r="AJ75" s="663"/>
      <c r="AK75" s="667"/>
      <c r="AL75" s="704"/>
      <c r="AM75" s="923"/>
      <c r="AN75" s="449"/>
      <c r="AO75" s="622"/>
    </row>
    <row r="76" spans="1:48" s="23" customFormat="1" ht="20.65" hidden="1" customHeight="1">
      <c r="A76" s="274"/>
      <c r="B76" s="312"/>
      <c r="C76" s="308">
        <v>300000</v>
      </c>
      <c r="D76" s="795" t="s">
        <v>112</v>
      </c>
      <c r="E76" s="1117" t="b">
        <f>IF(AND(ISNUMBER(E67)),275415+E73)</f>
        <v>0</v>
      </c>
      <c r="F76" s="1118" t="str">
        <f>IF(AND(ISNUMBER(F67)),E76+F73,"")</f>
        <v/>
      </c>
      <c r="G76" s="1216" t="str">
        <f t="shared" ref="G76" si="139">IF(AND(ISNUMBER(G67)),F76+G73,"")</f>
        <v/>
      </c>
      <c r="H76" s="1118" t="str">
        <f t="shared" ref="H76" si="140">IF(AND(ISNUMBER(H67)),G76+H73,"")</f>
        <v/>
      </c>
      <c r="I76" s="1118" t="str">
        <f>IF(AND(ISNUMBER(I67)),H76+I73,"")</f>
        <v/>
      </c>
      <c r="J76" s="1216" t="str">
        <f>IF(AND(ISNUMBER(J67)),I76+J73,"")</f>
        <v/>
      </c>
      <c r="K76" s="1216" t="str">
        <f>IF(AND(ISNUMBER(K67)),J76+K73,"")</f>
        <v/>
      </c>
      <c r="L76" s="1118" t="str">
        <f t="shared" ref="L76" si="141">IF(AND(ISNUMBER(L67)),K76+L73,"")</f>
        <v/>
      </c>
      <c r="M76" s="1118" t="str">
        <f t="shared" ref="M76" si="142">IF(AND(ISNUMBER(M67)),L76+M73,"")</f>
        <v/>
      </c>
      <c r="N76" s="1118" t="str">
        <f t="shared" ref="N76" si="143">IF(AND(ISNUMBER(N67)),M76+N73,"")</f>
        <v/>
      </c>
      <c r="O76" s="1118" t="str">
        <f t="shared" ref="O76" si="144">IF(AND(ISNUMBER(O67)),N76+O73,"")</f>
        <v/>
      </c>
      <c r="P76" s="1118" t="str">
        <f t="shared" ref="P76" si="145">IF(AND(ISNUMBER(P67)),O76+P73,"")</f>
        <v/>
      </c>
      <c r="Q76" s="1216" t="str">
        <f t="shared" ref="Q76" si="146">IF(AND(ISNUMBER(Q67)),P76+Q73,"")</f>
        <v/>
      </c>
      <c r="R76" s="1216" t="str">
        <f t="shared" ref="R76" si="147">IF(AND(ISNUMBER(R67)),Q76+R73,"")</f>
        <v/>
      </c>
      <c r="S76" s="1118" t="str">
        <f t="shared" ref="S76" si="148">IF(AND(ISNUMBER(S67)),R76+S73,"")</f>
        <v/>
      </c>
      <c r="T76" s="1118" t="str">
        <f t="shared" ref="T76" si="149">IF(AND(ISNUMBER(T67)),S76+T73,"")</f>
        <v/>
      </c>
      <c r="U76" s="1118" t="str">
        <f t="shared" ref="U76" si="150">IF(AND(ISNUMBER(U67)),T76+U73,"")</f>
        <v/>
      </c>
      <c r="V76" s="1118" t="str">
        <f t="shared" ref="V76" si="151">IF(AND(ISNUMBER(V67)),U76+V73,"")</f>
        <v/>
      </c>
      <c r="W76" s="1118" t="str">
        <f t="shared" ref="W76" si="152">IF(AND(ISNUMBER(W67)),V76+W73,"")</f>
        <v/>
      </c>
      <c r="X76" s="1216" t="str">
        <f t="shared" ref="X76" si="153">IF(AND(ISNUMBER(X67)),W76+X73,"")</f>
        <v/>
      </c>
      <c r="Y76" s="1216" t="str">
        <f t="shared" ref="Y76" si="154">IF(AND(ISNUMBER(Y67)),X76+Y73,"")</f>
        <v/>
      </c>
      <c r="Z76" s="1118" t="str">
        <f t="shared" ref="Z76" si="155">IF(AND(ISNUMBER(Z67)),Y76+Z73,"")</f>
        <v/>
      </c>
      <c r="AA76" s="1118" t="str">
        <f t="shared" ref="AA76" si="156">IF(AND(ISNUMBER(AA67)),Z76+AA73,"")</f>
        <v/>
      </c>
      <c r="AB76" s="1118" t="str">
        <f t="shared" ref="AB76" si="157">IF(AND(ISNUMBER(AB67)),AA76+AB73,"")</f>
        <v/>
      </c>
      <c r="AC76" s="1118" t="str">
        <f t="shared" ref="AC76" si="158">IF(AND(ISNUMBER(AC67)),AB76+AC73,"")</f>
        <v/>
      </c>
      <c r="AD76" s="1118" t="str">
        <f t="shared" ref="AD76" si="159">IF(AND(ISNUMBER(AD67)),AC76+AD73,"")</f>
        <v/>
      </c>
      <c r="AE76" s="1216" t="str">
        <f t="shared" ref="AE76" si="160">IF(AND(ISNUMBER(AE67)),AD76+AE73,"")</f>
        <v/>
      </c>
      <c r="AF76" s="1216" t="str">
        <f t="shared" ref="AF76" si="161">IF(AND(ISNUMBER(AF67)),AE76+AF73,"")</f>
        <v/>
      </c>
      <c r="AG76" s="1118" t="str">
        <f t="shared" ref="AG76" si="162">IF(AND(ISNUMBER(AG67)),AF76+AG73,"")</f>
        <v/>
      </c>
      <c r="AH76" s="1118" t="str">
        <f t="shared" ref="AH76" si="163">IF(AND(ISNUMBER(AH67)),AG76+AH73,"")</f>
        <v/>
      </c>
      <c r="AI76" s="1118" t="str">
        <f t="shared" ref="AI76" si="164">IF(AND(ISNUMBER(AI67)),AH76+AI73,"")</f>
        <v/>
      </c>
      <c r="AJ76" s="793"/>
      <c r="AK76" s="793"/>
      <c r="AL76" s="909"/>
      <c r="AM76" s="890"/>
      <c r="AN76" s="91"/>
      <c r="AO76" s="630"/>
      <c r="AP76" s="285"/>
      <c r="AQ76" s="285"/>
      <c r="AR76" s="285"/>
      <c r="AS76" s="285"/>
      <c r="AT76" s="286"/>
      <c r="AU76" s="285"/>
      <c r="AV76" s="287"/>
    </row>
    <row r="77" spans="1:48" s="644" customFormat="1" ht="19.899999999999999" hidden="1" customHeight="1">
      <c r="A77" s="224"/>
      <c r="B77" s="89" t="s">
        <v>338</v>
      </c>
      <c r="C77" s="89" t="s">
        <v>108</v>
      </c>
      <c r="D77" s="90" t="s">
        <v>104</v>
      </c>
      <c r="E77" s="1415"/>
      <c r="F77" s="1141"/>
      <c r="G77" s="1272"/>
      <c r="H77" s="1141"/>
      <c r="I77" s="1144"/>
      <c r="J77" s="1272"/>
      <c r="K77" s="1272"/>
      <c r="L77" s="1141"/>
      <c r="M77" s="1141"/>
      <c r="N77" s="1141"/>
      <c r="O77" s="1141"/>
      <c r="P77" s="1141"/>
      <c r="Q77" s="1272"/>
      <c r="R77" s="1272"/>
      <c r="S77" s="1141"/>
      <c r="T77" s="1141"/>
      <c r="U77" s="1141"/>
      <c r="V77" s="1141"/>
      <c r="W77" s="1141"/>
      <c r="X77" s="1272"/>
      <c r="Y77" s="1272"/>
      <c r="Z77" s="1141"/>
      <c r="AA77" s="1141"/>
      <c r="AB77" s="1141"/>
      <c r="AC77" s="1141"/>
      <c r="AD77" s="1141"/>
      <c r="AE77" s="1272"/>
      <c r="AF77" s="1272"/>
      <c r="AG77" s="1141"/>
      <c r="AH77" s="1141"/>
      <c r="AI77" s="1416"/>
      <c r="AJ77" s="663"/>
      <c r="AK77" s="663"/>
      <c r="AL77" s="647"/>
      <c r="AM77" s="924"/>
      <c r="AN77" s="449"/>
      <c r="AO77" s="622"/>
    </row>
    <row r="78" spans="1:48" s="644" customFormat="1" ht="19.899999999999999" hidden="1" customHeight="1" thickBot="1">
      <c r="A78" s="516"/>
      <c r="B78" s="519"/>
      <c r="C78" s="94">
        <f>+C76*0.8</f>
        <v>240000</v>
      </c>
      <c r="D78" s="88" t="s">
        <v>111</v>
      </c>
      <c r="E78" s="1109">
        <f>IF(E77="O/H",E73,13021+E73)</f>
        <v>13021</v>
      </c>
      <c r="F78" s="1110">
        <f t="shared" ref="F78:AI78" si="165">IF(F77="O/H",F73,+E78+F73)</f>
        <v>13021</v>
      </c>
      <c r="G78" s="1212">
        <f t="shared" si="165"/>
        <v>13021</v>
      </c>
      <c r="H78" s="1110">
        <f t="shared" si="165"/>
        <v>13021</v>
      </c>
      <c r="I78" s="1110">
        <f t="shared" si="165"/>
        <v>13021</v>
      </c>
      <c r="J78" s="1212">
        <f t="shared" si="165"/>
        <v>13021</v>
      </c>
      <c r="K78" s="1212">
        <f t="shared" si="165"/>
        <v>13021</v>
      </c>
      <c r="L78" s="1110">
        <f t="shared" si="165"/>
        <v>13021</v>
      </c>
      <c r="M78" s="1110">
        <f t="shared" si="165"/>
        <v>13021</v>
      </c>
      <c r="N78" s="1110">
        <f t="shared" si="165"/>
        <v>13021</v>
      </c>
      <c r="O78" s="1110">
        <f t="shared" si="165"/>
        <v>13021</v>
      </c>
      <c r="P78" s="1110">
        <f t="shared" si="165"/>
        <v>13021</v>
      </c>
      <c r="Q78" s="1212">
        <f t="shared" si="165"/>
        <v>13021</v>
      </c>
      <c r="R78" s="1212">
        <f t="shared" si="165"/>
        <v>13021</v>
      </c>
      <c r="S78" s="1110">
        <f t="shared" si="165"/>
        <v>13021</v>
      </c>
      <c r="T78" s="1110">
        <f t="shared" ref="T78" si="166">IF(T77="O/H",T73,+S78+T73)</f>
        <v>13021</v>
      </c>
      <c r="U78" s="1110">
        <f t="shared" ref="U78" si="167">IF(U77="O/H",U73,+T78+U73)</f>
        <v>13021</v>
      </c>
      <c r="V78" s="1110">
        <f t="shared" ref="V78" si="168">IF(V77="O/H",V73,+U78+V73)</f>
        <v>13021</v>
      </c>
      <c r="W78" s="1110">
        <f t="shared" ref="W78" si="169">IF(W77="O/H",W73,+V78+W73)</f>
        <v>13021</v>
      </c>
      <c r="X78" s="1212">
        <f t="shared" ref="X78" si="170">IF(X77="O/H",X73,+W78+X73)</f>
        <v>13021</v>
      </c>
      <c r="Y78" s="1212">
        <f t="shared" ref="Y78" si="171">IF(Y77="O/H",Y73,+X78+Y73)</f>
        <v>13021</v>
      </c>
      <c r="Z78" s="1110">
        <f t="shared" ref="Z78" si="172">IF(Z77="O/H",Z73,+Y78+Z73)</f>
        <v>13021</v>
      </c>
      <c r="AA78" s="1110">
        <f t="shared" ref="AA78" si="173">IF(AA77="O/H",AA73,+Z78+AA73)</f>
        <v>13021</v>
      </c>
      <c r="AB78" s="1110">
        <f t="shared" ref="AB78" si="174">IF(AB77="O/H",AB73,+AA78+AB73)</f>
        <v>13021</v>
      </c>
      <c r="AC78" s="1110">
        <f t="shared" ref="AC78" si="175">IF(AC77="O/H",AC73,+AB78+AC73)</f>
        <v>13021</v>
      </c>
      <c r="AD78" s="1110">
        <f t="shared" ref="AD78" si="176">IF(AD77="O/H",AD73,+AC78+AD73)</f>
        <v>13021</v>
      </c>
      <c r="AE78" s="1212">
        <f t="shared" ref="AE78" si="177">IF(AE77="O/H",AE73,+AD78+AE73)</f>
        <v>13021</v>
      </c>
      <c r="AF78" s="1212">
        <f t="shared" ref="AF78" si="178">IF(AF77="O/H",AF73,+AE78+AF73)</f>
        <v>13021</v>
      </c>
      <c r="AG78" s="1110">
        <f t="shared" si="165"/>
        <v>13021</v>
      </c>
      <c r="AH78" s="1110">
        <f t="shared" si="165"/>
        <v>13021</v>
      </c>
      <c r="AI78" s="1340">
        <f t="shared" si="165"/>
        <v>13021</v>
      </c>
      <c r="AJ78" s="668"/>
      <c r="AK78" s="668"/>
      <c r="AL78" s="705"/>
      <c r="AM78" s="925"/>
      <c r="AN78" s="567"/>
      <c r="AO78" s="625"/>
    </row>
    <row r="79" spans="1:48" s="644" customFormat="1" ht="19.899999999999999" customHeight="1" thickTop="1">
      <c r="A79" s="228" t="s">
        <v>607</v>
      </c>
      <c r="B79" s="1319" t="s">
        <v>614</v>
      </c>
      <c r="C79" s="418" t="str">
        <f>Table1[[#This Row],[M/C No.]]</f>
        <v>A2(100ton)</v>
      </c>
      <c r="D79" s="28" t="s">
        <v>82</v>
      </c>
      <c r="E79" s="1124">
        <v>16000</v>
      </c>
      <c r="F79" s="1124">
        <v>16000</v>
      </c>
      <c r="G79" s="1242">
        <v>16000</v>
      </c>
      <c r="H79" s="1124">
        <v>16000</v>
      </c>
      <c r="I79" s="1124">
        <v>16000</v>
      </c>
      <c r="J79" s="1242">
        <v>14000</v>
      </c>
      <c r="K79" s="1242">
        <v>14000</v>
      </c>
      <c r="L79" s="1124">
        <v>0</v>
      </c>
      <c r="M79" s="1124">
        <v>0</v>
      </c>
      <c r="N79" s="1124">
        <v>10000</v>
      </c>
      <c r="O79" s="1124">
        <v>16000</v>
      </c>
      <c r="P79" s="1124">
        <v>16000</v>
      </c>
      <c r="Q79" s="1242">
        <v>16000</v>
      </c>
      <c r="R79" s="1242">
        <v>16000</v>
      </c>
      <c r="S79" s="1124">
        <v>16000</v>
      </c>
      <c r="T79" s="1124">
        <v>16000</v>
      </c>
      <c r="U79" s="1124">
        <v>16000</v>
      </c>
      <c r="V79" s="1124">
        <v>16000</v>
      </c>
      <c r="W79" s="1124">
        <v>16000</v>
      </c>
      <c r="X79" s="1242">
        <v>16000</v>
      </c>
      <c r="Y79" s="1242">
        <v>16000</v>
      </c>
      <c r="Z79" s="1124">
        <v>16000</v>
      </c>
      <c r="AA79" s="1124">
        <v>16000</v>
      </c>
      <c r="AB79" s="1124">
        <v>16000</v>
      </c>
      <c r="AC79" s="1124">
        <v>8000</v>
      </c>
      <c r="AD79" s="1124">
        <v>0</v>
      </c>
      <c r="AE79" s="1242">
        <v>0</v>
      </c>
      <c r="AF79" s="1242">
        <v>0</v>
      </c>
      <c r="AG79" s="1124">
        <v>0</v>
      </c>
      <c r="AH79" s="1124">
        <v>0</v>
      </c>
      <c r="AI79" s="1350"/>
      <c r="AJ79" s="570">
        <f>SUM(E79:AI79)</f>
        <v>350000</v>
      </c>
      <c r="AK79" s="991">
        <f>AJ81</f>
        <v>301824</v>
      </c>
      <c r="AL79" s="571">
        <f>+AJ79*AN79</f>
        <v>1297061.5</v>
      </c>
      <c r="AM79" s="992">
        <f>AL81</f>
        <v>1118526.54336</v>
      </c>
      <c r="AN79" s="402">
        <v>3.7058899999999997</v>
      </c>
      <c r="AO79" s="622">
        <f>Table1[[#This Row],[Total]]*B83/1000</f>
        <v>1802.5000000000002</v>
      </c>
      <c r="AP79" s="32" t="s">
        <v>334</v>
      </c>
      <c r="AQ79" s="33" t="s">
        <v>84</v>
      </c>
      <c r="AR79" s="33" t="s">
        <v>85</v>
      </c>
      <c r="AS79" s="33" t="s">
        <v>86</v>
      </c>
      <c r="AT79" s="33" t="s">
        <v>87</v>
      </c>
      <c r="AU79" s="33" t="s">
        <v>88</v>
      </c>
      <c r="AV79" s="34" t="s">
        <v>68</v>
      </c>
    </row>
    <row r="80" spans="1:48" s="644" customFormat="1" ht="19.899999999999999" customHeight="1">
      <c r="A80" s="224" t="s">
        <v>335</v>
      </c>
      <c r="B80" s="219" t="s">
        <v>339</v>
      </c>
      <c r="C80" s="510"/>
      <c r="D80" s="37" t="s">
        <v>90</v>
      </c>
      <c r="E80" s="1143">
        <f>IF(E79="",0,+ E79/E86)</f>
        <v>1000</v>
      </c>
      <c r="F80" s="1146">
        <f t="shared" ref="F80:AI80" si="179">IF(F79="",0, E80+F79/F86)</f>
        <v>2000</v>
      </c>
      <c r="G80" s="1265">
        <f t="shared" si="179"/>
        <v>3000</v>
      </c>
      <c r="H80" s="1146">
        <f t="shared" si="179"/>
        <v>4000</v>
      </c>
      <c r="I80" s="1146">
        <f t="shared" si="179"/>
        <v>5000</v>
      </c>
      <c r="J80" s="1265">
        <f t="shared" si="179"/>
        <v>5875</v>
      </c>
      <c r="K80" s="1265">
        <f t="shared" si="179"/>
        <v>6750</v>
      </c>
      <c r="L80" s="1146">
        <f t="shared" si="179"/>
        <v>6750</v>
      </c>
      <c r="M80" s="1146">
        <f t="shared" si="179"/>
        <v>6750</v>
      </c>
      <c r="N80" s="1146">
        <f t="shared" si="179"/>
        <v>7375</v>
      </c>
      <c r="O80" s="1146">
        <f t="shared" si="179"/>
        <v>8375</v>
      </c>
      <c r="P80" s="1146">
        <f t="shared" si="179"/>
        <v>9375</v>
      </c>
      <c r="Q80" s="1265">
        <f t="shared" si="179"/>
        <v>10375</v>
      </c>
      <c r="R80" s="1265">
        <f t="shared" si="179"/>
        <v>11375</v>
      </c>
      <c r="S80" s="1146">
        <f t="shared" si="179"/>
        <v>12375</v>
      </c>
      <c r="T80" s="1146">
        <f t="shared" si="179"/>
        <v>13375</v>
      </c>
      <c r="U80" s="1146">
        <f t="shared" si="179"/>
        <v>14375</v>
      </c>
      <c r="V80" s="1146">
        <f t="shared" si="179"/>
        <v>15375</v>
      </c>
      <c r="W80" s="1146">
        <f t="shared" si="179"/>
        <v>16375</v>
      </c>
      <c r="X80" s="1265">
        <f t="shared" si="179"/>
        <v>17375</v>
      </c>
      <c r="Y80" s="1265">
        <f t="shared" si="179"/>
        <v>18375</v>
      </c>
      <c r="Z80" s="1146">
        <f t="shared" si="179"/>
        <v>19375</v>
      </c>
      <c r="AA80" s="1146">
        <f>IF(AA79="",0, Z80+AA79/AA86)</f>
        <v>20375</v>
      </c>
      <c r="AB80" s="1146">
        <f>IF(AB79="",0, AA80+AB79/AB86)</f>
        <v>21375</v>
      </c>
      <c r="AC80" s="1146"/>
      <c r="AD80" s="1146">
        <f>IF(AD79="",0, AC80+AD79/AD86)</f>
        <v>0</v>
      </c>
      <c r="AE80" s="1265">
        <f>IF(AE79="",0, AD80+AE79/AE86)</f>
        <v>0</v>
      </c>
      <c r="AF80" s="1265">
        <f>IF(AF79="",0, AE80+AF79/AF86)</f>
        <v>0</v>
      </c>
      <c r="AG80" s="1146">
        <f>IF(AG79="",0, AC80+AG79/AG86)</f>
        <v>0</v>
      </c>
      <c r="AH80" s="1146">
        <f>IF(AH79="",0, AD80+AH79/AH86)</f>
        <v>0</v>
      </c>
      <c r="AI80" s="1440">
        <f t="shared" si="179"/>
        <v>0</v>
      </c>
      <c r="AJ80" s="661"/>
      <c r="AK80" s="661"/>
      <c r="AL80" s="572"/>
      <c r="AM80" s="915"/>
      <c r="AN80" s="449"/>
      <c r="AO80" s="675"/>
      <c r="AP80" s="39" t="s">
        <v>91</v>
      </c>
      <c r="AQ80" s="40">
        <f>SUM(E79:H79)</f>
        <v>64000</v>
      </c>
      <c r="AR80" s="41">
        <f>SUM(I79:O79)</f>
        <v>70000</v>
      </c>
      <c r="AS80" s="41">
        <f>SUM(P79:V79)</f>
        <v>112000</v>
      </c>
      <c r="AT80" s="41">
        <f>SUM(W79:AC79)</f>
        <v>104000</v>
      </c>
      <c r="AU80" s="41">
        <f>SUM(AD79:AI79)</f>
        <v>0</v>
      </c>
      <c r="AV80" s="34">
        <f t="shared" ref="AV80:AV85" si="180">SUM(AQ80:AU80)</f>
        <v>350000</v>
      </c>
    </row>
    <row r="81" spans="1:48" s="644" customFormat="1" ht="19.899999999999999" customHeight="1">
      <c r="A81" s="224" t="s">
        <v>335</v>
      </c>
      <c r="B81" s="89" t="s">
        <v>340</v>
      </c>
      <c r="C81" s="52" t="s">
        <v>95</v>
      </c>
      <c r="D81" s="43" t="s">
        <v>93</v>
      </c>
      <c r="E81" s="1108">
        <v>0</v>
      </c>
      <c r="F81" s="1089">
        <v>0</v>
      </c>
      <c r="G81" s="44">
        <v>0</v>
      </c>
      <c r="H81" s="1089">
        <v>0</v>
      </c>
      <c r="I81" s="1089">
        <v>6144</v>
      </c>
      <c r="J81" s="44">
        <v>16128</v>
      </c>
      <c r="K81" s="44">
        <v>15360</v>
      </c>
      <c r="L81" s="1089">
        <v>16896</v>
      </c>
      <c r="M81" s="1089">
        <v>15360</v>
      </c>
      <c r="N81" s="1089">
        <v>16896</v>
      </c>
      <c r="O81" s="1089">
        <v>16896</v>
      </c>
      <c r="P81" s="1089">
        <v>16896</v>
      </c>
      <c r="Q81" s="44">
        <v>16896</v>
      </c>
      <c r="R81" s="44">
        <v>15360</v>
      </c>
      <c r="S81" s="1089">
        <v>16896</v>
      </c>
      <c r="T81" s="1089">
        <v>16896</v>
      </c>
      <c r="U81" s="1089">
        <v>16896</v>
      </c>
      <c r="V81" s="1089">
        <v>16896</v>
      </c>
      <c r="W81" s="1089">
        <v>16896</v>
      </c>
      <c r="X81" s="44">
        <v>15360</v>
      </c>
      <c r="Y81" s="44">
        <v>15360</v>
      </c>
      <c r="Z81" s="1089">
        <v>16896</v>
      </c>
      <c r="AA81" s="1089">
        <v>16896</v>
      </c>
      <c r="AB81" s="1089"/>
      <c r="AC81" s="1089"/>
      <c r="AD81" s="1089"/>
      <c r="AE81" s="44"/>
      <c r="AF81" s="44"/>
      <c r="AG81" s="1089"/>
      <c r="AH81" s="1089"/>
      <c r="AI81" s="1326"/>
      <c r="AJ81" s="662">
        <f>SUM(E81:AI81)</f>
        <v>301824</v>
      </c>
      <c r="AK81" s="662"/>
      <c r="AL81" s="645">
        <f>+AJ81*AN79</f>
        <v>1118526.54336</v>
      </c>
      <c r="AM81" s="916"/>
      <c r="AN81" s="449"/>
      <c r="AO81" s="632">
        <f>(AJ81+AJ83+AJ84+AJ85)*B83/1000</f>
        <v>1574.8082000000002</v>
      </c>
      <c r="AP81" s="47" t="s">
        <v>94</v>
      </c>
      <c r="AQ81" s="48">
        <f>SUM(E81:H81)</f>
        <v>0</v>
      </c>
      <c r="AR81" s="49">
        <f>SUM(I81:O81)</f>
        <v>103680</v>
      </c>
      <c r="AS81" s="49">
        <f>SUM(P81:V81)</f>
        <v>116736</v>
      </c>
      <c r="AT81" s="49">
        <f>SUM(W81:AC81)</f>
        <v>81408</v>
      </c>
      <c r="AU81" s="49">
        <f>SUM(AD81:AI81)</f>
        <v>0</v>
      </c>
      <c r="AV81" s="50">
        <f t="shared" si="180"/>
        <v>301824</v>
      </c>
    </row>
    <row r="82" spans="1:48" s="644" customFormat="1" ht="19.899999999999999" customHeight="1">
      <c r="A82" s="224" t="s">
        <v>335</v>
      </c>
      <c r="B82" s="638" t="s">
        <v>247</v>
      </c>
      <c r="C82" s="379">
        <v>30000</v>
      </c>
      <c r="D82" s="53" t="s">
        <v>96</v>
      </c>
      <c r="E82" s="1137">
        <f t="shared" ref="E82:AJ82" si="181">+E81-E79</f>
        <v>-16000</v>
      </c>
      <c r="F82" s="1097">
        <f t="shared" si="181"/>
        <v>-16000</v>
      </c>
      <c r="G82" s="1205">
        <f t="shared" si="181"/>
        <v>-16000</v>
      </c>
      <c r="H82" s="1097">
        <f t="shared" si="181"/>
        <v>-16000</v>
      </c>
      <c r="I82" s="1097">
        <f t="shared" si="181"/>
        <v>-9856</v>
      </c>
      <c r="J82" s="1205">
        <f t="shared" si="181"/>
        <v>2128</v>
      </c>
      <c r="K82" s="1205">
        <v>0</v>
      </c>
      <c r="L82" s="1097">
        <f t="shared" si="181"/>
        <v>16896</v>
      </c>
      <c r="M82" s="1097">
        <f t="shared" si="181"/>
        <v>15360</v>
      </c>
      <c r="N82" s="1097">
        <f t="shared" si="181"/>
        <v>6896</v>
      </c>
      <c r="O82" s="1097">
        <f t="shared" si="181"/>
        <v>896</v>
      </c>
      <c r="P82" s="1097">
        <f t="shared" si="181"/>
        <v>896</v>
      </c>
      <c r="Q82" s="1205">
        <f t="shared" si="181"/>
        <v>896</v>
      </c>
      <c r="R82" s="1205">
        <f t="shared" si="181"/>
        <v>-640</v>
      </c>
      <c r="S82" s="1097">
        <f t="shared" si="181"/>
        <v>896</v>
      </c>
      <c r="T82" s="1097">
        <f t="shared" si="181"/>
        <v>896</v>
      </c>
      <c r="U82" s="1097">
        <f t="shared" si="181"/>
        <v>896</v>
      </c>
      <c r="V82" s="1097">
        <f t="shared" si="181"/>
        <v>896</v>
      </c>
      <c r="W82" s="1097">
        <f t="shared" si="181"/>
        <v>896</v>
      </c>
      <c r="X82" s="1205">
        <f t="shared" si="181"/>
        <v>-640</v>
      </c>
      <c r="Y82" s="1205">
        <f t="shared" si="181"/>
        <v>-640</v>
      </c>
      <c r="Z82" s="1097">
        <f t="shared" si="181"/>
        <v>896</v>
      </c>
      <c r="AA82" s="1097">
        <f t="shared" si="181"/>
        <v>896</v>
      </c>
      <c r="AB82" s="1097">
        <f t="shared" si="181"/>
        <v>-16000</v>
      </c>
      <c r="AC82" s="1097">
        <f t="shared" si="181"/>
        <v>-8000</v>
      </c>
      <c r="AD82" s="1097">
        <f t="shared" si="181"/>
        <v>0</v>
      </c>
      <c r="AE82" s="1205">
        <f t="shared" si="181"/>
        <v>0</v>
      </c>
      <c r="AF82" s="1205">
        <f t="shared" si="181"/>
        <v>0</v>
      </c>
      <c r="AG82" s="1097">
        <f t="shared" si="181"/>
        <v>0</v>
      </c>
      <c r="AH82" s="1097">
        <f t="shared" si="181"/>
        <v>0</v>
      </c>
      <c r="AI82" s="1328">
        <f t="shared" si="181"/>
        <v>0</v>
      </c>
      <c r="AJ82" s="663">
        <f t="shared" si="181"/>
        <v>-48176</v>
      </c>
      <c r="AK82" s="663"/>
      <c r="AL82" s="646">
        <f>+AJ82*AN79</f>
        <v>-178534.95663999999</v>
      </c>
      <c r="AM82" s="917"/>
      <c r="AN82" s="449" t="s">
        <v>97</v>
      </c>
      <c r="AO82" s="622"/>
      <c r="AP82" s="39" t="s">
        <v>98</v>
      </c>
      <c r="AQ82" s="56">
        <f>AQ81-AQ80</f>
        <v>-64000</v>
      </c>
      <c r="AR82" s="70">
        <f>AR81-AR80</f>
        <v>33680</v>
      </c>
      <c r="AS82" s="70">
        <f>AS81-AS80</f>
        <v>4736</v>
      </c>
      <c r="AT82" s="70">
        <f>AT81-AT80</f>
        <v>-22592</v>
      </c>
      <c r="AU82" s="70">
        <f>AU81-AU80</f>
        <v>0</v>
      </c>
      <c r="AV82" s="57">
        <f t="shared" si="180"/>
        <v>-48176</v>
      </c>
    </row>
    <row r="83" spans="1:48" s="644" customFormat="1" ht="19.899999999999999" customHeight="1">
      <c r="A83" s="224" t="s">
        <v>335</v>
      </c>
      <c r="B83" s="659">
        <v>5.15</v>
      </c>
      <c r="C83" s="521"/>
      <c r="D83" s="61" t="s">
        <v>101</v>
      </c>
      <c r="E83" s="1098">
        <f>120+160</f>
        <v>280</v>
      </c>
      <c r="F83" s="1099">
        <v>284</v>
      </c>
      <c r="G83" s="1208">
        <v>0</v>
      </c>
      <c r="H83" s="1112">
        <f>192+96+256</f>
        <v>544</v>
      </c>
      <c r="I83" s="1099">
        <f>192+16</f>
        <v>208</v>
      </c>
      <c r="J83" s="1208">
        <v>192</v>
      </c>
      <c r="K83" s="1208">
        <v>384</v>
      </c>
      <c r="L83" s="1099">
        <v>0</v>
      </c>
      <c r="M83" s="1099">
        <v>96</v>
      </c>
      <c r="N83" s="1099">
        <v>0</v>
      </c>
      <c r="O83" s="1099">
        <v>0</v>
      </c>
      <c r="P83" s="1099">
        <v>0</v>
      </c>
      <c r="Q83" s="1208">
        <v>0</v>
      </c>
      <c r="R83" s="1208">
        <f>192+192</f>
        <v>384</v>
      </c>
      <c r="S83" s="1099">
        <v>0</v>
      </c>
      <c r="T83" s="1099">
        <v>0</v>
      </c>
      <c r="U83" s="1099">
        <v>0</v>
      </c>
      <c r="V83" s="1099">
        <v>0</v>
      </c>
      <c r="W83" s="1099">
        <v>0</v>
      </c>
      <c r="X83" s="1208">
        <v>384</v>
      </c>
      <c r="Y83" s="1208">
        <v>352</v>
      </c>
      <c r="Z83" s="1099">
        <v>0</v>
      </c>
      <c r="AA83" s="1099">
        <v>8</v>
      </c>
      <c r="AB83" s="1099"/>
      <c r="AC83" s="1099"/>
      <c r="AD83" s="1099"/>
      <c r="AE83" s="1208"/>
      <c r="AF83" s="1208"/>
      <c r="AG83" s="1099"/>
      <c r="AH83" s="1099"/>
      <c r="AI83" s="1330"/>
      <c r="AJ83" s="664">
        <f>SUM(E83:AI83)</f>
        <v>3116</v>
      </c>
      <c r="AK83" s="664"/>
      <c r="AL83" s="647">
        <f>+AJ83*AN79</f>
        <v>11547.553239999999</v>
      </c>
      <c r="AM83" s="918"/>
      <c r="AN83" s="404">
        <f>+AJ83/AJ81*100</f>
        <v>1.0323897370653095</v>
      </c>
      <c r="AO83" s="635">
        <f>AO81/AO79</f>
        <v>0.87368000000000001</v>
      </c>
      <c r="AP83" s="39" t="s">
        <v>102</v>
      </c>
      <c r="AQ83" s="56">
        <f>SUM(E83:H83)</f>
        <v>1108</v>
      </c>
      <c r="AR83" s="70">
        <f>SUM(I83:O83)</f>
        <v>880</v>
      </c>
      <c r="AS83" s="70">
        <f>SUM(P83:V83)</f>
        <v>384</v>
      </c>
      <c r="AT83" s="70">
        <f>SUM(W83:AC83)</f>
        <v>744</v>
      </c>
      <c r="AU83" s="70">
        <f>SUM(AD83:AI83)</f>
        <v>0</v>
      </c>
      <c r="AV83" s="57">
        <f t="shared" si="180"/>
        <v>3116</v>
      </c>
    </row>
    <row r="84" spans="1:48" s="644" customFormat="1" ht="19.899999999999999" customHeight="1">
      <c r="A84" s="511"/>
      <c r="B84" s="65"/>
      <c r="C84" s="522"/>
      <c r="D84" s="67" t="s">
        <v>103</v>
      </c>
      <c r="E84" s="1100">
        <v>0</v>
      </c>
      <c r="F84" s="1101">
        <v>0</v>
      </c>
      <c r="G84" s="1209">
        <v>0</v>
      </c>
      <c r="H84" s="1101">
        <v>0</v>
      </c>
      <c r="I84" s="1101">
        <v>32</v>
      </c>
      <c r="J84" s="1209">
        <v>48</v>
      </c>
      <c r="K84" s="1209">
        <v>32</v>
      </c>
      <c r="L84" s="1101">
        <v>48</v>
      </c>
      <c r="M84" s="1101">
        <v>48</v>
      </c>
      <c r="N84" s="1101">
        <v>48</v>
      </c>
      <c r="O84" s="1101">
        <v>48</v>
      </c>
      <c r="P84" s="1101">
        <v>48</v>
      </c>
      <c r="Q84" s="1209">
        <v>48</v>
      </c>
      <c r="R84" s="1209">
        <v>48</v>
      </c>
      <c r="S84" s="1101">
        <v>48</v>
      </c>
      <c r="T84" s="1101">
        <v>48</v>
      </c>
      <c r="U84" s="1101">
        <v>16</v>
      </c>
      <c r="V84" s="1101">
        <v>48</v>
      </c>
      <c r="W84" s="1101">
        <v>48</v>
      </c>
      <c r="X84" s="1209">
        <v>48</v>
      </c>
      <c r="Y84" s="1209">
        <v>48</v>
      </c>
      <c r="Z84" s="1101">
        <v>48</v>
      </c>
      <c r="AA84" s="1101">
        <v>48</v>
      </c>
      <c r="AB84" s="1101"/>
      <c r="AC84" s="1101"/>
      <c r="AD84" s="1101"/>
      <c r="AE84" s="1209"/>
      <c r="AF84" s="1209"/>
      <c r="AG84" s="1101"/>
      <c r="AH84" s="1101"/>
      <c r="AI84" s="1332"/>
      <c r="AJ84" s="665">
        <f>SUM(E84:AI84)</f>
        <v>848</v>
      </c>
      <c r="AK84" s="665"/>
      <c r="AL84" s="648">
        <f>+AJ84*AN79</f>
        <v>3142.5947199999996</v>
      </c>
      <c r="AM84" s="919"/>
      <c r="AN84" s="449"/>
      <c r="AO84" s="622"/>
      <c r="AP84" s="39" t="s">
        <v>19</v>
      </c>
      <c r="AQ84" s="56">
        <f>AQ83*AN79</f>
        <v>4106.1261199999999</v>
      </c>
      <c r="AR84" s="56">
        <f>AR83*AN79</f>
        <v>3261.1831999999999</v>
      </c>
      <c r="AS84" s="56">
        <f>AS83*AN79</f>
        <v>1423.0617599999998</v>
      </c>
      <c r="AT84" s="56">
        <f>AT83*AN79</f>
        <v>2757.1821599999998</v>
      </c>
      <c r="AU84" s="56">
        <f>AU83*AN79</f>
        <v>0</v>
      </c>
      <c r="AV84" s="57">
        <f t="shared" si="180"/>
        <v>11547.553240000001</v>
      </c>
    </row>
    <row r="85" spans="1:48" s="644" customFormat="1" ht="19.899999999999999" customHeight="1">
      <c r="A85" s="511"/>
      <c r="B85" s="65"/>
      <c r="C85" s="89" t="s">
        <v>108</v>
      </c>
      <c r="D85" s="73" t="s">
        <v>105</v>
      </c>
      <c r="E85" s="1102">
        <v>0</v>
      </c>
      <c r="F85" s="1103">
        <v>0</v>
      </c>
      <c r="G85" s="1210">
        <v>0</v>
      </c>
      <c r="H85" s="1103">
        <v>0</v>
      </c>
      <c r="I85" s="1103">
        <v>0</v>
      </c>
      <c r="J85" s="1210">
        <v>0</v>
      </c>
      <c r="K85" s="1210">
        <v>0</v>
      </c>
      <c r="L85" s="1103">
        <v>0</v>
      </c>
      <c r="M85" s="1103">
        <v>0</v>
      </c>
      <c r="N85" s="1103">
        <v>0</v>
      </c>
      <c r="O85" s="1103">
        <v>0</v>
      </c>
      <c r="P85" s="1103">
        <v>0</v>
      </c>
      <c r="Q85" s="1210">
        <v>0</v>
      </c>
      <c r="R85" s="1210">
        <v>0</v>
      </c>
      <c r="S85" s="1103">
        <v>0</v>
      </c>
      <c r="T85" s="1103">
        <v>0</v>
      </c>
      <c r="U85" s="1103">
        <v>0</v>
      </c>
      <c r="V85" s="1103">
        <v>0</v>
      </c>
      <c r="W85" s="1103">
        <v>0</v>
      </c>
      <c r="X85" s="1210">
        <v>0</v>
      </c>
      <c r="Y85" s="1210">
        <v>0</v>
      </c>
      <c r="Z85" s="1103">
        <v>0</v>
      </c>
      <c r="AA85" s="1103">
        <v>0</v>
      </c>
      <c r="AB85" s="1103"/>
      <c r="AC85" s="1103"/>
      <c r="AD85" s="1103"/>
      <c r="AE85" s="1210"/>
      <c r="AF85" s="1210"/>
      <c r="AG85" s="1103"/>
      <c r="AH85" s="1103"/>
      <c r="AI85" s="1352"/>
      <c r="AJ85" s="666">
        <f>SUM(E85:AI85)</f>
        <v>0</v>
      </c>
      <c r="AK85" s="666"/>
      <c r="AL85" s="649">
        <f>+AJ85*AN80</f>
        <v>0</v>
      </c>
      <c r="AM85" s="920"/>
      <c r="AN85" s="449"/>
      <c r="AO85" s="622"/>
      <c r="AP85" s="47" t="s">
        <v>106</v>
      </c>
      <c r="AQ85" s="48">
        <f>AQ81*AN79</f>
        <v>0</v>
      </c>
      <c r="AR85" s="48">
        <f>AR81*AN79</f>
        <v>384226.67519999994</v>
      </c>
      <c r="AS85" s="48">
        <f>AS81*AN79</f>
        <v>432610.77503999998</v>
      </c>
      <c r="AT85" s="48">
        <f>AT81*AN79</f>
        <v>301689.09311999998</v>
      </c>
      <c r="AU85" s="48">
        <f>AU81*AN79</f>
        <v>0</v>
      </c>
      <c r="AV85" s="50">
        <f t="shared" si="180"/>
        <v>1118526.54336</v>
      </c>
    </row>
    <row r="86" spans="1:48" s="644" customFormat="1" ht="19.899999999999999" customHeight="1">
      <c r="A86" s="224" t="s">
        <v>335</v>
      </c>
      <c r="B86" s="65"/>
      <c r="C86" s="383">
        <f>+C82*0.8</f>
        <v>24000</v>
      </c>
      <c r="D86" s="78" t="s">
        <v>107</v>
      </c>
      <c r="E86" s="1137">
        <v>16</v>
      </c>
      <c r="F86" s="1097">
        <v>16</v>
      </c>
      <c r="G86" s="1205">
        <v>16</v>
      </c>
      <c r="H86" s="1097">
        <v>16</v>
      </c>
      <c r="I86" s="1097">
        <v>16</v>
      </c>
      <c r="J86" s="1205">
        <v>16</v>
      </c>
      <c r="K86" s="1205">
        <v>16</v>
      </c>
      <c r="L86" s="1097">
        <v>16</v>
      </c>
      <c r="M86" s="1097">
        <v>16</v>
      </c>
      <c r="N86" s="1097">
        <v>16</v>
      </c>
      <c r="O86" s="1097">
        <v>16</v>
      </c>
      <c r="P86" s="1097">
        <v>16</v>
      </c>
      <c r="Q86" s="1205">
        <v>16</v>
      </c>
      <c r="R86" s="1205">
        <v>16</v>
      </c>
      <c r="S86" s="1097">
        <v>16</v>
      </c>
      <c r="T86" s="1097">
        <v>16</v>
      </c>
      <c r="U86" s="1097">
        <v>16</v>
      </c>
      <c r="V86" s="1097">
        <v>16</v>
      </c>
      <c r="W86" s="1097">
        <v>16</v>
      </c>
      <c r="X86" s="1205">
        <v>16</v>
      </c>
      <c r="Y86" s="1205">
        <v>16</v>
      </c>
      <c r="Z86" s="1097">
        <v>16</v>
      </c>
      <c r="AA86" s="1097">
        <v>16</v>
      </c>
      <c r="AB86" s="1097">
        <v>16</v>
      </c>
      <c r="AC86" s="1097">
        <v>16</v>
      </c>
      <c r="AD86" s="1097">
        <v>16</v>
      </c>
      <c r="AE86" s="1205">
        <v>16</v>
      </c>
      <c r="AF86" s="1205">
        <v>16</v>
      </c>
      <c r="AG86" s="1097">
        <v>16</v>
      </c>
      <c r="AH86" s="1097">
        <v>16</v>
      </c>
      <c r="AI86" s="1328">
        <v>16</v>
      </c>
      <c r="AJ86" s="663"/>
      <c r="AK86" s="663"/>
      <c r="AL86" s="646"/>
      <c r="AM86" s="917"/>
      <c r="AN86" s="449"/>
      <c r="AO86" s="622"/>
      <c r="AQ86" s="48"/>
      <c r="AR86" s="48"/>
      <c r="AS86" s="48"/>
      <c r="AT86" s="48"/>
      <c r="AU86" s="48"/>
    </row>
    <row r="87" spans="1:48" s="644" customFormat="1" ht="19.899999999999999" customHeight="1">
      <c r="A87" s="224" t="s">
        <v>335</v>
      </c>
      <c r="B87" s="42"/>
      <c r="C87" s="514"/>
      <c r="D87" s="81" t="s">
        <v>109</v>
      </c>
      <c r="E87" s="1105">
        <f>SUM(E81+E83+E84+E85)/E86</f>
        <v>17.5</v>
      </c>
      <c r="F87" s="1105">
        <f>SUM(F81+F83+F84+F85)/F86</f>
        <v>17.75</v>
      </c>
      <c r="G87" s="1198">
        <f>SUM(G81+G83+G84+G85)/G86</f>
        <v>0</v>
      </c>
      <c r="H87" s="1105">
        <f t="shared" ref="H87:AH87" si="182">SUM(H81+H83+H84+H85)/H86</f>
        <v>34</v>
      </c>
      <c r="I87" s="1105">
        <f t="shared" si="182"/>
        <v>399</v>
      </c>
      <c r="J87" s="1198">
        <f t="shared" si="182"/>
        <v>1023</v>
      </c>
      <c r="K87" s="1198">
        <f t="shared" si="182"/>
        <v>986</v>
      </c>
      <c r="L87" s="1105">
        <f t="shared" si="182"/>
        <v>1059</v>
      </c>
      <c r="M87" s="1105">
        <f t="shared" si="182"/>
        <v>969</v>
      </c>
      <c r="N87" s="1105">
        <f t="shared" si="182"/>
        <v>1059</v>
      </c>
      <c r="O87" s="1105">
        <f t="shared" si="182"/>
        <v>1059</v>
      </c>
      <c r="P87" s="1105">
        <f t="shared" si="182"/>
        <v>1059</v>
      </c>
      <c r="Q87" s="1198">
        <f t="shared" si="182"/>
        <v>1059</v>
      </c>
      <c r="R87" s="1198">
        <f t="shared" si="182"/>
        <v>987</v>
      </c>
      <c r="S87" s="1105">
        <f t="shared" si="182"/>
        <v>1059</v>
      </c>
      <c r="T87" s="1105">
        <f t="shared" si="182"/>
        <v>1059</v>
      </c>
      <c r="U87" s="1105">
        <f t="shared" si="182"/>
        <v>1057</v>
      </c>
      <c r="V87" s="1105">
        <f t="shared" si="182"/>
        <v>1059</v>
      </c>
      <c r="W87" s="1105">
        <f t="shared" si="182"/>
        <v>1059</v>
      </c>
      <c r="X87" s="1198">
        <f t="shared" si="182"/>
        <v>987</v>
      </c>
      <c r="Y87" s="1198">
        <f t="shared" si="182"/>
        <v>985</v>
      </c>
      <c r="Z87" s="1105">
        <f t="shared" si="182"/>
        <v>1059</v>
      </c>
      <c r="AA87" s="1105">
        <f t="shared" si="182"/>
        <v>1059.5</v>
      </c>
      <c r="AB87" s="1105">
        <f t="shared" si="182"/>
        <v>0</v>
      </c>
      <c r="AC87" s="1105">
        <f t="shared" si="182"/>
        <v>0</v>
      </c>
      <c r="AD87" s="1105">
        <f t="shared" si="182"/>
        <v>0</v>
      </c>
      <c r="AE87" s="1198">
        <f t="shared" si="182"/>
        <v>0</v>
      </c>
      <c r="AF87" s="1198">
        <f t="shared" si="182"/>
        <v>0</v>
      </c>
      <c r="AG87" s="1105">
        <f t="shared" si="182"/>
        <v>0</v>
      </c>
      <c r="AH87" s="1105">
        <f t="shared" si="182"/>
        <v>0</v>
      </c>
      <c r="AI87" s="1353">
        <f>SUM(AI81+AI83+AI84)/AI86</f>
        <v>0</v>
      </c>
      <c r="AJ87" s="104">
        <f>SUM(E87:AI87)</f>
        <v>19111.75</v>
      </c>
      <c r="AK87" s="104"/>
      <c r="AL87" s="650"/>
      <c r="AM87" s="921"/>
      <c r="AN87" s="449"/>
      <c r="AO87" s="622"/>
    </row>
    <row r="88" spans="1:48" s="644" customFormat="1" ht="19.899999999999999" customHeight="1">
      <c r="A88" s="224" t="s">
        <v>335</v>
      </c>
      <c r="B88" s="518"/>
      <c r="C88" s="72"/>
      <c r="D88" s="85" t="s">
        <v>110</v>
      </c>
      <c r="E88" s="1105"/>
      <c r="F88" s="1106"/>
      <c r="G88" s="1211"/>
      <c r="H88" s="1104"/>
      <c r="I88" s="1104"/>
      <c r="J88" s="1211"/>
      <c r="K88" s="1211"/>
      <c r="L88" s="1104"/>
      <c r="M88" s="1104"/>
      <c r="N88" s="1104"/>
      <c r="O88" s="1104"/>
      <c r="P88" s="1104"/>
      <c r="Q88" s="1211"/>
      <c r="R88" s="1211"/>
      <c r="S88" s="1104"/>
      <c r="T88" s="1104"/>
      <c r="U88" s="1104"/>
      <c r="V88" s="1104"/>
      <c r="W88" s="1104"/>
      <c r="X88" s="1211"/>
      <c r="Y88" s="1211"/>
      <c r="Z88" s="1104"/>
      <c r="AA88" s="1104"/>
      <c r="AB88" s="1104"/>
      <c r="AC88" s="1104"/>
      <c r="AD88" s="1104"/>
      <c r="AE88" s="1211"/>
      <c r="AF88" s="1211"/>
      <c r="AG88" s="1104"/>
      <c r="AH88" s="1104"/>
      <c r="AI88" s="1353"/>
      <c r="AJ88" s="667"/>
      <c r="AK88" s="667"/>
      <c r="AL88" s="703"/>
      <c r="AM88" s="922"/>
      <c r="AN88" s="449"/>
      <c r="AO88" s="622"/>
    </row>
    <row r="89" spans="1:48" s="644" customFormat="1" ht="19.899999999999999" customHeight="1">
      <c r="A89" s="224" t="s">
        <v>335</v>
      </c>
      <c r="B89" s="89"/>
      <c r="C89" s="72" t="s">
        <v>104</v>
      </c>
      <c r="D89" s="88" t="s">
        <v>111</v>
      </c>
      <c r="E89" s="1108">
        <f>IF(E88="O/H",E87,0+E87)</f>
        <v>17.5</v>
      </c>
      <c r="F89" s="1089">
        <f t="shared" ref="F89:AI89" si="183">IF(F88="O/H",F87,+E89+F87)</f>
        <v>35.25</v>
      </c>
      <c r="G89" s="44">
        <f t="shared" si="183"/>
        <v>35.25</v>
      </c>
      <c r="H89" s="1089">
        <f t="shared" si="183"/>
        <v>69.25</v>
      </c>
      <c r="I89" s="1089">
        <f t="shared" si="183"/>
        <v>468.25</v>
      </c>
      <c r="J89" s="44">
        <f t="shared" si="183"/>
        <v>1491.25</v>
      </c>
      <c r="K89" s="44">
        <f t="shared" si="183"/>
        <v>2477.25</v>
      </c>
      <c r="L89" s="1089">
        <f t="shared" si="183"/>
        <v>3536.25</v>
      </c>
      <c r="M89" s="1089">
        <f t="shared" si="183"/>
        <v>4505.25</v>
      </c>
      <c r="N89" s="1089">
        <f t="shared" si="183"/>
        <v>5564.25</v>
      </c>
      <c r="O89" s="1089">
        <f t="shared" si="183"/>
        <v>6623.25</v>
      </c>
      <c r="P89" s="1089">
        <f t="shared" si="183"/>
        <v>7682.25</v>
      </c>
      <c r="Q89" s="44">
        <f t="shared" si="183"/>
        <v>8741.25</v>
      </c>
      <c r="R89" s="44">
        <f t="shared" si="183"/>
        <v>9728.25</v>
      </c>
      <c r="S89" s="1089">
        <f t="shared" si="183"/>
        <v>10787.25</v>
      </c>
      <c r="T89" s="1089">
        <f t="shared" si="183"/>
        <v>11846.25</v>
      </c>
      <c r="U89" s="1089">
        <f t="shared" si="183"/>
        <v>12903.25</v>
      </c>
      <c r="V89" s="1089">
        <f t="shared" si="183"/>
        <v>13962.25</v>
      </c>
      <c r="W89" s="1089">
        <f t="shared" si="183"/>
        <v>15021.25</v>
      </c>
      <c r="X89" s="44">
        <f t="shared" si="183"/>
        <v>16008.25</v>
      </c>
      <c r="Y89" s="44">
        <f t="shared" si="183"/>
        <v>16993.25</v>
      </c>
      <c r="Z89" s="1089">
        <f t="shared" si="183"/>
        <v>18052.25</v>
      </c>
      <c r="AA89" s="1089">
        <f t="shared" si="183"/>
        <v>19111.75</v>
      </c>
      <c r="AB89" s="1089">
        <f t="shared" si="183"/>
        <v>19111.75</v>
      </c>
      <c r="AC89" s="1089">
        <f t="shared" si="183"/>
        <v>19111.75</v>
      </c>
      <c r="AD89" s="1089">
        <f t="shared" si="183"/>
        <v>19111.75</v>
      </c>
      <c r="AE89" s="44">
        <f t="shared" si="183"/>
        <v>19111.75</v>
      </c>
      <c r="AF89" s="44">
        <f t="shared" si="183"/>
        <v>19111.75</v>
      </c>
      <c r="AG89" s="1089">
        <f t="shared" si="183"/>
        <v>19111.75</v>
      </c>
      <c r="AH89" s="1089">
        <f t="shared" si="183"/>
        <v>19111.75</v>
      </c>
      <c r="AI89" s="1326">
        <f t="shared" si="183"/>
        <v>19111.75</v>
      </c>
      <c r="AJ89" s="663"/>
      <c r="AK89" s="667"/>
      <c r="AL89" s="704"/>
      <c r="AM89" s="923"/>
      <c r="AN89" s="449"/>
      <c r="AO89" s="622"/>
    </row>
    <row r="90" spans="1:48" s="23" customFormat="1" ht="20.65" customHeight="1">
      <c r="A90" s="274"/>
      <c r="B90" s="312"/>
      <c r="C90" s="308">
        <v>300000</v>
      </c>
      <c r="D90" s="795" t="s">
        <v>112</v>
      </c>
      <c r="E90" s="1108">
        <f>IF(AND(ISNUMBER(E81)),253868+E87)</f>
        <v>253885.5</v>
      </c>
      <c r="F90" s="1089">
        <f>IF(AND(ISNUMBER(F81)),E90+F87,"")</f>
        <v>253903.25</v>
      </c>
      <c r="G90" s="44">
        <f t="shared" ref="G90" si="184">IF(AND(ISNUMBER(G81)),F90+G87,"")</f>
        <v>253903.25</v>
      </c>
      <c r="H90" s="1089">
        <f t="shared" ref="H90" si="185">IF(AND(ISNUMBER(H81)),G90+H87,"")</f>
        <v>253937.25</v>
      </c>
      <c r="I90" s="1089">
        <f>IF(AND(ISNUMBER(I81)),H90+I87,"")</f>
        <v>254336.25</v>
      </c>
      <c r="J90" s="44">
        <f>IF(AND(ISNUMBER(J81)),I90+J87,"")</f>
        <v>255359.25</v>
      </c>
      <c r="K90" s="44">
        <f>IF(AND(ISNUMBER(K81)),J90+K87,"")</f>
        <v>256345.25</v>
      </c>
      <c r="L90" s="1089">
        <f t="shared" ref="L90" si="186">IF(AND(ISNUMBER(L81)),K90+L87,"")</f>
        <v>257404.25</v>
      </c>
      <c r="M90" s="1089">
        <f t="shared" ref="M90" si="187">IF(AND(ISNUMBER(M81)),L90+M87,"")</f>
        <v>258373.25</v>
      </c>
      <c r="N90" s="1089">
        <f t="shared" ref="N90" si="188">IF(AND(ISNUMBER(N81)),M90+N87,"")</f>
        <v>259432.25</v>
      </c>
      <c r="O90" s="1089">
        <f t="shared" ref="O90" si="189">IF(AND(ISNUMBER(O81)),N90+O87,"")</f>
        <v>260491.25</v>
      </c>
      <c r="P90" s="1089">
        <f t="shared" ref="P90" si="190">IF(AND(ISNUMBER(P81)),O90+P87,"")</f>
        <v>261550.25</v>
      </c>
      <c r="Q90" s="44">
        <f t="shared" ref="Q90" si="191">IF(AND(ISNUMBER(Q81)),P90+Q87,"")</f>
        <v>262609.25</v>
      </c>
      <c r="R90" s="44">
        <f t="shared" ref="R90" si="192">IF(AND(ISNUMBER(R81)),Q90+R87,"")</f>
        <v>263596.25</v>
      </c>
      <c r="S90" s="1089">
        <f t="shared" ref="S90" si="193">IF(AND(ISNUMBER(S81)),R90+S87,"")</f>
        <v>264655.25</v>
      </c>
      <c r="T90" s="1089">
        <f t="shared" ref="T90" si="194">IF(AND(ISNUMBER(T81)),S90+T87,"")</f>
        <v>265714.25</v>
      </c>
      <c r="U90" s="1089">
        <f t="shared" ref="U90" si="195">IF(AND(ISNUMBER(U81)),T90+U87,"")</f>
        <v>266771.25</v>
      </c>
      <c r="V90" s="1089">
        <f t="shared" ref="V90" si="196">IF(AND(ISNUMBER(V81)),U90+V87,"")</f>
        <v>267830.25</v>
      </c>
      <c r="W90" s="1089">
        <f t="shared" ref="W90" si="197">IF(AND(ISNUMBER(W81)),V90+W87,"")</f>
        <v>268889.25</v>
      </c>
      <c r="X90" s="44">
        <f t="shared" ref="X90" si="198">IF(AND(ISNUMBER(X81)),W90+X87,"")</f>
        <v>269876.25</v>
      </c>
      <c r="Y90" s="44">
        <f t="shared" ref="Y90" si="199">IF(AND(ISNUMBER(Y81)),X90+Y87,"")</f>
        <v>270861.25</v>
      </c>
      <c r="Z90" s="1089">
        <f t="shared" ref="Z90" si="200">IF(AND(ISNUMBER(Z81)),Y90+Z87,"")</f>
        <v>271920.25</v>
      </c>
      <c r="AA90" s="1089">
        <f t="shared" ref="AA90" si="201">IF(AND(ISNUMBER(AA81)),Z90+AA87,"")</f>
        <v>272979.75</v>
      </c>
      <c r="AB90" s="1089" t="str">
        <f t="shared" ref="AB90" si="202">IF(AND(ISNUMBER(AB81)),AA90+AB87,"")</f>
        <v/>
      </c>
      <c r="AC90" s="1089" t="str">
        <f t="shared" ref="AC90" si="203">IF(AND(ISNUMBER(AC81)),AB90+AC87,"")</f>
        <v/>
      </c>
      <c r="AD90" s="1089" t="str">
        <f t="shared" ref="AD90" si="204">IF(AND(ISNUMBER(AD81)),AC90+AD87,"")</f>
        <v/>
      </c>
      <c r="AE90" s="44" t="str">
        <f t="shared" ref="AE90" si="205">IF(AND(ISNUMBER(AE81)),AD90+AE87,"")</f>
        <v/>
      </c>
      <c r="AF90" s="44" t="str">
        <f t="shared" ref="AF90" si="206">IF(AND(ISNUMBER(AF81)),AE90+AF87,"")</f>
        <v/>
      </c>
      <c r="AG90" s="1089" t="str">
        <f t="shared" ref="AG90" si="207">IF(AND(ISNUMBER(AG81)),AF90+AG87,"")</f>
        <v/>
      </c>
      <c r="AH90" s="1089" t="str">
        <f t="shared" ref="AH90" si="208">IF(AND(ISNUMBER(AH81)),AG90+AH87,"")</f>
        <v/>
      </c>
      <c r="AI90" s="1089" t="str">
        <f t="shared" ref="AI90" si="209">IF(AND(ISNUMBER(AI81)),AH90+AI87,"")</f>
        <v/>
      </c>
      <c r="AJ90" s="793"/>
      <c r="AK90" s="793"/>
      <c r="AL90" s="909"/>
      <c r="AM90" s="890"/>
      <c r="AN90" s="91"/>
      <c r="AO90" s="630"/>
      <c r="AP90" s="285"/>
      <c r="AQ90" s="285"/>
      <c r="AR90" s="285"/>
      <c r="AS90" s="285"/>
      <c r="AT90" s="286"/>
      <c r="AU90" s="285"/>
      <c r="AV90" s="287"/>
    </row>
    <row r="91" spans="1:48" s="644" customFormat="1" ht="19.899999999999999" customHeight="1">
      <c r="A91" s="224"/>
      <c r="B91" s="89" t="s">
        <v>341</v>
      </c>
      <c r="C91" s="89" t="s">
        <v>108</v>
      </c>
      <c r="D91" s="90" t="s">
        <v>104</v>
      </c>
      <c r="E91" s="1108"/>
      <c r="F91" s="1089"/>
      <c r="G91" s="44"/>
      <c r="H91" s="1089"/>
      <c r="I91" s="1089"/>
      <c r="J91" s="44"/>
      <c r="K91" s="44"/>
      <c r="L91" s="1089"/>
      <c r="M91" s="1089"/>
      <c r="N91" s="1089"/>
      <c r="O91" s="1089"/>
      <c r="P91" s="1089"/>
      <c r="Q91" s="44"/>
      <c r="R91" s="44"/>
      <c r="S91" s="1089"/>
      <c r="T91" s="1089"/>
      <c r="U91" s="1089"/>
      <c r="V91" s="1089"/>
      <c r="W91" s="1089"/>
      <c r="X91" s="44"/>
      <c r="Y91" s="44"/>
      <c r="Z91" s="1089"/>
      <c r="AA91" s="1089"/>
      <c r="AB91" s="1089"/>
      <c r="AC91" s="1089"/>
      <c r="AD91" s="1089"/>
      <c r="AE91" s="44"/>
      <c r="AF91" s="44"/>
      <c r="AG91" s="1089"/>
      <c r="AH91" s="1089"/>
      <c r="AI91" s="1326"/>
      <c r="AJ91" s="663"/>
      <c r="AK91" s="663"/>
      <c r="AL91" s="647"/>
      <c r="AM91" s="924"/>
      <c r="AN91" s="449"/>
      <c r="AO91" s="622"/>
    </row>
    <row r="92" spans="1:48" s="644" customFormat="1" ht="19.899999999999999" customHeight="1" thickBot="1">
      <c r="A92" s="516"/>
      <c r="B92" s="517"/>
      <c r="C92" s="94">
        <f>+C90*0.8</f>
        <v>240000</v>
      </c>
      <c r="D92" s="88" t="s">
        <v>111</v>
      </c>
      <c r="E92" s="1109">
        <f>IF(E91="O/H",E87,831+E87)</f>
        <v>848.5</v>
      </c>
      <c r="F92" s="1110">
        <f t="shared" ref="F92:AI92" si="210">IF(F91="O/H",F87,+E92+F87)</f>
        <v>866.25</v>
      </c>
      <c r="G92" s="1212">
        <f t="shared" si="210"/>
        <v>866.25</v>
      </c>
      <c r="H92" s="1110">
        <f t="shared" si="210"/>
        <v>900.25</v>
      </c>
      <c r="I92" s="1110">
        <f t="shared" si="210"/>
        <v>1299.25</v>
      </c>
      <c r="J92" s="1212">
        <f t="shared" si="210"/>
        <v>2322.25</v>
      </c>
      <c r="K92" s="1212">
        <f t="shared" si="210"/>
        <v>3308.25</v>
      </c>
      <c r="L92" s="1110">
        <f t="shared" si="210"/>
        <v>4367.25</v>
      </c>
      <c r="M92" s="1110">
        <f t="shared" si="210"/>
        <v>5336.25</v>
      </c>
      <c r="N92" s="1110">
        <f t="shared" si="210"/>
        <v>6395.25</v>
      </c>
      <c r="O92" s="1110">
        <f t="shared" si="210"/>
        <v>7454.25</v>
      </c>
      <c r="P92" s="1110">
        <f t="shared" si="210"/>
        <v>8513.25</v>
      </c>
      <c r="Q92" s="1212">
        <f t="shared" si="210"/>
        <v>9572.25</v>
      </c>
      <c r="R92" s="1212">
        <f t="shared" si="210"/>
        <v>10559.25</v>
      </c>
      <c r="S92" s="1110">
        <f t="shared" si="210"/>
        <v>11618.25</v>
      </c>
      <c r="T92" s="1110">
        <f t="shared" si="210"/>
        <v>12677.25</v>
      </c>
      <c r="U92" s="1110">
        <f t="shared" si="210"/>
        <v>13734.25</v>
      </c>
      <c r="V92" s="1110">
        <f t="shared" si="210"/>
        <v>14793.25</v>
      </c>
      <c r="W92" s="1110">
        <f t="shared" si="210"/>
        <v>15852.25</v>
      </c>
      <c r="X92" s="1212">
        <f t="shared" si="210"/>
        <v>16839.25</v>
      </c>
      <c r="Y92" s="1212">
        <f t="shared" si="210"/>
        <v>17824.25</v>
      </c>
      <c r="Z92" s="1110">
        <f t="shared" si="210"/>
        <v>18883.25</v>
      </c>
      <c r="AA92" s="1110">
        <f t="shared" si="210"/>
        <v>19942.75</v>
      </c>
      <c r="AB92" s="1110">
        <v>0</v>
      </c>
      <c r="AC92" s="1110">
        <f t="shared" si="210"/>
        <v>0</v>
      </c>
      <c r="AD92" s="1110">
        <f t="shared" ref="AD92" si="211">IF(AD91="O/H",AD87,+AC92+AD87)</f>
        <v>0</v>
      </c>
      <c r="AE92" s="1212">
        <f t="shared" ref="AE92" si="212">IF(AE91="O/H",AE87,+AD92+AE87)</f>
        <v>0</v>
      </c>
      <c r="AF92" s="1212">
        <v>0</v>
      </c>
      <c r="AG92" s="1110">
        <f t="shared" si="210"/>
        <v>0</v>
      </c>
      <c r="AH92" s="1110">
        <f t="shared" si="210"/>
        <v>0</v>
      </c>
      <c r="AI92" s="1340">
        <f t="shared" si="210"/>
        <v>0</v>
      </c>
      <c r="AJ92" s="668"/>
      <c r="AK92" s="668"/>
      <c r="AL92" s="705"/>
      <c r="AM92" s="925"/>
      <c r="AN92" s="567"/>
      <c r="AO92" s="625"/>
    </row>
    <row r="93" spans="1:48" s="644" customFormat="1" ht="19.899999999999999" hidden="1" customHeight="1" thickTop="1">
      <c r="A93" s="228" t="s">
        <v>607</v>
      </c>
      <c r="B93" s="219" t="s">
        <v>720</v>
      </c>
      <c r="C93" s="418" t="str">
        <f>Table1[[#This Row],[M/C No.]]</f>
        <v>A2(100ton)</v>
      </c>
      <c r="D93" s="28" t="s">
        <v>82</v>
      </c>
      <c r="E93" s="1124"/>
      <c r="F93" s="1124"/>
      <c r="G93" s="1242"/>
      <c r="H93" s="1124"/>
      <c r="I93" s="1124"/>
      <c r="J93" s="1242"/>
      <c r="K93" s="1242"/>
      <c r="L93" s="1124"/>
      <c r="M93" s="1124"/>
      <c r="N93" s="1124"/>
      <c r="O93" s="1124"/>
      <c r="P93" s="1124"/>
      <c r="Q93" s="1242"/>
      <c r="R93" s="1242"/>
      <c r="S93" s="1124"/>
      <c r="T93" s="1124"/>
      <c r="U93" s="1124"/>
      <c r="V93" s="1124"/>
      <c r="W93" s="1124"/>
      <c r="X93" s="1242"/>
      <c r="Y93" s="1242"/>
      <c r="Z93" s="1124"/>
      <c r="AA93" s="1124"/>
      <c r="AB93" s="1124"/>
      <c r="AC93" s="1124"/>
      <c r="AD93" s="1124"/>
      <c r="AE93" s="1242"/>
      <c r="AF93" s="1242"/>
      <c r="AG93" s="1124"/>
      <c r="AH93" s="1124"/>
      <c r="AI93" s="1124"/>
      <c r="AJ93" s="570">
        <f>SUM(E93:AI93)</f>
        <v>0</v>
      </c>
      <c r="AK93" s="1015">
        <f>AJ95</f>
        <v>0</v>
      </c>
      <c r="AL93" s="572">
        <f>+AJ93*AN93</f>
        <v>0</v>
      </c>
      <c r="AM93" s="1002">
        <f>AL95</f>
        <v>0</v>
      </c>
      <c r="AN93" s="446">
        <v>4.4848299999999997</v>
      </c>
      <c r="AO93" s="633">
        <f>Table1[[#This Row],[Total]]*B97/1000</f>
        <v>0</v>
      </c>
      <c r="AP93" s="32" t="s">
        <v>334</v>
      </c>
      <c r="AQ93" s="33" t="s">
        <v>84</v>
      </c>
      <c r="AR93" s="33" t="s">
        <v>85</v>
      </c>
      <c r="AS93" s="33" t="s">
        <v>86</v>
      </c>
      <c r="AT93" s="33" t="s">
        <v>87</v>
      </c>
      <c r="AU93" s="33" t="s">
        <v>88</v>
      </c>
      <c r="AV93" s="34" t="s">
        <v>68</v>
      </c>
    </row>
    <row r="94" spans="1:48" s="644" customFormat="1" ht="19.899999999999999" hidden="1" customHeight="1">
      <c r="A94" s="224" t="s">
        <v>335</v>
      </c>
      <c r="B94" s="219" t="s">
        <v>342</v>
      </c>
      <c r="C94" s="510"/>
      <c r="D94" s="37" t="s">
        <v>90</v>
      </c>
      <c r="E94" s="1143">
        <f>IF(E93="",0,+ E93/E100)</f>
        <v>0</v>
      </c>
      <c r="F94" s="1146">
        <f t="shared" ref="F94:AI94" si="213">IF(F93="",0, E94+F93/F100)</f>
        <v>0</v>
      </c>
      <c r="G94" s="1265">
        <f t="shared" si="213"/>
        <v>0</v>
      </c>
      <c r="H94" s="1146">
        <f t="shared" si="213"/>
        <v>0</v>
      </c>
      <c r="I94" s="1146">
        <f t="shared" si="213"/>
        <v>0</v>
      </c>
      <c r="J94" s="1265">
        <f t="shared" si="213"/>
        <v>0</v>
      </c>
      <c r="K94" s="1265">
        <f t="shared" si="213"/>
        <v>0</v>
      </c>
      <c r="L94" s="1146">
        <f t="shared" si="213"/>
        <v>0</v>
      </c>
      <c r="M94" s="1146">
        <f t="shared" si="213"/>
        <v>0</v>
      </c>
      <c r="N94" s="1146">
        <f t="shared" si="213"/>
        <v>0</v>
      </c>
      <c r="O94" s="1146">
        <f t="shared" si="213"/>
        <v>0</v>
      </c>
      <c r="P94" s="1146">
        <f t="shared" si="213"/>
        <v>0</v>
      </c>
      <c r="Q94" s="1265">
        <f t="shared" si="213"/>
        <v>0</v>
      </c>
      <c r="R94" s="1265">
        <f t="shared" si="213"/>
        <v>0</v>
      </c>
      <c r="S94" s="1146">
        <f t="shared" si="213"/>
        <v>0</v>
      </c>
      <c r="T94" s="1146">
        <f t="shared" si="213"/>
        <v>0</v>
      </c>
      <c r="U94" s="1146">
        <f t="shared" si="213"/>
        <v>0</v>
      </c>
      <c r="V94" s="1146">
        <f t="shared" si="213"/>
        <v>0</v>
      </c>
      <c r="W94" s="1146">
        <f t="shared" si="213"/>
        <v>0</v>
      </c>
      <c r="X94" s="1265">
        <f t="shared" si="213"/>
        <v>0</v>
      </c>
      <c r="Y94" s="1265">
        <f t="shared" si="213"/>
        <v>0</v>
      </c>
      <c r="Z94" s="1146">
        <f t="shared" si="213"/>
        <v>0</v>
      </c>
      <c r="AA94" s="1146">
        <f t="shared" si="213"/>
        <v>0</v>
      </c>
      <c r="AB94" s="1146">
        <f t="shared" si="213"/>
        <v>0</v>
      </c>
      <c r="AC94" s="1146">
        <f t="shared" si="213"/>
        <v>0</v>
      </c>
      <c r="AD94" s="1146">
        <f t="shared" si="213"/>
        <v>0</v>
      </c>
      <c r="AE94" s="1265">
        <f t="shared" si="213"/>
        <v>0</v>
      </c>
      <c r="AF94" s="1265">
        <f t="shared" si="213"/>
        <v>0</v>
      </c>
      <c r="AG94" s="1146">
        <f t="shared" si="213"/>
        <v>0</v>
      </c>
      <c r="AH94" s="1146">
        <f t="shared" si="213"/>
        <v>0</v>
      </c>
      <c r="AI94" s="1440">
        <f t="shared" si="213"/>
        <v>0</v>
      </c>
      <c r="AJ94" s="663"/>
      <c r="AK94" s="663"/>
      <c r="AL94" s="646"/>
      <c r="AM94" s="926"/>
      <c r="AN94" s="448"/>
      <c r="AO94" s="677"/>
      <c r="AP94" s="39" t="s">
        <v>91</v>
      </c>
      <c r="AQ94" s="40">
        <f>SUM(E93:F93)</f>
        <v>0</v>
      </c>
      <c r="AR94" s="41">
        <f>SUM(G93:M93)</f>
        <v>0</v>
      </c>
      <c r="AS94" s="41">
        <f>SUM(N93:T93)</f>
        <v>0</v>
      </c>
      <c r="AT94" s="41">
        <f>SUM(U93:AA93)</f>
        <v>0</v>
      </c>
      <c r="AU94" s="41">
        <f>SUM(AB93:AI93)</f>
        <v>0</v>
      </c>
      <c r="AV94" s="34">
        <f t="shared" ref="AV94:AV99" si="214">SUM(AQ94:AU94)</f>
        <v>0</v>
      </c>
    </row>
    <row r="95" spans="1:48" s="644" customFormat="1" ht="19.899999999999999" hidden="1" customHeight="1">
      <c r="A95" s="224" t="s">
        <v>335</v>
      </c>
      <c r="B95" s="89" t="s">
        <v>337</v>
      </c>
      <c r="C95" s="52" t="s">
        <v>95</v>
      </c>
      <c r="D95" s="43" t="s">
        <v>93</v>
      </c>
      <c r="E95" s="1325"/>
      <c r="F95" s="1089"/>
      <c r="G95" s="44"/>
      <c r="H95" s="1089"/>
      <c r="I95" s="1089"/>
      <c r="J95" s="44"/>
      <c r="K95" s="44"/>
      <c r="L95" s="1089"/>
      <c r="M95" s="1089"/>
      <c r="N95" s="1089"/>
      <c r="O95" s="1089"/>
      <c r="P95" s="1089"/>
      <c r="Q95" s="44"/>
      <c r="R95" s="44"/>
      <c r="S95" s="1089"/>
      <c r="T95" s="1089"/>
      <c r="U95" s="1089"/>
      <c r="V95" s="1089"/>
      <c r="W95" s="1089"/>
      <c r="X95" s="44"/>
      <c r="Y95" s="44"/>
      <c r="Z95" s="1089"/>
      <c r="AA95" s="1089"/>
      <c r="AB95" s="1089"/>
      <c r="AC95" s="1089"/>
      <c r="AD95" s="1089"/>
      <c r="AE95" s="44"/>
      <c r="AF95" s="44"/>
      <c r="AG95" s="1089"/>
      <c r="AH95" s="1089"/>
      <c r="AI95" s="1326"/>
      <c r="AJ95" s="662">
        <f>SUM(E95:AI95)</f>
        <v>0</v>
      </c>
      <c r="AK95" s="662"/>
      <c r="AL95" s="645">
        <f>+AJ95*AN93</f>
        <v>0</v>
      </c>
      <c r="AM95" s="916"/>
      <c r="AN95" s="449"/>
      <c r="AO95" s="632">
        <f>(AJ95+AJ97+AJ98+AJ99)*B97/1000</f>
        <v>0</v>
      </c>
      <c r="AP95" s="47" t="s">
        <v>94</v>
      </c>
      <c r="AQ95" s="48">
        <f>SUM(E95:F95)</f>
        <v>0</v>
      </c>
      <c r="AR95" s="49">
        <f>SUM(G95:M95)</f>
        <v>0</v>
      </c>
      <c r="AS95" s="49">
        <f>SUM(N95:T95)</f>
        <v>0</v>
      </c>
      <c r="AT95" s="49">
        <f>SUM(U95:AA95)</f>
        <v>0</v>
      </c>
      <c r="AU95" s="49">
        <f>SUM(AB95:AI95)</f>
        <v>0</v>
      </c>
      <c r="AV95" s="50">
        <f t="shared" si="214"/>
        <v>0</v>
      </c>
    </row>
    <row r="96" spans="1:48" s="644" customFormat="1" ht="19.899999999999999" hidden="1" customHeight="1">
      <c r="A96" s="224" t="s">
        <v>335</v>
      </c>
      <c r="B96" s="763" t="s">
        <v>247</v>
      </c>
      <c r="C96" s="379">
        <v>30000</v>
      </c>
      <c r="D96" s="53" t="s">
        <v>96</v>
      </c>
      <c r="E96" s="1327">
        <f t="shared" ref="E96" si="215">+E95-E93</f>
        <v>0</v>
      </c>
      <c r="F96" s="1097">
        <f t="shared" ref="F96:AJ96" si="216">+F95-F93</f>
        <v>0</v>
      </c>
      <c r="G96" s="1205">
        <f t="shared" si="216"/>
        <v>0</v>
      </c>
      <c r="H96" s="1097">
        <f t="shared" si="216"/>
        <v>0</v>
      </c>
      <c r="I96" s="1097">
        <f t="shared" si="216"/>
        <v>0</v>
      </c>
      <c r="J96" s="1205">
        <f>+J95-J93</f>
        <v>0</v>
      </c>
      <c r="K96" s="1205">
        <f t="shared" ref="K96" si="217">+K95-K93</f>
        <v>0</v>
      </c>
      <c r="L96" s="1097">
        <f>+L95-L93</f>
        <v>0</v>
      </c>
      <c r="M96" s="1097">
        <f t="shared" si="216"/>
        <v>0</v>
      </c>
      <c r="N96" s="1097">
        <f t="shared" si="216"/>
        <v>0</v>
      </c>
      <c r="O96" s="1097">
        <f t="shared" si="216"/>
        <v>0</v>
      </c>
      <c r="P96" s="1097">
        <f t="shared" si="216"/>
        <v>0</v>
      </c>
      <c r="Q96" s="1205">
        <f>+Q95-Q93</f>
        <v>0</v>
      </c>
      <c r="R96" s="1205">
        <f t="shared" si="216"/>
        <v>0</v>
      </c>
      <c r="S96" s="1097">
        <f t="shared" si="216"/>
        <v>0</v>
      </c>
      <c r="T96" s="1097">
        <f t="shared" si="216"/>
        <v>0</v>
      </c>
      <c r="U96" s="1097">
        <f>+U95-U93</f>
        <v>0</v>
      </c>
      <c r="V96" s="1097">
        <f t="shared" si="216"/>
        <v>0</v>
      </c>
      <c r="W96" s="1097">
        <f t="shared" si="216"/>
        <v>0</v>
      </c>
      <c r="X96" s="1205">
        <f t="shared" ref="X96" si="218">+X95-X93</f>
        <v>0</v>
      </c>
      <c r="Y96" s="1205">
        <f t="shared" si="216"/>
        <v>0</v>
      </c>
      <c r="Z96" s="1097">
        <f t="shared" si="216"/>
        <v>0</v>
      </c>
      <c r="AA96" s="1097">
        <f t="shared" si="216"/>
        <v>0</v>
      </c>
      <c r="AB96" s="1097">
        <f t="shared" si="216"/>
        <v>0</v>
      </c>
      <c r="AC96" s="1097">
        <f t="shared" si="216"/>
        <v>0</v>
      </c>
      <c r="AD96" s="1097">
        <f t="shared" si="216"/>
        <v>0</v>
      </c>
      <c r="AE96" s="1205">
        <f t="shared" si="216"/>
        <v>0</v>
      </c>
      <c r="AF96" s="1205">
        <f t="shared" si="216"/>
        <v>0</v>
      </c>
      <c r="AG96" s="1097">
        <f t="shared" si="216"/>
        <v>0</v>
      </c>
      <c r="AH96" s="1097">
        <f t="shared" si="216"/>
        <v>0</v>
      </c>
      <c r="AI96" s="1328">
        <f t="shared" si="216"/>
        <v>0</v>
      </c>
      <c r="AJ96" s="663">
        <f t="shared" si="216"/>
        <v>0</v>
      </c>
      <c r="AK96" s="663"/>
      <c r="AL96" s="646">
        <f>+AJ96*AN93</f>
        <v>0</v>
      </c>
      <c r="AM96" s="917"/>
      <c r="AN96" s="449" t="s">
        <v>97</v>
      </c>
      <c r="AO96" s="622"/>
      <c r="AP96" s="39" t="s">
        <v>98</v>
      </c>
      <c r="AQ96" s="56">
        <f>AQ95-AQ94</f>
        <v>0</v>
      </c>
      <c r="AR96" s="70">
        <f>AR95-AR94</f>
        <v>0</v>
      </c>
      <c r="AS96" s="70">
        <f>AS95-AS94</f>
        <v>0</v>
      </c>
      <c r="AT96" s="70">
        <f>AT95-AT94</f>
        <v>0</v>
      </c>
      <c r="AU96" s="70">
        <f>AU95-AU94</f>
        <v>0</v>
      </c>
      <c r="AV96" s="57">
        <f t="shared" si="214"/>
        <v>0</v>
      </c>
    </row>
    <row r="97" spans="1:48" s="644" customFormat="1" ht="19.899999999999999" hidden="1" customHeight="1">
      <c r="A97" s="224" t="s">
        <v>335</v>
      </c>
      <c r="B97" s="764">
        <v>5.25</v>
      </c>
      <c r="C97" s="521"/>
      <c r="D97" s="61" t="s">
        <v>101</v>
      </c>
      <c r="E97" s="1367"/>
      <c r="F97" s="1099"/>
      <c r="G97" s="1208"/>
      <c r="H97" s="1099"/>
      <c r="I97" s="1099"/>
      <c r="J97" s="1208"/>
      <c r="K97" s="1208"/>
      <c r="L97" s="1099"/>
      <c r="M97" s="1099"/>
      <c r="N97" s="1099"/>
      <c r="O97" s="1099"/>
      <c r="P97" s="1099"/>
      <c r="Q97" s="1208"/>
      <c r="R97" s="1208"/>
      <c r="S97" s="1099"/>
      <c r="T97" s="1099"/>
      <c r="U97" s="1099"/>
      <c r="V97" s="1099"/>
      <c r="W97" s="1099"/>
      <c r="X97" s="1208"/>
      <c r="Y97" s="1208"/>
      <c r="Z97" s="1099"/>
      <c r="AA97" s="1099"/>
      <c r="AB97" s="1099"/>
      <c r="AC97" s="1099"/>
      <c r="AD97" s="1099"/>
      <c r="AE97" s="1208"/>
      <c r="AF97" s="1208"/>
      <c r="AG97" s="1099"/>
      <c r="AH97" s="1099"/>
      <c r="AI97" s="1330"/>
      <c r="AJ97" s="664">
        <f>SUM(E97:AI97)</f>
        <v>0</v>
      </c>
      <c r="AK97" s="664"/>
      <c r="AL97" s="647">
        <f>+AJ97*AN93</f>
        <v>0</v>
      </c>
      <c r="AM97" s="918"/>
      <c r="AN97" s="385" t="e">
        <f>+AJ97/AJ95</f>
        <v>#DIV/0!</v>
      </c>
      <c r="AO97" s="635" t="e">
        <f>AO95/AO93</f>
        <v>#DIV/0!</v>
      </c>
      <c r="AP97" s="39" t="s">
        <v>102</v>
      </c>
      <c r="AQ97" s="56">
        <f>SUM(E97:F97)</f>
        <v>0</v>
      </c>
      <c r="AR97" s="70">
        <f>SUM(G97:M97)</f>
        <v>0</v>
      </c>
      <c r="AS97" s="70">
        <f>SUM(N97:T97)</f>
        <v>0</v>
      </c>
      <c r="AT97" s="70">
        <f>SUM(U97:AA97)</f>
        <v>0</v>
      </c>
      <c r="AU97" s="70">
        <f>SUM(AB97:AI97)</f>
        <v>0</v>
      </c>
      <c r="AV97" s="57">
        <f t="shared" si="214"/>
        <v>0</v>
      </c>
    </row>
    <row r="98" spans="1:48" s="644" customFormat="1" ht="19.899999999999999" hidden="1" customHeight="1">
      <c r="A98" s="511"/>
      <c r="B98" s="766" t="s">
        <v>343</v>
      </c>
      <c r="C98" s="522"/>
      <c r="D98" s="67" t="s">
        <v>103</v>
      </c>
      <c r="E98" s="1113"/>
      <c r="F98" s="1101"/>
      <c r="G98" s="1209"/>
      <c r="H98" s="1101"/>
      <c r="I98" s="1101"/>
      <c r="J98" s="1209"/>
      <c r="K98" s="1209"/>
      <c r="L98" s="1101"/>
      <c r="M98" s="1101"/>
      <c r="N98" s="1101"/>
      <c r="O98" s="1101"/>
      <c r="P98" s="1101"/>
      <c r="Q98" s="1209"/>
      <c r="R98" s="1209"/>
      <c r="S98" s="1101"/>
      <c r="T98" s="1101"/>
      <c r="U98" s="1101"/>
      <c r="V98" s="1101"/>
      <c r="W98" s="1101"/>
      <c r="X98" s="1209"/>
      <c r="Y98" s="1209"/>
      <c r="Z98" s="1101"/>
      <c r="AA98" s="1101"/>
      <c r="AB98" s="1101"/>
      <c r="AC98" s="1101"/>
      <c r="AD98" s="1101"/>
      <c r="AE98" s="1209"/>
      <c r="AF98" s="1209"/>
      <c r="AG98" s="1101"/>
      <c r="AH98" s="1101"/>
      <c r="AI98" s="1332"/>
      <c r="AJ98" s="665">
        <f>SUM(E98:AI98)</f>
        <v>0</v>
      </c>
      <c r="AK98" s="665"/>
      <c r="AL98" s="648">
        <f>+AJ98*AN93</f>
        <v>0</v>
      </c>
      <c r="AM98" s="919"/>
      <c r="AN98" s="449"/>
      <c r="AO98" s="622"/>
      <c r="AP98" s="39" t="s">
        <v>19</v>
      </c>
      <c r="AQ98" s="56">
        <f>AQ97*AN93</f>
        <v>0</v>
      </c>
      <c r="AR98" s="56">
        <f>AR97*AN93</f>
        <v>0</v>
      </c>
      <c r="AS98" s="56">
        <f>AS97*AN93</f>
        <v>0</v>
      </c>
      <c r="AT98" s="56">
        <f>AT97*AN93</f>
        <v>0</v>
      </c>
      <c r="AU98" s="56">
        <f>AU97*AN93</f>
        <v>0</v>
      </c>
      <c r="AV98" s="57">
        <f t="shared" si="214"/>
        <v>0</v>
      </c>
    </row>
    <row r="99" spans="1:48" s="644" customFormat="1" ht="19.899999999999999" hidden="1" customHeight="1">
      <c r="A99" s="511"/>
      <c r="B99" s="510"/>
      <c r="C99" s="89" t="s">
        <v>108</v>
      </c>
      <c r="D99" s="73" t="s">
        <v>105</v>
      </c>
      <c r="E99" s="1115"/>
      <c r="F99" s="1103"/>
      <c r="G99" s="1210"/>
      <c r="H99" s="1103"/>
      <c r="I99" s="1103"/>
      <c r="J99" s="1210"/>
      <c r="K99" s="1210"/>
      <c r="L99" s="1103"/>
      <c r="M99" s="1103"/>
      <c r="N99" s="1103"/>
      <c r="O99" s="1103"/>
      <c r="P99" s="1103"/>
      <c r="Q99" s="1210"/>
      <c r="R99" s="1210"/>
      <c r="S99" s="1103"/>
      <c r="T99" s="1103"/>
      <c r="U99" s="1103"/>
      <c r="V99" s="1103"/>
      <c r="W99" s="1103"/>
      <c r="X99" s="1210"/>
      <c r="Y99" s="1210"/>
      <c r="Z99" s="1103"/>
      <c r="AA99" s="1103"/>
      <c r="AB99" s="1103"/>
      <c r="AC99" s="1103"/>
      <c r="AD99" s="1103"/>
      <c r="AE99" s="1210"/>
      <c r="AF99" s="1210"/>
      <c r="AG99" s="1103"/>
      <c r="AH99" s="1103"/>
      <c r="AI99" s="1352"/>
      <c r="AJ99" s="666">
        <f>SUM(E99:AI99)</f>
        <v>0</v>
      </c>
      <c r="AK99" s="666"/>
      <c r="AL99" s="649">
        <f>+AJ99*AN93</f>
        <v>0</v>
      </c>
      <c r="AM99" s="920"/>
      <c r="AN99" s="449"/>
      <c r="AO99" s="622"/>
      <c r="AP99" s="47" t="s">
        <v>106</v>
      </c>
      <c r="AQ99" s="48">
        <f>AQ95*AN93</f>
        <v>0</v>
      </c>
      <c r="AR99" s="48">
        <f>AR95*AN93</f>
        <v>0</v>
      </c>
      <c r="AS99" s="48">
        <f>AS95*AN93</f>
        <v>0</v>
      </c>
      <c r="AT99" s="48">
        <f>AT95*AN93</f>
        <v>0</v>
      </c>
      <c r="AU99" s="48">
        <f>AU95*AN93</f>
        <v>0</v>
      </c>
      <c r="AV99" s="50">
        <f t="shared" si="214"/>
        <v>0</v>
      </c>
    </row>
    <row r="100" spans="1:48" s="644" customFormat="1" ht="19.899999999999999" hidden="1" customHeight="1">
      <c r="A100" s="224" t="s">
        <v>335</v>
      </c>
      <c r="B100" s="510"/>
      <c r="C100" s="383">
        <f>+C96*0.8</f>
        <v>24000</v>
      </c>
      <c r="D100" s="78" t="s">
        <v>107</v>
      </c>
      <c r="E100" s="1137">
        <v>16</v>
      </c>
      <c r="F100" s="1097">
        <v>16</v>
      </c>
      <c r="G100" s="1205">
        <v>16</v>
      </c>
      <c r="H100" s="1097">
        <v>16</v>
      </c>
      <c r="I100" s="1097">
        <v>16</v>
      </c>
      <c r="J100" s="1205">
        <v>16</v>
      </c>
      <c r="K100" s="1205">
        <v>16</v>
      </c>
      <c r="L100" s="1097">
        <v>16</v>
      </c>
      <c r="M100" s="1097">
        <v>16</v>
      </c>
      <c r="N100" s="1097">
        <v>16</v>
      </c>
      <c r="O100" s="1097">
        <v>16</v>
      </c>
      <c r="P100" s="1097">
        <v>16</v>
      </c>
      <c r="Q100" s="1205">
        <v>16</v>
      </c>
      <c r="R100" s="1205">
        <v>16</v>
      </c>
      <c r="S100" s="1097">
        <v>16</v>
      </c>
      <c r="T100" s="1097">
        <v>16</v>
      </c>
      <c r="U100" s="1097">
        <v>16</v>
      </c>
      <c r="V100" s="1097">
        <v>16</v>
      </c>
      <c r="W100" s="1097">
        <v>16</v>
      </c>
      <c r="X100" s="1205">
        <v>16</v>
      </c>
      <c r="Y100" s="1205">
        <v>16</v>
      </c>
      <c r="Z100" s="1097">
        <v>16</v>
      </c>
      <c r="AA100" s="1097">
        <v>16</v>
      </c>
      <c r="AB100" s="1097">
        <v>16</v>
      </c>
      <c r="AC100" s="1097">
        <v>16</v>
      </c>
      <c r="AD100" s="1097">
        <v>16</v>
      </c>
      <c r="AE100" s="1205">
        <v>16</v>
      </c>
      <c r="AF100" s="1205">
        <v>16</v>
      </c>
      <c r="AG100" s="1097">
        <v>16</v>
      </c>
      <c r="AH100" s="1097">
        <v>16</v>
      </c>
      <c r="AI100" s="1328">
        <v>16</v>
      </c>
      <c r="AJ100" s="663"/>
      <c r="AK100" s="663"/>
      <c r="AL100" s="646"/>
      <c r="AM100" s="917"/>
      <c r="AN100" s="449"/>
      <c r="AO100" s="622"/>
    </row>
    <row r="101" spans="1:48" s="644" customFormat="1" ht="19.899999999999999" hidden="1" customHeight="1">
      <c r="A101" s="224" t="s">
        <v>335</v>
      </c>
      <c r="B101" s="42"/>
      <c r="C101" s="514"/>
      <c r="D101" s="81" t="s">
        <v>109</v>
      </c>
      <c r="E101" s="1105">
        <f>SUM(E95+E97+E98+E99)/E100</f>
        <v>0</v>
      </c>
      <c r="F101" s="1105">
        <f t="shared" ref="F101:AI101" si="219">SUM(F95+F97+F98+F99)/F100</f>
        <v>0</v>
      </c>
      <c r="G101" s="1198">
        <f t="shared" si="219"/>
        <v>0</v>
      </c>
      <c r="H101" s="1105">
        <f t="shared" si="219"/>
        <v>0</v>
      </c>
      <c r="I101" s="1105">
        <f t="shared" si="219"/>
        <v>0</v>
      </c>
      <c r="J101" s="1198">
        <f t="shared" si="219"/>
        <v>0</v>
      </c>
      <c r="K101" s="1198">
        <f t="shared" si="219"/>
        <v>0</v>
      </c>
      <c r="L101" s="1105">
        <f t="shared" si="219"/>
        <v>0</v>
      </c>
      <c r="M101" s="1105">
        <f t="shared" si="219"/>
        <v>0</v>
      </c>
      <c r="N101" s="1105">
        <f t="shared" si="219"/>
        <v>0</v>
      </c>
      <c r="O101" s="1105">
        <f t="shared" si="219"/>
        <v>0</v>
      </c>
      <c r="P101" s="1105">
        <f t="shared" si="219"/>
        <v>0</v>
      </c>
      <c r="Q101" s="1198">
        <f t="shared" si="219"/>
        <v>0</v>
      </c>
      <c r="R101" s="1198">
        <f t="shared" si="219"/>
        <v>0</v>
      </c>
      <c r="S101" s="1105">
        <f t="shared" si="219"/>
        <v>0</v>
      </c>
      <c r="T101" s="1105">
        <f t="shared" si="219"/>
        <v>0</v>
      </c>
      <c r="U101" s="1105">
        <f t="shared" si="219"/>
        <v>0</v>
      </c>
      <c r="V101" s="1105">
        <f>SUM(V95+V97+V98+V99)/V100</f>
        <v>0</v>
      </c>
      <c r="W101" s="1105">
        <f t="shared" si="219"/>
        <v>0</v>
      </c>
      <c r="X101" s="1198">
        <f t="shared" si="219"/>
        <v>0</v>
      </c>
      <c r="Y101" s="1198">
        <f t="shared" si="219"/>
        <v>0</v>
      </c>
      <c r="Z101" s="1105">
        <f t="shared" si="219"/>
        <v>0</v>
      </c>
      <c r="AA101" s="1105">
        <f t="shared" si="219"/>
        <v>0</v>
      </c>
      <c r="AB101" s="1105">
        <f t="shared" si="219"/>
        <v>0</v>
      </c>
      <c r="AC101" s="1105">
        <f t="shared" si="219"/>
        <v>0</v>
      </c>
      <c r="AD101" s="1105">
        <f t="shared" si="219"/>
        <v>0</v>
      </c>
      <c r="AE101" s="1198">
        <f t="shared" si="219"/>
        <v>0</v>
      </c>
      <c r="AF101" s="1198">
        <f t="shared" si="219"/>
        <v>0</v>
      </c>
      <c r="AG101" s="1105">
        <f t="shared" si="219"/>
        <v>0</v>
      </c>
      <c r="AH101" s="1105">
        <f t="shared" si="219"/>
        <v>0</v>
      </c>
      <c r="AI101" s="1441">
        <f t="shared" si="219"/>
        <v>0</v>
      </c>
      <c r="AJ101" s="104">
        <f>SUM(E101:AI101)</f>
        <v>0</v>
      </c>
      <c r="AK101" s="104"/>
      <c r="AL101" s="650"/>
      <c r="AM101" s="921"/>
      <c r="AN101" s="450"/>
      <c r="AO101" s="622"/>
    </row>
    <row r="102" spans="1:48" s="644" customFormat="1" ht="19.899999999999999" hidden="1" customHeight="1">
      <c r="A102" s="224" t="s">
        <v>335</v>
      </c>
      <c r="B102" s="518"/>
      <c r="C102" s="72"/>
      <c r="D102" s="85" t="s">
        <v>110</v>
      </c>
      <c r="E102" s="1336"/>
      <c r="F102" s="1106"/>
      <c r="G102" s="1228"/>
      <c r="H102" s="1104"/>
      <c r="I102" s="1104"/>
      <c r="J102" s="1211"/>
      <c r="K102" s="1211"/>
      <c r="L102" s="1104"/>
      <c r="M102" s="1104"/>
      <c r="N102" s="1107"/>
      <c r="O102" s="1104"/>
      <c r="P102" s="1104"/>
      <c r="Q102" s="1211"/>
      <c r="R102" s="1228"/>
      <c r="S102" s="1104"/>
      <c r="T102" s="1104"/>
      <c r="U102" s="1104"/>
      <c r="V102" s="1107"/>
      <c r="W102" s="1104"/>
      <c r="X102" s="1211"/>
      <c r="Y102" s="1211"/>
      <c r="Z102" s="1104"/>
      <c r="AA102" s="1107"/>
      <c r="AB102" s="1104"/>
      <c r="AC102" s="1104"/>
      <c r="AD102" s="1104"/>
      <c r="AE102" s="1211"/>
      <c r="AF102" s="1211"/>
      <c r="AG102" s="1104"/>
      <c r="AH102" s="1104"/>
      <c r="AI102" s="1353"/>
      <c r="AJ102" s="667"/>
      <c r="AK102" s="667"/>
      <c r="AL102" s="703"/>
      <c r="AM102" s="922"/>
      <c r="AN102" s="449"/>
      <c r="AO102" s="622"/>
    </row>
    <row r="103" spans="1:48" s="644" customFormat="1" ht="19.899999999999999" hidden="1" customHeight="1">
      <c r="A103" s="224" t="s">
        <v>335</v>
      </c>
      <c r="B103" s="208" t="s">
        <v>554</v>
      </c>
      <c r="C103" s="72" t="s">
        <v>104</v>
      </c>
      <c r="D103" s="88" t="s">
        <v>111</v>
      </c>
      <c r="E103" s="1108">
        <f>IF(E102="O/H",E101,2147+E101)</f>
        <v>2147</v>
      </c>
      <c r="F103" s="1089">
        <f>IF(F102="O/H",F101,+E103+F101)</f>
        <v>2147</v>
      </c>
      <c r="G103" s="44">
        <f t="shared" ref="G103:AI103" si="220">IF(G102="O/H",G101,+F103+G101)</f>
        <v>2147</v>
      </c>
      <c r="H103" s="1089">
        <f t="shared" si="220"/>
        <v>2147</v>
      </c>
      <c r="I103" s="1089">
        <f t="shared" si="220"/>
        <v>2147</v>
      </c>
      <c r="J103" s="44">
        <f t="shared" si="220"/>
        <v>2147</v>
      </c>
      <c r="K103" s="44">
        <f t="shared" si="220"/>
        <v>2147</v>
      </c>
      <c r="L103" s="1089">
        <f t="shared" si="220"/>
        <v>2147</v>
      </c>
      <c r="M103" s="1089">
        <f t="shared" si="220"/>
        <v>2147</v>
      </c>
      <c r="N103" s="1089">
        <f t="shared" si="220"/>
        <v>2147</v>
      </c>
      <c r="O103" s="1089">
        <f t="shared" si="220"/>
        <v>2147</v>
      </c>
      <c r="P103" s="1089">
        <f t="shared" si="220"/>
        <v>2147</v>
      </c>
      <c r="Q103" s="44">
        <f t="shared" si="220"/>
        <v>2147</v>
      </c>
      <c r="R103" s="44">
        <f t="shared" si="220"/>
        <v>2147</v>
      </c>
      <c r="S103" s="1089">
        <f t="shared" si="220"/>
        <v>2147</v>
      </c>
      <c r="T103" s="1089">
        <f t="shared" si="220"/>
        <v>2147</v>
      </c>
      <c r="U103" s="1089">
        <f t="shared" si="220"/>
        <v>2147</v>
      </c>
      <c r="V103" s="1089">
        <f t="shared" si="220"/>
        <v>2147</v>
      </c>
      <c r="W103" s="1089">
        <f t="shared" si="220"/>
        <v>2147</v>
      </c>
      <c r="X103" s="44">
        <f t="shared" si="220"/>
        <v>2147</v>
      </c>
      <c r="Y103" s="44">
        <f t="shared" si="220"/>
        <v>2147</v>
      </c>
      <c r="Z103" s="1089">
        <f t="shared" si="220"/>
        <v>2147</v>
      </c>
      <c r="AA103" s="1089">
        <f t="shared" si="220"/>
        <v>2147</v>
      </c>
      <c r="AB103" s="1089">
        <f t="shared" si="220"/>
        <v>2147</v>
      </c>
      <c r="AC103" s="1089">
        <f t="shared" si="220"/>
        <v>2147</v>
      </c>
      <c r="AD103" s="1089">
        <f t="shared" si="220"/>
        <v>2147</v>
      </c>
      <c r="AE103" s="44">
        <f t="shared" si="220"/>
        <v>2147</v>
      </c>
      <c r="AF103" s="44">
        <f t="shared" si="220"/>
        <v>2147</v>
      </c>
      <c r="AG103" s="1089">
        <f t="shared" si="220"/>
        <v>2147</v>
      </c>
      <c r="AH103" s="1089">
        <f t="shared" si="220"/>
        <v>2147</v>
      </c>
      <c r="AI103" s="1326">
        <f t="shared" si="220"/>
        <v>2147</v>
      </c>
      <c r="AJ103" s="663"/>
      <c r="AK103" s="667"/>
      <c r="AL103" s="704"/>
      <c r="AM103" s="923"/>
      <c r="AN103" s="449"/>
      <c r="AO103" s="622"/>
    </row>
    <row r="104" spans="1:48" s="23" customFormat="1" ht="20.65" hidden="1" customHeight="1">
      <c r="A104" s="274"/>
      <c r="B104" s="312"/>
      <c r="C104" s="308">
        <v>300000</v>
      </c>
      <c r="D104" s="795" t="s">
        <v>112</v>
      </c>
      <c r="E104" s="1117" t="b">
        <f>IF(AND(ISNUMBER(E95)),747392+E101)</f>
        <v>0</v>
      </c>
      <c r="F104" s="1118" t="str">
        <f>IF(AND(ISNUMBER(F95)),E104+F101,"")</f>
        <v/>
      </c>
      <c r="G104" s="1216" t="str">
        <f t="shared" ref="G104" si="221">IF(AND(ISNUMBER(G95)),F104+G101,"")</f>
        <v/>
      </c>
      <c r="H104" s="1118" t="str">
        <f t="shared" ref="H104" si="222">IF(AND(ISNUMBER(H95)),G104+H101,"")</f>
        <v/>
      </c>
      <c r="I104" s="1118" t="str">
        <f>IF(AND(ISNUMBER(I95)),H104+I101,"")</f>
        <v/>
      </c>
      <c r="J104" s="1216" t="str">
        <f>IF(AND(ISNUMBER(J95)),I104+J101,"")</f>
        <v/>
      </c>
      <c r="K104" s="1216" t="str">
        <f>IF(AND(ISNUMBER(K95)),J104+K101,"")</f>
        <v/>
      </c>
      <c r="L104" s="1118" t="str">
        <f t="shared" ref="L104" si="223">IF(AND(ISNUMBER(L95)),K104+L101,"")</f>
        <v/>
      </c>
      <c r="M104" s="1118" t="str">
        <f t="shared" ref="M104" si="224">IF(AND(ISNUMBER(M95)),L104+M101,"")</f>
        <v/>
      </c>
      <c r="N104" s="1118" t="str">
        <f t="shared" ref="N104" si="225">IF(AND(ISNUMBER(N95)),M104+N101,"")</f>
        <v/>
      </c>
      <c r="O104" s="1118" t="str">
        <f t="shared" ref="O104" si="226">IF(AND(ISNUMBER(O95)),N104+O101,"")</f>
        <v/>
      </c>
      <c r="P104" s="1118" t="str">
        <f t="shared" ref="P104" si="227">IF(AND(ISNUMBER(P95)),O104+P101,"")</f>
        <v/>
      </c>
      <c r="Q104" s="1216" t="str">
        <f t="shared" ref="Q104" si="228">IF(AND(ISNUMBER(Q95)),P104+Q101,"")</f>
        <v/>
      </c>
      <c r="R104" s="1216" t="str">
        <f t="shared" ref="R104" si="229">IF(AND(ISNUMBER(R95)),Q104+R101,"")</f>
        <v/>
      </c>
      <c r="S104" s="1118" t="str">
        <f t="shared" ref="S104" si="230">IF(AND(ISNUMBER(S95)),R104+S101,"")</f>
        <v/>
      </c>
      <c r="T104" s="1118" t="str">
        <f t="shared" ref="T104" si="231">IF(AND(ISNUMBER(T95)),S104+T101,"")</f>
        <v/>
      </c>
      <c r="U104" s="1118" t="str">
        <f t="shared" ref="U104" si="232">IF(AND(ISNUMBER(U95)),T104+U101,"")</f>
        <v/>
      </c>
      <c r="V104" s="1118" t="str">
        <f t="shared" ref="V104" si="233">IF(AND(ISNUMBER(V95)),U104+V101,"")</f>
        <v/>
      </c>
      <c r="W104" s="1118" t="str">
        <f t="shared" ref="W104" si="234">IF(AND(ISNUMBER(W95)),V104+W101,"")</f>
        <v/>
      </c>
      <c r="X104" s="1216" t="str">
        <f t="shared" ref="X104" si="235">IF(AND(ISNUMBER(X95)),W104+X101,"")</f>
        <v/>
      </c>
      <c r="Y104" s="1216" t="str">
        <f t="shared" ref="Y104" si="236">IF(AND(ISNUMBER(Y95)),X104+Y101,"")</f>
        <v/>
      </c>
      <c r="Z104" s="1118" t="str">
        <f t="shared" ref="Z104" si="237">IF(AND(ISNUMBER(Z95)),Y104+Z101,"")</f>
        <v/>
      </c>
      <c r="AA104" s="1118" t="str">
        <f t="shared" ref="AA104" si="238">IF(AND(ISNUMBER(AA95)),Z104+AA101,"")</f>
        <v/>
      </c>
      <c r="AB104" s="1118" t="str">
        <f t="shared" ref="AB104" si="239">IF(AND(ISNUMBER(AB95)),AA104+AB101,"")</f>
        <v/>
      </c>
      <c r="AC104" s="1118" t="str">
        <f t="shared" ref="AC104" si="240">IF(AND(ISNUMBER(AC95)),AB104+AC101,"")</f>
        <v/>
      </c>
      <c r="AD104" s="1118" t="str">
        <f t="shared" ref="AD104" si="241">IF(AND(ISNUMBER(AD95)),AC104+AD101,"")</f>
        <v/>
      </c>
      <c r="AE104" s="1216" t="str">
        <f t="shared" ref="AE104" si="242">IF(AND(ISNUMBER(AE95)),AD104+AE101,"")</f>
        <v/>
      </c>
      <c r="AF104" s="1216" t="str">
        <f t="shared" ref="AF104" si="243">IF(AND(ISNUMBER(AF95)),AE104+AF101,"")</f>
        <v/>
      </c>
      <c r="AG104" s="1118" t="str">
        <f t="shared" ref="AG104" si="244">IF(AND(ISNUMBER(AG95)),AF104+AG101,"")</f>
        <v/>
      </c>
      <c r="AH104" s="1118" t="str">
        <f t="shared" ref="AH104" si="245">IF(AND(ISNUMBER(AH95)),AG104+AH101,"")</f>
        <v/>
      </c>
      <c r="AI104" s="1089" t="str">
        <f t="shared" ref="AI104" si="246">IF(AND(ISNUMBER(AI95)),AH104+AI101,"")</f>
        <v/>
      </c>
      <c r="AJ104" s="793"/>
      <c r="AK104" s="793"/>
      <c r="AL104" s="909"/>
      <c r="AM104" s="890"/>
      <c r="AN104" s="91"/>
      <c r="AO104" s="630"/>
      <c r="AP104" s="285"/>
      <c r="AQ104" s="285"/>
      <c r="AR104" s="285"/>
      <c r="AS104" s="285"/>
      <c r="AT104" s="286"/>
      <c r="AU104" s="285"/>
      <c r="AV104" s="287"/>
    </row>
    <row r="105" spans="1:48" s="644" customFormat="1" ht="18.600000000000001" hidden="1" customHeight="1">
      <c r="A105" s="224"/>
      <c r="B105" s="89"/>
      <c r="C105" s="89" t="s">
        <v>108</v>
      </c>
      <c r="D105" s="90" t="s">
        <v>104</v>
      </c>
      <c r="E105" s="1415"/>
      <c r="F105" s="1141"/>
      <c r="G105" s="1271"/>
      <c r="H105" s="1141"/>
      <c r="I105" s="1141"/>
      <c r="J105" s="1272"/>
      <c r="K105" s="1272"/>
      <c r="L105" s="1141"/>
      <c r="M105" s="1141"/>
      <c r="N105" s="1141"/>
      <c r="O105" s="1141"/>
      <c r="P105" s="1141"/>
      <c r="Q105" s="1272"/>
      <c r="R105" s="1271"/>
      <c r="S105" s="1141"/>
      <c r="T105" s="1141"/>
      <c r="U105" s="1141"/>
      <c r="V105" s="1141"/>
      <c r="W105" s="1141"/>
      <c r="X105" s="1272"/>
      <c r="Y105" s="1272"/>
      <c r="Z105" s="1141"/>
      <c r="AA105" s="1141"/>
      <c r="AB105" s="1141"/>
      <c r="AC105" s="1141"/>
      <c r="AD105" s="1141"/>
      <c r="AE105" s="1272"/>
      <c r="AF105" s="1272"/>
      <c r="AG105" s="1141"/>
      <c r="AH105" s="1141"/>
      <c r="AI105" s="1416"/>
      <c r="AJ105" s="663"/>
      <c r="AK105" s="663"/>
      <c r="AL105" s="647"/>
      <c r="AM105" s="924"/>
      <c r="AN105" s="449"/>
      <c r="AO105" s="622"/>
    </row>
    <row r="106" spans="1:48" s="644" customFormat="1" ht="19.899999999999999" hidden="1" customHeight="1" thickBot="1">
      <c r="A106" s="516"/>
      <c r="B106" s="517"/>
      <c r="C106" s="94">
        <f>+C104*0.8</f>
        <v>240000</v>
      </c>
      <c r="D106" s="88" t="s">
        <v>111</v>
      </c>
      <c r="E106" s="1109">
        <f>IF(E105="O/H",E101,59222+E101)</f>
        <v>59222</v>
      </c>
      <c r="F106" s="1110">
        <f t="shared" ref="F106:AI106" si="247">IF(F105="O/H",F101,+E106+F101)</f>
        <v>59222</v>
      </c>
      <c r="G106" s="1212">
        <f t="shared" si="247"/>
        <v>59222</v>
      </c>
      <c r="H106" s="1110">
        <f t="shared" si="247"/>
        <v>59222</v>
      </c>
      <c r="I106" s="1110">
        <f t="shared" si="247"/>
        <v>59222</v>
      </c>
      <c r="J106" s="1212">
        <f t="shared" si="247"/>
        <v>59222</v>
      </c>
      <c r="K106" s="1212">
        <f t="shared" si="247"/>
        <v>59222</v>
      </c>
      <c r="L106" s="1110">
        <f t="shared" si="247"/>
        <v>59222</v>
      </c>
      <c r="M106" s="1110">
        <f t="shared" si="247"/>
        <v>59222</v>
      </c>
      <c r="N106" s="1110">
        <f t="shared" si="247"/>
        <v>59222</v>
      </c>
      <c r="O106" s="1110">
        <f t="shared" si="247"/>
        <v>59222</v>
      </c>
      <c r="P106" s="1110">
        <f t="shared" si="247"/>
        <v>59222</v>
      </c>
      <c r="Q106" s="1212">
        <f t="shared" si="247"/>
        <v>59222</v>
      </c>
      <c r="R106" s="1212">
        <f t="shared" si="247"/>
        <v>59222</v>
      </c>
      <c r="S106" s="1110">
        <f t="shared" si="247"/>
        <v>59222</v>
      </c>
      <c r="T106" s="1110">
        <f t="shared" si="247"/>
        <v>59222</v>
      </c>
      <c r="U106" s="1110">
        <f t="shared" si="247"/>
        <v>59222</v>
      </c>
      <c r="V106" s="1110">
        <f t="shared" si="247"/>
        <v>59222</v>
      </c>
      <c r="W106" s="1110">
        <f t="shared" si="247"/>
        <v>59222</v>
      </c>
      <c r="X106" s="1212">
        <f t="shared" si="247"/>
        <v>59222</v>
      </c>
      <c r="Y106" s="1212">
        <f t="shared" si="247"/>
        <v>59222</v>
      </c>
      <c r="Z106" s="1110">
        <f t="shared" si="247"/>
        <v>59222</v>
      </c>
      <c r="AA106" s="1110">
        <f t="shared" si="247"/>
        <v>59222</v>
      </c>
      <c r="AB106" s="1110">
        <f t="shared" si="247"/>
        <v>59222</v>
      </c>
      <c r="AC106" s="1110">
        <f t="shared" si="247"/>
        <v>59222</v>
      </c>
      <c r="AD106" s="1110">
        <f t="shared" si="247"/>
        <v>59222</v>
      </c>
      <c r="AE106" s="1212">
        <f t="shared" si="247"/>
        <v>59222</v>
      </c>
      <c r="AF106" s="1212">
        <f t="shared" si="247"/>
        <v>59222</v>
      </c>
      <c r="AG106" s="1110">
        <f t="shared" si="247"/>
        <v>59222</v>
      </c>
      <c r="AH106" s="1110">
        <f t="shared" si="247"/>
        <v>59222</v>
      </c>
      <c r="AI106" s="1340">
        <f t="shared" si="247"/>
        <v>59222</v>
      </c>
      <c r="AJ106" s="668"/>
      <c r="AK106" s="668"/>
      <c r="AL106" s="705"/>
      <c r="AM106" s="925"/>
      <c r="AN106" s="567"/>
      <c r="AO106" s="625"/>
    </row>
    <row r="107" spans="1:48" s="644" customFormat="1" ht="19.899999999999999" hidden="1" customHeight="1" thickTop="1">
      <c r="A107" s="947" t="s">
        <v>696</v>
      </c>
      <c r="B107" s="223" t="s">
        <v>344</v>
      </c>
      <c r="C107" s="418" t="str">
        <f>Table1[[#This Row],[M/C No.]]</f>
        <v>A5(50ton)</v>
      </c>
      <c r="D107" s="28" t="s">
        <v>82</v>
      </c>
      <c r="E107" s="1124"/>
      <c r="F107" s="1124"/>
      <c r="G107" s="1242"/>
      <c r="H107" s="1124"/>
      <c r="I107" s="1124"/>
      <c r="J107" s="1242"/>
      <c r="K107" s="1242"/>
      <c r="L107" s="1124"/>
      <c r="M107" s="1124"/>
      <c r="N107" s="1124"/>
      <c r="O107" s="1124"/>
      <c r="P107" s="1124"/>
      <c r="Q107" s="1242"/>
      <c r="R107" s="1242"/>
      <c r="S107" s="1124"/>
      <c r="T107" s="1124"/>
      <c r="U107" s="1124"/>
      <c r="V107" s="1124"/>
      <c r="W107" s="1124"/>
      <c r="X107" s="1242"/>
      <c r="Y107" s="1242"/>
      <c r="Z107" s="1124"/>
      <c r="AA107" s="1124"/>
      <c r="AB107" s="1124"/>
      <c r="AC107" s="1124"/>
      <c r="AD107" s="1124"/>
      <c r="AE107" s="1242"/>
      <c r="AF107" s="1242"/>
      <c r="AG107" s="1124"/>
      <c r="AH107" s="1124"/>
      <c r="AI107" s="1124"/>
      <c r="AJ107" s="570">
        <f>SUM(E107:AI107)</f>
        <v>0</v>
      </c>
      <c r="AK107" s="991">
        <f>AJ109</f>
        <v>0</v>
      </c>
      <c r="AL107" s="571">
        <f>+AJ107*AN107</f>
        <v>0</v>
      </c>
      <c r="AM107" s="992">
        <f>AL109</f>
        <v>0</v>
      </c>
      <c r="AN107" s="446">
        <v>3.40835</v>
      </c>
      <c r="AO107" s="622">
        <f>Table1[[#This Row],[Total]]*B111/1000</f>
        <v>0</v>
      </c>
      <c r="AP107" s="32" t="s">
        <v>265</v>
      </c>
      <c r="AQ107" s="33" t="s">
        <v>84</v>
      </c>
      <c r="AR107" s="33" t="s">
        <v>85</v>
      </c>
      <c r="AS107" s="33" t="s">
        <v>86</v>
      </c>
      <c r="AT107" s="33" t="s">
        <v>87</v>
      </c>
      <c r="AU107" s="33" t="s">
        <v>88</v>
      </c>
      <c r="AV107" s="34" t="s">
        <v>68</v>
      </c>
    </row>
    <row r="108" spans="1:48" s="644" customFormat="1" ht="19.899999999999999" hidden="1" customHeight="1">
      <c r="A108" s="215" t="s">
        <v>267</v>
      </c>
      <c r="B108" s="89" t="s">
        <v>345</v>
      </c>
      <c r="C108" s="42"/>
      <c r="D108" s="37" t="s">
        <v>90</v>
      </c>
      <c r="E108" s="1323">
        <f>IF(E107="",0,+ E107/E114)</f>
        <v>0</v>
      </c>
      <c r="F108" s="1096">
        <f>IF(F107="",0, E108+F107/F114)</f>
        <v>0</v>
      </c>
      <c r="G108" s="1207">
        <f t="shared" ref="G108:AI108" si="248">IF(G107="",0, F108+G107/G114)</f>
        <v>0</v>
      </c>
      <c r="H108" s="1096">
        <f t="shared" si="248"/>
        <v>0</v>
      </c>
      <c r="I108" s="1096">
        <f>IF(I107="",0, H108+I107/I114)</f>
        <v>0</v>
      </c>
      <c r="J108" s="1207">
        <f t="shared" si="248"/>
        <v>0</v>
      </c>
      <c r="K108" s="1207">
        <f t="shared" si="248"/>
        <v>0</v>
      </c>
      <c r="L108" s="1096">
        <f t="shared" si="248"/>
        <v>0</v>
      </c>
      <c r="M108" s="1096">
        <f t="shared" si="248"/>
        <v>0</v>
      </c>
      <c r="N108" s="1096">
        <f t="shared" si="248"/>
        <v>0</v>
      </c>
      <c r="O108" s="1096">
        <f t="shared" si="248"/>
        <v>0</v>
      </c>
      <c r="P108" s="1096">
        <f t="shared" si="248"/>
        <v>0</v>
      </c>
      <c r="Q108" s="1207">
        <f t="shared" si="248"/>
        <v>0</v>
      </c>
      <c r="R108" s="1207">
        <f t="shared" si="248"/>
        <v>0</v>
      </c>
      <c r="S108" s="1096">
        <f t="shared" si="248"/>
        <v>0</v>
      </c>
      <c r="T108" s="1096">
        <f t="shared" si="248"/>
        <v>0</v>
      </c>
      <c r="U108" s="1096">
        <f t="shared" si="248"/>
        <v>0</v>
      </c>
      <c r="V108" s="1096">
        <f t="shared" si="248"/>
        <v>0</v>
      </c>
      <c r="W108" s="1096">
        <f t="shared" si="248"/>
        <v>0</v>
      </c>
      <c r="X108" s="1207">
        <f t="shared" si="248"/>
        <v>0</v>
      </c>
      <c r="Y108" s="1207">
        <f t="shared" si="248"/>
        <v>0</v>
      </c>
      <c r="Z108" s="1096">
        <f t="shared" si="248"/>
        <v>0</v>
      </c>
      <c r="AA108" s="1096">
        <f t="shared" si="248"/>
        <v>0</v>
      </c>
      <c r="AB108" s="1096">
        <f t="shared" si="248"/>
        <v>0</v>
      </c>
      <c r="AC108" s="1096">
        <f t="shared" si="248"/>
        <v>0</v>
      </c>
      <c r="AD108" s="1096">
        <f t="shared" si="248"/>
        <v>0</v>
      </c>
      <c r="AE108" s="1207">
        <f t="shared" si="248"/>
        <v>0</v>
      </c>
      <c r="AF108" s="1207">
        <f t="shared" si="248"/>
        <v>0</v>
      </c>
      <c r="AG108" s="1096">
        <f t="shared" si="248"/>
        <v>0</v>
      </c>
      <c r="AH108" s="1096">
        <f t="shared" si="248"/>
        <v>0</v>
      </c>
      <c r="AI108" s="1324">
        <f t="shared" si="248"/>
        <v>0</v>
      </c>
      <c r="AJ108" s="663"/>
      <c r="AK108" s="663"/>
      <c r="AL108" s="646"/>
      <c r="AM108" s="926"/>
      <c r="AN108" s="448"/>
      <c r="AO108" s="675"/>
      <c r="AP108" s="39" t="s">
        <v>91</v>
      </c>
      <c r="AQ108" s="40">
        <f>SUM(E107:I107)</f>
        <v>0</v>
      </c>
      <c r="AR108" s="41">
        <f>SUM(J107:P107)</f>
        <v>0</v>
      </c>
      <c r="AS108" s="41">
        <f>SUM(Q107:W107)</f>
        <v>0</v>
      </c>
      <c r="AT108" s="41">
        <f>SUM(X107:AD107)</f>
        <v>0</v>
      </c>
      <c r="AU108" s="41">
        <f>SUM(AE107:AI107)</f>
        <v>0</v>
      </c>
      <c r="AV108" s="34">
        <f t="shared" ref="AV108:AV113" si="249">SUM(AQ108:AU108)</f>
        <v>0</v>
      </c>
    </row>
    <row r="109" spans="1:48" s="644" customFormat="1" ht="19.899999999999999" hidden="1" customHeight="1">
      <c r="A109" s="215" t="s">
        <v>267</v>
      </c>
      <c r="B109" s="89" t="s">
        <v>246</v>
      </c>
      <c r="C109" s="52" t="s">
        <v>95</v>
      </c>
      <c r="D109" s="43" t="s">
        <v>93</v>
      </c>
      <c r="E109" s="1325"/>
      <c r="F109" s="1089"/>
      <c r="G109" s="44"/>
      <c r="H109" s="1089"/>
      <c r="I109" s="1089"/>
      <c r="J109" s="44"/>
      <c r="K109" s="44"/>
      <c r="L109" s="1089"/>
      <c r="M109" s="1089"/>
      <c r="N109" s="1089"/>
      <c r="O109" s="1089"/>
      <c r="P109" s="1089"/>
      <c r="Q109" s="44"/>
      <c r="R109" s="44"/>
      <c r="S109" s="1089"/>
      <c r="T109" s="1089"/>
      <c r="U109" s="1089"/>
      <c r="V109" s="1089"/>
      <c r="W109" s="1089"/>
      <c r="X109" s="44"/>
      <c r="Y109" s="44"/>
      <c r="Z109" s="1089"/>
      <c r="AA109" s="1089"/>
      <c r="AB109" s="1089"/>
      <c r="AC109" s="1089"/>
      <c r="AD109" s="1089"/>
      <c r="AE109" s="44"/>
      <c r="AF109" s="44"/>
      <c r="AG109" s="1089"/>
      <c r="AH109" s="1089"/>
      <c r="AI109" s="1326"/>
      <c r="AJ109" s="662">
        <f>SUM(E109:AI109)</f>
        <v>0</v>
      </c>
      <c r="AK109" s="662"/>
      <c r="AL109" s="645">
        <f>+AJ109*AN107</f>
        <v>0</v>
      </c>
      <c r="AM109" s="916"/>
      <c r="AN109" s="568"/>
      <c r="AO109" s="632">
        <f>(AJ109+AJ111+AJ112+AJ113)*B111/1000</f>
        <v>0</v>
      </c>
      <c r="AP109" s="47" t="s">
        <v>94</v>
      </c>
      <c r="AQ109" s="48">
        <f>SUM(E109:I109)</f>
        <v>0</v>
      </c>
      <c r="AR109" s="49">
        <f>SUM(J109:P109)</f>
        <v>0</v>
      </c>
      <c r="AS109" s="49">
        <f>SUM(Q109:W109)</f>
        <v>0</v>
      </c>
      <c r="AT109" s="49">
        <f>SUM(X109:AD109)</f>
        <v>0</v>
      </c>
      <c r="AU109" s="49">
        <f>SUM(AE109:AI109)</f>
        <v>0</v>
      </c>
      <c r="AV109" s="50">
        <f t="shared" si="249"/>
        <v>0</v>
      </c>
    </row>
    <row r="110" spans="1:48" s="644" customFormat="1" ht="19.899999999999999" hidden="1" customHeight="1">
      <c r="A110" s="215" t="s">
        <v>267</v>
      </c>
      <c r="B110" s="638" t="s">
        <v>247</v>
      </c>
      <c r="C110" s="379">
        <v>40000</v>
      </c>
      <c r="D110" s="53" t="s">
        <v>96</v>
      </c>
      <c r="E110" s="1327">
        <f t="shared" ref="E110" si="250">+E109-E107</f>
        <v>0</v>
      </c>
      <c r="F110" s="1097">
        <f>+F109-F107</f>
        <v>0</v>
      </c>
      <c r="G110" s="1205">
        <f t="shared" ref="G110:M110" si="251">+G109-G107</f>
        <v>0</v>
      </c>
      <c r="H110" s="1097">
        <f t="shared" si="251"/>
        <v>0</v>
      </c>
      <c r="I110" s="1097">
        <f t="shared" si="251"/>
        <v>0</v>
      </c>
      <c r="J110" s="1205">
        <f t="shared" si="251"/>
        <v>0</v>
      </c>
      <c r="K110" s="1205">
        <f t="shared" si="251"/>
        <v>0</v>
      </c>
      <c r="L110" s="1097">
        <f t="shared" si="251"/>
        <v>0</v>
      </c>
      <c r="M110" s="1097">
        <f t="shared" si="251"/>
        <v>0</v>
      </c>
      <c r="N110" s="1097">
        <f t="shared" ref="N110:AJ110" si="252">+N109-N107</f>
        <v>0</v>
      </c>
      <c r="O110" s="1097">
        <f t="shared" si="252"/>
        <v>0</v>
      </c>
      <c r="P110" s="1097">
        <f t="shared" si="252"/>
        <v>0</v>
      </c>
      <c r="Q110" s="1205">
        <f t="shared" si="252"/>
        <v>0</v>
      </c>
      <c r="R110" s="1205">
        <f t="shared" si="252"/>
        <v>0</v>
      </c>
      <c r="S110" s="1097">
        <f t="shared" si="252"/>
        <v>0</v>
      </c>
      <c r="T110" s="1097">
        <f t="shared" si="252"/>
        <v>0</v>
      </c>
      <c r="U110" s="1097">
        <f t="shared" si="252"/>
        <v>0</v>
      </c>
      <c r="V110" s="1097">
        <f t="shared" ref="V110:X110" si="253">+V109-V107</f>
        <v>0</v>
      </c>
      <c r="W110" s="1097">
        <f t="shared" si="253"/>
        <v>0</v>
      </c>
      <c r="X110" s="1205">
        <f t="shared" si="253"/>
        <v>0</v>
      </c>
      <c r="Y110" s="1205">
        <f t="shared" si="252"/>
        <v>0</v>
      </c>
      <c r="Z110" s="1097">
        <f t="shared" si="252"/>
        <v>0</v>
      </c>
      <c r="AA110" s="1097">
        <f t="shared" si="252"/>
        <v>0</v>
      </c>
      <c r="AB110" s="1097">
        <f t="shared" si="252"/>
        <v>0</v>
      </c>
      <c r="AC110" s="1097">
        <f t="shared" si="252"/>
        <v>0</v>
      </c>
      <c r="AD110" s="1097">
        <f t="shared" si="252"/>
        <v>0</v>
      </c>
      <c r="AE110" s="1205">
        <f t="shared" si="252"/>
        <v>0</v>
      </c>
      <c r="AF110" s="1205">
        <f t="shared" si="252"/>
        <v>0</v>
      </c>
      <c r="AG110" s="1097">
        <f t="shared" si="252"/>
        <v>0</v>
      </c>
      <c r="AH110" s="1097">
        <f t="shared" si="252"/>
        <v>0</v>
      </c>
      <c r="AI110" s="1328">
        <f t="shared" si="252"/>
        <v>0</v>
      </c>
      <c r="AJ110" s="663">
        <f t="shared" si="252"/>
        <v>0</v>
      </c>
      <c r="AK110" s="663"/>
      <c r="AL110" s="646">
        <f>+AJ110*AN107</f>
        <v>0</v>
      </c>
      <c r="AM110" s="917"/>
      <c r="AN110" s="449" t="s">
        <v>97</v>
      </c>
      <c r="AO110" s="622"/>
      <c r="AP110" s="39" t="s">
        <v>98</v>
      </c>
      <c r="AQ110" s="56">
        <f>AQ109-AQ108</f>
        <v>0</v>
      </c>
      <c r="AR110" s="70">
        <f>AR109-AR108</f>
        <v>0</v>
      </c>
      <c r="AS110" s="70">
        <f>AS109-AS108</f>
        <v>0</v>
      </c>
      <c r="AT110" s="70">
        <f>AT109-AT108</f>
        <v>0</v>
      </c>
      <c r="AU110" s="70">
        <f>AU109-AU108</f>
        <v>0</v>
      </c>
      <c r="AV110" s="57">
        <f t="shared" si="249"/>
        <v>0</v>
      </c>
    </row>
    <row r="111" spans="1:48" s="644" customFormat="1" ht="19.899999999999999" hidden="1" customHeight="1">
      <c r="A111" s="215" t="s">
        <v>267</v>
      </c>
      <c r="B111" s="638">
        <v>4.2930000000000001</v>
      </c>
      <c r="C111" s="494"/>
      <c r="D111" s="61" t="s">
        <v>101</v>
      </c>
      <c r="E111" s="1367"/>
      <c r="F111" s="1099"/>
      <c r="G111" s="1208"/>
      <c r="H111" s="1099"/>
      <c r="I111" s="1099"/>
      <c r="J111" s="1208"/>
      <c r="K111" s="1208"/>
      <c r="L111" s="1099"/>
      <c r="M111" s="1099"/>
      <c r="N111" s="1099"/>
      <c r="O111" s="1099"/>
      <c r="P111" s="1099"/>
      <c r="Q111" s="1208"/>
      <c r="R111" s="1208"/>
      <c r="S111" s="1099"/>
      <c r="T111" s="1099"/>
      <c r="U111" s="1099"/>
      <c r="V111" s="1099"/>
      <c r="W111" s="1099"/>
      <c r="X111" s="1208"/>
      <c r="Y111" s="1208"/>
      <c r="Z111" s="1099"/>
      <c r="AA111" s="1099"/>
      <c r="AB111" s="1099"/>
      <c r="AC111" s="1099"/>
      <c r="AD111" s="1099"/>
      <c r="AE111" s="1208"/>
      <c r="AF111" s="1208"/>
      <c r="AG111" s="1099"/>
      <c r="AH111" s="1099"/>
      <c r="AI111" s="1330"/>
      <c r="AJ111" s="664">
        <f>SUM(E111:AI111)</f>
        <v>0</v>
      </c>
      <c r="AK111" s="664"/>
      <c r="AL111" s="647">
        <f>+AJ111*AN107</f>
        <v>0</v>
      </c>
      <c r="AM111" s="918"/>
      <c r="AN111" s="385" t="e">
        <f>+AJ111/AJ109</f>
        <v>#DIV/0!</v>
      </c>
      <c r="AO111" s="635" t="e">
        <f>AO109/AO107</f>
        <v>#DIV/0!</v>
      </c>
      <c r="AP111" s="39" t="s">
        <v>102</v>
      </c>
      <c r="AQ111" s="56">
        <f>SUM(E111:I111)</f>
        <v>0</v>
      </c>
      <c r="AR111" s="70">
        <f>SUM(J111:P111)</f>
        <v>0</v>
      </c>
      <c r="AS111" s="70">
        <f>SUM(Q111:W111)</f>
        <v>0</v>
      </c>
      <c r="AT111" s="70">
        <f>SUM(X111:AD111)</f>
        <v>0</v>
      </c>
      <c r="AU111" s="70">
        <f>SUM(AE111:AI111)</f>
        <v>0</v>
      </c>
      <c r="AV111" s="57">
        <f t="shared" si="249"/>
        <v>0</v>
      </c>
    </row>
    <row r="112" spans="1:48" s="644" customFormat="1" ht="19.899999999999999" hidden="1" customHeight="1">
      <c r="A112" s="58"/>
      <c r="B112" s="408"/>
      <c r="C112" s="89" t="s">
        <v>108</v>
      </c>
      <c r="D112" s="67" t="s">
        <v>103</v>
      </c>
      <c r="E112" s="1113"/>
      <c r="F112" s="1101"/>
      <c r="G112" s="1209"/>
      <c r="H112" s="1101"/>
      <c r="I112" s="1101"/>
      <c r="J112" s="1209"/>
      <c r="K112" s="1209"/>
      <c r="L112" s="1101"/>
      <c r="M112" s="1101"/>
      <c r="N112" s="1101"/>
      <c r="O112" s="1101"/>
      <c r="P112" s="1101"/>
      <c r="Q112" s="1209"/>
      <c r="R112" s="1209"/>
      <c r="S112" s="1101"/>
      <c r="T112" s="1101"/>
      <c r="U112" s="1101"/>
      <c r="V112" s="1101"/>
      <c r="W112" s="1101"/>
      <c r="X112" s="1209"/>
      <c r="Y112" s="1209"/>
      <c r="Z112" s="1101"/>
      <c r="AA112" s="1101"/>
      <c r="AB112" s="1101"/>
      <c r="AC112" s="1101"/>
      <c r="AD112" s="1101"/>
      <c r="AE112" s="1209"/>
      <c r="AF112" s="1209"/>
      <c r="AG112" s="1101"/>
      <c r="AH112" s="1101"/>
      <c r="AI112" s="1332"/>
      <c r="AJ112" s="665">
        <f>SUM(E112:AI112)</f>
        <v>0</v>
      </c>
      <c r="AK112" s="665"/>
      <c r="AL112" s="648">
        <f>+AJ112*AN107</f>
        <v>0</v>
      </c>
      <c r="AM112" s="919"/>
      <c r="AN112" s="449"/>
      <c r="AO112" s="622"/>
      <c r="AP112" s="39" t="s">
        <v>19</v>
      </c>
      <c r="AQ112" s="56">
        <f>AQ111*AN107</f>
        <v>0</v>
      </c>
      <c r="AR112" s="56">
        <f>AR111*AN107</f>
        <v>0</v>
      </c>
      <c r="AS112" s="56">
        <f>AS111*AN107</f>
        <v>0</v>
      </c>
      <c r="AT112" s="56">
        <f>AT111*AN107</f>
        <v>0</v>
      </c>
      <c r="AU112" s="56">
        <f>AU111*AN107</f>
        <v>0</v>
      </c>
      <c r="AV112" s="57">
        <f t="shared" si="249"/>
        <v>0</v>
      </c>
    </row>
    <row r="113" spans="1:48" s="644" customFormat="1" ht="19.899999999999999" hidden="1" customHeight="1">
      <c r="A113" s="58"/>
      <c r="B113" s="408"/>
      <c r="C113" s="383">
        <f>+C110*0.8</f>
        <v>32000</v>
      </c>
      <c r="D113" s="73" t="s">
        <v>105</v>
      </c>
      <c r="E113" s="1115"/>
      <c r="F113" s="1103"/>
      <c r="G113" s="1210"/>
      <c r="H113" s="1103"/>
      <c r="I113" s="1103"/>
      <c r="J113" s="1210"/>
      <c r="K113" s="1210"/>
      <c r="L113" s="1103"/>
      <c r="M113" s="1103"/>
      <c r="N113" s="1103"/>
      <c r="O113" s="1103"/>
      <c r="P113" s="1103"/>
      <c r="Q113" s="1210"/>
      <c r="R113" s="1210"/>
      <c r="S113" s="1103"/>
      <c r="T113" s="1103"/>
      <c r="U113" s="1103"/>
      <c r="V113" s="1103"/>
      <c r="W113" s="1103"/>
      <c r="X113" s="1210"/>
      <c r="Y113" s="1210"/>
      <c r="Z113" s="1103"/>
      <c r="AA113" s="1103"/>
      <c r="AB113" s="1103"/>
      <c r="AC113" s="1103"/>
      <c r="AD113" s="1103"/>
      <c r="AE113" s="1210"/>
      <c r="AF113" s="1210"/>
      <c r="AG113" s="1103"/>
      <c r="AH113" s="1103"/>
      <c r="AI113" s="1352"/>
      <c r="AJ113" s="666">
        <f>SUM(E113:AI113)</f>
        <v>0</v>
      </c>
      <c r="AK113" s="666"/>
      <c r="AL113" s="649">
        <f>+AJ113*AN107</f>
        <v>0</v>
      </c>
      <c r="AM113" s="920"/>
      <c r="AN113" s="449"/>
      <c r="AO113" s="622"/>
      <c r="AP113" s="47" t="s">
        <v>106</v>
      </c>
      <c r="AQ113" s="48">
        <f>AQ109*AN107</f>
        <v>0</v>
      </c>
      <c r="AR113" s="48">
        <f>AR109*AN107</f>
        <v>0</v>
      </c>
      <c r="AS113" s="48">
        <f>AS109*AN107</f>
        <v>0</v>
      </c>
      <c r="AT113" s="48">
        <f>AT109*AN107</f>
        <v>0</v>
      </c>
      <c r="AU113" s="48">
        <f>AU109*AN107</f>
        <v>0</v>
      </c>
      <c r="AV113" s="50">
        <f t="shared" si="249"/>
        <v>0</v>
      </c>
    </row>
    <row r="114" spans="1:48" s="644" customFormat="1" ht="19.899999999999999" hidden="1" customHeight="1">
      <c r="A114" s="215" t="s">
        <v>267</v>
      </c>
      <c r="B114" s="390"/>
      <c r="C114" s="113"/>
      <c r="D114" s="78" t="s">
        <v>107</v>
      </c>
      <c r="E114" s="1137">
        <v>4</v>
      </c>
      <c r="F114" s="1097">
        <v>4</v>
      </c>
      <c r="G114" s="1205">
        <v>4</v>
      </c>
      <c r="H114" s="1097">
        <v>4</v>
      </c>
      <c r="I114" s="1097">
        <v>4</v>
      </c>
      <c r="J114" s="1205">
        <v>4</v>
      </c>
      <c r="K114" s="1205">
        <v>4</v>
      </c>
      <c r="L114" s="1097">
        <v>4</v>
      </c>
      <c r="M114" s="1097">
        <v>4</v>
      </c>
      <c r="N114" s="1097">
        <v>4</v>
      </c>
      <c r="O114" s="1097">
        <v>4</v>
      </c>
      <c r="P114" s="1097">
        <v>4</v>
      </c>
      <c r="Q114" s="1205">
        <v>4</v>
      </c>
      <c r="R114" s="1205">
        <v>4</v>
      </c>
      <c r="S114" s="1097">
        <v>4</v>
      </c>
      <c r="T114" s="1097">
        <v>4</v>
      </c>
      <c r="U114" s="1097">
        <v>4</v>
      </c>
      <c r="V114" s="1097">
        <v>4</v>
      </c>
      <c r="W114" s="1097">
        <v>4</v>
      </c>
      <c r="X114" s="1205">
        <v>4</v>
      </c>
      <c r="Y114" s="1205">
        <v>4</v>
      </c>
      <c r="Z114" s="1097">
        <v>4</v>
      </c>
      <c r="AA114" s="1097">
        <v>4</v>
      </c>
      <c r="AB114" s="1097">
        <v>4</v>
      </c>
      <c r="AC114" s="1097">
        <v>4</v>
      </c>
      <c r="AD114" s="1097">
        <v>4</v>
      </c>
      <c r="AE114" s="1205">
        <v>4</v>
      </c>
      <c r="AF114" s="1205">
        <v>4</v>
      </c>
      <c r="AG114" s="1097">
        <v>4</v>
      </c>
      <c r="AH114" s="1097">
        <v>4</v>
      </c>
      <c r="AI114" s="1328">
        <v>4</v>
      </c>
      <c r="AJ114" s="665"/>
      <c r="AK114" s="665"/>
      <c r="AL114" s="646"/>
      <c r="AM114" s="917"/>
      <c r="AN114" s="449"/>
      <c r="AO114" s="622"/>
    </row>
    <row r="115" spans="1:48" s="644" customFormat="1" ht="19.899999999999999" hidden="1" customHeight="1">
      <c r="A115" s="215" t="s">
        <v>267</v>
      </c>
      <c r="B115" s="518"/>
      <c r="C115" s="523"/>
      <c r="D115" s="81" t="s">
        <v>109</v>
      </c>
      <c r="E115" s="1105">
        <f>SUM(E109+E111+E112+E113)/E114</f>
        <v>0</v>
      </c>
      <c r="F115" s="1105">
        <f t="shared" ref="F115:AH115" si="254">SUM(F109+F111+F112+F113)/F114</f>
        <v>0</v>
      </c>
      <c r="G115" s="1198">
        <f t="shared" si="254"/>
        <v>0</v>
      </c>
      <c r="H115" s="1105">
        <f t="shared" si="254"/>
        <v>0</v>
      </c>
      <c r="I115" s="1105">
        <f t="shared" si="254"/>
        <v>0</v>
      </c>
      <c r="J115" s="1198">
        <f t="shared" si="254"/>
        <v>0</v>
      </c>
      <c r="K115" s="1198">
        <f t="shared" si="254"/>
        <v>0</v>
      </c>
      <c r="L115" s="1105">
        <f t="shared" si="254"/>
        <v>0</v>
      </c>
      <c r="M115" s="1105">
        <f t="shared" si="254"/>
        <v>0</v>
      </c>
      <c r="N115" s="1105">
        <f t="shared" si="254"/>
        <v>0</v>
      </c>
      <c r="O115" s="1105">
        <f t="shared" si="254"/>
        <v>0</v>
      </c>
      <c r="P115" s="1105">
        <f t="shared" si="254"/>
        <v>0</v>
      </c>
      <c r="Q115" s="1198">
        <f t="shared" si="254"/>
        <v>0</v>
      </c>
      <c r="R115" s="1198">
        <f t="shared" si="254"/>
        <v>0</v>
      </c>
      <c r="S115" s="1105">
        <f t="shared" si="254"/>
        <v>0</v>
      </c>
      <c r="T115" s="1105">
        <f t="shared" si="254"/>
        <v>0</v>
      </c>
      <c r="U115" s="1105">
        <f t="shared" si="254"/>
        <v>0</v>
      </c>
      <c r="V115" s="1105">
        <f t="shared" si="254"/>
        <v>0</v>
      </c>
      <c r="W115" s="1105">
        <f t="shared" si="254"/>
        <v>0</v>
      </c>
      <c r="X115" s="1198">
        <f t="shared" si="254"/>
        <v>0</v>
      </c>
      <c r="Y115" s="1198">
        <f t="shared" si="254"/>
        <v>0</v>
      </c>
      <c r="Z115" s="1105">
        <f t="shared" si="254"/>
        <v>0</v>
      </c>
      <c r="AA115" s="1105">
        <f t="shared" si="254"/>
        <v>0</v>
      </c>
      <c r="AB115" s="1105">
        <f t="shared" si="254"/>
        <v>0</v>
      </c>
      <c r="AC115" s="1105">
        <f t="shared" si="254"/>
        <v>0</v>
      </c>
      <c r="AD115" s="1105">
        <f t="shared" si="254"/>
        <v>0</v>
      </c>
      <c r="AE115" s="1198">
        <f t="shared" si="254"/>
        <v>0</v>
      </c>
      <c r="AF115" s="1198">
        <f t="shared" si="254"/>
        <v>0</v>
      </c>
      <c r="AG115" s="1105">
        <f t="shared" si="254"/>
        <v>0</v>
      </c>
      <c r="AH115" s="1105">
        <f t="shared" si="254"/>
        <v>0</v>
      </c>
      <c r="AI115" s="1353">
        <f>SUM(AI109+AI111+AI112)/AI114</f>
        <v>0</v>
      </c>
      <c r="AJ115" s="104">
        <f>SUM(E115:AI115)</f>
        <v>0</v>
      </c>
      <c r="AK115" s="104"/>
      <c r="AL115" s="650"/>
      <c r="AM115" s="921"/>
      <c r="AN115" s="450"/>
      <c r="AO115" s="622"/>
    </row>
    <row r="116" spans="1:48" s="644" customFormat="1" ht="19.899999999999999" hidden="1" customHeight="1">
      <c r="A116" s="215" t="s">
        <v>267</v>
      </c>
      <c r="B116" s="524"/>
      <c r="C116" s="72"/>
      <c r="D116" s="85" t="s">
        <v>110</v>
      </c>
      <c r="E116" s="1336"/>
      <c r="F116" s="1106"/>
      <c r="G116" s="1211"/>
      <c r="H116" s="1107"/>
      <c r="I116" s="1104"/>
      <c r="J116" s="1211"/>
      <c r="K116" s="1211"/>
      <c r="L116" s="1104"/>
      <c r="M116" s="1104"/>
      <c r="N116" s="1107"/>
      <c r="O116" s="1104"/>
      <c r="P116" s="1107"/>
      <c r="Q116" s="1228"/>
      <c r="R116" s="1228"/>
      <c r="S116" s="1104"/>
      <c r="T116" s="1104"/>
      <c r="U116" s="1104"/>
      <c r="V116" s="1104"/>
      <c r="W116" s="1107"/>
      <c r="X116" s="1211"/>
      <c r="Y116" s="1228"/>
      <c r="Z116" s="1107"/>
      <c r="AA116" s="1107"/>
      <c r="AB116" s="1107"/>
      <c r="AC116" s="1104"/>
      <c r="AD116" s="1144"/>
      <c r="AE116" s="1228"/>
      <c r="AF116" s="1211"/>
      <c r="AG116" s="1104"/>
      <c r="AH116" s="1104"/>
      <c r="AI116" s="1353"/>
      <c r="AJ116" s="667"/>
      <c r="AK116" s="667"/>
      <c r="AL116" s="703"/>
      <c r="AM116" s="922"/>
      <c r="AN116" s="449"/>
      <c r="AO116" s="622"/>
    </row>
    <row r="117" spans="1:48" s="644" customFormat="1" ht="19.899999999999999" hidden="1" customHeight="1">
      <c r="A117" s="215" t="s">
        <v>267</v>
      </c>
      <c r="B117" s="518"/>
      <c r="C117" s="72" t="s">
        <v>104</v>
      </c>
      <c r="D117" s="88" t="s">
        <v>111</v>
      </c>
      <c r="E117" s="1108">
        <f>IF(E116="O/H",E115,0+E115)</f>
        <v>0</v>
      </c>
      <c r="F117" s="1089">
        <f>IF(F116="O/H",F115,+E117+F115)</f>
        <v>0</v>
      </c>
      <c r="G117" s="44">
        <f t="shared" ref="G117:AF117" si="255">IF(G116="O/H",G115,+F117+G115)</f>
        <v>0</v>
      </c>
      <c r="H117" s="1089">
        <f t="shared" si="255"/>
        <v>0</v>
      </c>
      <c r="I117" s="1089">
        <f t="shared" si="255"/>
        <v>0</v>
      </c>
      <c r="J117" s="44">
        <f t="shared" si="255"/>
        <v>0</v>
      </c>
      <c r="K117" s="44">
        <f t="shared" si="255"/>
        <v>0</v>
      </c>
      <c r="L117" s="1089">
        <f t="shared" si="255"/>
        <v>0</v>
      </c>
      <c r="M117" s="1089">
        <f t="shared" si="255"/>
        <v>0</v>
      </c>
      <c r="N117" s="1089">
        <f t="shared" si="255"/>
        <v>0</v>
      </c>
      <c r="O117" s="1089">
        <f t="shared" si="255"/>
        <v>0</v>
      </c>
      <c r="P117" s="1089">
        <f t="shared" si="255"/>
        <v>0</v>
      </c>
      <c r="Q117" s="44">
        <f t="shared" si="255"/>
        <v>0</v>
      </c>
      <c r="R117" s="44">
        <f t="shared" si="255"/>
        <v>0</v>
      </c>
      <c r="S117" s="1089">
        <f t="shared" si="255"/>
        <v>0</v>
      </c>
      <c r="T117" s="1089">
        <f t="shared" si="255"/>
        <v>0</v>
      </c>
      <c r="U117" s="1089">
        <f t="shared" si="255"/>
        <v>0</v>
      </c>
      <c r="V117" s="1089">
        <f t="shared" si="255"/>
        <v>0</v>
      </c>
      <c r="W117" s="1089">
        <f t="shared" si="255"/>
        <v>0</v>
      </c>
      <c r="X117" s="44">
        <f t="shared" si="255"/>
        <v>0</v>
      </c>
      <c r="Y117" s="44">
        <f t="shared" si="255"/>
        <v>0</v>
      </c>
      <c r="Z117" s="1089">
        <f t="shared" si="255"/>
        <v>0</v>
      </c>
      <c r="AA117" s="1089">
        <f t="shared" si="255"/>
        <v>0</v>
      </c>
      <c r="AB117" s="1089">
        <f t="shared" si="255"/>
        <v>0</v>
      </c>
      <c r="AC117" s="1089">
        <f t="shared" si="255"/>
        <v>0</v>
      </c>
      <c r="AD117" s="1089">
        <f t="shared" si="255"/>
        <v>0</v>
      </c>
      <c r="AE117" s="44">
        <f t="shared" si="255"/>
        <v>0</v>
      </c>
      <c r="AF117" s="44">
        <f t="shared" si="255"/>
        <v>0</v>
      </c>
      <c r="AG117" s="1089">
        <f t="shared" ref="AG117" si="256">IF(AG116="O/H",AG115,+AF117+AG115)</f>
        <v>0</v>
      </c>
      <c r="AH117" s="1089">
        <f t="shared" ref="AH117" si="257">IF(AH116="O/H",AH115,+AG117+AH115)</f>
        <v>0</v>
      </c>
      <c r="AI117" s="1089">
        <f t="shared" ref="AI117" si="258">IF(AI116="O/H",AI115,+AH117+AI115)</f>
        <v>0</v>
      </c>
      <c r="AJ117" s="663"/>
      <c r="AK117" s="667"/>
      <c r="AL117" s="704"/>
      <c r="AM117" s="923"/>
      <c r="AN117" s="449"/>
      <c r="AO117" s="622"/>
    </row>
    <row r="118" spans="1:48" s="23" customFormat="1" ht="20.65" hidden="1" customHeight="1">
      <c r="A118" s="274"/>
      <c r="B118" s="312"/>
      <c r="C118" s="308">
        <v>300000</v>
      </c>
      <c r="D118" s="795" t="s">
        <v>112</v>
      </c>
      <c r="E118" s="1117" t="b">
        <f>IF(AND(ISNUMBER(E109)),3564644+E115)</f>
        <v>0</v>
      </c>
      <c r="F118" s="1118" t="str">
        <f>IF(AND(ISNUMBER(F109)),E118+F115,"")</f>
        <v/>
      </c>
      <c r="G118" s="1216" t="str">
        <f t="shared" ref="G118" si="259">IF(AND(ISNUMBER(G109)),F118+G115,"")</f>
        <v/>
      </c>
      <c r="H118" s="1118" t="str">
        <f t="shared" ref="H118" si="260">IF(AND(ISNUMBER(H109)),G118+H115,"")</f>
        <v/>
      </c>
      <c r="I118" s="1118" t="str">
        <f>IF(AND(ISNUMBER(I109)),H118+I115,"")</f>
        <v/>
      </c>
      <c r="J118" s="1216" t="str">
        <f>IF(AND(ISNUMBER(J109)),I118+J115,"")</f>
        <v/>
      </c>
      <c r="K118" s="1216" t="str">
        <f>IF(AND(ISNUMBER(K109)),J118+K115,"")</f>
        <v/>
      </c>
      <c r="L118" s="1118" t="str">
        <f t="shared" ref="L118" si="261">IF(AND(ISNUMBER(L109)),K118+L115,"")</f>
        <v/>
      </c>
      <c r="M118" s="1118" t="str">
        <f t="shared" ref="M118" si="262">IF(AND(ISNUMBER(M109)),L118+M115,"")</f>
        <v/>
      </c>
      <c r="N118" s="1118" t="str">
        <f t="shared" ref="N118" si="263">IF(AND(ISNUMBER(N109)),M118+N115,"")</f>
        <v/>
      </c>
      <c r="O118" s="1118" t="str">
        <f t="shared" ref="O118" si="264">IF(AND(ISNUMBER(O109)),N118+O115,"")</f>
        <v/>
      </c>
      <c r="P118" s="1118" t="str">
        <f t="shared" ref="P118" si="265">IF(AND(ISNUMBER(P109)),O118+P115,"")</f>
        <v/>
      </c>
      <c r="Q118" s="1216" t="str">
        <f t="shared" ref="Q118" si="266">IF(AND(ISNUMBER(Q109)),P118+Q115,"")</f>
        <v/>
      </c>
      <c r="R118" s="1216" t="str">
        <f t="shared" ref="R118" si="267">IF(AND(ISNUMBER(R109)),Q118+R115,"")</f>
        <v/>
      </c>
      <c r="S118" s="1118" t="str">
        <f t="shared" ref="S118" si="268">IF(AND(ISNUMBER(S109)),R118+S115,"")</f>
        <v/>
      </c>
      <c r="T118" s="1118" t="str">
        <f t="shared" ref="T118" si="269">IF(AND(ISNUMBER(T109)),S118+T115,"")</f>
        <v/>
      </c>
      <c r="U118" s="1118" t="str">
        <f t="shared" ref="U118" si="270">IF(AND(ISNUMBER(U109)),T118+U115,"")</f>
        <v/>
      </c>
      <c r="V118" s="1118" t="str">
        <f t="shared" ref="V118" si="271">IF(AND(ISNUMBER(V109)),U118+V115,"")</f>
        <v/>
      </c>
      <c r="W118" s="1118" t="str">
        <f t="shared" ref="W118" si="272">IF(AND(ISNUMBER(W109)),V118+W115,"")</f>
        <v/>
      </c>
      <c r="X118" s="1216" t="str">
        <f t="shared" ref="X118" si="273">IF(AND(ISNUMBER(X109)),W118+X115,"")</f>
        <v/>
      </c>
      <c r="Y118" s="1216" t="str">
        <f t="shared" ref="Y118" si="274">IF(AND(ISNUMBER(Y109)),X118+Y115,"")</f>
        <v/>
      </c>
      <c r="Z118" s="1118" t="str">
        <f t="shared" ref="Z118" si="275">IF(AND(ISNUMBER(Z109)),Y118+Z115,"")</f>
        <v/>
      </c>
      <c r="AA118" s="1118" t="str">
        <f t="shared" ref="AA118" si="276">IF(AND(ISNUMBER(AA109)),Z118+AA115,"")</f>
        <v/>
      </c>
      <c r="AB118" s="1118" t="str">
        <f t="shared" ref="AB118" si="277">IF(AND(ISNUMBER(AB109)),AA118+AB115,"")</f>
        <v/>
      </c>
      <c r="AC118" s="1118" t="str">
        <f t="shared" ref="AC118" si="278">IF(AND(ISNUMBER(AC109)),AB118+AC115,"")</f>
        <v/>
      </c>
      <c r="AD118" s="1118" t="str">
        <f t="shared" ref="AD118" si="279">IF(AND(ISNUMBER(AD109)),AC118+AD115,"")</f>
        <v/>
      </c>
      <c r="AE118" s="1216" t="str">
        <f t="shared" ref="AE118" si="280">IF(AND(ISNUMBER(AE109)),AD118+AE115,"")</f>
        <v/>
      </c>
      <c r="AF118" s="1216" t="str">
        <f t="shared" ref="AF118" si="281">IF(AND(ISNUMBER(AF109)),AE118+AF115,"")</f>
        <v/>
      </c>
      <c r="AG118" s="1118" t="str">
        <f t="shared" ref="AG118" si="282">IF(AND(ISNUMBER(AG109)),AF118+AG115,"")</f>
        <v/>
      </c>
      <c r="AH118" s="1118" t="str">
        <f t="shared" ref="AH118" si="283">IF(AND(ISNUMBER(AH109)),AG118+AH115,"")</f>
        <v/>
      </c>
      <c r="AI118" s="1118" t="str">
        <f t="shared" ref="AI118" si="284">IF(AND(ISNUMBER(AI109)),AH118+AI115,"")</f>
        <v/>
      </c>
      <c r="AJ118" s="793"/>
      <c r="AK118" s="793"/>
      <c r="AL118" s="909"/>
      <c r="AM118" s="890"/>
      <c r="AN118" s="91"/>
      <c r="AO118" s="630"/>
      <c r="AP118" s="285"/>
      <c r="AQ118" s="285"/>
      <c r="AR118" s="285"/>
      <c r="AS118" s="285"/>
      <c r="AT118" s="286"/>
      <c r="AU118" s="285"/>
      <c r="AV118" s="287"/>
    </row>
    <row r="119" spans="1:48" s="644" customFormat="1" ht="19.899999999999999" hidden="1" customHeight="1">
      <c r="A119" s="215"/>
      <c r="B119" s="89" t="s">
        <v>346</v>
      </c>
      <c r="C119" s="89" t="s">
        <v>108</v>
      </c>
      <c r="D119" s="90" t="s">
        <v>104</v>
      </c>
      <c r="E119" s="1415"/>
      <c r="F119" s="1141"/>
      <c r="G119" s="1272"/>
      <c r="H119" s="1141"/>
      <c r="I119" s="1141"/>
      <c r="J119" s="1272"/>
      <c r="K119" s="1272"/>
      <c r="L119" s="1141"/>
      <c r="M119" s="1144"/>
      <c r="N119" s="1141"/>
      <c r="O119" s="1141"/>
      <c r="P119" s="1141"/>
      <c r="Q119" s="1272"/>
      <c r="R119" s="1272"/>
      <c r="S119" s="1141"/>
      <c r="T119" s="1141"/>
      <c r="U119" s="1141"/>
      <c r="V119" s="1141"/>
      <c r="W119" s="1141"/>
      <c r="X119" s="1272"/>
      <c r="Y119" s="1272"/>
      <c r="Z119" s="1141"/>
      <c r="AA119" s="1141"/>
      <c r="AB119" s="1141"/>
      <c r="AC119" s="1141"/>
      <c r="AD119" s="1141"/>
      <c r="AE119" s="1271"/>
      <c r="AF119" s="1272"/>
      <c r="AG119" s="1141"/>
      <c r="AH119" s="1141"/>
      <c r="AI119" s="1416"/>
      <c r="AJ119" s="663"/>
      <c r="AK119" s="663"/>
      <c r="AL119" s="647"/>
      <c r="AM119" s="924"/>
      <c r="AN119" s="449"/>
      <c r="AO119" s="622"/>
    </row>
    <row r="120" spans="1:48" s="644" customFormat="1" ht="19.899999999999999" hidden="1" customHeight="1" thickBot="1">
      <c r="A120" s="216"/>
      <c r="B120" s="525"/>
      <c r="C120" s="94">
        <f>+C118*0.8</f>
        <v>240000</v>
      </c>
      <c r="D120" s="88" t="s">
        <v>111</v>
      </c>
      <c r="E120" s="1109">
        <f>IF(E119="O/H",E115,0+E115)</f>
        <v>0</v>
      </c>
      <c r="F120" s="1110">
        <f t="shared" ref="F120:AI120" si="285">IF(F119="O/H",F115,+E120+F115)</f>
        <v>0</v>
      </c>
      <c r="G120" s="1212">
        <f t="shared" si="285"/>
        <v>0</v>
      </c>
      <c r="H120" s="1110">
        <f t="shared" si="285"/>
        <v>0</v>
      </c>
      <c r="I120" s="1110">
        <f t="shared" si="285"/>
        <v>0</v>
      </c>
      <c r="J120" s="1212">
        <f t="shared" si="285"/>
        <v>0</v>
      </c>
      <c r="K120" s="1212">
        <f t="shared" si="285"/>
        <v>0</v>
      </c>
      <c r="L120" s="1110">
        <f t="shared" si="285"/>
        <v>0</v>
      </c>
      <c r="M120" s="1110">
        <f t="shared" si="285"/>
        <v>0</v>
      </c>
      <c r="N120" s="1110">
        <f t="shared" si="285"/>
        <v>0</v>
      </c>
      <c r="O120" s="1110">
        <f t="shared" si="285"/>
        <v>0</v>
      </c>
      <c r="P120" s="1110">
        <f t="shared" si="285"/>
        <v>0</v>
      </c>
      <c r="Q120" s="1212">
        <f t="shared" si="285"/>
        <v>0</v>
      </c>
      <c r="R120" s="1212">
        <f t="shared" si="285"/>
        <v>0</v>
      </c>
      <c r="S120" s="1110">
        <f t="shared" si="285"/>
        <v>0</v>
      </c>
      <c r="T120" s="1110">
        <f t="shared" si="285"/>
        <v>0</v>
      </c>
      <c r="U120" s="1110">
        <f t="shared" si="285"/>
        <v>0</v>
      </c>
      <c r="V120" s="1110">
        <f t="shared" si="285"/>
        <v>0</v>
      </c>
      <c r="W120" s="1110">
        <f t="shared" si="285"/>
        <v>0</v>
      </c>
      <c r="X120" s="1212">
        <f t="shared" si="285"/>
        <v>0</v>
      </c>
      <c r="Y120" s="1212">
        <f t="shared" si="285"/>
        <v>0</v>
      </c>
      <c r="Z120" s="1110">
        <f t="shared" si="285"/>
        <v>0</v>
      </c>
      <c r="AA120" s="1110">
        <f t="shared" si="285"/>
        <v>0</v>
      </c>
      <c r="AB120" s="1110">
        <f t="shared" si="285"/>
        <v>0</v>
      </c>
      <c r="AC120" s="1110">
        <f t="shared" si="285"/>
        <v>0</v>
      </c>
      <c r="AD120" s="1110">
        <f t="shared" si="285"/>
        <v>0</v>
      </c>
      <c r="AE120" s="1212">
        <f t="shared" si="285"/>
        <v>0</v>
      </c>
      <c r="AF120" s="1212">
        <f t="shared" si="285"/>
        <v>0</v>
      </c>
      <c r="AG120" s="1110">
        <f t="shared" si="285"/>
        <v>0</v>
      </c>
      <c r="AH120" s="1110">
        <f t="shared" si="285"/>
        <v>0</v>
      </c>
      <c r="AI120" s="1340">
        <f t="shared" si="285"/>
        <v>0</v>
      </c>
      <c r="AJ120" s="668"/>
      <c r="AK120" s="668"/>
      <c r="AL120" s="705"/>
      <c r="AM120" s="925"/>
      <c r="AN120" s="567"/>
      <c r="AO120" s="625"/>
    </row>
    <row r="121" spans="1:48" s="644" customFormat="1" ht="19.899999999999999" hidden="1" customHeight="1" thickTop="1">
      <c r="A121" s="228" t="s">
        <v>714</v>
      </c>
      <c r="B121" s="219" t="s">
        <v>328</v>
      </c>
      <c r="C121" s="418" t="str">
        <f>Table1[[#This Row],[M/C No.]]</f>
        <v>A6(80ton)</v>
      </c>
      <c r="D121" s="28" t="s">
        <v>82</v>
      </c>
      <c r="E121" s="1111"/>
      <c r="F121" s="1111"/>
      <c r="G121" s="1201"/>
      <c r="H121" s="1111"/>
      <c r="I121" s="1111"/>
      <c r="J121" s="1201"/>
      <c r="K121" s="1201"/>
      <c r="L121" s="1111"/>
      <c r="M121" s="1111"/>
      <c r="N121" s="1111"/>
      <c r="O121" s="1111"/>
      <c r="P121" s="1111"/>
      <c r="Q121" s="1201"/>
      <c r="R121" s="1201"/>
      <c r="S121" s="1111"/>
      <c r="T121" s="1111"/>
      <c r="U121" s="1111"/>
      <c r="V121" s="1111"/>
      <c r="W121" s="1111"/>
      <c r="X121" s="1201"/>
      <c r="Y121" s="1201"/>
      <c r="Z121" s="1111"/>
      <c r="AA121" s="1111"/>
      <c r="AB121" s="1111"/>
      <c r="AC121" s="1111"/>
      <c r="AD121" s="1111"/>
      <c r="AE121" s="1201"/>
      <c r="AF121" s="1201"/>
      <c r="AG121" s="1111"/>
      <c r="AH121" s="1111"/>
      <c r="AI121" s="1412"/>
      <c r="AJ121" s="570">
        <f>SUM(E121:AI121)</f>
        <v>0</v>
      </c>
      <c r="AK121" s="991">
        <f>AJ123</f>
        <v>0</v>
      </c>
      <c r="AL121" s="571">
        <f>+AJ121*AN121</f>
        <v>0</v>
      </c>
      <c r="AM121" s="1002">
        <f>AL123</f>
        <v>0</v>
      </c>
      <c r="AN121" s="448">
        <v>3.2145799999999998</v>
      </c>
      <c r="AO121" s="622">
        <f>Table1[[#This Row],[Total]]*B125/1000</f>
        <v>0</v>
      </c>
      <c r="AP121" s="32" t="s">
        <v>83</v>
      </c>
      <c r="AQ121" s="33" t="s">
        <v>84</v>
      </c>
      <c r="AR121" s="33" t="s">
        <v>85</v>
      </c>
      <c r="AS121" s="33" t="s">
        <v>86</v>
      </c>
      <c r="AT121" s="33" t="s">
        <v>87</v>
      </c>
      <c r="AU121" s="33" t="s">
        <v>88</v>
      </c>
      <c r="AV121" s="34" t="s">
        <v>68</v>
      </c>
    </row>
    <row r="122" spans="1:48" s="644" customFormat="1" ht="19.899999999999999" hidden="1" customHeight="1">
      <c r="A122" s="224" t="s">
        <v>347</v>
      </c>
      <c r="B122" s="219" t="s">
        <v>329</v>
      </c>
      <c r="C122" s="42"/>
      <c r="D122" s="37" t="s">
        <v>90</v>
      </c>
      <c r="E122" s="1143">
        <f>IF(E121="",0,+ E121/E128)</f>
        <v>0</v>
      </c>
      <c r="F122" s="1146">
        <f t="shared" ref="F122:X122" si="286">IF(F121="",0, E122+F121/F128)</f>
        <v>0</v>
      </c>
      <c r="G122" s="1265">
        <f t="shared" si="286"/>
        <v>0</v>
      </c>
      <c r="H122" s="1146">
        <f t="shared" si="286"/>
        <v>0</v>
      </c>
      <c r="I122" s="1146">
        <f t="shared" si="286"/>
        <v>0</v>
      </c>
      <c r="J122" s="1265">
        <f t="shared" si="286"/>
        <v>0</v>
      </c>
      <c r="K122" s="1265">
        <f t="shared" si="286"/>
        <v>0</v>
      </c>
      <c r="L122" s="1146">
        <f t="shared" si="286"/>
        <v>0</v>
      </c>
      <c r="M122" s="1146">
        <f t="shared" si="286"/>
        <v>0</v>
      </c>
      <c r="N122" s="1146">
        <f t="shared" si="286"/>
        <v>0</v>
      </c>
      <c r="O122" s="1146">
        <f t="shared" si="286"/>
        <v>0</v>
      </c>
      <c r="P122" s="1146">
        <f t="shared" si="286"/>
        <v>0</v>
      </c>
      <c r="Q122" s="1265">
        <f t="shared" si="286"/>
        <v>0</v>
      </c>
      <c r="R122" s="1265">
        <f t="shared" si="286"/>
        <v>0</v>
      </c>
      <c r="S122" s="1146">
        <f t="shared" si="286"/>
        <v>0</v>
      </c>
      <c r="T122" s="1146">
        <f t="shared" si="286"/>
        <v>0</v>
      </c>
      <c r="U122" s="1146">
        <f>IF(U121="",0, T122+U121/U128)</f>
        <v>0</v>
      </c>
      <c r="V122" s="1146">
        <f t="shared" si="286"/>
        <v>0</v>
      </c>
      <c r="W122" s="1146">
        <f t="shared" si="286"/>
        <v>0</v>
      </c>
      <c r="X122" s="1265">
        <f t="shared" si="286"/>
        <v>0</v>
      </c>
      <c r="Y122" s="1265">
        <f>IF(Y121="",0, X122+Y121/Y128)</f>
        <v>0</v>
      </c>
      <c r="Z122" s="1146">
        <f t="shared" ref="Z122:AI122" si="287">IF(Z121="",0, Y122+Z121/Z128)</f>
        <v>0</v>
      </c>
      <c r="AA122" s="1146">
        <f t="shared" si="287"/>
        <v>0</v>
      </c>
      <c r="AB122" s="1146">
        <f t="shared" si="287"/>
        <v>0</v>
      </c>
      <c r="AC122" s="1146">
        <f t="shared" si="287"/>
        <v>0</v>
      </c>
      <c r="AD122" s="1146">
        <f t="shared" si="287"/>
        <v>0</v>
      </c>
      <c r="AE122" s="1265">
        <f t="shared" si="287"/>
        <v>0</v>
      </c>
      <c r="AF122" s="1265">
        <f t="shared" si="287"/>
        <v>0</v>
      </c>
      <c r="AG122" s="1146">
        <f t="shared" si="287"/>
        <v>0</v>
      </c>
      <c r="AH122" s="1146">
        <f t="shared" si="287"/>
        <v>0</v>
      </c>
      <c r="AI122" s="1440">
        <f t="shared" si="287"/>
        <v>0</v>
      </c>
      <c r="AJ122" s="661"/>
      <c r="AK122" s="661"/>
      <c r="AL122" s="572"/>
      <c r="AM122" s="915"/>
      <c r="AN122" s="448"/>
      <c r="AO122" s="675"/>
      <c r="AP122" s="39" t="s">
        <v>91</v>
      </c>
      <c r="AQ122" s="40">
        <f>SUM(E121:I121)</f>
        <v>0</v>
      </c>
      <c r="AR122" s="41">
        <f>SUM(J121:P121)</f>
        <v>0</v>
      </c>
      <c r="AS122" s="41">
        <f>SUM(Q121:W121)</f>
        <v>0</v>
      </c>
      <c r="AT122" s="41">
        <f>SUM(X121:AD121)</f>
        <v>0</v>
      </c>
      <c r="AU122" s="41">
        <f>SUM(AE121:AI121)</f>
        <v>0</v>
      </c>
      <c r="AV122" s="34">
        <f t="shared" ref="AV122:AV127" si="288">SUM(AQ122:AU122)</f>
        <v>0</v>
      </c>
    </row>
    <row r="123" spans="1:48" s="644" customFormat="1" ht="19.899999999999999" hidden="1" customHeight="1">
      <c r="A123" s="224" t="s">
        <v>347</v>
      </c>
      <c r="B123" s="89" t="s">
        <v>324</v>
      </c>
      <c r="C123" s="52" t="s">
        <v>95</v>
      </c>
      <c r="D123" s="43" t="s">
        <v>93</v>
      </c>
      <c r="E123" s="1108"/>
      <c r="F123" s="1108"/>
      <c r="G123" s="1199"/>
      <c r="H123" s="1108"/>
      <c r="I123" s="1089"/>
      <c r="J123" s="44"/>
      <c r="K123" s="44"/>
      <c r="L123" s="1089"/>
      <c r="M123" s="1089"/>
      <c r="N123" s="1089"/>
      <c r="O123" s="1089"/>
      <c r="P123" s="1089"/>
      <c r="Q123" s="44"/>
      <c r="R123" s="44"/>
      <c r="S123" s="1089"/>
      <c r="T123" s="1089"/>
      <c r="U123" s="1089"/>
      <c r="V123" s="1089"/>
      <c r="W123" s="1089"/>
      <c r="X123" s="44"/>
      <c r="Y123" s="44"/>
      <c r="Z123" s="1089"/>
      <c r="AA123" s="1089"/>
      <c r="AB123" s="1089"/>
      <c r="AC123" s="1089"/>
      <c r="AD123" s="1089"/>
      <c r="AE123" s="44"/>
      <c r="AF123" s="44"/>
      <c r="AG123" s="1089"/>
      <c r="AH123" s="1089"/>
      <c r="AI123" s="1326"/>
      <c r="AJ123" s="662">
        <f>SUM(E123:AI123)</f>
        <v>0</v>
      </c>
      <c r="AK123" s="662"/>
      <c r="AL123" s="645">
        <f>+AJ123*AN121</f>
        <v>0</v>
      </c>
      <c r="AM123" s="916"/>
      <c r="AN123" s="449"/>
      <c r="AO123" s="632">
        <f>(AJ123+AJ125+AJ126+AJ127)*B125/1000</f>
        <v>0</v>
      </c>
      <c r="AP123" s="47" t="s">
        <v>94</v>
      </c>
      <c r="AQ123" s="48">
        <f>SUM(E123:I123)</f>
        <v>0</v>
      </c>
      <c r="AR123" s="49">
        <f>SUM(J123:P123)</f>
        <v>0</v>
      </c>
      <c r="AS123" s="49">
        <f>SUM(Q123:W123)</f>
        <v>0</v>
      </c>
      <c r="AT123" s="49">
        <f>SUM(X123:AD123)</f>
        <v>0</v>
      </c>
      <c r="AU123" s="49">
        <f>SUM(AE123:AI123)</f>
        <v>0</v>
      </c>
      <c r="AV123" s="50">
        <f t="shared" si="288"/>
        <v>0</v>
      </c>
    </row>
    <row r="124" spans="1:48" s="644" customFormat="1" ht="19.899999999999999" hidden="1" customHeight="1">
      <c r="A124" s="224" t="s">
        <v>347</v>
      </c>
      <c r="B124" s="638" t="s">
        <v>247</v>
      </c>
      <c r="C124" s="379">
        <v>40000</v>
      </c>
      <c r="D124" s="53" t="s">
        <v>96</v>
      </c>
      <c r="E124" s="1137">
        <f t="shared" ref="E124:P124" si="289">+E123-E121</f>
        <v>0</v>
      </c>
      <c r="F124" s="1097">
        <f t="shared" si="289"/>
        <v>0</v>
      </c>
      <c r="G124" s="1205">
        <f t="shared" si="289"/>
        <v>0</v>
      </c>
      <c r="H124" s="1097">
        <f t="shared" si="289"/>
        <v>0</v>
      </c>
      <c r="I124" s="1097">
        <f t="shared" si="289"/>
        <v>0</v>
      </c>
      <c r="J124" s="1205">
        <f t="shared" si="289"/>
        <v>0</v>
      </c>
      <c r="K124" s="1205">
        <f t="shared" si="289"/>
        <v>0</v>
      </c>
      <c r="L124" s="1097">
        <f t="shared" si="289"/>
        <v>0</v>
      </c>
      <c r="M124" s="1097">
        <f t="shared" si="289"/>
        <v>0</v>
      </c>
      <c r="N124" s="1097">
        <f t="shared" si="289"/>
        <v>0</v>
      </c>
      <c r="O124" s="1097">
        <f t="shared" si="289"/>
        <v>0</v>
      </c>
      <c r="P124" s="1097">
        <f t="shared" si="289"/>
        <v>0</v>
      </c>
      <c r="Q124" s="1205">
        <f>+Q123-Q121</f>
        <v>0</v>
      </c>
      <c r="R124" s="1205">
        <f t="shared" ref="R124:W124" si="290">+R123-R121</f>
        <v>0</v>
      </c>
      <c r="S124" s="1097">
        <f t="shared" si="290"/>
        <v>0</v>
      </c>
      <c r="T124" s="1097">
        <f t="shared" si="290"/>
        <v>0</v>
      </c>
      <c r="U124" s="1097">
        <f t="shared" si="290"/>
        <v>0</v>
      </c>
      <c r="V124" s="1097">
        <f t="shared" si="290"/>
        <v>0</v>
      </c>
      <c r="W124" s="1097">
        <f t="shared" si="290"/>
        <v>0</v>
      </c>
      <c r="X124" s="1205">
        <f t="shared" ref="X124:AC124" si="291">+X123-X121</f>
        <v>0</v>
      </c>
      <c r="Y124" s="1205">
        <f t="shared" si="291"/>
        <v>0</v>
      </c>
      <c r="Z124" s="1097">
        <f t="shared" si="291"/>
        <v>0</v>
      </c>
      <c r="AA124" s="1097">
        <f t="shared" si="291"/>
        <v>0</v>
      </c>
      <c r="AB124" s="1097">
        <f t="shared" si="291"/>
        <v>0</v>
      </c>
      <c r="AC124" s="1097">
        <f t="shared" si="291"/>
        <v>0</v>
      </c>
      <c r="AD124" s="1097">
        <f t="shared" ref="AD124:AJ124" si="292">+AD123-AD121</f>
        <v>0</v>
      </c>
      <c r="AE124" s="1205">
        <f t="shared" si="292"/>
        <v>0</v>
      </c>
      <c r="AF124" s="1205">
        <f t="shared" si="292"/>
        <v>0</v>
      </c>
      <c r="AG124" s="1097">
        <f t="shared" si="292"/>
        <v>0</v>
      </c>
      <c r="AH124" s="1097">
        <f t="shared" si="292"/>
        <v>0</v>
      </c>
      <c r="AI124" s="1328">
        <f t="shared" si="292"/>
        <v>0</v>
      </c>
      <c r="AJ124" s="663">
        <f t="shared" si="292"/>
        <v>0</v>
      </c>
      <c r="AK124" s="663"/>
      <c r="AL124" s="646">
        <f>+AJ124*AN121</f>
        <v>0</v>
      </c>
      <c r="AM124" s="917"/>
      <c r="AN124" s="449" t="s">
        <v>97</v>
      </c>
      <c r="AO124" s="622"/>
      <c r="AP124" s="39" t="s">
        <v>98</v>
      </c>
      <c r="AQ124" s="56">
        <f>AQ123-AQ122</f>
        <v>0</v>
      </c>
      <c r="AR124" s="70">
        <f>AR123-AR122</f>
        <v>0</v>
      </c>
      <c r="AS124" s="70">
        <f>AS123-AS122</f>
        <v>0</v>
      </c>
      <c r="AT124" s="70">
        <f>AT123-AT122</f>
        <v>0</v>
      </c>
      <c r="AU124" s="70">
        <f>AU123-AU122</f>
        <v>0</v>
      </c>
      <c r="AV124" s="57">
        <f t="shared" si="288"/>
        <v>0</v>
      </c>
    </row>
    <row r="125" spans="1:48" s="644" customFormat="1" ht="19.899999999999999" hidden="1" customHeight="1">
      <c r="A125" s="224" t="s">
        <v>347</v>
      </c>
      <c r="B125" s="659">
        <v>4.3875000000000002</v>
      </c>
      <c r="C125" s="494"/>
      <c r="D125" s="61" t="s">
        <v>101</v>
      </c>
      <c r="E125" s="1098"/>
      <c r="F125" s="1099"/>
      <c r="G125" s="1208"/>
      <c r="H125" s="1099"/>
      <c r="I125" s="1099"/>
      <c r="J125" s="1208"/>
      <c r="K125" s="1208"/>
      <c r="L125" s="1099"/>
      <c r="M125" s="1099"/>
      <c r="N125" s="1099"/>
      <c r="O125" s="1099"/>
      <c r="P125" s="1099"/>
      <c r="Q125" s="1208"/>
      <c r="R125" s="1208"/>
      <c r="S125" s="1099"/>
      <c r="T125" s="1099"/>
      <c r="U125" s="1099"/>
      <c r="V125" s="1099"/>
      <c r="W125" s="1099"/>
      <c r="X125" s="1208"/>
      <c r="Y125" s="1208"/>
      <c r="Z125" s="1099"/>
      <c r="AA125" s="1099"/>
      <c r="AB125" s="1099"/>
      <c r="AC125" s="1099"/>
      <c r="AD125" s="1099"/>
      <c r="AE125" s="1208"/>
      <c r="AF125" s="1208"/>
      <c r="AG125" s="1099"/>
      <c r="AH125" s="1099"/>
      <c r="AI125" s="1330"/>
      <c r="AJ125" s="664">
        <f>SUM(E125:AI125)</f>
        <v>0</v>
      </c>
      <c r="AK125" s="664"/>
      <c r="AL125" s="647">
        <f>+AJ125*AN121</f>
        <v>0</v>
      </c>
      <c r="AM125" s="918"/>
      <c r="AN125" s="404" t="e">
        <f>+AJ125/AJ123*100</f>
        <v>#DIV/0!</v>
      </c>
      <c r="AO125" s="635" t="e">
        <f>AO123/AO121</f>
        <v>#DIV/0!</v>
      </c>
      <c r="AP125" s="39" t="s">
        <v>102</v>
      </c>
      <c r="AQ125" s="56">
        <f>SUM(E125:I125)</f>
        <v>0</v>
      </c>
      <c r="AR125" s="70">
        <f>SUM(J125:P125)</f>
        <v>0</v>
      </c>
      <c r="AS125" s="70">
        <f>SUM(Q125:W125)</f>
        <v>0</v>
      </c>
      <c r="AT125" s="70">
        <f>SUM(X125:AD125)</f>
        <v>0</v>
      </c>
      <c r="AU125" s="70">
        <f>SUM(AE125:AI125)</f>
        <v>0</v>
      </c>
      <c r="AV125" s="57">
        <f t="shared" si="288"/>
        <v>0</v>
      </c>
    </row>
    <row r="126" spans="1:48" s="644" customFormat="1" ht="19.899999999999999" hidden="1" customHeight="1">
      <c r="A126" s="511"/>
      <c r="B126" s="89"/>
      <c r="C126" s="89" t="s">
        <v>108</v>
      </c>
      <c r="D126" s="67" t="s">
        <v>103</v>
      </c>
      <c r="E126" s="1100"/>
      <c r="F126" s="1101"/>
      <c r="G126" s="1209"/>
      <c r="H126" s="1101"/>
      <c r="I126" s="1101"/>
      <c r="J126" s="1209"/>
      <c r="K126" s="1209"/>
      <c r="L126" s="1101"/>
      <c r="M126" s="1101"/>
      <c r="N126" s="1101"/>
      <c r="O126" s="1101"/>
      <c r="P126" s="1101"/>
      <c r="Q126" s="1209"/>
      <c r="R126" s="1209"/>
      <c r="S126" s="1101"/>
      <c r="T126" s="1101"/>
      <c r="U126" s="1101"/>
      <c r="V126" s="1101"/>
      <c r="W126" s="1101"/>
      <c r="X126" s="1209"/>
      <c r="Y126" s="1209"/>
      <c r="Z126" s="1101"/>
      <c r="AA126" s="1101"/>
      <c r="AB126" s="1101"/>
      <c r="AC126" s="1101"/>
      <c r="AD126" s="1101"/>
      <c r="AE126" s="1209"/>
      <c r="AF126" s="1209"/>
      <c r="AG126" s="1101"/>
      <c r="AH126" s="1101"/>
      <c r="AI126" s="1332"/>
      <c r="AJ126" s="665">
        <f>SUM(E126:AI126)</f>
        <v>0</v>
      </c>
      <c r="AK126" s="665"/>
      <c r="AL126" s="648">
        <f>+AJ126*AN121</f>
        <v>0</v>
      </c>
      <c r="AM126" s="919"/>
      <c r="AN126" s="449"/>
      <c r="AO126" s="622"/>
      <c r="AP126" s="39" t="s">
        <v>19</v>
      </c>
      <c r="AQ126" s="56">
        <f>AQ125*AN121</f>
        <v>0</v>
      </c>
      <c r="AR126" s="56">
        <f>AR125*AN121</f>
        <v>0</v>
      </c>
      <c r="AS126" s="56">
        <f>AS125*AN121</f>
        <v>0</v>
      </c>
      <c r="AT126" s="56">
        <f>AT125*AN121</f>
        <v>0</v>
      </c>
      <c r="AU126" s="56">
        <f>AU125*AN121</f>
        <v>0</v>
      </c>
      <c r="AV126" s="57">
        <f t="shared" si="288"/>
        <v>0</v>
      </c>
    </row>
    <row r="127" spans="1:48" s="644" customFormat="1" ht="19.899999999999999" hidden="1" customHeight="1">
      <c r="A127" s="224" t="s">
        <v>347</v>
      </c>
      <c r="B127" s="89"/>
      <c r="C127" s="383">
        <f>+C124*0.8</f>
        <v>32000</v>
      </c>
      <c r="D127" s="73" t="s">
        <v>105</v>
      </c>
      <c r="E127" s="1102"/>
      <c r="F127" s="1103"/>
      <c r="G127" s="1210"/>
      <c r="H127" s="1103"/>
      <c r="I127" s="1103"/>
      <c r="J127" s="1210"/>
      <c r="K127" s="1210"/>
      <c r="L127" s="1103"/>
      <c r="M127" s="1103"/>
      <c r="N127" s="1103"/>
      <c r="O127" s="1103"/>
      <c r="P127" s="1103"/>
      <c r="Q127" s="1210"/>
      <c r="R127" s="1210"/>
      <c r="S127" s="1103"/>
      <c r="T127" s="1103"/>
      <c r="U127" s="1103"/>
      <c r="V127" s="1103"/>
      <c r="W127" s="1103"/>
      <c r="X127" s="1210"/>
      <c r="Y127" s="1210"/>
      <c r="Z127" s="1103"/>
      <c r="AA127" s="1103"/>
      <c r="AB127" s="1103"/>
      <c r="AC127" s="1103"/>
      <c r="AD127" s="1103"/>
      <c r="AE127" s="1210"/>
      <c r="AF127" s="1210"/>
      <c r="AG127" s="1103"/>
      <c r="AH127" s="1103"/>
      <c r="AI127" s="1352"/>
      <c r="AJ127" s="666">
        <f>SUM(E127:AI127)</f>
        <v>0</v>
      </c>
      <c r="AK127" s="666"/>
      <c r="AL127" s="649">
        <f>+AJ127*AN121</f>
        <v>0</v>
      </c>
      <c r="AM127" s="920"/>
      <c r="AN127" s="449"/>
      <c r="AO127" s="622"/>
      <c r="AP127" s="47" t="s">
        <v>106</v>
      </c>
      <c r="AQ127" s="48">
        <f>AQ123*AN121</f>
        <v>0</v>
      </c>
      <c r="AR127" s="48">
        <f>AR123*AN121</f>
        <v>0</v>
      </c>
      <c r="AS127" s="48">
        <f>AS123*AN121</f>
        <v>0</v>
      </c>
      <c r="AT127" s="48">
        <f>AT123*AN121</f>
        <v>0</v>
      </c>
      <c r="AU127" s="48">
        <f>AU123*AN121</f>
        <v>0</v>
      </c>
      <c r="AV127" s="50">
        <f t="shared" si="288"/>
        <v>0</v>
      </c>
    </row>
    <row r="128" spans="1:48" s="644" customFormat="1" ht="19.899999999999999" hidden="1" customHeight="1">
      <c r="A128" s="224" t="s">
        <v>347</v>
      </c>
      <c r="B128" s="89"/>
      <c r="C128" s="113"/>
      <c r="D128" s="78" t="s">
        <v>107</v>
      </c>
      <c r="E128" s="1137">
        <v>4</v>
      </c>
      <c r="F128" s="1097">
        <v>4</v>
      </c>
      <c r="G128" s="1205">
        <v>4</v>
      </c>
      <c r="H128" s="1097">
        <v>4</v>
      </c>
      <c r="I128" s="1097">
        <v>4</v>
      </c>
      <c r="J128" s="1205">
        <v>4</v>
      </c>
      <c r="K128" s="1205">
        <v>4</v>
      </c>
      <c r="L128" s="1097">
        <v>4</v>
      </c>
      <c r="M128" s="1097">
        <v>4</v>
      </c>
      <c r="N128" s="1097">
        <v>4</v>
      </c>
      <c r="O128" s="1097">
        <v>4</v>
      </c>
      <c r="P128" s="1097">
        <v>4</v>
      </c>
      <c r="Q128" s="1205">
        <v>4</v>
      </c>
      <c r="R128" s="1205">
        <v>4</v>
      </c>
      <c r="S128" s="1097">
        <v>4</v>
      </c>
      <c r="T128" s="1097">
        <v>4</v>
      </c>
      <c r="U128" s="1097">
        <v>4</v>
      </c>
      <c r="V128" s="1097">
        <v>4</v>
      </c>
      <c r="W128" s="1097">
        <v>4</v>
      </c>
      <c r="X128" s="1205">
        <v>4</v>
      </c>
      <c r="Y128" s="1205">
        <v>4</v>
      </c>
      <c r="Z128" s="1097">
        <v>4</v>
      </c>
      <c r="AA128" s="1097">
        <v>4</v>
      </c>
      <c r="AB128" s="1097">
        <v>4</v>
      </c>
      <c r="AC128" s="1097">
        <v>4</v>
      </c>
      <c r="AD128" s="1097">
        <v>4</v>
      </c>
      <c r="AE128" s="1205">
        <v>4</v>
      </c>
      <c r="AF128" s="1205">
        <v>4</v>
      </c>
      <c r="AG128" s="1097">
        <v>4</v>
      </c>
      <c r="AH128" s="1097">
        <v>4</v>
      </c>
      <c r="AI128" s="1328">
        <v>4</v>
      </c>
      <c r="AJ128" s="663"/>
      <c r="AK128" s="663"/>
      <c r="AL128" s="646"/>
      <c r="AM128" s="927"/>
      <c r="AN128" s="450"/>
      <c r="AO128" s="622"/>
    </row>
    <row r="129" spans="1:48" s="644" customFormat="1" ht="19.899999999999999" hidden="1" customHeight="1">
      <c r="A129" s="224" t="s">
        <v>347</v>
      </c>
      <c r="B129" s="89"/>
      <c r="C129" s="523"/>
      <c r="D129" s="81" t="s">
        <v>109</v>
      </c>
      <c r="E129" s="1105">
        <f>SUM(E123+E125+E126+E127)/E128</f>
        <v>0</v>
      </c>
      <c r="F129" s="1105">
        <f t="shared" ref="F129:Z129" si="293">SUM(F123+F125+F126+F127)/F128</f>
        <v>0</v>
      </c>
      <c r="G129" s="1198">
        <f t="shared" si="293"/>
        <v>0</v>
      </c>
      <c r="H129" s="1105">
        <f t="shared" si="293"/>
        <v>0</v>
      </c>
      <c r="I129" s="1105">
        <f t="shared" si="293"/>
        <v>0</v>
      </c>
      <c r="J129" s="1198">
        <f t="shared" si="293"/>
        <v>0</v>
      </c>
      <c r="K129" s="1198">
        <f t="shared" si="293"/>
        <v>0</v>
      </c>
      <c r="L129" s="1105">
        <f t="shared" si="293"/>
        <v>0</v>
      </c>
      <c r="M129" s="1105">
        <f t="shared" si="293"/>
        <v>0</v>
      </c>
      <c r="N129" s="1105">
        <f t="shared" si="293"/>
        <v>0</v>
      </c>
      <c r="O129" s="1105">
        <f t="shared" si="293"/>
        <v>0</v>
      </c>
      <c r="P129" s="1105">
        <f t="shared" si="293"/>
        <v>0</v>
      </c>
      <c r="Q129" s="1198">
        <f t="shared" si="293"/>
        <v>0</v>
      </c>
      <c r="R129" s="1198">
        <f t="shared" si="293"/>
        <v>0</v>
      </c>
      <c r="S129" s="1105">
        <f t="shared" si="293"/>
        <v>0</v>
      </c>
      <c r="T129" s="1105">
        <f t="shared" si="293"/>
        <v>0</v>
      </c>
      <c r="U129" s="1105">
        <f t="shared" si="293"/>
        <v>0</v>
      </c>
      <c r="V129" s="1105">
        <f t="shared" si="293"/>
        <v>0</v>
      </c>
      <c r="W129" s="1105">
        <f t="shared" si="293"/>
        <v>0</v>
      </c>
      <c r="X129" s="1198">
        <f t="shared" si="293"/>
        <v>0</v>
      </c>
      <c r="Y129" s="1198">
        <f t="shared" si="293"/>
        <v>0</v>
      </c>
      <c r="Z129" s="1105">
        <f t="shared" si="293"/>
        <v>0</v>
      </c>
      <c r="AA129" s="1105">
        <f>SUM(AA123+AA125+AA126+AA127)/AA128</f>
        <v>0</v>
      </c>
      <c r="AB129" s="1105">
        <f t="shared" ref="AB129:AH129" si="294">SUM(AB123+AB125+AB126+AB127)/AB128</f>
        <v>0</v>
      </c>
      <c r="AC129" s="1105">
        <f t="shared" si="294"/>
        <v>0</v>
      </c>
      <c r="AD129" s="1105">
        <f t="shared" si="294"/>
        <v>0</v>
      </c>
      <c r="AE129" s="1198">
        <f t="shared" si="294"/>
        <v>0</v>
      </c>
      <c r="AF129" s="1198">
        <f t="shared" si="294"/>
        <v>0</v>
      </c>
      <c r="AG129" s="1105">
        <f t="shared" si="294"/>
        <v>0</v>
      </c>
      <c r="AH129" s="1105">
        <f t="shared" si="294"/>
        <v>0</v>
      </c>
      <c r="AI129" s="1353">
        <f>SUM(AI123+AI125+AI126)/AI128</f>
        <v>0</v>
      </c>
      <c r="AJ129" s="104">
        <f>SUM(E129:AI129)</f>
        <v>0</v>
      </c>
      <c r="AK129" s="104"/>
      <c r="AL129" s="650"/>
      <c r="AM129" s="921"/>
      <c r="AN129" s="449"/>
      <c r="AO129" s="622"/>
    </row>
    <row r="130" spans="1:48" s="644" customFormat="1" ht="19.899999999999999" hidden="1" customHeight="1">
      <c r="A130" s="224" t="s">
        <v>347</v>
      </c>
      <c r="B130" s="89"/>
      <c r="C130" s="72"/>
      <c r="D130" s="85" t="s">
        <v>110</v>
      </c>
      <c r="E130" s="1336"/>
      <c r="F130" s="1106"/>
      <c r="G130" s="1228"/>
      <c r="H130" s="1104"/>
      <c r="I130" s="1104"/>
      <c r="J130" s="1211"/>
      <c r="K130" s="1211"/>
      <c r="L130" s="1104"/>
      <c r="M130" s="1104"/>
      <c r="N130" s="1104"/>
      <c r="O130" s="1104"/>
      <c r="P130" s="1104"/>
      <c r="Q130" s="1211"/>
      <c r="R130" s="1211"/>
      <c r="S130" s="1107"/>
      <c r="T130" s="1107"/>
      <c r="U130" s="1107"/>
      <c r="V130" s="1107"/>
      <c r="W130" s="1104"/>
      <c r="X130" s="1211"/>
      <c r="Y130" s="1211"/>
      <c r="Z130" s="1107"/>
      <c r="AA130" s="1104"/>
      <c r="AB130" s="1107"/>
      <c r="AC130" s="1104"/>
      <c r="AD130" s="1104"/>
      <c r="AE130" s="1211"/>
      <c r="AF130" s="1211"/>
      <c r="AG130" s="1104"/>
      <c r="AH130" s="1104"/>
      <c r="AI130" s="1353"/>
      <c r="AJ130" s="667"/>
      <c r="AK130" s="667"/>
      <c r="AL130" s="703"/>
      <c r="AM130" s="922"/>
      <c r="AN130" s="449"/>
      <c r="AO130" s="622"/>
    </row>
    <row r="131" spans="1:48" s="644" customFormat="1" ht="19.899999999999999" hidden="1" customHeight="1">
      <c r="A131" s="224" t="s">
        <v>347</v>
      </c>
      <c r="B131" s="89" t="s">
        <v>330</v>
      </c>
      <c r="C131" s="72" t="s">
        <v>104</v>
      </c>
      <c r="D131" s="88" t="s">
        <v>111</v>
      </c>
      <c r="E131" s="1108">
        <f>IF(E130="O/H",E129,36020+E129)</f>
        <v>36020</v>
      </c>
      <c r="F131" s="1089">
        <f>IF(F130="O/H",F129,+E131+F129)</f>
        <v>36020</v>
      </c>
      <c r="G131" s="44">
        <f t="shared" ref="G131:O131" si="295">IF(G130="O/H",G129,+F131+G129)</f>
        <v>36020</v>
      </c>
      <c r="H131" s="1089">
        <f t="shared" si="295"/>
        <v>36020</v>
      </c>
      <c r="I131" s="1089">
        <f t="shared" si="295"/>
        <v>36020</v>
      </c>
      <c r="J131" s="44">
        <f t="shared" si="295"/>
        <v>36020</v>
      </c>
      <c r="K131" s="44">
        <f t="shared" si="295"/>
        <v>36020</v>
      </c>
      <c r="L131" s="1089">
        <f t="shared" si="295"/>
        <v>36020</v>
      </c>
      <c r="M131" s="1089">
        <f t="shared" si="295"/>
        <v>36020</v>
      </c>
      <c r="N131" s="1089">
        <f t="shared" si="295"/>
        <v>36020</v>
      </c>
      <c r="O131" s="1089">
        <f t="shared" si="295"/>
        <v>36020</v>
      </c>
      <c r="P131" s="1089">
        <f t="shared" ref="P131:AI131" si="296">IF(P130="O/H",P129,+O131+P129)</f>
        <v>36020</v>
      </c>
      <c r="Q131" s="44">
        <f t="shared" si="296"/>
        <v>36020</v>
      </c>
      <c r="R131" s="44">
        <f t="shared" si="296"/>
        <v>36020</v>
      </c>
      <c r="S131" s="1089">
        <f t="shared" si="296"/>
        <v>36020</v>
      </c>
      <c r="T131" s="1089">
        <f t="shared" si="296"/>
        <v>36020</v>
      </c>
      <c r="U131" s="1089">
        <f t="shared" si="296"/>
        <v>36020</v>
      </c>
      <c r="V131" s="1089">
        <f t="shared" si="296"/>
        <v>36020</v>
      </c>
      <c r="W131" s="1089">
        <f t="shared" si="296"/>
        <v>36020</v>
      </c>
      <c r="X131" s="44">
        <f t="shared" si="296"/>
        <v>36020</v>
      </c>
      <c r="Y131" s="44">
        <f t="shared" si="296"/>
        <v>36020</v>
      </c>
      <c r="Z131" s="1089">
        <f t="shared" si="296"/>
        <v>36020</v>
      </c>
      <c r="AA131" s="1089">
        <f t="shared" si="296"/>
        <v>36020</v>
      </c>
      <c r="AB131" s="1089">
        <f t="shared" si="296"/>
        <v>36020</v>
      </c>
      <c r="AC131" s="1089">
        <f t="shared" si="296"/>
        <v>36020</v>
      </c>
      <c r="AD131" s="1089">
        <f t="shared" si="296"/>
        <v>36020</v>
      </c>
      <c r="AE131" s="44">
        <f t="shared" si="296"/>
        <v>36020</v>
      </c>
      <c r="AF131" s="44">
        <f t="shared" si="296"/>
        <v>36020</v>
      </c>
      <c r="AG131" s="1089">
        <f t="shared" si="296"/>
        <v>36020</v>
      </c>
      <c r="AH131" s="1089">
        <f t="shared" si="296"/>
        <v>36020</v>
      </c>
      <c r="AI131" s="1326">
        <f t="shared" si="296"/>
        <v>36020</v>
      </c>
      <c r="AJ131" s="663"/>
      <c r="AK131" s="667"/>
      <c r="AL131" s="704"/>
      <c r="AM131" s="923"/>
      <c r="AN131" s="449"/>
      <c r="AO131" s="622"/>
    </row>
    <row r="132" spans="1:48" s="23" customFormat="1" ht="20.65" hidden="1" customHeight="1">
      <c r="A132" s="274"/>
      <c r="B132" s="312"/>
      <c r="C132" s="308">
        <v>300000</v>
      </c>
      <c r="D132" s="795" t="s">
        <v>112</v>
      </c>
      <c r="E132" s="1117" t="b">
        <f>IF(AND(ISNUMBER(E123)),4007075+E129)</f>
        <v>0</v>
      </c>
      <c r="F132" s="1118" t="str">
        <f>IF(AND(ISNUMBER(F123)),E132+F129,"")</f>
        <v/>
      </c>
      <c r="G132" s="1216" t="str">
        <f t="shared" ref="G132" si="297">IF(AND(ISNUMBER(G123)),F132+G129,"")</f>
        <v/>
      </c>
      <c r="H132" s="1118" t="str">
        <f t="shared" ref="H132" si="298">IF(AND(ISNUMBER(H123)),G132+H129,"")</f>
        <v/>
      </c>
      <c r="I132" s="1118" t="str">
        <f>IF(AND(ISNUMBER(I123)),H132+I129,"")</f>
        <v/>
      </c>
      <c r="J132" s="1216" t="str">
        <f>IF(AND(ISNUMBER(J123)),I132+J129,"")</f>
        <v/>
      </c>
      <c r="K132" s="1216" t="str">
        <f>IF(AND(ISNUMBER(K123)),J132+K129,"")</f>
        <v/>
      </c>
      <c r="L132" s="1118" t="str">
        <f t="shared" ref="L132" si="299">IF(AND(ISNUMBER(L123)),K132+L129,"")</f>
        <v/>
      </c>
      <c r="M132" s="1118" t="str">
        <f t="shared" ref="M132" si="300">IF(AND(ISNUMBER(M123)),L132+M129,"")</f>
        <v/>
      </c>
      <c r="N132" s="1118" t="str">
        <f t="shared" ref="N132" si="301">IF(AND(ISNUMBER(N123)),M132+N129,"")</f>
        <v/>
      </c>
      <c r="O132" s="1118" t="str">
        <f t="shared" ref="O132" si="302">IF(AND(ISNUMBER(O123)),N132+O129,"")</f>
        <v/>
      </c>
      <c r="P132" s="1118" t="str">
        <f t="shared" ref="P132" si="303">IF(AND(ISNUMBER(P123)),O132+P129,"")</f>
        <v/>
      </c>
      <c r="Q132" s="1216" t="str">
        <f t="shared" ref="Q132" si="304">IF(AND(ISNUMBER(Q123)),P132+Q129,"")</f>
        <v/>
      </c>
      <c r="R132" s="1216" t="str">
        <f t="shared" ref="R132" si="305">IF(AND(ISNUMBER(R123)),Q132+R129,"")</f>
        <v/>
      </c>
      <c r="S132" s="1118" t="str">
        <f t="shared" ref="S132" si="306">IF(AND(ISNUMBER(S123)),R132+S129,"")</f>
        <v/>
      </c>
      <c r="T132" s="1118" t="str">
        <f t="shared" ref="T132" si="307">IF(AND(ISNUMBER(T123)),S132+T129,"")</f>
        <v/>
      </c>
      <c r="U132" s="1118" t="str">
        <f t="shared" ref="U132" si="308">IF(AND(ISNUMBER(U123)),T132+U129,"")</f>
        <v/>
      </c>
      <c r="V132" s="1118" t="str">
        <f t="shared" ref="V132" si="309">IF(AND(ISNUMBER(V123)),U132+V129,"")</f>
        <v/>
      </c>
      <c r="W132" s="1118" t="str">
        <f t="shared" ref="W132" si="310">IF(AND(ISNUMBER(W123)),V132+W129,"")</f>
        <v/>
      </c>
      <c r="X132" s="1216" t="str">
        <f t="shared" ref="X132" si="311">IF(AND(ISNUMBER(X123)),W132+X129,"")</f>
        <v/>
      </c>
      <c r="Y132" s="1216" t="str">
        <f t="shared" ref="Y132" si="312">IF(AND(ISNUMBER(Y123)),X132+Y129,"")</f>
        <v/>
      </c>
      <c r="Z132" s="1118" t="str">
        <f t="shared" ref="Z132" si="313">IF(AND(ISNUMBER(Z123)),Y132+Z129,"")</f>
        <v/>
      </c>
      <c r="AA132" s="1118" t="str">
        <f t="shared" ref="AA132" si="314">IF(AND(ISNUMBER(AA123)),Z132+AA129,"")</f>
        <v/>
      </c>
      <c r="AB132" s="1118" t="str">
        <f t="shared" ref="AB132" si="315">IF(AND(ISNUMBER(AB123)),AA132+AB129,"")</f>
        <v/>
      </c>
      <c r="AC132" s="1118" t="str">
        <f t="shared" ref="AC132" si="316">IF(AND(ISNUMBER(AC123)),AB132+AC129,"")</f>
        <v/>
      </c>
      <c r="AD132" s="1118" t="str">
        <f t="shared" ref="AD132" si="317">IF(AND(ISNUMBER(AD123)),AC132+AD129,"")</f>
        <v/>
      </c>
      <c r="AE132" s="1216" t="str">
        <f t="shared" ref="AE132" si="318">IF(AND(ISNUMBER(AE123)),AD132+AE129,"")</f>
        <v/>
      </c>
      <c r="AF132" s="1216" t="str">
        <f t="shared" ref="AF132" si="319">IF(AND(ISNUMBER(AF123)),AE132+AF129,"")</f>
        <v/>
      </c>
      <c r="AG132" s="1118" t="str">
        <f t="shared" ref="AG132" si="320">IF(AND(ISNUMBER(AG123)),AF132+AG129,"")</f>
        <v/>
      </c>
      <c r="AH132" s="1118" t="str">
        <f t="shared" ref="AH132" si="321">IF(AND(ISNUMBER(AH123)),AG132+AH129,"")</f>
        <v/>
      </c>
      <c r="AI132" s="1118" t="str">
        <f t="shared" ref="AI132" si="322">IF(AND(ISNUMBER(AI123)),AH132+AI129,"")</f>
        <v/>
      </c>
      <c r="AJ132" s="793"/>
      <c r="AK132" s="793"/>
      <c r="AL132" s="909"/>
      <c r="AM132" s="890"/>
      <c r="AN132" s="91"/>
      <c r="AO132" s="630"/>
      <c r="AP132" s="285"/>
      <c r="AQ132" s="285"/>
      <c r="AR132" s="285"/>
      <c r="AS132" s="285"/>
      <c r="AT132" s="286"/>
      <c r="AU132" s="285"/>
      <c r="AV132" s="287"/>
    </row>
    <row r="133" spans="1:48" s="644" customFormat="1" ht="19.899999999999999" hidden="1" customHeight="1">
      <c r="A133" s="224" t="s">
        <v>347</v>
      </c>
      <c r="B133" s="113"/>
      <c r="C133" s="89" t="s">
        <v>108</v>
      </c>
      <c r="D133" s="90" t="s">
        <v>104</v>
      </c>
      <c r="E133" s="1415"/>
      <c r="F133" s="1141"/>
      <c r="G133" s="1272"/>
      <c r="H133" s="1141"/>
      <c r="I133" s="1141"/>
      <c r="J133" s="1272"/>
      <c r="K133" s="1272"/>
      <c r="L133" s="1141"/>
      <c r="M133" s="1141"/>
      <c r="N133" s="1141"/>
      <c r="O133" s="1141"/>
      <c r="P133" s="1141"/>
      <c r="Q133" s="1272"/>
      <c r="R133" s="1272"/>
      <c r="S133" s="1141"/>
      <c r="T133" s="1141"/>
      <c r="U133" s="1141"/>
      <c r="V133" s="1141"/>
      <c r="W133" s="1141"/>
      <c r="X133" s="1272"/>
      <c r="Y133" s="1272"/>
      <c r="Z133" s="1141"/>
      <c r="AA133" s="1141"/>
      <c r="AB133" s="1141"/>
      <c r="AC133" s="1141"/>
      <c r="AD133" s="1141"/>
      <c r="AE133" s="1272"/>
      <c r="AF133" s="1272"/>
      <c r="AG133" s="1141"/>
      <c r="AH133" s="1141"/>
      <c r="AI133" s="1416"/>
      <c r="AJ133" s="663"/>
      <c r="AK133" s="663"/>
      <c r="AL133" s="647"/>
      <c r="AM133" s="918"/>
      <c r="AN133" s="912"/>
      <c r="AO133" s="671"/>
    </row>
    <row r="134" spans="1:48" s="644" customFormat="1" ht="19.899999999999999" hidden="1" customHeight="1" thickBot="1">
      <c r="A134" s="516" t="s">
        <v>347</v>
      </c>
      <c r="B134" s="517"/>
      <c r="C134" s="94">
        <f>+C132*0.8</f>
        <v>240000</v>
      </c>
      <c r="D134" s="88" t="s">
        <v>111</v>
      </c>
      <c r="E134" s="1109">
        <f>IF(E133="O/H",E129,62525+E129)</f>
        <v>62525</v>
      </c>
      <c r="F134" s="1110">
        <f t="shared" ref="F134:AI134" si="323">IF(F133="O/H",F129,+E134+F129)</f>
        <v>62525</v>
      </c>
      <c r="G134" s="1212">
        <f t="shared" si="323"/>
        <v>62525</v>
      </c>
      <c r="H134" s="1110">
        <f t="shared" si="323"/>
        <v>62525</v>
      </c>
      <c r="I134" s="1110">
        <f t="shared" si="323"/>
        <v>62525</v>
      </c>
      <c r="J134" s="1212">
        <f t="shared" si="323"/>
        <v>62525</v>
      </c>
      <c r="K134" s="1212">
        <f t="shared" si="323"/>
        <v>62525</v>
      </c>
      <c r="L134" s="1110">
        <f t="shared" si="323"/>
        <v>62525</v>
      </c>
      <c r="M134" s="1110">
        <f t="shared" si="323"/>
        <v>62525</v>
      </c>
      <c r="N134" s="1110">
        <f t="shared" si="323"/>
        <v>62525</v>
      </c>
      <c r="O134" s="1110">
        <f t="shared" si="323"/>
        <v>62525</v>
      </c>
      <c r="P134" s="1110">
        <f t="shared" si="323"/>
        <v>62525</v>
      </c>
      <c r="Q134" s="1212">
        <f t="shared" si="323"/>
        <v>62525</v>
      </c>
      <c r="R134" s="1212">
        <f t="shared" si="323"/>
        <v>62525</v>
      </c>
      <c r="S134" s="1110">
        <f t="shared" si="323"/>
        <v>62525</v>
      </c>
      <c r="T134" s="1110">
        <f t="shared" si="323"/>
        <v>62525</v>
      </c>
      <c r="U134" s="1110">
        <f t="shared" si="323"/>
        <v>62525</v>
      </c>
      <c r="V134" s="1110">
        <f t="shared" si="323"/>
        <v>62525</v>
      </c>
      <c r="W134" s="1110">
        <f t="shared" si="323"/>
        <v>62525</v>
      </c>
      <c r="X134" s="1212">
        <f t="shared" si="323"/>
        <v>62525</v>
      </c>
      <c r="Y134" s="1212">
        <f t="shared" si="323"/>
        <v>62525</v>
      </c>
      <c r="Z134" s="1110">
        <f t="shared" si="323"/>
        <v>62525</v>
      </c>
      <c r="AA134" s="1110">
        <f t="shared" si="323"/>
        <v>62525</v>
      </c>
      <c r="AB134" s="1110">
        <f t="shared" si="323"/>
        <v>62525</v>
      </c>
      <c r="AC134" s="1110">
        <f t="shared" si="323"/>
        <v>62525</v>
      </c>
      <c r="AD134" s="1110">
        <f t="shared" si="323"/>
        <v>62525</v>
      </c>
      <c r="AE134" s="1212">
        <f t="shared" si="323"/>
        <v>62525</v>
      </c>
      <c r="AF134" s="1212">
        <f t="shared" si="323"/>
        <v>62525</v>
      </c>
      <c r="AG134" s="1110">
        <f t="shared" si="323"/>
        <v>62525</v>
      </c>
      <c r="AH134" s="1110">
        <f t="shared" si="323"/>
        <v>62525</v>
      </c>
      <c r="AI134" s="1340">
        <f t="shared" si="323"/>
        <v>62525</v>
      </c>
      <c r="AJ134" s="668"/>
      <c r="AK134" s="668"/>
      <c r="AL134" s="705"/>
      <c r="AM134" s="925"/>
      <c r="AN134" s="567"/>
      <c r="AO134" s="625"/>
    </row>
    <row r="135" spans="1:48" s="644" customFormat="1" ht="19.899999999999999" customHeight="1" thickTop="1">
      <c r="A135" s="948" t="s">
        <v>608</v>
      </c>
      <c r="B135" s="223" t="s">
        <v>331</v>
      </c>
      <c r="C135" s="418" t="str">
        <f>Table1[[#This Row],[M/C No.]]</f>
        <v>A8(80ton)</v>
      </c>
      <c r="D135" s="28" t="s">
        <v>82</v>
      </c>
      <c r="E135" s="1111">
        <v>10000</v>
      </c>
      <c r="F135" s="1111">
        <v>10000</v>
      </c>
      <c r="G135" s="1201">
        <v>10000</v>
      </c>
      <c r="H135" s="1111">
        <v>10000</v>
      </c>
      <c r="I135" s="1111">
        <v>10000</v>
      </c>
      <c r="J135" s="1201">
        <v>10000</v>
      </c>
      <c r="K135" s="1201">
        <v>10000</v>
      </c>
      <c r="L135" s="1111">
        <v>0</v>
      </c>
      <c r="M135" s="1111">
        <v>0</v>
      </c>
      <c r="N135" s="1111">
        <v>5000</v>
      </c>
      <c r="O135" s="1111">
        <v>10000</v>
      </c>
      <c r="P135" s="1111">
        <v>10000</v>
      </c>
      <c r="Q135" s="1201">
        <v>10000</v>
      </c>
      <c r="R135" s="1201">
        <v>10000</v>
      </c>
      <c r="S135" s="1111">
        <v>10000</v>
      </c>
      <c r="T135" s="1111">
        <v>10000</v>
      </c>
      <c r="U135" s="1111">
        <v>10000</v>
      </c>
      <c r="V135" s="1111">
        <v>5000</v>
      </c>
      <c r="W135" s="1111">
        <v>0</v>
      </c>
      <c r="X135" s="1201">
        <v>0</v>
      </c>
      <c r="Y135" s="1201">
        <v>0</v>
      </c>
      <c r="Z135" s="1111">
        <v>0</v>
      </c>
      <c r="AA135" s="1111">
        <v>0</v>
      </c>
      <c r="AB135" s="1111">
        <v>0</v>
      </c>
      <c r="AC135" s="1111">
        <v>0</v>
      </c>
      <c r="AD135" s="1111">
        <v>0</v>
      </c>
      <c r="AE135" s="1201">
        <v>0</v>
      </c>
      <c r="AF135" s="1201">
        <v>0</v>
      </c>
      <c r="AG135" s="1111">
        <v>0</v>
      </c>
      <c r="AH135" s="1111">
        <v>0</v>
      </c>
      <c r="AI135" s="1111"/>
      <c r="AJ135" s="570">
        <f>SUM(E135:AI135)</f>
        <v>150000</v>
      </c>
      <c r="AK135" s="991">
        <f>AJ137</f>
        <v>10500</v>
      </c>
      <c r="AL135" s="571">
        <f>+AJ135*AN135</f>
        <v>756489</v>
      </c>
      <c r="AM135" s="992">
        <f>AL137</f>
        <v>52954.23</v>
      </c>
      <c r="AN135" s="448">
        <v>5.0432600000000001</v>
      </c>
      <c r="AO135" s="622">
        <f>Table1[[#This Row],[Total]]*B139/1000</f>
        <v>1540.05</v>
      </c>
      <c r="AP135" s="32" t="s">
        <v>166</v>
      </c>
      <c r="AQ135" s="33" t="s">
        <v>84</v>
      </c>
      <c r="AR135" s="33" t="s">
        <v>85</v>
      </c>
      <c r="AS135" s="33" t="s">
        <v>86</v>
      </c>
      <c r="AT135" s="33" t="s">
        <v>87</v>
      </c>
      <c r="AU135" s="33" t="s">
        <v>88</v>
      </c>
      <c r="AV135" s="34" t="s">
        <v>68</v>
      </c>
    </row>
    <row r="136" spans="1:48" s="644" customFormat="1" ht="19.899999999999999" customHeight="1">
      <c r="A136" s="224" t="s">
        <v>347</v>
      </c>
      <c r="B136" s="89" t="s">
        <v>332</v>
      </c>
      <c r="C136" s="42"/>
      <c r="D136" s="37" t="s">
        <v>90</v>
      </c>
      <c r="E136" s="1143">
        <f>IF(E135="",0,+ E135/E142)</f>
        <v>2500</v>
      </c>
      <c r="F136" s="1146">
        <f t="shared" ref="F136:X136" si="324">IF(F135="",0, E136+F135/F142)</f>
        <v>5000</v>
      </c>
      <c r="G136" s="1265">
        <f t="shared" si="324"/>
        <v>7500</v>
      </c>
      <c r="H136" s="1146">
        <f t="shared" si="324"/>
        <v>10000</v>
      </c>
      <c r="I136" s="1146">
        <f t="shared" si="324"/>
        <v>12500</v>
      </c>
      <c r="J136" s="1265">
        <f t="shared" si="324"/>
        <v>15000</v>
      </c>
      <c r="K136" s="1265">
        <f t="shared" si="324"/>
        <v>17500</v>
      </c>
      <c r="L136" s="1146">
        <f t="shared" si="324"/>
        <v>17500</v>
      </c>
      <c r="M136" s="1146">
        <f t="shared" si="324"/>
        <v>17500</v>
      </c>
      <c r="N136" s="1146">
        <f t="shared" si="324"/>
        <v>18750</v>
      </c>
      <c r="O136" s="1146">
        <f t="shared" si="324"/>
        <v>21250</v>
      </c>
      <c r="P136" s="1146">
        <f t="shared" si="324"/>
        <v>23750</v>
      </c>
      <c r="Q136" s="1265">
        <f t="shared" si="324"/>
        <v>26250</v>
      </c>
      <c r="R136" s="1265">
        <f t="shared" si="324"/>
        <v>28750</v>
      </c>
      <c r="S136" s="1146">
        <f t="shared" si="324"/>
        <v>31250</v>
      </c>
      <c r="T136" s="1146">
        <f t="shared" si="324"/>
        <v>33750</v>
      </c>
      <c r="U136" s="1146">
        <f>IF(U135="",0, T136+U135/U142)</f>
        <v>36250</v>
      </c>
      <c r="V136" s="1146">
        <f>IF(V135="",0, U136+V135/V142)</f>
        <v>37500</v>
      </c>
      <c r="W136" s="1146">
        <f t="shared" si="324"/>
        <v>37500</v>
      </c>
      <c r="X136" s="1265">
        <f t="shared" si="324"/>
        <v>37500</v>
      </c>
      <c r="Y136" s="1265">
        <f>IF(Y135="",0, X136+Y135/Y142)</f>
        <v>37500</v>
      </c>
      <c r="Z136" s="1146">
        <f t="shared" ref="Z136:AI136" si="325">IF(Z135="",0, Y136+Z135/Z142)</f>
        <v>37500</v>
      </c>
      <c r="AA136" s="1146">
        <f t="shared" si="325"/>
        <v>37500</v>
      </c>
      <c r="AB136" s="1146">
        <f t="shared" si="325"/>
        <v>37500</v>
      </c>
      <c r="AC136" s="1146">
        <f t="shared" si="325"/>
        <v>37500</v>
      </c>
      <c r="AD136" s="1146">
        <f t="shared" si="325"/>
        <v>37500</v>
      </c>
      <c r="AE136" s="1265">
        <f t="shared" si="325"/>
        <v>37500</v>
      </c>
      <c r="AF136" s="1265">
        <f t="shared" si="325"/>
        <v>37500</v>
      </c>
      <c r="AG136" s="1146">
        <f t="shared" si="325"/>
        <v>37500</v>
      </c>
      <c r="AH136" s="1146">
        <f t="shared" si="325"/>
        <v>37500</v>
      </c>
      <c r="AI136" s="1440">
        <f t="shared" si="325"/>
        <v>0</v>
      </c>
      <c r="AJ136" s="661"/>
      <c r="AK136" s="661"/>
      <c r="AL136" s="572"/>
      <c r="AM136" s="915"/>
      <c r="AN136" s="448"/>
      <c r="AO136" s="675"/>
      <c r="AP136" s="39" t="s">
        <v>91</v>
      </c>
      <c r="AQ136" s="40">
        <f>SUM(E135:H135)</f>
        <v>40000</v>
      </c>
      <c r="AR136" s="41">
        <f>SUM(I135:O135)</f>
        <v>45000</v>
      </c>
      <c r="AS136" s="41">
        <f>SUM(P135:V135)</f>
        <v>65000</v>
      </c>
      <c r="AT136" s="41">
        <f>SUM(W135:AC135)</f>
        <v>0</v>
      </c>
      <c r="AU136" s="41">
        <f>SUM(AD135:AI135)</f>
        <v>0</v>
      </c>
      <c r="AV136" s="34">
        <f t="shared" ref="AV136:AV141" si="326">SUM(AQ136:AU136)</f>
        <v>150000</v>
      </c>
    </row>
    <row r="137" spans="1:48" s="644" customFormat="1" ht="19.899999999999999" customHeight="1">
      <c r="A137" s="224" t="s">
        <v>347</v>
      </c>
      <c r="B137" s="89" t="s">
        <v>246</v>
      </c>
      <c r="C137" s="52" t="s">
        <v>95</v>
      </c>
      <c r="D137" s="43" t="s">
        <v>93</v>
      </c>
      <c r="E137" s="1108">
        <v>0</v>
      </c>
      <c r="F137" s="1108">
        <v>0</v>
      </c>
      <c r="G137" s="1199">
        <v>0</v>
      </c>
      <c r="H137" s="1108">
        <v>0</v>
      </c>
      <c r="I137" s="1089">
        <v>3000</v>
      </c>
      <c r="J137" s="44">
        <v>0</v>
      </c>
      <c r="K137" s="44">
        <v>0</v>
      </c>
      <c r="L137" s="1089">
        <v>0</v>
      </c>
      <c r="M137" s="1089">
        <v>0</v>
      </c>
      <c r="N137" s="1089">
        <v>0</v>
      </c>
      <c r="O137" s="1089">
        <v>0</v>
      </c>
      <c r="P137" s="1089">
        <v>0</v>
      </c>
      <c r="Q137" s="44">
        <v>0</v>
      </c>
      <c r="R137" s="44">
        <v>0</v>
      </c>
      <c r="S137" s="1089">
        <v>0</v>
      </c>
      <c r="T137" s="1089">
        <v>0</v>
      </c>
      <c r="U137" s="1089">
        <v>0</v>
      </c>
      <c r="V137" s="1089">
        <v>0</v>
      </c>
      <c r="W137" s="1089">
        <v>0</v>
      </c>
      <c r="X137" s="44">
        <v>0</v>
      </c>
      <c r="Y137" s="44">
        <v>0</v>
      </c>
      <c r="Z137" s="1089">
        <v>0</v>
      </c>
      <c r="AA137" s="1089">
        <v>7500</v>
      </c>
      <c r="AB137" s="1089"/>
      <c r="AC137" s="1089"/>
      <c r="AD137" s="1089"/>
      <c r="AE137" s="44"/>
      <c r="AF137" s="44"/>
      <c r="AG137" s="1089"/>
      <c r="AH137" s="1089"/>
      <c r="AI137" s="1326"/>
      <c r="AJ137" s="662">
        <f>SUM(E137:AI137)</f>
        <v>10500</v>
      </c>
      <c r="AK137" s="662"/>
      <c r="AL137" s="645">
        <f>+AJ137*AN135</f>
        <v>52954.23</v>
      </c>
      <c r="AM137" s="916"/>
      <c r="AN137" s="449"/>
      <c r="AO137" s="632">
        <f>(AJ137+AJ139+AJ140+AJ141)*B139/1000</f>
        <v>166.73607999999999</v>
      </c>
      <c r="AP137" s="47" t="s">
        <v>94</v>
      </c>
      <c r="AQ137" s="48">
        <f>SUM(E137:H137)</f>
        <v>0</v>
      </c>
      <c r="AR137" s="49">
        <f>SUM(I137:O137)</f>
        <v>3000</v>
      </c>
      <c r="AS137" s="49">
        <f>SUM(P137:V137)</f>
        <v>0</v>
      </c>
      <c r="AT137" s="49">
        <f>SUM(W137:AC137)</f>
        <v>7500</v>
      </c>
      <c r="AU137" s="49">
        <f>SUM(AD137:AI137)</f>
        <v>0</v>
      </c>
      <c r="AV137" s="50">
        <f t="shared" si="326"/>
        <v>10500</v>
      </c>
    </row>
    <row r="138" spans="1:48" s="644" customFormat="1" ht="19.899999999999999" customHeight="1">
      <c r="A138" s="224" t="s">
        <v>347</v>
      </c>
      <c r="B138" s="763" t="s">
        <v>247</v>
      </c>
      <c r="C138" s="379">
        <v>40000</v>
      </c>
      <c r="D138" s="53" t="s">
        <v>96</v>
      </c>
      <c r="E138" s="1137">
        <f t="shared" ref="E138:AJ138" si="327">+E137-E135</f>
        <v>-10000</v>
      </c>
      <c r="F138" s="1097">
        <f t="shared" si="327"/>
        <v>-10000</v>
      </c>
      <c r="G138" s="1205">
        <f t="shared" si="327"/>
        <v>-10000</v>
      </c>
      <c r="H138" s="1097">
        <f t="shared" si="327"/>
        <v>-10000</v>
      </c>
      <c r="I138" s="1097">
        <f t="shared" si="327"/>
        <v>-7000</v>
      </c>
      <c r="J138" s="1205">
        <f t="shared" si="327"/>
        <v>-10000</v>
      </c>
      <c r="K138" s="1205">
        <f t="shared" si="327"/>
        <v>-10000</v>
      </c>
      <c r="L138" s="1097">
        <f t="shared" si="327"/>
        <v>0</v>
      </c>
      <c r="M138" s="1097">
        <f t="shared" si="327"/>
        <v>0</v>
      </c>
      <c r="N138" s="1097">
        <f t="shared" si="327"/>
        <v>-5000</v>
      </c>
      <c r="O138" s="1097">
        <f t="shared" si="327"/>
        <v>-10000</v>
      </c>
      <c r="P138" s="1097">
        <f t="shared" si="327"/>
        <v>-10000</v>
      </c>
      <c r="Q138" s="1205">
        <f>+Q137-Q135</f>
        <v>-10000</v>
      </c>
      <c r="R138" s="1205">
        <f t="shared" si="327"/>
        <v>-10000</v>
      </c>
      <c r="S138" s="1097">
        <f t="shared" si="327"/>
        <v>-10000</v>
      </c>
      <c r="T138" s="1097">
        <f t="shared" si="327"/>
        <v>-10000</v>
      </c>
      <c r="U138" s="1097">
        <f>+U137-U135</f>
        <v>-10000</v>
      </c>
      <c r="V138" s="1097">
        <f>+V137-V135</f>
        <v>-5000</v>
      </c>
      <c r="W138" s="1097">
        <f t="shared" si="327"/>
        <v>0</v>
      </c>
      <c r="X138" s="1205">
        <f>+X137-X135</f>
        <v>0</v>
      </c>
      <c r="Y138" s="1205">
        <f t="shared" si="327"/>
        <v>0</v>
      </c>
      <c r="Z138" s="1097">
        <f t="shared" si="327"/>
        <v>0</v>
      </c>
      <c r="AA138" s="1097">
        <f t="shared" si="327"/>
        <v>7500</v>
      </c>
      <c r="AB138" s="1097">
        <f t="shared" si="327"/>
        <v>0</v>
      </c>
      <c r="AC138" s="1097">
        <f>+AC137-AC135</f>
        <v>0</v>
      </c>
      <c r="AD138" s="1097">
        <f>+AD137-AD135</f>
        <v>0</v>
      </c>
      <c r="AE138" s="1205">
        <f>+AE137-AE135</f>
        <v>0</v>
      </c>
      <c r="AF138" s="1205">
        <f>+AF137-AF135</f>
        <v>0</v>
      </c>
      <c r="AG138" s="1097">
        <f t="shared" si="327"/>
        <v>0</v>
      </c>
      <c r="AH138" s="1097">
        <f t="shared" si="327"/>
        <v>0</v>
      </c>
      <c r="AI138" s="1328">
        <f t="shared" si="327"/>
        <v>0</v>
      </c>
      <c r="AJ138" s="663">
        <f t="shared" si="327"/>
        <v>-139500</v>
      </c>
      <c r="AK138" s="663"/>
      <c r="AL138" s="646">
        <f>+AJ138*AN135</f>
        <v>-703534.77</v>
      </c>
      <c r="AM138" s="917"/>
      <c r="AN138" s="449" t="s">
        <v>97</v>
      </c>
      <c r="AO138" s="622"/>
      <c r="AP138" s="39" t="s">
        <v>98</v>
      </c>
      <c r="AQ138" s="56">
        <f>AQ137-AQ136</f>
        <v>-40000</v>
      </c>
      <c r="AR138" s="70">
        <f>AR137-AR136</f>
        <v>-42000</v>
      </c>
      <c r="AS138" s="70">
        <f>AS137-AS136</f>
        <v>-65000</v>
      </c>
      <c r="AT138" s="70">
        <f>AT137-AT136</f>
        <v>7500</v>
      </c>
      <c r="AU138" s="70">
        <f>AU137-AU136</f>
        <v>0</v>
      </c>
      <c r="AV138" s="57">
        <f t="shared" si="326"/>
        <v>-139500</v>
      </c>
    </row>
    <row r="139" spans="1:48" s="644" customFormat="1" ht="19.899999999999999" customHeight="1">
      <c r="A139" s="511"/>
      <c r="B139" s="763">
        <v>10.266999999999999</v>
      </c>
      <c r="C139" s="494"/>
      <c r="D139" s="61" t="s">
        <v>101</v>
      </c>
      <c r="E139" s="1098">
        <v>480</v>
      </c>
      <c r="F139" s="1099">
        <v>1348</v>
      </c>
      <c r="G139" s="1208">
        <v>0</v>
      </c>
      <c r="H139" s="1099">
        <v>400</v>
      </c>
      <c r="I139" s="1099">
        <v>216</v>
      </c>
      <c r="J139" s="1208">
        <v>0</v>
      </c>
      <c r="K139" s="1208">
        <v>0</v>
      </c>
      <c r="L139" s="1099">
        <v>0</v>
      </c>
      <c r="M139" s="1099">
        <v>0</v>
      </c>
      <c r="N139" s="1099">
        <v>600</v>
      </c>
      <c r="O139" s="1099">
        <f>480+268</f>
        <v>748</v>
      </c>
      <c r="P139" s="1099">
        <v>0</v>
      </c>
      <c r="Q139" s="1208">
        <v>0</v>
      </c>
      <c r="R139" s="1208">
        <v>0</v>
      </c>
      <c r="S139" s="1099">
        <v>420</v>
      </c>
      <c r="T139" s="1099">
        <v>480</v>
      </c>
      <c r="U139" s="1099">
        <v>0</v>
      </c>
      <c r="V139" s="1099">
        <v>0</v>
      </c>
      <c r="W139" s="1099">
        <v>480</v>
      </c>
      <c r="X139" s="1208">
        <v>0</v>
      </c>
      <c r="Y139" s="1208">
        <v>0</v>
      </c>
      <c r="Z139" s="1099">
        <v>0</v>
      </c>
      <c r="AA139" s="1099">
        <v>480</v>
      </c>
      <c r="AB139" s="1099"/>
      <c r="AC139" s="1099"/>
      <c r="AD139" s="1099"/>
      <c r="AE139" s="1208"/>
      <c r="AF139" s="1208"/>
      <c r="AG139" s="1099"/>
      <c r="AH139" s="1099"/>
      <c r="AI139" s="1330"/>
      <c r="AJ139" s="664">
        <f>SUM(E139:AI139)</f>
        <v>5652</v>
      </c>
      <c r="AK139" s="664"/>
      <c r="AL139" s="647">
        <f>+AJ139*AN135</f>
        <v>28504.505519999999</v>
      </c>
      <c r="AM139" s="918"/>
      <c r="AN139" s="385">
        <f>+AJ139/AJ137</f>
        <v>0.53828571428571426</v>
      </c>
      <c r="AO139" s="635">
        <f>AO137/AO135</f>
        <v>0.10826666666666666</v>
      </c>
      <c r="AP139" s="39" t="s">
        <v>102</v>
      </c>
      <c r="AQ139" s="56">
        <f>SUM(E139:H139)</f>
        <v>2228</v>
      </c>
      <c r="AR139" s="70">
        <f>SUM(I139:O139)</f>
        <v>1564</v>
      </c>
      <c r="AS139" s="70">
        <f>SUM(P139:V139)</f>
        <v>900</v>
      </c>
      <c r="AT139" s="70">
        <f>SUM(W139:AC139)</f>
        <v>960</v>
      </c>
      <c r="AU139" s="70">
        <f>SUM(AD139:AI139)</f>
        <v>0</v>
      </c>
      <c r="AV139" s="57">
        <f t="shared" si="326"/>
        <v>5652</v>
      </c>
    </row>
    <row r="140" spans="1:48" s="644" customFormat="1" ht="19.899999999999999" customHeight="1">
      <c r="A140" s="511"/>
      <c r="B140" s="334" t="s">
        <v>348</v>
      </c>
      <c r="C140" s="89" t="s">
        <v>108</v>
      </c>
      <c r="D140" s="67" t="s">
        <v>103</v>
      </c>
      <c r="E140" s="1100">
        <v>0</v>
      </c>
      <c r="F140" s="1101">
        <v>0</v>
      </c>
      <c r="G140" s="1209">
        <v>0</v>
      </c>
      <c r="H140" s="1101">
        <v>0</v>
      </c>
      <c r="I140" s="1101">
        <v>16</v>
      </c>
      <c r="J140" s="1209">
        <v>0</v>
      </c>
      <c r="K140" s="1209">
        <v>0</v>
      </c>
      <c r="L140" s="1101">
        <v>0</v>
      </c>
      <c r="M140" s="1101">
        <v>0</v>
      </c>
      <c r="N140" s="1101">
        <v>0</v>
      </c>
      <c r="O140" s="1101">
        <v>0</v>
      </c>
      <c r="P140" s="1101">
        <v>0</v>
      </c>
      <c r="Q140" s="1209">
        <v>0</v>
      </c>
      <c r="R140" s="1209">
        <v>0</v>
      </c>
      <c r="S140" s="1101">
        <v>0</v>
      </c>
      <c r="T140" s="1101">
        <v>0</v>
      </c>
      <c r="U140" s="1101">
        <v>0</v>
      </c>
      <c r="V140" s="1101">
        <v>0</v>
      </c>
      <c r="W140" s="1101">
        <v>0</v>
      </c>
      <c r="X140" s="1209">
        <v>0</v>
      </c>
      <c r="Y140" s="1209">
        <v>0</v>
      </c>
      <c r="Z140" s="1101">
        <v>0</v>
      </c>
      <c r="AA140" s="1101">
        <v>72</v>
      </c>
      <c r="AB140" s="1101"/>
      <c r="AC140" s="1101"/>
      <c r="AD140" s="1101"/>
      <c r="AE140" s="1209"/>
      <c r="AF140" s="1209"/>
      <c r="AG140" s="1101"/>
      <c r="AH140" s="1101"/>
      <c r="AI140" s="1332"/>
      <c r="AJ140" s="665">
        <f>SUM(E140:AI140)</f>
        <v>88</v>
      </c>
      <c r="AK140" s="665"/>
      <c r="AL140" s="648">
        <f>+AJ140*AN135</f>
        <v>443.80687999999998</v>
      </c>
      <c r="AM140" s="919"/>
      <c r="AN140" s="449"/>
      <c r="AO140" s="622"/>
      <c r="AP140" s="39" t="s">
        <v>19</v>
      </c>
      <c r="AQ140" s="56">
        <f>AQ139*AN135</f>
        <v>11236.38328</v>
      </c>
      <c r="AR140" s="56">
        <f>AR139*AN135</f>
        <v>7887.6586400000006</v>
      </c>
      <c r="AS140" s="56">
        <f>AS139*AN135</f>
        <v>4538.9340000000002</v>
      </c>
      <c r="AT140" s="56">
        <f>AT139*AN135</f>
        <v>4841.5295999999998</v>
      </c>
      <c r="AU140" s="56">
        <f>AU139*AN135</f>
        <v>0</v>
      </c>
      <c r="AV140" s="57">
        <f t="shared" si="326"/>
        <v>28504.505519999999</v>
      </c>
    </row>
    <row r="141" spans="1:48" s="644" customFormat="1" ht="19.899999999999999" customHeight="1">
      <c r="A141" s="511"/>
      <c r="B141" s="408"/>
      <c r="C141" s="383">
        <f>+C138*0.8</f>
        <v>32000</v>
      </c>
      <c r="D141" s="73" t="s">
        <v>105</v>
      </c>
      <c r="E141" s="1102">
        <v>0</v>
      </c>
      <c r="F141" s="1103">
        <v>0</v>
      </c>
      <c r="G141" s="1210">
        <v>0</v>
      </c>
      <c r="H141" s="1103">
        <v>0</v>
      </c>
      <c r="I141" s="1103">
        <v>0</v>
      </c>
      <c r="J141" s="1210">
        <v>0</v>
      </c>
      <c r="K141" s="1210">
        <v>0</v>
      </c>
      <c r="L141" s="1103">
        <v>0</v>
      </c>
      <c r="M141" s="1103">
        <v>0</v>
      </c>
      <c r="N141" s="1103">
        <v>0</v>
      </c>
      <c r="O141" s="1103">
        <v>0</v>
      </c>
      <c r="P141" s="1103">
        <v>0</v>
      </c>
      <c r="Q141" s="1210">
        <v>0</v>
      </c>
      <c r="R141" s="1210">
        <v>0</v>
      </c>
      <c r="S141" s="1103">
        <v>0</v>
      </c>
      <c r="T141" s="1103">
        <v>0</v>
      </c>
      <c r="U141" s="1103">
        <v>0</v>
      </c>
      <c r="V141" s="1103">
        <v>0</v>
      </c>
      <c r="W141" s="1103">
        <v>0</v>
      </c>
      <c r="X141" s="1210">
        <v>0</v>
      </c>
      <c r="Y141" s="1210">
        <v>0</v>
      </c>
      <c r="Z141" s="1103">
        <v>0</v>
      </c>
      <c r="AA141" s="1103">
        <v>0</v>
      </c>
      <c r="AB141" s="1103"/>
      <c r="AC141" s="1103"/>
      <c r="AD141" s="1103"/>
      <c r="AE141" s="1210"/>
      <c r="AF141" s="1210"/>
      <c r="AG141" s="1103"/>
      <c r="AH141" s="1103"/>
      <c r="AI141" s="1352"/>
      <c r="AJ141" s="666">
        <f>SUM(E141:AI141)</f>
        <v>0</v>
      </c>
      <c r="AK141" s="666"/>
      <c r="AL141" s="649">
        <f>+AJ141*AN135</f>
        <v>0</v>
      </c>
      <c r="AM141" s="928"/>
      <c r="AN141" s="912"/>
      <c r="AO141" s="671"/>
      <c r="AP141" s="47" t="s">
        <v>106</v>
      </c>
      <c r="AQ141" s="48">
        <f>AQ137*AN135</f>
        <v>0</v>
      </c>
      <c r="AR141" s="48">
        <f>AR137*AN135</f>
        <v>15129.78</v>
      </c>
      <c r="AS141" s="48">
        <f>AS137*AN135</f>
        <v>0</v>
      </c>
      <c r="AT141" s="48">
        <f>AT137*AN135</f>
        <v>37824.449999999997</v>
      </c>
      <c r="AU141" s="48">
        <f>AU137*AN135</f>
        <v>0</v>
      </c>
      <c r="AV141" s="50">
        <f t="shared" si="326"/>
        <v>52954.229999999996</v>
      </c>
    </row>
    <row r="142" spans="1:48" s="644" customFormat="1" ht="19.899999999999999" customHeight="1">
      <c r="A142" s="224" t="s">
        <v>347</v>
      </c>
      <c r="B142" s="390"/>
      <c r="C142" s="113"/>
      <c r="D142" s="78" t="s">
        <v>107</v>
      </c>
      <c r="E142" s="1137">
        <v>4</v>
      </c>
      <c r="F142" s="1097">
        <v>4</v>
      </c>
      <c r="G142" s="1205">
        <v>4</v>
      </c>
      <c r="H142" s="1097">
        <v>4</v>
      </c>
      <c r="I142" s="1097">
        <v>4</v>
      </c>
      <c r="J142" s="1205">
        <v>4</v>
      </c>
      <c r="K142" s="1205">
        <v>4</v>
      </c>
      <c r="L142" s="1097">
        <v>4</v>
      </c>
      <c r="M142" s="1097">
        <v>4</v>
      </c>
      <c r="N142" s="1097">
        <v>4</v>
      </c>
      <c r="O142" s="1097">
        <v>4</v>
      </c>
      <c r="P142" s="1097">
        <v>4</v>
      </c>
      <c r="Q142" s="1205">
        <v>4</v>
      </c>
      <c r="R142" s="1205">
        <v>4</v>
      </c>
      <c r="S142" s="1097">
        <v>4</v>
      </c>
      <c r="T142" s="1097">
        <v>4</v>
      </c>
      <c r="U142" s="1097">
        <v>4</v>
      </c>
      <c r="V142" s="1097">
        <v>4</v>
      </c>
      <c r="W142" s="1097">
        <v>4</v>
      </c>
      <c r="X142" s="1205">
        <v>4</v>
      </c>
      <c r="Y142" s="1205">
        <v>4</v>
      </c>
      <c r="Z142" s="1097">
        <v>4</v>
      </c>
      <c r="AA142" s="1097">
        <v>4</v>
      </c>
      <c r="AB142" s="1097">
        <v>4</v>
      </c>
      <c r="AC142" s="1097">
        <v>4</v>
      </c>
      <c r="AD142" s="1097">
        <v>4</v>
      </c>
      <c r="AE142" s="1205">
        <v>4</v>
      </c>
      <c r="AF142" s="1205">
        <v>4</v>
      </c>
      <c r="AG142" s="1097">
        <v>4</v>
      </c>
      <c r="AH142" s="1097">
        <v>4</v>
      </c>
      <c r="AI142" s="1328">
        <v>4</v>
      </c>
      <c r="AJ142" s="663"/>
      <c r="AK142" s="663"/>
      <c r="AL142" s="646"/>
      <c r="AM142" s="917"/>
      <c r="AN142" s="449"/>
      <c r="AO142" s="622"/>
      <c r="AQ142" s="48"/>
      <c r="AR142" s="48"/>
      <c r="AS142" s="48"/>
      <c r="AT142" s="48"/>
      <c r="AU142" s="48"/>
    </row>
    <row r="143" spans="1:48" s="644" customFormat="1" ht="19.899999999999999" customHeight="1">
      <c r="A143" s="224" t="s">
        <v>347</v>
      </c>
      <c r="B143" s="518"/>
      <c r="C143" s="523"/>
      <c r="D143" s="81" t="s">
        <v>109</v>
      </c>
      <c r="E143" s="1105">
        <f>SUM(E137+E139+E140+E141)/E142</f>
        <v>120</v>
      </c>
      <c r="F143" s="1105">
        <f t="shared" ref="F143:AH143" si="328">SUM(F137+F139+F140+F141)/F142</f>
        <v>337</v>
      </c>
      <c r="G143" s="1198">
        <f t="shared" si="328"/>
        <v>0</v>
      </c>
      <c r="H143" s="1105">
        <f t="shared" si="328"/>
        <v>100</v>
      </c>
      <c r="I143" s="1105">
        <f t="shared" si="328"/>
        <v>808</v>
      </c>
      <c r="J143" s="1198">
        <f t="shared" si="328"/>
        <v>0</v>
      </c>
      <c r="K143" s="1198">
        <f t="shared" si="328"/>
        <v>0</v>
      </c>
      <c r="L143" s="1105">
        <f t="shared" si="328"/>
        <v>0</v>
      </c>
      <c r="M143" s="1105">
        <f t="shared" si="328"/>
        <v>0</v>
      </c>
      <c r="N143" s="1105">
        <f t="shared" si="328"/>
        <v>150</v>
      </c>
      <c r="O143" s="1105">
        <f t="shared" si="328"/>
        <v>187</v>
      </c>
      <c r="P143" s="1105">
        <f t="shared" si="328"/>
        <v>0</v>
      </c>
      <c r="Q143" s="1198">
        <f t="shared" si="328"/>
        <v>0</v>
      </c>
      <c r="R143" s="1198">
        <f t="shared" si="328"/>
        <v>0</v>
      </c>
      <c r="S143" s="1105">
        <f t="shared" si="328"/>
        <v>105</v>
      </c>
      <c r="T143" s="1105">
        <f t="shared" si="328"/>
        <v>120</v>
      </c>
      <c r="U143" s="1105">
        <f t="shared" si="328"/>
        <v>0</v>
      </c>
      <c r="V143" s="1105">
        <f t="shared" si="328"/>
        <v>0</v>
      </c>
      <c r="W143" s="1105">
        <f t="shared" si="328"/>
        <v>120</v>
      </c>
      <c r="X143" s="1198">
        <f t="shared" si="328"/>
        <v>0</v>
      </c>
      <c r="Y143" s="1198">
        <f t="shared" si="328"/>
        <v>0</v>
      </c>
      <c r="Z143" s="1105">
        <f t="shared" si="328"/>
        <v>0</v>
      </c>
      <c r="AA143" s="1105">
        <f>SUM(AA137+AA139+AA140+AA141)/AA142</f>
        <v>2013</v>
      </c>
      <c r="AB143" s="1105">
        <f t="shared" si="328"/>
        <v>0</v>
      </c>
      <c r="AC143" s="1105">
        <f t="shared" si="328"/>
        <v>0</v>
      </c>
      <c r="AD143" s="1105">
        <f t="shared" si="328"/>
        <v>0</v>
      </c>
      <c r="AE143" s="1198">
        <f t="shared" si="328"/>
        <v>0</v>
      </c>
      <c r="AF143" s="1198">
        <f t="shared" si="328"/>
        <v>0</v>
      </c>
      <c r="AG143" s="1105">
        <f t="shared" si="328"/>
        <v>0</v>
      </c>
      <c r="AH143" s="1105">
        <f t="shared" si="328"/>
        <v>0</v>
      </c>
      <c r="AI143" s="1353">
        <f>SUM(AI137+AI139+AI140)/AI142</f>
        <v>0</v>
      </c>
      <c r="AJ143" s="104">
        <f>SUM(E143:AI143)</f>
        <v>4060</v>
      </c>
      <c r="AK143" s="104"/>
      <c r="AL143" s="650"/>
      <c r="AM143" s="921"/>
      <c r="AN143" s="450"/>
      <c r="AO143" s="622"/>
    </row>
    <row r="144" spans="1:48" s="644" customFormat="1" ht="19.899999999999999" customHeight="1">
      <c r="A144" s="224" t="s">
        <v>347</v>
      </c>
      <c r="B144" s="524"/>
      <c r="C144" s="72"/>
      <c r="D144" s="85" t="s">
        <v>110</v>
      </c>
      <c r="E144" s="1336" t="s">
        <v>534</v>
      </c>
      <c r="F144" s="1106"/>
      <c r="G144" s="1228"/>
      <c r="H144" s="1104"/>
      <c r="I144" s="1104"/>
      <c r="J144" s="1211"/>
      <c r="K144" s="1211"/>
      <c r="L144" s="1104"/>
      <c r="M144" s="1104"/>
      <c r="N144" s="1104"/>
      <c r="O144" s="1104"/>
      <c r="P144" s="1104"/>
      <c r="Q144" s="1228"/>
      <c r="R144" s="1211"/>
      <c r="S144" s="1107"/>
      <c r="T144" s="1107"/>
      <c r="U144" s="1107"/>
      <c r="V144" s="1107"/>
      <c r="W144" s="1104"/>
      <c r="X144" s="1228"/>
      <c r="Y144" s="1211"/>
      <c r="Z144" s="1107"/>
      <c r="AA144" s="1104"/>
      <c r="AB144" s="1107"/>
      <c r="AC144" s="1104"/>
      <c r="AD144" s="1104"/>
      <c r="AE144" s="1211"/>
      <c r="AF144" s="1211"/>
      <c r="AG144" s="1104"/>
      <c r="AH144" s="1104"/>
      <c r="AI144" s="1353"/>
      <c r="AJ144" s="667"/>
      <c r="AK144" s="667"/>
      <c r="AL144" s="703"/>
      <c r="AM144" s="922"/>
      <c r="AN144" s="449"/>
      <c r="AO144" s="622"/>
    </row>
    <row r="145" spans="1:48" s="644" customFormat="1" ht="19.899999999999999" customHeight="1">
      <c r="A145" s="224" t="s">
        <v>347</v>
      </c>
      <c r="B145" s="208" t="s">
        <v>333</v>
      </c>
      <c r="C145" s="72" t="s">
        <v>104</v>
      </c>
      <c r="D145" s="88" t="s">
        <v>111</v>
      </c>
      <c r="E145" s="1108">
        <f>IF(E144="O/H",E143,45683+E143)</f>
        <v>120</v>
      </c>
      <c r="F145" s="1089">
        <f>IF(F144="O/H",F143,+E145+F143)</f>
        <v>457</v>
      </c>
      <c r="G145" s="44">
        <f t="shared" ref="G145:O145" si="329">IF(G144="O/H",G143,+F145+G143)</f>
        <v>457</v>
      </c>
      <c r="H145" s="1089">
        <f t="shared" si="329"/>
        <v>557</v>
      </c>
      <c r="I145" s="1089">
        <f t="shared" si="329"/>
        <v>1365</v>
      </c>
      <c r="J145" s="44">
        <f t="shared" si="329"/>
        <v>1365</v>
      </c>
      <c r="K145" s="44">
        <f t="shared" si="329"/>
        <v>1365</v>
      </c>
      <c r="L145" s="1089">
        <f t="shared" si="329"/>
        <v>1365</v>
      </c>
      <c r="M145" s="1089">
        <f t="shared" si="329"/>
        <v>1365</v>
      </c>
      <c r="N145" s="1089">
        <f t="shared" si="329"/>
        <v>1515</v>
      </c>
      <c r="O145" s="1089">
        <f t="shared" si="329"/>
        <v>1702</v>
      </c>
      <c r="P145" s="1089">
        <f t="shared" ref="P145:AI145" si="330">IF(P144="O/H",P143,+O145+P143)</f>
        <v>1702</v>
      </c>
      <c r="Q145" s="44">
        <f t="shared" si="330"/>
        <v>1702</v>
      </c>
      <c r="R145" s="44">
        <f t="shared" si="330"/>
        <v>1702</v>
      </c>
      <c r="S145" s="1089">
        <f t="shared" si="330"/>
        <v>1807</v>
      </c>
      <c r="T145" s="1089">
        <f t="shared" si="330"/>
        <v>1927</v>
      </c>
      <c r="U145" s="1089">
        <f t="shared" si="330"/>
        <v>1927</v>
      </c>
      <c r="V145" s="1089">
        <f t="shared" si="330"/>
        <v>1927</v>
      </c>
      <c r="W145" s="1089">
        <f t="shared" si="330"/>
        <v>2047</v>
      </c>
      <c r="X145" s="44">
        <f t="shared" si="330"/>
        <v>2047</v>
      </c>
      <c r="Y145" s="44">
        <f t="shared" si="330"/>
        <v>2047</v>
      </c>
      <c r="Z145" s="1089">
        <f t="shared" si="330"/>
        <v>2047</v>
      </c>
      <c r="AA145" s="1089">
        <f t="shared" si="330"/>
        <v>4060</v>
      </c>
      <c r="AB145" s="1089">
        <f t="shared" si="330"/>
        <v>4060</v>
      </c>
      <c r="AC145" s="1089">
        <f t="shared" si="330"/>
        <v>4060</v>
      </c>
      <c r="AD145" s="1089">
        <f t="shared" si="330"/>
        <v>4060</v>
      </c>
      <c r="AE145" s="44">
        <f t="shared" si="330"/>
        <v>4060</v>
      </c>
      <c r="AF145" s="44">
        <f t="shared" si="330"/>
        <v>4060</v>
      </c>
      <c r="AG145" s="1089">
        <f t="shared" si="330"/>
        <v>4060</v>
      </c>
      <c r="AH145" s="1089">
        <f t="shared" si="330"/>
        <v>4060</v>
      </c>
      <c r="AI145" s="1326">
        <f t="shared" si="330"/>
        <v>4060</v>
      </c>
      <c r="AJ145" s="663"/>
      <c r="AK145" s="667"/>
      <c r="AL145" s="704"/>
      <c r="AM145" s="923"/>
      <c r="AN145" s="449"/>
      <c r="AO145" s="622"/>
    </row>
    <row r="146" spans="1:48" s="23" customFormat="1" ht="20.65" customHeight="1">
      <c r="A146" s="274"/>
      <c r="B146" s="312"/>
      <c r="C146" s="308">
        <v>300000</v>
      </c>
      <c r="D146" s="795" t="s">
        <v>112</v>
      </c>
      <c r="E146" s="1117">
        <f>IF(AND(ISNUMBER(E137)),3850643+E143)</f>
        <v>3850763</v>
      </c>
      <c r="F146" s="1118">
        <f>IF(AND(ISNUMBER(F137)),E146+F143,"")</f>
        <v>3851100</v>
      </c>
      <c r="G146" s="1216">
        <f t="shared" ref="G146" si="331">IF(AND(ISNUMBER(G137)),F146+G143,"")</f>
        <v>3851100</v>
      </c>
      <c r="H146" s="1118">
        <f t="shared" ref="H146" si="332">IF(AND(ISNUMBER(H137)),G146+H143,"")</f>
        <v>3851200</v>
      </c>
      <c r="I146" s="1118">
        <f>IF(AND(ISNUMBER(I137)),H146+I143,"")</f>
        <v>3852008</v>
      </c>
      <c r="J146" s="1216">
        <f>IF(AND(ISNUMBER(J137)),I146+J143,"")</f>
        <v>3852008</v>
      </c>
      <c r="K146" s="1216">
        <f>IF(AND(ISNUMBER(K137)),J146+K143,"")</f>
        <v>3852008</v>
      </c>
      <c r="L146" s="1118">
        <f t="shared" ref="L146" si="333">IF(AND(ISNUMBER(L137)),K146+L143,"")</f>
        <v>3852008</v>
      </c>
      <c r="M146" s="1118">
        <f t="shared" ref="M146" si="334">IF(AND(ISNUMBER(M137)),L146+M143,"")</f>
        <v>3852008</v>
      </c>
      <c r="N146" s="1118">
        <f t="shared" ref="N146" si="335">IF(AND(ISNUMBER(N137)),M146+N143,"")</f>
        <v>3852158</v>
      </c>
      <c r="O146" s="1118">
        <f t="shared" ref="O146" si="336">IF(AND(ISNUMBER(O137)),N146+O143,"")</f>
        <v>3852345</v>
      </c>
      <c r="P146" s="1118">
        <f t="shared" ref="P146" si="337">IF(AND(ISNUMBER(P137)),O146+P143,"")</f>
        <v>3852345</v>
      </c>
      <c r="Q146" s="1216">
        <f t="shared" ref="Q146" si="338">IF(AND(ISNUMBER(Q137)),P146+Q143,"")</f>
        <v>3852345</v>
      </c>
      <c r="R146" s="1216">
        <f t="shared" ref="R146" si="339">IF(AND(ISNUMBER(R137)),Q146+R143,"")</f>
        <v>3852345</v>
      </c>
      <c r="S146" s="1118">
        <f t="shared" ref="S146" si="340">IF(AND(ISNUMBER(S137)),R146+S143,"")</f>
        <v>3852450</v>
      </c>
      <c r="T146" s="1118">
        <f t="shared" ref="T146" si="341">IF(AND(ISNUMBER(T137)),S146+T143,"")</f>
        <v>3852570</v>
      </c>
      <c r="U146" s="1118">
        <f t="shared" ref="U146" si="342">IF(AND(ISNUMBER(U137)),T146+U143,"")</f>
        <v>3852570</v>
      </c>
      <c r="V146" s="1118">
        <f t="shared" ref="V146" si="343">IF(AND(ISNUMBER(V137)),U146+V143,"")</f>
        <v>3852570</v>
      </c>
      <c r="W146" s="1118">
        <f t="shared" ref="W146" si="344">IF(AND(ISNUMBER(W137)),V146+W143,"")</f>
        <v>3852690</v>
      </c>
      <c r="X146" s="1216">
        <f t="shared" ref="X146" si="345">IF(AND(ISNUMBER(X137)),W146+X143,"")</f>
        <v>3852690</v>
      </c>
      <c r="Y146" s="1216">
        <f t="shared" ref="Y146" si="346">IF(AND(ISNUMBER(Y137)),X146+Y143,"")</f>
        <v>3852690</v>
      </c>
      <c r="Z146" s="1118">
        <f t="shared" ref="Z146" si="347">IF(AND(ISNUMBER(Z137)),Y146+Z143,"")</f>
        <v>3852690</v>
      </c>
      <c r="AA146" s="1118">
        <f t="shared" ref="AA146" si="348">IF(AND(ISNUMBER(AA137)),Z146+AA143,"")</f>
        <v>3854703</v>
      </c>
      <c r="AB146" s="1118" t="str">
        <f t="shared" ref="AB146" si="349">IF(AND(ISNUMBER(AB137)),AA146+AB143,"")</f>
        <v/>
      </c>
      <c r="AC146" s="1118" t="str">
        <f t="shared" ref="AC146" si="350">IF(AND(ISNUMBER(AC137)),AB146+AC143,"")</f>
        <v/>
      </c>
      <c r="AD146" s="1118" t="str">
        <f t="shared" ref="AD146" si="351">IF(AND(ISNUMBER(AD137)),AC146+AD143,"")</f>
        <v/>
      </c>
      <c r="AE146" s="1216" t="str">
        <f t="shared" ref="AE146" si="352">IF(AND(ISNUMBER(AE137)),AD146+AE143,"")</f>
        <v/>
      </c>
      <c r="AF146" s="1216" t="str">
        <f t="shared" ref="AF146" si="353">IF(AND(ISNUMBER(AF137)),AE146+AF143,"")</f>
        <v/>
      </c>
      <c r="AG146" s="1118" t="str">
        <f t="shared" ref="AG146" si="354">IF(AND(ISNUMBER(AG137)),AF146+AG143,"")</f>
        <v/>
      </c>
      <c r="AH146" s="1118" t="str">
        <f t="shared" ref="AH146" si="355">IF(AND(ISNUMBER(AH137)),AG146+AH143,"")</f>
        <v/>
      </c>
      <c r="AI146" s="1089" t="str">
        <f t="shared" ref="AI146" si="356">IF(AND(ISNUMBER(AI137)),AH146+AI143,"")</f>
        <v/>
      </c>
      <c r="AJ146" s="793"/>
      <c r="AK146" s="793"/>
      <c r="AL146" s="909"/>
      <c r="AM146" s="890"/>
      <c r="AN146" s="91"/>
      <c r="AO146" s="630"/>
      <c r="AP146" s="285"/>
      <c r="AQ146" s="285"/>
      <c r="AR146" s="285"/>
      <c r="AS146" s="285"/>
      <c r="AT146" s="286"/>
      <c r="AU146" s="285"/>
      <c r="AV146" s="287"/>
    </row>
    <row r="147" spans="1:48" s="644" customFormat="1" ht="19.899999999999999" customHeight="1">
      <c r="A147" s="224"/>
      <c r="B147" s="89"/>
      <c r="C147" s="89" t="s">
        <v>108</v>
      </c>
      <c r="D147" s="90" t="s">
        <v>104</v>
      </c>
      <c r="E147" s="1415"/>
      <c r="F147" s="1141"/>
      <c r="G147" s="1272"/>
      <c r="H147" s="1141"/>
      <c r="I147" s="1141"/>
      <c r="J147" s="1272"/>
      <c r="K147" s="1272"/>
      <c r="L147" s="1141"/>
      <c r="M147" s="1141"/>
      <c r="N147" s="1141"/>
      <c r="O147" s="1141"/>
      <c r="P147" s="1141"/>
      <c r="Q147" s="1272"/>
      <c r="R147" s="1272"/>
      <c r="S147" s="1141"/>
      <c r="T147" s="1141"/>
      <c r="U147" s="1141"/>
      <c r="V147" s="1141"/>
      <c r="W147" s="1141"/>
      <c r="X147" s="1272"/>
      <c r="Y147" s="1272"/>
      <c r="Z147" s="1141"/>
      <c r="AA147" s="1141"/>
      <c r="AB147" s="1141"/>
      <c r="AC147" s="1141"/>
      <c r="AD147" s="1141"/>
      <c r="AE147" s="1272"/>
      <c r="AF147" s="1272"/>
      <c r="AG147" s="1141"/>
      <c r="AH147" s="1141"/>
      <c r="AI147" s="1416"/>
      <c r="AJ147" s="663"/>
      <c r="AK147" s="663"/>
      <c r="AL147" s="647"/>
      <c r="AM147" s="924"/>
      <c r="AN147" s="449"/>
      <c r="AO147" s="622"/>
    </row>
    <row r="148" spans="1:48" s="644" customFormat="1" ht="19.899999999999999" customHeight="1" thickBot="1">
      <c r="A148" s="516"/>
      <c r="B148" s="525"/>
      <c r="C148" s="94">
        <f>+C146*0.8</f>
        <v>240000</v>
      </c>
      <c r="D148" s="88" t="s">
        <v>111</v>
      </c>
      <c r="E148" s="1109">
        <f>IF(E147="O/H",E143,93876+E143)</f>
        <v>93996</v>
      </c>
      <c r="F148" s="1110">
        <f t="shared" ref="F148:AI148" si="357">IF(F147="O/H",F143,+E148+F143)</f>
        <v>94333</v>
      </c>
      <c r="G148" s="1212">
        <f t="shared" si="357"/>
        <v>94333</v>
      </c>
      <c r="H148" s="1110">
        <f t="shared" si="357"/>
        <v>94433</v>
      </c>
      <c r="I148" s="1110">
        <f t="shared" si="357"/>
        <v>95241</v>
      </c>
      <c r="J148" s="1212">
        <f t="shared" si="357"/>
        <v>95241</v>
      </c>
      <c r="K148" s="1212">
        <f t="shared" si="357"/>
        <v>95241</v>
      </c>
      <c r="L148" s="1110">
        <f t="shared" si="357"/>
        <v>95241</v>
      </c>
      <c r="M148" s="1110">
        <f t="shared" si="357"/>
        <v>95241</v>
      </c>
      <c r="N148" s="1110">
        <f t="shared" si="357"/>
        <v>95391</v>
      </c>
      <c r="O148" s="1110">
        <f t="shared" si="357"/>
        <v>95578</v>
      </c>
      <c r="P148" s="1110">
        <f t="shared" si="357"/>
        <v>95578</v>
      </c>
      <c r="Q148" s="1212">
        <f t="shared" si="357"/>
        <v>95578</v>
      </c>
      <c r="R148" s="1212">
        <f t="shared" si="357"/>
        <v>95578</v>
      </c>
      <c r="S148" s="1110">
        <f t="shared" si="357"/>
        <v>95683</v>
      </c>
      <c r="T148" s="1110">
        <f t="shared" si="357"/>
        <v>95803</v>
      </c>
      <c r="U148" s="1110">
        <f t="shared" si="357"/>
        <v>95803</v>
      </c>
      <c r="V148" s="1110">
        <f t="shared" si="357"/>
        <v>95803</v>
      </c>
      <c r="W148" s="1110">
        <f t="shared" si="357"/>
        <v>95923</v>
      </c>
      <c r="X148" s="1212">
        <f t="shared" si="357"/>
        <v>95923</v>
      </c>
      <c r="Y148" s="1212">
        <f t="shared" si="357"/>
        <v>95923</v>
      </c>
      <c r="Z148" s="1110">
        <f t="shared" si="357"/>
        <v>95923</v>
      </c>
      <c r="AA148" s="1110">
        <f t="shared" si="357"/>
        <v>97936</v>
      </c>
      <c r="AB148" s="1110">
        <f t="shared" si="357"/>
        <v>97936</v>
      </c>
      <c r="AC148" s="1110">
        <f t="shared" si="357"/>
        <v>97936</v>
      </c>
      <c r="AD148" s="1110">
        <f t="shared" si="357"/>
        <v>97936</v>
      </c>
      <c r="AE148" s="1212">
        <f t="shared" si="357"/>
        <v>97936</v>
      </c>
      <c r="AF148" s="1212">
        <f t="shared" si="357"/>
        <v>97936</v>
      </c>
      <c r="AG148" s="1110">
        <f t="shared" si="357"/>
        <v>97936</v>
      </c>
      <c r="AH148" s="1110">
        <f t="shared" si="357"/>
        <v>97936</v>
      </c>
      <c r="AI148" s="1340">
        <f t="shared" si="357"/>
        <v>97936</v>
      </c>
      <c r="AJ148" s="668"/>
      <c r="AK148" s="668"/>
      <c r="AL148" s="705"/>
      <c r="AM148" s="925"/>
      <c r="AN148" s="567"/>
      <c r="AO148" s="625"/>
    </row>
    <row r="149" spans="1:48" s="644" customFormat="1" ht="19.899999999999999" hidden="1" customHeight="1" thickTop="1">
      <c r="A149" s="948" t="s">
        <v>608</v>
      </c>
      <c r="B149" s="223" t="s">
        <v>572</v>
      </c>
      <c r="C149" s="418" t="str">
        <f>Table1[[#This Row],[M/C No.]]</f>
        <v>A8(80ton)</v>
      </c>
      <c r="D149" s="28" t="s">
        <v>82</v>
      </c>
      <c r="E149" s="1111"/>
      <c r="F149" s="1111"/>
      <c r="G149" s="1201"/>
      <c r="H149" s="1111"/>
      <c r="I149" s="1111"/>
      <c r="J149" s="1201"/>
      <c r="K149" s="1201"/>
      <c r="L149" s="1111"/>
      <c r="M149" s="1111"/>
      <c r="N149" s="1111"/>
      <c r="O149" s="1111"/>
      <c r="P149" s="1111"/>
      <c r="Q149" s="1201"/>
      <c r="R149" s="1201"/>
      <c r="S149" s="1111"/>
      <c r="T149" s="1111"/>
      <c r="U149" s="1111"/>
      <c r="V149" s="1111"/>
      <c r="W149" s="1111"/>
      <c r="X149" s="1201"/>
      <c r="Y149" s="1201"/>
      <c r="Z149" s="1111"/>
      <c r="AA149" s="1111"/>
      <c r="AB149" s="1111"/>
      <c r="AC149" s="1111"/>
      <c r="AD149" s="1111"/>
      <c r="AE149" s="1201"/>
      <c r="AF149" s="1201"/>
      <c r="AG149" s="1111"/>
      <c r="AH149" s="1111"/>
      <c r="AI149" s="1412"/>
      <c r="AJ149" s="570">
        <f>SUM(E149:AI149)</f>
        <v>0</v>
      </c>
      <c r="AK149" s="991">
        <f>AJ151</f>
        <v>0</v>
      </c>
      <c r="AL149" s="571">
        <f>+AJ149*AN149</f>
        <v>0</v>
      </c>
      <c r="AM149" s="992">
        <f>AL151</f>
        <v>0</v>
      </c>
      <c r="AN149" s="448">
        <v>3.0092600000000003</v>
      </c>
      <c r="AO149" s="622">
        <f>Table1[[#This Row],[Total]]*B153/1000</f>
        <v>0</v>
      </c>
      <c r="AP149" s="32" t="s">
        <v>166</v>
      </c>
      <c r="AQ149" s="33" t="s">
        <v>84</v>
      </c>
      <c r="AR149" s="33" t="s">
        <v>85</v>
      </c>
      <c r="AS149" s="33" t="s">
        <v>86</v>
      </c>
      <c r="AT149" s="33" t="s">
        <v>87</v>
      </c>
      <c r="AU149" s="33" t="s">
        <v>88</v>
      </c>
      <c r="AV149" s="34" t="s">
        <v>68</v>
      </c>
    </row>
    <row r="150" spans="1:48" s="644" customFormat="1" ht="19.899999999999999" hidden="1" customHeight="1">
      <c r="A150" s="224" t="s">
        <v>347</v>
      </c>
      <c r="B150" s="89" t="s">
        <v>323</v>
      </c>
      <c r="C150" s="510"/>
      <c r="D150" s="37" t="s">
        <v>90</v>
      </c>
      <c r="E150" s="1143">
        <f>IF(E149="",0,+ E149/E156)</f>
        <v>0</v>
      </c>
      <c r="F150" s="1146">
        <f t="shared" ref="F150:Z150" si="358">IF(F149="",0, E150+F149/F156)</f>
        <v>0</v>
      </c>
      <c r="G150" s="1265">
        <f t="shared" si="358"/>
        <v>0</v>
      </c>
      <c r="H150" s="1146">
        <f t="shared" si="358"/>
        <v>0</v>
      </c>
      <c r="I150" s="1146">
        <f t="shared" si="358"/>
        <v>0</v>
      </c>
      <c r="J150" s="1265">
        <f t="shared" si="358"/>
        <v>0</v>
      </c>
      <c r="K150" s="1265">
        <f t="shared" si="358"/>
        <v>0</v>
      </c>
      <c r="L150" s="1146">
        <f t="shared" si="358"/>
        <v>0</v>
      </c>
      <c r="M150" s="1146">
        <f t="shared" si="358"/>
        <v>0</v>
      </c>
      <c r="N150" s="1146">
        <f t="shared" si="358"/>
        <v>0</v>
      </c>
      <c r="O150" s="1146">
        <f t="shared" si="358"/>
        <v>0</v>
      </c>
      <c r="P150" s="1146">
        <f t="shared" si="358"/>
        <v>0</v>
      </c>
      <c r="Q150" s="1265">
        <f t="shared" si="358"/>
        <v>0</v>
      </c>
      <c r="R150" s="1265">
        <f t="shared" si="358"/>
        <v>0</v>
      </c>
      <c r="S150" s="1146">
        <f t="shared" si="358"/>
        <v>0</v>
      </c>
      <c r="T150" s="1146">
        <f t="shared" si="358"/>
        <v>0</v>
      </c>
      <c r="U150" s="1146">
        <f t="shared" si="358"/>
        <v>0</v>
      </c>
      <c r="V150" s="1146">
        <f t="shared" si="358"/>
        <v>0</v>
      </c>
      <c r="W150" s="1146">
        <f t="shared" si="358"/>
        <v>0</v>
      </c>
      <c r="X150" s="1265">
        <f t="shared" si="358"/>
        <v>0</v>
      </c>
      <c r="Y150" s="1265">
        <f t="shared" si="358"/>
        <v>0</v>
      </c>
      <c r="Z150" s="1146">
        <f t="shared" si="358"/>
        <v>0</v>
      </c>
      <c r="AA150" s="1146">
        <f>IF(AA149="",0, Z150+AA149/AA156)</f>
        <v>0</v>
      </c>
      <c r="AB150" s="1146">
        <f>IF(AB149="",0, AA150+AB149/AB156)</f>
        <v>0</v>
      </c>
      <c r="AC150" s="1146">
        <f t="shared" ref="AC150:AI150" si="359">IF(AC149="",0, AB150+AC149/AC156)</f>
        <v>0</v>
      </c>
      <c r="AD150" s="1146">
        <f t="shared" si="359"/>
        <v>0</v>
      </c>
      <c r="AE150" s="1265">
        <f t="shared" si="359"/>
        <v>0</v>
      </c>
      <c r="AF150" s="1265">
        <f t="shared" si="359"/>
        <v>0</v>
      </c>
      <c r="AG150" s="1146">
        <f t="shared" si="359"/>
        <v>0</v>
      </c>
      <c r="AH150" s="1146">
        <f t="shared" si="359"/>
        <v>0</v>
      </c>
      <c r="AI150" s="1440">
        <f t="shared" si="359"/>
        <v>0</v>
      </c>
      <c r="AJ150" s="661"/>
      <c r="AK150" s="661"/>
      <c r="AL150" s="572"/>
      <c r="AM150" s="915"/>
      <c r="AN150" s="448"/>
      <c r="AO150" s="675"/>
      <c r="AP150" s="39" t="s">
        <v>91</v>
      </c>
      <c r="AQ150" s="40">
        <f>SUM(E149:K149)</f>
        <v>0</v>
      </c>
      <c r="AR150" s="41">
        <f>SUM(L149:R149)</f>
        <v>0</v>
      </c>
      <c r="AS150" s="41">
        <f>SUM(S149:Y149)</f>
        <v>0</v>
      </c>
      <c r="AT150" s="41">
        <f>SUM(Z149:AF149)</f>
        <v>0</v>
      </c>
      <c r="AU150" s="41">
        <f>SUM(AG149:AI149)</f>
        <v>0</v>
      </c>
      <c r="AV150" s="34">
        <f t="shared" ref="AV150:AV155" si="360">SUM(AQ150:AU150)</f>
        <v>0</v>
      </c>
    </row>
    <row r="151" spans="1:48" s="644" customFormat="1" ht="19.899999999999999" hidden="1" customHeight="1">
      <c r="A151" s="224" t="s">
        <v>347</v>
      </c>
      <c r="B151" s="89" t="s">
        <v>324</v>
      </c>
      <c r="C151" s="52" t="s">
        <v>95</v>
      </c>
      <c r="D151" s="43" t="s">
        <v>93</v>
      </c>
      <c r="E151" s="1108">
        <v>0</v>
      </c>
      <c r="F151" s="1089">
        <v>0</v>
      </c>
      <c r="G151" s="44">
        <v>0</v>
      </c>
      <c r="H151" s="1089">
        <v>0</v>
      </c>
      <c r="I151" s="1089"/>
      <c r="J151" s="44"/>
      <c r="K151" s="44"/>
      <c r="L151" s="1089"/>
      <c r="M151" s="1089"/>
      <c r="N151" s="1089"/>
      <c r="O151" s="1089"/>
      <c r="P151" s="1089"/>
      <c r="Q151" s="44"/>
      <c r="R151" s="44"/>
      <c r="S151" s="1089"/>
      <c r="T151" s="1089"/>
      <c r="U151" s="1089"/>
      <c r="V151" s="1089"/>
      <c r="W151" s="1089"/>
      <c r="X151" s="44"/>
      <c r="Y151" s="44"/>
      <c r="Z151" s="1089"/>
      <c r="AA151" s="1089"/>
      <c r="AB151" s="1089"/>
      <c r="AC151" s="1089"/>
      <c r="AD151" s="1089"/>
      <c r="AE151" s="44"/>
      <c r="AF151" s="44"/>
      <c r="AG151" s="1089"/>
      <c r="AH151" s="1089"/>
      <c r="AI151" s="1326"/>
      <c r="AJ151" s="662">
        <f>SUM(E151:AI151)</f>
        <v>0</v>
      </c>
      <c r="AK151" s="662"/>
      <c r="AL151" s="645">
        <f>+AJ151*AN149</f>
        <v>0</v>
      </c>
      <c r="AM151" s="916"/>
      <c r="AN151" s="449"/>
      <c r="AO151" s="632">
        <f>(AJ151+AJ153+AJ154+AJ155)*B153/1000</f>
        <v>0</v>
      </c>
      <c r="AP151" s="47" t="s">
        <v>94</v>
      </c>
      <c r="AQ151" s="48">
        <f>SUM(E151:K151)</f>
        <v>0</v>
      </c>
      <c r="AR151" s="49">
        <f>SUM(L151:R151)</f>
        <v>0</v>
      </c>
      <c r="AS151" s="49">
        <f>SUM(S151:Y151)</f>
        <v>0</v>
      </c>
      <c r="AT151" s="49">
        <f>SUM(Z151:AF151)</f>
        <v>0</v>
      </c>
      <c r="AU151" s="49">
        <f>SUM(AG151:AI151)</f>
        <v>0</v>
      </c>
      <c r="AV151" s="50">
        <f t="shared" si="360"/>
        <v>0</v>
      </c>
    </row>
    <row r="152" spans="1:48" s="644" customFormat="1" ht="19.899999999999999" hidden="1" customHeight="1">
      <c r="A152" s="224" t="s">
        <v>347</v>
      </c>
      <c r="B152" s="638" t="s">
        <v>247</v>
      </c>
      <c r="C152" s="379">
        <v>30000</v>
      </c>
      <c r="D152" s="53" t="s">
        <v>96</v>
      </c>
      <c r="E152" s="1137">
        <f t="shared" ref="E152:AI152" si="361">+E151-E149</f>
        <v>0</v>
      </c>
      <c r="F152" s="1097">
        <f t="shared" si="361"/>
        <v>0</v>
      </c>
      <c r="G152" s="1205">
        <f t="shared" si="361"/>
        <v>0</v>
      </c>
      <c r="H152" s="1097">
        <f t="shared" si="361"/>
        <v>0</v>
      </c>
      <c r="I152" s="1097">
        <f t="shared" si="361"/>
        <v>0</v>
      </c>
      <c r="J152" s="1205">
        <f t="shared" si="361"/>
        <v>0</v>
      </c>
      <c r="K152" s="1205">
        <f t="shared" si="361"/>
        <v>0</v>
      </c>
      <c r="L152" s="1097">
        <f t="shared" si="361"/>
        <v>0</v>
      </c>
      <c r="M152" s="1097">
        <f t="shared" si="361"/>
        <v>0</v>
      </c>
      <c r="N152" s="1097">
        <f t="shared" si="361"/>
        <v>0</v>
      </c>
      <c r="O152" s="1097">
        <f t="shared" si="361"/>
        <v>0</v>
      </c>
      <c r="P152" s="1097">
        <f t="shared" si="361"/>
        <v>0</v>
      </c>
      <c r="Q152" s="1205">
        <f t="shared" si="361"/>
        <v>0</v>
      </c>
      <c r="R152" s="1205">
        <f t="shared" si="361"/>
        <v>0</v>
      </c>
      <c r="S152" s="1097">
        <f t="shared" si="361"/>
        <v>0</v>
      </c>
      <c r="T152" s="1097">
        <f t="shared" si="361"/>
        <v>0</v>
      </c>
      <c r="U152" s="1097">
        <f t="shared" si="361"/>
        <v>0</v>
      </c>
      <c r="V152" s="1097">
        <f t="shared" si="361"/>
        <v>0</v>
      </c>
      <c r="W152" s="1097">
        <f t="shared" si="361"/>
        <v>0</v>
      </c>
      <c r="X152" s="1205">
        <f t="shared" si="361"/>
        <v>0</v>
      </c>
      <c r="Y152" s="1205">
        <f t="shared" si="361"/>
        <v>0</v>
      </c>
      <c r="Z152" s="1097">
        <f t="shared" si="361"/>
        <v>0</v>
      </c>
      <c r="AA152" s="1097">
        <f t="shared" si="361"/>
        <v>0</v>
      </c>
      <c r="AB152" s="1097">
        <f t="shared" si="361"/>
        <v>0</v>
      </c>
      <c r="AC152" s="1097">
        <f t="shared" si="361"/>
        <v>0</v>
      </c>
      <c r="AD152" s="1097">
        <f t="shared" si="361"/>
        <v>0</v>
      </c>
      <c r="AE152" s="1205">
        <f t="shared" si="361"/>
        <v>0</v>
      </c>
      <c r="AF152" s="1205">
        <f t="shared" si="361"/>
        <v>0</v>
      </c>
      <c r="AG152" s="1097">
        <f t="shared" si="361"/>
        <v>0</v>
      </c>
      <c r="AH152" s="1097">
        <f t="shared" si="361"/>
        <v>0</v>
      </c>
      <c r="AI152" s="1328">
        <f t="shared" si="361"/>
        <v>0</v>
      </c>
      <c r="AJ152" s="663">
        <f>+AJ151-AJ149</f>
        <v>0</v>
      </c>
      <c r="AK152" s="663"/>
      <c r="AL152" s="646">
        <f>+AJ152*AN149</f>
        <v>0</v>
      </c>
      <c r="AM152" s="917"/>
      <c r="AN152" s="449" t="s">
        <v>97</v>
      </c>
      <c r="AO152" s="622"/>
      <c r="AP152" s="39" t="s">
        <v>98</v>
      </c>
      <c r="AQ152" s="56">
        <f>AQ151-AQ150</f>
        <v>0</v>
      </c>
      <c r="AR152" s="70">
        <f>AR151-AR150</f>
        <v>0</v>
      </c>
      <c r="AS152" s="70">
        <f>AS151-AS150</f>
        <v>0</v>
      </c>
      <c r="AT152" s="70">
        <f>AT151-AT150</f>
        <v>0</v>
      </c>
      <c r="AU152" s="70">
        <f>AU151-AU150</f>
        <v>0</v>
      </c>
      <c r="AV152" s="57">
        <f t="shared" si="360"/>
        <v>0</v>
      </c>
    </row>
    <row r="153" spans="1:48" s="644" customFormat="1" ht="19.899999999999999" hidden="1" customHeight="1">
      <c r="A153" s="511"/>
      <c r="B153" s="659">
        <v>3.7827500000000001</v>
      </c>
      <c r="C153" s="521"/>
      <c r="D153" s="61" t="s">
        <v>101</v>
      </c>
      <c r="E153" s="1098">
        <v>0</v>
      </c>
      <c r="F153" s="1099">
        <v>0</v>
      </c>
      <c r="G153" s="1208">
        <v>0</v>
      </c>
      <c r="H153" s="1099">
        <v>0</v>
      </c>
      <c r="I153" s="1112"/>
      <c r="J153" s="1213"/>
      <c r="K153" s="1213"/>
      <c r="L153" s="1112"/>
      <c r="M153" s="1112"/>
      <c r="N153" s="1112"/>
      <c r="O153" s="1112"/>
      <c r="P153" s="1112"/>
      <c r="Q153" s="1213"/>
      <c r="R153" s="1213"/>
      <c r="S153" s="1112"/>
      <c r="T153" s="1112"/>
      <c r="U153" s="1112"/>
      <c r="V153" s="1112"/>
      <c r="W153" s="1112"/>
      <c r="X153" s="1213"/>
      <c r="Y153" s="1213"/>
      <c r="Z153" s="1112"/>
      <c r="AA153" s="1112"/>
      <c r="AB153" s="1112"/>
      <c r="AC153" s="1112"/>
      <c r="AD153" s="1112"/>
      <c r="AE153" s="1213"/>
      <c r="AF153" s="1213"/>
      <c r="AG153" s="1112"/>
      <c r="AH153" s="1112"/>
      <c r="AI153" s="1442"/>
      <c r="AJ153" s="664">
        <f>SUM(E153:AI153)</f>
        <v>0</v>
      </c>
      <c r="AK153" s="664"/>
      <c r="AL153" s="647">
        <f>+AJ153*AN149</f>
        <v>0</v>
      </c>
      <c r="AM153" s="918"/>
      <c r="AN153" s="404" t="e">
        <f>+AJ153/AJ151*100</f>
        <v>#DIV/0!</v>
      </c>
      <c r="AO153" s="635" t="e">
        <f>AO151/AO149</f>
        <v>#DIV/0!</v>
      </c>
      <c r="AP153" s="39" t="s">
        <v>102</v>
      </c>
      <c r="AQ153" s="56">
        <f>SUM(E153:K153)</f>
        <v>0</v>
      </c>
      <c r="AR153" s="70">
        <f>SUM(L153:R153)</f>
        <v>0</v>
      </c>
      <c r="AS153" s="70">
        <f>SUM(S153:Y153)</f>
        <v>0</v>
      </c>
      <c r="AT153" s="70">
        <f>SUM(Z153:AF153)</f>
        <v>0</v>
      </c>
      <c r="AU153" s="70">
        <f>SUM(AG153:AI153)</f>
        <v>0</v>
      </c>
      <c r="AV153" s="57">
        <f t="shared" si="360"/>
        <v>0</v>
      </c>
    </row>
    <row r="154" spans="1:48" s="644" customFormat="1" ht="19.899999999999999" hidden="1" customHeight="1">
      <c r="A154" s="511"/>
      <c r="B154" s="520"/>
      <c r="C154" s="522"/>
      <c r="D154" s="67" t="s">
        <v>103</v>
      </c>
      <c r="E154" s="1100">
        <v>0</v>
      </c>
      <c r="F154" s="1101">
        <v>0</v>
      </c>
      <c r="G154" s="1209">
        <v>0</v>
      </c>
      <c r="H154" s="1101">
        <v>0</v>
      </c>
      <c r="I154" s="1101"/>
      <c r="J154" s="1209"/>
      <c r="K154" s="1209"/>
      <c r="L154" s="1101"/>
      <c r="M154" s="1101"/>
      <c r="N154" s="1101"/>
      <c r="O154" s="1101"/>
      <c r="P154" s="1101"/>
      <c r="Q154" s="1209"/>
      <c r="R154" s="1209"/>
      <c r="S154" s="1101"/>
      <c r="T154" s="1101"/>
      <c r="U154" s="1101"/>
      <c r="V154" s="1101"/>
      <c r="W154" s="1101"/>
      <c r="X154" s="1209"/>
      <c r="Y154" s="1209"/>
      <c r="Z154" s="1101"/>
      <c r="AA154" s="1101"/>
      <c r="AB154" s="1101"/>
      <c r="AC154" s="1101"/>
      <c r="AD154" s="1101"/>
      <c r="AE154" s="1209"/>
      <c r="AF154" s="1209"/>
      <c r="AG154" s="1101"/>
      <c r="AH154" s="1101"/>
      <c r="AI154" s="1332"/>
      <c r="AJ154" s="665">
        <f>SUM(E154:AI154)</f>
        <v>0</v>
      </c>
      <c r="AK154" s="665"/>
      <c r="AL154" s="648">
        <f>+AJ154*AN149</f>
        <v>0</v>
      </c>
      <c r="AM154" s="919"/>
      <c r="AN154" s="449"/>
      <c r="AO154" s="622"/>
      <c r="AP154" s="39" t="s">
        <v>19</v>
      </c>
      <c r="AQ154" s="56">
        <f>AQ153*AN149</f>
        <v>0</v>
      </c>
      <c r="AR154" s="56">
        <f>AR153*AN149</f>
        <v>0</v>
      </c>
      <c r="AS154" s="56">
        <f>AS153*AN149</f>
        <v>0</v>
      </c>
      <c r="AT154" s="56">
        <f>AT153*AN149</f>
        <v>0</v>
      </c>
      <c r="AU154" s="56">
        <f>AU153*AN149</f>
        <v>0</v>
      </c>
      <c r="AV154" s="57">
        <f t="shared" si="360"/>
        <v>0</v>
      </c>
    </row>
    <row r="155" spans="1:48" s="644" customFormat="1" ht="19.899999999999999" hidden="1" customHeight="1">
      <c r="A155" s="224" t="s">
        <v>347</v>
      </c>
      <c r="B155" s="520"/>
      <c r="C155" s="89" t="s">
        <v>108</v>
      </c>
      <c r="D155" s="73" t="s">
        <v>105</v>
      </c>
      <c r="E155" s="1102">
        <v>0</v>
      </c>
      <c r="F155" s="1103">
        <v>0</v>
      </c>
      <c r="G155" s="1210">
        <v>0</v>
      </c>
      <c r="H155" s="1103">
        <v>0</v>
      </c>
      <c r="I155" s="1103"/>
      <c r="J155" s="1210"/>
      <c r="K155" s="1210"/>
      <c r="L155" s="1103"/>
      <c r="M155" s="1103"/>
      <c r="N155" s="1103"/>
      <c r="O155" s="1103"/>
      <c r="P155" s="1103"/>
      <c r="Q155" s="1210"/>
      <c r="R155" s="1210"/>
      <c r="S155" s="1103"/>
      <c r="T155" s="1103"/>
      <c r="U155" s="1103"/>
      <c r="V155" s="1103"/>
      <c r="W155" s="1103"/>
      <c r="X155" s="1210"/>
      <c r="Y155" s="1210"/>
      <c r="Z155" s="1103"/>
      <c r="AA155" s="1103"/>
      <c r="AB155" s="1103"/>
      <c r="AC155" s="1103"/>
      <c r="AD155" s="1103"/>
      <c r="AE155" s="1210"/>
      <c r="AF155" s="1210"/>
      <c r="AG155" s="1103"/>
      <c r="AH155" s="1103"/>
      <c r="AI155" s="1352"/>
      <c r="AJ155" s="666">
        <f>SUM(E155:AI155)</f>
        <v>0</v>
      </c>
      <c r="AK155" s="666"/>
      <c r="AL155" s="649">
        <f>+AJ155*AN149</f>
        <v>0</v>
      </c>
      <c r="AM155" s="920"/>
      <c r="AN155" s="449"/>
      <c r="AO155" s="622"/>
      <c r="AP155" s="47" t="s">
        <v>106</v>
      </c>
      <c r="AQ155" s="48">
        <f>AQ151*AN149</f>
        <v>0</v>
      </c>
      <c r="AR155" s="48">
        <f>AR151*AN149</f>
        <v>0</v>
      </c>
      <c r="AS155" s="48">
        <f>AS151*AN149</f>
        <v>0</v>
      </c>
      <c r="AT155" s="48">
        <f>AT151*AN149</f>
        <v>0</v>
      </c>
      <c r="AU155" s="48">
        <f>AU151*AN149</f>
        <v>0</v>
      </c>
      <c r="AV155" s="50">
        <f t="shared" si="360"/>
        <v>0</v>
      </c>
    </row>
    <row r="156" spans="1:48" s="644" customFormat="1" ht="19.899999999999999" hidden="1" customHeight="1">
      <c r="A156" s="224" t="s">
        <v>347</v>
      </c>
      <c r="B156" s="89"/>
      <c r="C156" s="383">
        <f>+C152*0.8</f>
        <v>24000</v>
      </c>
      <c r="D156" s="78" t="s">
        <v>107</v>
      </c>
      <c r="E156" s="1137">
        <v>16</v>
      </c>
      <c r="F156" s="1097">
        <v>16</v>
      </c>
      <c r="G156" s="1205">
        <v>16</v>
      </c>
      <c r="H156" s="1097">
        <v>16</v>
      </c>
      <c r="I156" s="1097">
        <v>16</v>
      </c>
      <c r="J156" s="1205">
        <v>16</v>
      </c>
      <c r="K156" s="1205">
        <v>16</v>
      </c>
      <c r="L156" s="1097">
        <v>16</v>
      </c>
      <c r="M156" s="1097">
        <v>16</v>
      </c>
      <c r="N156" s="1097">
        <v>16</v>
      </c>
      <c r="O156" s="1097">
        <v>16</v>
      </c>
      <c r="P156" s="1097">
        <v>16</v>
      </c>
      <c r="Q156" s="1205">
        <v>16</v>
      </c>
      <c r="R156" s="1205">
        <v>16</v>
      </c>
      <c r="S156" s="1097">
        <v>16</v>
      </c>
      <c r="T156" s="1097">
        <v>16</v>
      </c>
      <c r="U156" s="1097">
        <v>16</v>
      </c>
      <c r="V156" s="1097">
        <v>16</v>
      </c>
      <c r="W156" s="1097">
        <v>16</v>
      </c>
      <c r="X156" s="1205">
        <v>16</v>
      </c>
      <c r="Y156" s="1205">
        <v>16</v>
      </c>
      <c r="Z156" s="1097">
        <v>16</v>
      </c>
      <c r="AA156" s="1097">
        <v>16</v>
      </c>
      <c r="AB156" s="1097">
        <v>16</v>
      </c>
      <c r="AC156" s="1097">
        <v>16</v>
      </c>
      <c r="AD156" s="1097">
        <v>16</v>
      </c>
      <c r="AE156" s="1205">
        <v>16</v>
      </c>
      <c r="AF156" s="1205">
        <v>16</v>
      </c>
      <c r="AG156" s="1097">
        <v>16</v>
      </c>
      <c r="AH156" s="1097">
        <v>16</v>
      </c>
      <c r="AI156" s="1328">
        <v>16</v>
      </c>
      <c r="AJ156" s="663"/>
      <c r="AK156" s="663"/>
      <c r="AL156" s="646"/>
      <c r="AM156" s="927"/>
      <c r="AN156" s="450"/>
      <c r="AO156" s="622"/>
    </row>
    <row r="157" spans="1:48" s="644" customFormat="1" ht="19.899999999999999" hidden="1" customHeight="1">
      <c r="A157" s="224" t="s">
        <v>347</v>
      </c>
      <c r="B157" s="89"/>
      <c r="C157" s="514"/>
      <c r="D157" s="81" t="s">
        <v>109</v>
      </c>
      <c r="E157" s="1105">
        <f>SUM(E151+E153+E154+E155)/E156</f>
        <v>0</v>
      </c>
      <c r="F157" s="1105">
        <f t="shared" ref="F157:AH157" si="362">SUM(F151+F153+F154+F155)/F156</f>
        <v>0</v>
      </c>
      <c r="G157" s="1198">
        <f t="shared" si="362"/>
        <v>0</v>
      </c>
      <c r="H157" s="1105">
        <f t="shared" si="362"/>
        <v>0</v>
      </c>
      <c r="I157" s="1105">
        <f t="shared" si="362"/>
        <v>0</v>
      </c>
      <c r="J157" s="1198">
        <f t="shared" si="362"/>
        <v>0</v>
      </c>
      <c r="K157" s="1198">
        <f t="shared" si="362"/>
        <v>0</v>
      </c>
      <c r="L157" s="1105">
        <f t="shared" si="362"/>
        <v>0</v>
      </c>
      <c r="M157" s="1105">
        <f t="shared" si="362"/>
        <v>0</v>
      </c>
      <c r="N157" s="1105">
        <f t="shared" si="362"/>
        <v>0</v>
      </c>
      <c r="O157" s="1105">
        <f t="shared" si="362"/>
        <v>0</v>
      </c>
      <c r="P157" s="1105">
        <f t="shared" si="362"/>
        <v>0</v>
      </c>
      <c r="Q157" s="1198">
        <f t="shared" si="362"/>
        <v>0</v>
      </c>
      <c r="R157" s="1198">
        <f t="shared" si="362"/>
        <v>0</v>
      </c>
      <c r="S157" s="1105">
        <f t="shared" si="362"/>
        <v>0</v>
      </c>
      <c r="T157" s="1105">
        <f t="shared" si="362"/>
        <v>0</v>
      </c>
      <c r="U157" s="1105">
        <f t="shared" si="362"/>
        <v>0</v>
      </c>
      <c r="V157" s="1105">
        <f t="shared" si="362"/>
        <v>0</v>
      </c>
      <c r="W157" s="1105">
        <f t="shared" si="362"/>
        <v>0</v>
      </c>
      <c r="X157" s="1198">
        <f t="shared" si="362"/>
        <v>0</v>
      </c>
      <c r="Y157" s="1198">
        <f t="shared" si="362"/>
        <v>0</v>
      </c>
      <c r="Z157" s="1105">
        <f t="shared" si="362"/>
        <v>0</v>
      </c>
      <c r="AA157" s="1105">
        <f t="shared" si="362"/>
        <v>0</v>
      </c>
      <c r="AB157" s="1105">
        <f t="shared" si="362"/>
        <v>0</v>
      </c>
      <c r="AC157" s="1105">
        <f t="shared" si="362"/>
        <v>0</v>
      </c>
      <c r="AD157" s="1105">
        <f t="shared" si="362"/>
        <v>0</v>
      </c>
      <c r="AE157" s="1198">
        <f t="shared" si="362"/>
        <v>0</v>
      </c>
      <c r="AF157" s="1198">
        <f t="shared" si="362"/>
        <v>0</v>
      </c>
      <c r="AG157" s="1105">
        <f t="shared" si="362"/>
        <v>0</v>
      </c>
      <c r="AH157" s="1105">
        <f t="shared" si="362"/>
        <v>0</v>
      </c>
      <c r="AI157" s="1441">
        <f>SUM(AI151+AI153+AI154+AI155)/AI156</f>
        <v>0</v>
      </c>
      <c r="AJ157" s="104">
        <f>SUM(E157:AI157)</f>
        <v>0</v>
      </c>
      <c r="AK157" s="104"/>
      <c r="AL157" s="650"/>
      <c r="AM157" s="921"/>
      <c r="AN157" s="449"/>
      <c r="AO157" s="622"/>
    </row>
    <row r="158" spans="1:48" s="644" customFormat="1" ht="19.899999999999999" hidden="1" customHeight="1">
      <c r="A158" s="224" t="s">
        <v>347</v>
      </c>
      <c r="B158" s="89"/>
      <c r="C158" s="72"/>
      <c r="D158" s="85" t="s">
        <v>110</v>
      </c>
      <c r="E158" s="1336"/>
      <c r="F158" s="1106"/>
      <c r="G158" s="1228"/>
      <c r="H158" s="1104"/>
      <c r="I158" s="1107"/>
      <c r="J158" s="1211"/>
      <c r="K158" s="1211"/>
      <c r="L158" s="1107"/>
      <c r="M158" s="1104"/>
      <c r="N158" s="1104"/>
      <c r="O158" s="1104"/>
      <c r="P158" s="1107"/>
      <c r="Q158" s="1211"/>
      <c r="R158" s="1211"/>
      <c r="S158" s="1104"/>
      <c r="T158" s="1104"/>
      <c r="U158" s="1107"/>
      <c r="V158" s="1107"/>
      <c r="W158" s="1107"/>
      <c r="X158" s="1211"/>
      <c r="Y158" s="1228"/>
      <c r="Z158" s="1104"/>
      <c r="AA158" s="1104"/>
      <c r="AB158" s="1104"/>
      <c r="AC158" s="1104"/>
      <c r="AD158" s="1104"/>
      <c r="AE158" s="1211"/>
      <c r="AF158" s="1211"/>
      <c r="AG158" s="1104"/>
      <c r="AH158" s="1104"/>
      <c r="AI158" s="1353"/>
      <c r="AJ158" s="667"/>
      <c r="AK158" s="667"/>
      <c r="AL158" s="703"/>
      <c r="AM158" s="922"/>
      <c r="AN158" s="449"/>
      <c r="AO158" s="622"/>
    </row>
    <row r="159" spans="1:48" s="644" customFormat="1" ht="19.899999999999999" hidden="1" customHeight="1">
      <c r="A159" s="224"/>
      <c r="B159" s="89" t="s">
        <v>349</v>
      </c>
      <c r="C159" s="72" t="s">
        <v>104</v>
      </c>
      <c r="D159" s="88" t="s">
        <v>111</v>
      </c>
      <c r="E159" s="1108">
        <f>IF(E158="O/H",E157,0+E157)</f>
        <v>0</v>
      </c>
      <c r="F159" s="1089">
        <f t="shared" ref="F159:AI159" si="363">IF(F158="O/H",F157,+E159+F157)</f>
        <v>0</v>
      </c>
      <c r="G159" s="44">
        <f t="shared" si="363"/>
        <v>0</v>
      </c>
      <c r="H159" s="1089">
        <f t="shared" si="363"/>
        <v>0</v>
      </c>
      <c r="I159" s="1089">
        <f t="shared" si="363"/>
        <v>0</v>
      </c>
      <c r="J159" s="44">
        <f t="shared" si="363"/>
        <v>0</v>
      </c>
      <c r="K159" s="44">
        <f t="shared" si="363"/>
        <v>0</v>
      </c>
      <c r="L159" s="1089">
        <f t="shared" si="363"/>
        <v>0</v>
      </c>
      <c r="M159" s="1089">
        <f t="shared" si="363"/>
        <v>0</v>
      </c>
      <c r="N159" s="1089">
        <f t="shared" si="363"/>
        <v>0</v>
      </c>
      <c r="O159" s="1089">
        <f t="shared" si="363"/>
        <v>0</v>
      </c>
      <c r="P159" s="1089">
        <f t="shared" si="363"/>
        <v>0</v>
      </c>
      <c r="Q159" s="44">
        <f t="shared" si="363"/>
        <v>0</v>
      </c>
      <c r="R159" s="44">
        <f t="shared" si="363"/>
        <v>0</v>
      </c>
      <c r="S159" s="1089">
        <f t="shared" si="363"/>
        <v>0</v>
      </c>
      <c r="T159" s="1089">
        <f t="shared" si="363"/>
        <v>0</v>
      </c>
      <c r="U159" s="1089">
        <f t="shared" si="363"/>
        <v>0</v>
      </c>
      <c r="V159" s="1089">
        <f t="shared" si="363"/>
        <v>0</v>
      </c>
      <c r="W159" s="1089">
        <f t="shared" si="363"/>
        <v>0</v>
      </c>
      <c r="X159" s="44">
        <f t="shared" si="363"/>
        <v>0</v>
      </c>
      <c r="Y159" s="44">
        <f t="shared" si="363"/>
        <v>0</v>
      </c>
      <c r="Z159" s="1089">
        <f t="shared" si="363"/>
        <v>0</v>
      </c>
      <c r="AA159" s="1089">
        <f t="shared" si="363"/>
        <v>0</v>
      </c>
      <c r="AB159" s="1089">
        <f t="shared" si="363"/>
        <v>0</v>
      </c>
      <c r="AC159" s="1089">
        <f t="shared" si="363"/>
        <v>0</v>
      </c>
      <c r="AD159" s="1089">
        <f t="shared" si="363"/>
        <v>0</v>
      </c>
      <c r="AE159" s="44">
        <f t="shared" si="363"/>
        <v>0</v>
      </c>
      <c r="AF159" s="44">
        <f t="shared" si="363"/>
        <v>0</v>
      </c>
      <c r="AG159" s="1089">
        <f t="shared" si="363"/>
        <v>0</v>
      </c>
      <c r="AH159" s="1089">
        <f t="shared" si="363"/>
        <v>0</v>
      </c>
      <c r="AI159" s="1326">
        <f t="shared" si="363"/>
        <v>0</v>
      </c>
      <c r="AJ159" s="663"/>
      <c r="AK159" s="667"/>
      <c r="AL159" s="704"/>
      <c r="AM159" s="923"/>
      <c r="AN159" s="449"/>
      <c r="AO159" s="622"/>
    </row>
    <row r="160" spans="1:48" s="23" customFormat="1" ht="20.65" hidden="1" customHeight="1">
      <c r="A160" s="274"/>
      <c r="B160" s="312"/>
      <c r="C160" s="308">
        <v>300000</v>
      </c>
      <c r="D160" s="795" t="s">
        <v>112</v>
      </c>
      <c r="E160" s="1108">
        <f>IF(AND(ISNUMBER(E151)),822775+E157)</f>
        <v>822775</v>
      </c>
      <c r="F160" s="1089">
        <f>IF(AND(ISNUMBER(F151)),E160+F157,"")</f>
        <v>822775</v>
      </c>
      <c r="G160" s="44">
        <f t="shared" ref="G160" si="364">IF(AND(ISNUMBER(G151)),F160+G157,"")</f>
        <v>822775</v>
      </c>
      <c r="H160" s="1089">
        <f t="shared" ref="H160" si="365">IF(AND(ISNUMBER(H151)),G160+H157,"")</f>
        <v>822775</v>
      </c>
      <c r="I160" s="1089" t="str">
        <f>IF(AND(ISNUMBER(I151)),H160+I157,"")</f>
        <v/>
      </c>
      <c r="J160" s="44" t="str">
        <f>IF(AND(ISNUMBER(J151)),I160+J157,"")</f>
        <v/>
      </c>
      <c r="K160" s="44" t="str">
        <f>IF(AND(ISNUMBER(K151)),J160+K157,"")</f>
        <v/>
      </c>
      <c r="L160" s="1089" t="str">
        <f t="shared" ref="L160" si="366">IF(AND(ISNUMBER(L151)),K160+L157,"")</f>
        <v/>
      </c>
      <c r="M160" s="1089" t="str">
        <f t="shared" ref="M160" si="367">IF(AND(ISNUMBER(M151)),L160+M157,"")</f>
        <v/>
      </c>
      <c r="N160" s="1089" t="str">
        <f t="shared" ref="N160" si="368">IF(AND(ISNUMBER(N151)),M160+N157,"")</f>
        <v/>
      </c>
      <c r="O160" s="1089" t="str">
        <f t="shared" ref="O160" si="369">IF(AND(ISNUMBER(O151)),N160+O157,"")</f>
        <v/>
      </c>
      <c r="P160" s="1089" t="str">
        <f t="shared" ref="P160" si="370">IF(AND(ISNUMBER(P151)),O160+P157,"")</f>
        <v/>
      </c>
      <c r="Q160" s="44" t="str">
        <f t="shared" ref="Q160" si="371">IF(AND(ISNUMBER(Q151)),P160+Q157,"")</f>
        <v/>
      </c>
      <c r="R160" s="44" t="str">
        <f t="shared" ref="R160" si="372">IF(AND(ISNUMBER(R151)),Q160+R157,"")</f>
        <v/>
      </c>
      <c r="S160" s="1089" t="str">
        <f t="shared" ref="S160" si="373">IF(AND(ISNUMBER(S151)),R160+S157,"")</f>
        <v/>
      </c>
      <c r="T160" s="1089" t="str">
        <f t="shared" ref="T160" si="374">IF(AND(ISNUMBER(T151)),S160+T157,"")</f>
        <v/>
      </c>
      <c r="U160" s="1089" t="str">
        <f t="shared" ref="U160" si="375">IF(AND(ISNUMBER(U151)),T160+U157,"")</f>
        <v/>
      </c>
      <c r="V160" s="1089" t="str">
        <f t="shared" ref="V160" si="376">IF(AND(ISNUMBER(V151)),U160+V157,"")</f>
        <v/>
      </c>
      <c r="W160" s="1089" t="str">
        <f t="shared" ref="W160" si="377">IF(AND(ISNUMBER(W151)),V160+W157,"")</f>
        <v/>
      </c>
      <c r="X160" s="44" t="str">
        <f t="shared" ref="X160" si="378">IF(AND(ISNUMBER(X151)),W160+X157,"")</f>
        <v/>
      </c>
      <c r="Y160" s="44" t="str">
        <f t="shared" ref="Y160" si="379">IF(AND(ISNUMBER(Y151)),X160+Y157,"")</f>
        <v/>
      </c>
      <c r="Z160" s="1089" t="str">
        <f t="shared" ref="Z160" si="380">IF(AND(ISNUMBER(Z151)),Y160+Z157,"")</f>
        <v/>
      </c>
      <c r="AA160" s="1089" t="str">
        <f t="shared" ref="AA160" si="381">IF(AND(ISNUMBER(AA151)),Z160+AA157,"")</f>
        <v/>
      </c>
      <c r="AB160" s="1089" t="str">
        <f t="shared" ref="AB160" si="382">IF(AND(ISNUMBER(AB151)),AA160+AB157,"")</f>
        <v/>
      </c>
      <c r="AC160" s="1089" t="str">
        <f t="shared" ref="AC160" si="383">IF(AND(ISNUMBER(AC151)),AB160+AC157,"")</f>
        <v/>
      </c>
      <c r="AD160" s="1089" t="str">
        <f t="shared" ref="AD160" si="384">IF(AND(ISNUMBER(AD151)),AC160+AD157,"")</f>
        <v/>
      </c>
      <c r="AE160" s="44" t="str">
        <f t="shared" ref="AE160" si="385">IF(AND(ISNUMBER(AE151)),AD160+AE157,"")</f>
        <v/>
      </c>
      <c r="AF160" s="44" t="str">
        <f t="shared" ref="AF160" si="386">IF(AND(ISNUMBER(AF151)),AE160+AF157,"")</f>
        <v/>
      </c>
      <c r="AG160" s="1089" t="str">
        <f t="shared" ref="AG160" si="387">IF(AND(ISNUMBER(AG151)),AF160+AG157,"")</f>
        <v/>
      </c>
      <c r="AH160" s="1089" t="str">
        <f t="shared" ref="AH160" si="388">IF(AND(ISNUMBER(AH151)),AG160+AH157,"")</f>
        <v/>
      </c>
      <c r="AI160" s="1089" t="str">
        <f t="shared" ref="AI160" si="389">IF(AND(ISNUMBER(AI151)),AH160+AI157,"")</f>
        <v/>
      </c>
      <c r="AJ160" s="793"/>
      <c r="AK160" s="793"/>
      <c r="AL160" s="909"/>
      <c r="AM160" s="890"/>
      <c r="AN160" s="91"/>
      <c r="AO160" s="630"/>
      <c r="AP160" s="285"/>
      <c r="AQ160" s="285"/>
      <c r="AR160" s="285"/>
      <c r="AS160" s="285"/>
      <c r="AT160" s="286"/>
      <c r="AU160" s="285"/>
      <c r="AV160" s="287"/>
    </row>
    <row r="161" spans="1:48" s="644" customFormat="1" ht="19.899999999999999" hidden="1" customHeight="1">
      <c r="A161" s="224"/>
      <c r="B161" s="526"/>
      <c r="C161" s="89" t="s">
        <v>108</v>
      </c>
      <c r="D161" s="90" t="s">
        <v>104</v>
      </c>
      <c r="E161" s="1415"/>
      <c r="F161" s="1141"/>
      <c r="G161" s="1272"/>
      <c r="H161" s="1141"/>
      <c r="I161" s="1144"/>
      <c r="J161" s="1272"/>
      <c r="K161" s="1272"/>
      <c r="L161" s="1144"/>
      <c r="M161" s="1141"/>
      <c r="N161" s="1141"/>
      <c r="O161" s="1141"/>
      <c r="P161" s="1141"/>
      <c r="Q161" s="1272"/>
      <c r="R161" s="1272"/>
      <c r="S161" s="1141"/>
      <c r="T161" s="1141"/>
      <c r="U161" s="1141"/>
      <c r="V161" s="1141"/>
      <c r="W161" s="1141"/>
      <c r="X161" s="1272"/>
      <c r="Y161" s="1272"/>
      <c r="Z161" s="1141"/>
      <c r="AA161" s="1141"/>
      <c r="AB161" s="1141"/>
      <c r="AC161" s="1141"/>
      <c r="AD161" s="1141"/>
      <c r="AE161" s="1272"/>
      <c r="AF161" s="1272"/>
      <c r="AG161" s="1141"/>
      <c r="AH161" s="1141"/>
      <c r="AI161" s="1416"/>
      <c r="AJ161" s="663"/>
      <c r="AK161" s="663"/>
      <c r="AL161" s="647"/>
      <c r="AM161" s="918"/>
      <c r="AN161" s="912"/>
      <c r="AO161" s="671"/>
    </row>
    <row r="162" spans="1:48" s="644" customFormat="1" ht="20.25" hidden="1" customHeight="1" thickBot="1">
      <c r="A162" s="516"/>
      <c r="B162" s="527"/>
      <c r="C162" s="94">
        <f>+C160*0.8</f>
        <v>240000</v>
      </c>
      <c r="D162" s="88" t="s">
        <v>111</v>
      </c>
      <c r="E162" s="1109">
        <f>IF(E161="O/H",E157,0+E157)</f>
        <v>0</v>
      </c>
      <c r="F162" s="1110">
        <f t="shared" ref="F162:AI162" si="390">IF(F161="O/H",F157,+E162+F157)</f>
        <v>0</v>
      </c>
      <c r="G162" s="1212">
        <f t="shared" si="390"/>
        <v>0</v>
      </c>
      <c r="H162" s="1110">
        <f t="shared" si="390"/>
        <v>0</v>
      </c>
      <c r="I162" s="1110">
        <f t="shared" si="390"/>
        <v>0</v>
      </c>
      <c r="J162" s="1212">
        <f t="shared" si="390"/>
        <v>0</v>
      </c>
      <c r="K162" s="1212">
        <f t="shared" si="390"/>
        <v>0</v>
      </c>
      <c r="L162" s="1110">
        <f t="shared" si="390"/>
        <v>0</v>
      </c>
      <c r="M162" s="1110">
        <f t="shared" si="390"/>
        <v>0</v>
      </c>
      <c r="N162" s="1110">
        <f t="shared" si="390"/>
        <v>0</v>
      </c>
      <c r="O162" s="1110">
        <f t="shared" si="390"/>
        <v>0</v>
      </c>
      <c r="P162" s="1110">
        <f t="shared" si="390"/>
        <v>0</v>
      </c>
      <c r="Q162" s="1212">
        <f t="shared" si="390"/>
        <v>0</v>
      </c>
      <c r="R162" s="1212">
        <f t="shared" si="390"/>
        <v>0</v>
      </c>
      <c r="S162" s="1110">
        <f t="shared" si="390"/>
        <v>0</v>
      </c>
      <c r="T162" s="1110">
        <f t="shared" si="390"/>
        <v>0</v>
      </c>
      <c r="U162" s="1110">
        <f t="shared" si="390"/>
        <v>0</v>
      </c>
      <c r="V162" s="1110">
        <f t="shared" si="390"/>
        <v>0</v>
      </c>
      <c r="W162" s="1110">
        <f t="shared" si="390"/>
        <v>0</v>
      </c>
      <c r="X162" s="1212">
        <f t="shared" si="390"/>
        <v>0</v>
      </c>
      <c r="Y162" s="1212">
        <f t="shared" si="390"/>
        <v>0</v>
      </c>
      <c r="Z162" s="1110">
        <f t="shared" si="390"/>
        <v>0</v>
      </c>
      <c r="AA162" s="1110">
        <f t="shared" si="390"/>
        <v>0</v>
      </c>
      <c r="AB162" s="1110">
        <f t="shared" si="390"/>
        <v>0</v>
      </c>
      <c r="AC162" s="1110">
        <f t="shared" si="390"/>
        <v>0</v>
      </c>
      <c r="AD162" s="1110">
        <f t="shared" si="390"/>
        <v>0</v>
      </c>
      <c r="AE162" s="1212">
        <f t="shared" si="390"/>
        <v>0</v>
      </c>
      <c r="AF162" s="1212">
        <f t="shared" si="390"/>
        <v>0</v>
      </c>
      <c r="AG162" s="1110">
        <f t="shared" si="390"/>
        <v>0</v>
      </c>
      <c r="AH162" s="1110">
        <f t="shared" si="390"/>
        <v>0</v>
      </c>
      <c r="AI162" s="1340">
        <f t="shared" si="390"/>
        <v>0</v>
      </c>
      <c r="AJ162" s="668"/>
      <c r="AK162" s="668"/>
      <c r="AL162" s="705"/>
      <c r="AM162" s="925"/>
      <c r="AN162" s="567"/>
      <c r="AO162" s="625"/>
    </row>
    <row r="163" spans="1:48" s="644" customFormat="1" ht="19.899999999999999" hidden="1" customHeight="1" thickTop="1">
      <c r="A163" s="228" t="s">
        <v>609</v>
      </c>
      <c r="B163" s="219" t="s">
        <v>673</v>
      </c>
      <c r="C163" s="418" t="str">
        <f>Table1[[#This Row],[M/C No.]]</f>
        <v>A14(100ton)</v>
      </c>
      <c r="D163" s="28" t="s">
        <v>82</v>
      </c>
      <c r="E163" s="1111"/>
      <c r="F163" s="1111"/>
      <c r="G163" s="1201"/>
      <c r="H163" s="1111"/>
      <c r="I163" s="1111"/>
      <c r="J163" s="1201"/>
      <c r="K163" s="1201"/>
      <c r="L163" s="1111"/>
      <c r="M163" s="1111"/>
      <c r="N163" s="1111"/>
      <c r="O163" s="1111"/>
      <c r="P163" s="1111"/>
      <c r="Q163" s="1201"/>
      <c r="R163" s="1201"/>
      <c r="S163" s="1111"/>
      <c r="T163" s="1111"/>
      <c r="U163" s="1111"/>
      <c r="V163" s="1111"/>
      <c r="W163" s="1111"/>
      <c r="X163" s="1201"/>
      <c r="Y163" s="1201"/>
      <c r="Z163" s="1111"/>
      <c r="AA163" s="1111"/>
      <c r="AB163" s="1111"/>
      <c r="AC163" s="1111"/>
      <c r="AD163" s="1111"/>
      <c r="AE163" s="1201"/>
      <c r="AF163" s="1201"/>
      <c r="AG163" s="1111"/>
      <c r="AH163" s="1111"/>
      <c r="AI163" s="1111"/>
      <c r="AJ163" s="570">
        <f>SUM(E163:AI163)</f>
        <v>0</v>
      </c>
      <c r="AK163" s="991">
        <f>AJ165</f>
        <v>0</v>
      </c>
      <c r="AL163" s="571">
        <f>+AJ163*AN163</f>
        <v>0</v>
      </c>
      <c r="AM163" s="992">
        <f>AL165</f>
        <v>0</v>
      </c>
      <c r="AN163" s="402">
        <v>3.7058899999999997</v>
      </c>
      <c r="AO163" s="676">
        <f>Table1[[#This Row],[Total]]*B167/1000</f>
        <v>0</v>
      </c>
      <c r="AP163" s="32" t="s">
        <v>350</v>
      </c>
      <c r="AQ163" s="33" t="s">
        <v>84</v>
      </c>
      <c r="AR163" s="33" t="s">
        <v>85</v>
      </c>
      <c r="AS163" s="33" t="s">
        <v>86</v>
      </c>
      <c r="AT163" s="33" t="s">
        <v>87</v>
      </c>
      <c r="AU163" s="33" t="s">
        <v>88</v>
      </c>
      <c r="AV163" s="34" t="s">
        <v>68</v>
      </c>
    </row>
    <row r="164" spans="1:48" s="644" customFormat="1" ht="19.899999999999999" hidden="1" customHeight="1">
      <c r="A164" s="224" t="s">
        <v>351</v>
      </c>
      <c r="B164" s="219" t="s">
        <v>352</v>
      </c>
      <c r="C164" s="510"/>
      <c r="D164" s="37" t="s">
        <v>90</v>
      </c>
      <c r="E164" s="1143">
        <f>IF(E163="",0,+ E163/E170)</f>
        <v>0</v>
      </c>
      <c r="F164" s="1146">
        <f>IF(F163="",0, E164+F163/F170)</f>
        <v>0</v>
      </c>
      <c r="G164" s="1265">
        <f>IF(G163="",0, F164+G163/G170)</f>
        <v>0</v>
      </c>
      <c r="H164" s="1146">
        <f>IF(H163="",0, G164+H163/H170)</f>
        <v>0</v>
      </c>
      <c r="I164" s="1146">
        <f>IF(I163="",0, H164+I163/I170)</f>
        <v>0</v>
      </c>
      <c r="J164" s="1265">
        <f t="shared" ref="J164:Z164" si="391">IF(J163="",0, I164+J163/J170)</f>
        <v>0</v>
      </c>
      <c r="K164" s="1265">
        <f t="shared" si="391"/>
        <v>0</v>
      </c>
      <c r="L164" s="1146">
        <f t="shared" si="391"/>
        <v>0</v>
      </c>
      <c r="M164" s="1146">
        <f t="shared" si="391"/>
        <v>0</v>
      </c>
      <c r="N164" s="1146">
        <f t="shared" si="391"/>
        <v>0</v>
      </c>
      <c r="O164" s="1146">
        <f t="shared" si="391"/>
        <v>0</v>
      </c>
      <c r="P164" s="1146">
        <f t="shared" si="391"/>
        <v>0</v>
      </c>
      <c r="Q164" s="1265">
        <f t="shared" si="391"/>
        <v>0</v>
      </c>
      <c r="R164" s="1265">
        <f t="shared" si="391"/>
        <v>0</v>
      </c>
      <c r="S164" s="1146">
        <f t="shared" si="391"/>
        <v>0</v>
      </c>
      <c r="T164" s="1146">
        <f t="shared" si="391"/>
        <v>0</v>
      </c>
      <c r="U164" s="1146">
        <f t="shared" si="391"/>
        <v>0</v>
      </c>
      <c r="V164" s="1146">
        <f t="shared" si="391"/>
        <v>0</v>
      </c>
      <c r="W164" s="1146">
        <f t="shared" si="391"/>
        <v>0</v>
      </c>
      <c r="X164" s="1265">
        <f t="shared" si="391"/>
        <v>0</v>
      </c>
      <c r="Y164" s="1265">
        <f t="shared" si="391"/>
        <v>0</v>
      </c>
      <c r="Z164" s="1146">
        <f t="shared" si="391"/>
        <v>0</v>
      </c>
      <c r="AA164" s="1146">
        <f>IF(AA163="",0, Z164+AA163/AA170)</f>
        <v>0</v>
      </c>
      <c r="AB164" s="1146">
        <f>IF(AB163="",0, AA164+AB163/AB170)</f>
        <v>0</v>
      </c>
      <c r="AC164" s="1146">
        <f t="shared" ref="AC164:AI164" si="392">IF(AC163="",0, AB164+AC163/AC170)</f>
        <v>0</v>
      </c>
      <c r="AD164" s="1146">
        <f t="shared" si="392"/>
        <v>0</v>
      </c>
      <c r="AE164" s="1265">
        <f t="shared" si="392"/>
        <v>0</v>
      </c>
      <c r="AF164" s="1265">
        <f t="shared" si="392"/>
        <v>0</v>
      </c>
      <c r="AG164" s="1146">
        <f t="shared" si="392"/>
        <v>0</v>
      </c>
      <c r="AH164" s="1146">
        <f t="shared" si="392"/>
        <v>0</v>
      </c>
      <c r="AI164" s="1440">
        <f t="shared" si="392"/>
        <v>0</v>
      </c>
      <c r="AJ164" s="661"/>
      <c r="AK164" s="661"/>
      <c r="AL164" s="572"/>
      <c r="AM164" s="915"/>
      <c r="AN164" s="449"/>
      <c r="AO164" s="675"/>
      <c r="AP164" s="39" t="s">
        <v>91</v>
      </c>
      <c r="AQ164" s="40">
        <f>SUM(E163:I163)</f>
        <v>0</v>
      </c>
      <c r="AR164" s="41">
        <f>SUM(J163:P163)</f>
        <v>0</v>
      </c>
      <c r="AS164" s="41">
        <f>SUM(Q163:W163)</f>
        <v>0</v>
      </c>
      <c r="AT164" s="41">
        <f>SUM(X163:AD163)</f>
        <v>0</v>
      </c>
      <c r="AU164" s="41">
        <f>SUM(AE163:AI163)</f>
        <v>0</v>
      </c>
      <c r="AV164" s="34">
        <f t="shared" ref="AV164:AV169" si="393">SUM(AQ164:AU164)</f>
        <v>0</v>
      </c>
    </row>
    <row r="165" spans="1:48" s="644" customFormat="1" ht="19.899999999999999" hidden="1" customHeight="1">
      <c r="A165" s="224" t="s">
        <v>351</v>
      </c>
      <c r="B165" s="89" t="s">
        <v>337</v>
      </c>
      <c r="C165" s="52" t="s">
        <v>95</v>
      </c>
      <c r="D165" s="43" t="s">
        <v>93</v>
      </c>
      <c r="E165" s="1108"/>
      <c r="F165" s="1089"/>
      <c r="G165" s="44"/>
      <c r="H165" s="1089"/>
      <c r="I165" s="1089"/>
      <c r="J165" s="44"/>
      <c r="K165" s="44"/>
      <c r="L165" s="1089"/>
      <c r="M165" s="1089"/>
      <c r="N165" s="1089"/>
      <c r="O165" s="1089"/>
      <c r="P165" s="1089"/>
      <c r="Q165" s="44"/>
      <c r="R165" s="44"/>
      <c r="S165" s="1089"/>
      <c r="T165" s="1089"/>
      <c r="U165" s="1089"/>
      <c r="V165" s="1089"/>
      <c r="W165" s="1089"/>
      <c r="X165" s="44"/>
      <c r="Y165" s="44"/>
      <c r="Z165" s="1089"/>
      <c r="AA165" s="1089"/>
      <c r="AB165" s="1089"/>
      <c r="AC165" s="1089"/>
      <c r="AD165" s="1089"/>
      <c r="AE165" s="44"/>
      <c r="AF165" s="44"/>
      <c r="AG165" s="1089"/>
      <c r="AH165" s="1089"/>
      <c r="AI165" s="1326"/>
      <c r="AJ165" s="662">
        <f>SUM(E165:AI165)</f>
        <v>0</v>
      </c>
      <c r="AK165" s="662"/>
      <c r="AL165" s="645">
        <f>+AJ165*AN163</f>
        <v>0</v>
      </c>
      <c r="AM165" s="916"/>
      <c r="AN165" s="449"/>
      <c r="AO165" s="632">
        <f>(AJ165+AJ167+AJ168+AJ169)*B167/1000</f>
        <v>0</v>
      </c>
      <c r="AP165" s="47" t="s">
        <v>94</v>
      </c>
      <c r="AQ165" s="48">
        <f>SUM(E165:I165)</f>
        <v>0</v>
      </c>
      <c r="AR165" s="49">
        <f>SUM(J165:P165)</f>
        <v>0</v>
      </c>
      <c r="AS165" s="49">
        <f>SUM(Q165:W165)</f>
        <v>0</v>
      </c>
      <c r="AT165" s="49">
        <f>SUM(X165:AD165)</f>
        <v>0</v>
      </c>
      <c r="AU165" s="49">
        <f>SUM(AE165:AI165)</f>
        <v>0</v>
      </c>
      <c r="AV165" s="50">
        <f t="shared" si="393"/>
        <v>0</v>
      </c>
    </row>
    <row r="166" spans="1:48" s="644" customFormat="1" ht="19.899999999999999" hidden="1" customHeight="1">
      <c r="A166" s="224" t="s">
        <v>351</v>
      </c>
      <c r="B166" s="763" t="s">
        <v>247</v>
      </c>
      <c r="C166" s="379">
        <v>30000</v>
      </c>
      <c r="D166" s="53" t="s">
        <v>96</v>
      </c>
      <c r="E166" s="1137">
        <f t="shared" ref="E166:AF166" si="394">+E165-E163</f>
        <v>0</v>
      </c>
      <c r="F166" s="1137">
        <f t="shared" si="394"/>
        <v>0</v>
      </c>
      <c r="G166" s="1232">
        <f t="shared" si="394"/>
        <v>0</v>
      </c>
      <c r="H166" s="1137">
        <f t="shared" si="394"/>
        <v>0</v>
      </c>
      <c r="I166" s="1137">
        <f t="shared" si="394"/>
        <v>0</v>
      </c>
      <c r="J166" s="1232">
        <f t="shared" si="394"/>
        <v>0</v>
      </c>
      <c r="K166" s="1232">
        <f t="shared" si="394"/>
        <v>0</v>
      </c>
      <c r="L166" s="1137">
        <f t="shared" si="394"/>
        <v>0</v>
      </c>
      <c r="M166" s="1137">
        <f t="shared" si="394"/>
        <v>0</v>
      </c>
      <c r="N166" s="1137">
        <f t="shared" si="394"/>
        <v>0</v>
      </c>
      <c r="O166" s="1097">
        <f t="shared" si="394"/>
        <v>0</v>
      </c>
      <c r="P166" s="1097">
        <f t="shared" si="394"/>
        <v>0</v>
      </c>
      <c r="Q166" s="1232">
        <f t="shared" si="394"/>
        <v>0</v>
      </c>
      <c r="R166" s="1232">
        <f t="shared" si="394"/>
        <v>0</v>
      </c>
      <c r="S166" s="1137">
        <f t="shared" si="394"/>
        <v>0</v>
      </c>
      <c r="T166" s="1137">
        <f t="shared" si="394"/>
        <v>0</v>
      </c>
      <c r="U166" s="1137">
        <f t="shared" si="394"/>
        <v>0</v>
      </c>
      <c r="V166" s="1137">
        <f t="shared" si="394"/>
        <v>0</v>
      </c>
      <c r="W166" s="1097">
        <f t="shared" si="394"/>
        <v>0</v>
      </c>
      <c r="X166" s="1205">
        <f t="shared" si="394"/>
        <v>0</v>
      </c>
      <c r="Y166" s="1232">
        <f t="shared" si="394"/>
        <v>0</v>
      </c>
      <c r="Z166" s="1137">
        <f t="shared" si="394"/>
        <v>0</v>
      </c>
      <c r="AA166" s="1137">
        <f t="shared" si="394"/>
        <v>0</v>
      </c>
      <c r="AB166" s="1137">
        <f t="shared" si="394"/>
        <v>0</v>
      </c>
      <c r="AC166" s="1137">
        <f t="shared" si="394"/>
        <v>0</v>
      </c>
      <c r="AD166" s="1137">
        <f t="shared" si="394"/>
        <v>0</v>
      </c>
      <c r="AE166" s="1232">
        <f t="shared" si="394"/>
        <v>0</v>
      </c>
      <c r="AF166" s="1232">
        <f t="shared" si="394"/>
        <v>0</v>
      </c>
      <c r="AG166" s="1097">
        <f t="shared" ref="AG166:AI166" si="395">+AG165-AG163</f>
        <v>0</v>
      </c>
      <c r="AH166" s="1097">
        <f t="shared" si="395"/>
        <v>0</v>
      </c>
      <c r="AI166" s="1328">
        <f t="shared" si="395"/>
        <v>0</v>
      </c>
      <c r="AJ166" s="663">
        <f>+AJ165-AJ163</f>
        <v>0</v>
      </c>
      <c r="AK166" s="663"/>
      <c r="AL166" s="646">
        <f>+AJ166*AN163</f>
        <v>0</v>
      </c>
      <c r="AM166" s="917"/>
      <c r="AN166" s="449" t="s">
        <v>97</v>
      </c>
      <c r="AO166" s="622"/>
      <c r="AP166" s="39" t="s">
        <v>98</v>
      </c>
      <c r="AQ166" s="56">
        <f>AQ165-AQ164</f>
        <v>0</v>
      </c>
      <c r="AR166" s="70">
        <f>AR165-AR164</f>
        <v>0</v>
      </c>
      <c r="AS166" s="70">
        <f>AS165-AS164</f>
        <v>0</v>
      </c>
      <c r="AT166" s="70">
        <f>AT165-AT164</f>
        <v>0</v>
      </c>
      <c r="AU166" s="70">
        <f>AU165-AU164</f>
        <v>0</v>
      </c>
      <c r="AV166" s="57">
        <f t="shared" si="393"/>
        <v>0</v>
      </c>
    </row>
    <row r="167" spans="1:48" s="644" customFormat="1" ht="19.899999999999999" hidden="1" customHeight="1">
      <c r="A167" s="511"/>
      <c r="B167" s="764">
        <v>5.15</v>
      </c>
      <c r="C167" s="521"/>
      <c r="D167" s="61" t="s">
        <v>101</v>
      </c>
      <c r="E167" s="1098"/>
      <c r="F167" s="1099"/>
      <c r="G167" s="1208"/>
      <c r="H167" s="1099"/>
      <c r="I167" s="1112"/>
      <c r="J167" s="1213"/>
      <c r="K167" s="1213"/>
      <c r="L167" s="1112"/>
      <c r="M167" s="1112"/>
      <c r="N167" s="1112"/>
      <c r="O167" s="1099"/>
      <c r="P167" s="1099"/>
      <c r="Q167" s="1213"/>
      <c r="R167" s="1213"/>
      <c r="S167" s="1112"/>
      <c r="T167" s="1112"/>
      <c r="U167" s="1112"/>
      <c r="V167" s="1112"/>
      <c r="W167" s="1099"/>
      <c r="X167" s="1208"/>
      <c r="Y167" s="1213"/>
      <c r="Z167" s="1112"/>
      <c r="AA167" s="1112"/>
      <c r="AB167" s="1112"/>
      <c r="AC167" s="1112"/>
      <c r="AD167" s="1112"/>
      <c r="AE167" s="1213"/>
      <c r="AF167" s="1213"/>
      <c r="AG167" s="1112"/>
      <c r="AH167" s="1112"/>
      <c r="AI167" s="1442"/>
      <c r="AJ167" s="664">
        <f>SUM(E167:AI167)</f>
        <v>0</v>
      </c>
      <c r="AK167" s="664"/>
      <c r="AL167" s="647">
        <f>+AJ167*AN163</f>
        <v>0</v>
      </c>
      <c r="AM167" s="918"/>
      <c r="AN167" s="913" t="e">
        <f>+AJ167/AJ165</f>
        <v>#DIV/0!</v>
      </c>
      <c r="AO167" s="635" t="e">
        <f>AO165/AO163</f>
        <v>#DIV/0!</v>
      </c>
      <c r="AP167" s="39" t="s">
        <v>102</v>
      </c>
      <c r="AQ167" s="56">
        <f>SUM(E167:I167)</f>
        <v>0</v>
      </c>
      <c r="AR167" s="70">
        <f>SUM(J167:P167)</f>
        <v>0</v>
      </c>
      <c r="AS167" s="70">
        <f>SUM(Q167:W167)</f>
        <v>0</v>
      </c>
      <c r="AT167" s="70">
        <f>SUM(X167:AD167)</f>
        <v>0</v>
      </c>
      <c r="AU167" s="70">
        <f>SUM(AE167:AI167)</f>
        <v>0</v>
      </c>
      <c r="AV167" s="57">
        <f t="shared" si="393"/>
        <v>0</v>
      </c>
    </row>
    <row r="168" spans="1:48" s="644" customFormat="1" ht="19.899999999999999" hidden="1" customHeight="1">
      <c r="A168" s="511"/>
      <c r="B168" s="334" t="s">
        <v>353</v>
      </c>
      <c r="C168" s="522"/>
      <c r="D168" s="67" t="s">
        <v>103</v>
      </c>
      <c r="E168" s="1100"/>
      <c r="F168" s="1101"/>
      <c r="G168" s="1209"/>
      <c r="H168" s="1101"/>
      <c r="I168" s="1101"/>
      <c r="J168" s="1209"/>
      <c r="K168" s="1209"/>
      <c r="L168" s="1101"/>
      <c r="M168" s="1101"/>
      <c r="N168" s="1101"/>
      <c r="O168" s="1101"/>
      <c r="P168" s="1101"/>
      <c r="Q168" s="1209"/>
      <c r="R168" s="1209"/>
      <c r="S168" s="1101"/>
      <c r="T168" s="1101"/>
      <c r="U168" s="1101"/>
      <c r="V168" s="1101"/>
      <c r="W168" s="1101"/>
      <c r="X168" s="1209"/>
      <c r="Y168" s="1209"/>
      <c r="Z168" s="1101"/>
      <c r="AA168" s="1101"/>
      <c r="AB168" s="1101"/>
      <c r="AC168" s="1101"/>
      <c r="AD168" s="1101"/>
      <c r="AE168" s="1209"/>
      <c r="AF168" s="1209"/>
      <c r="AG168" s="1101"/>
      <c r="AH168" s="1101"/>
      <c r="AI168" s="1332"/>
      <c r="AJ168" s="665">
        <f>SUM(E168:AI168)</f>
        <v>0</v>
      </c>
      <c r="AK168" s="665"/>
      <c r="AL168" s="648">
        <f>+AJ168*AN163</f>
        <v>0</v>
      </c>
      <c r="AM168" s="919"/>
      <c r="AN168" s="449"/>
      <c r="AO168" s="622"/>
      <c r="AP168" s="39" t="s">
        <v>19</v>
      </c>
      <c r="AQ168" s="56">
        <f>AQ167*AN163</f>
        <v>0</v>
      </c>
      <c r="AR168" s="56">
        <f>AR167*AN163</f>
        <v>0</v>
      </c>
      <c r="AS168" s="56">
        <f>AS167*AN163</f>
        <v>0</v>
      </c>
      <c r="AT168" s="56">
        <f>AT167*AN163</f>
        <v>0</v>
      </c>
      <c r="AU168" s="56">
        <f>AU167*AN163</f>
        <v>0</v>
      </c>
      <c r="AV168" s="57">
        <f t="shared" si="393"/>
        <v>0</v>
      </c>
    </row>
    <row r="169" spans="1:48" s="644" customFormat="1" ht="19.899999999999999" hidden="1" customHeight="1">
      <c r="A169" s="224"/>
      <c r="B169" s="65"/>
      <c r="C169" s="89" t="s">
        <v>108</v>
      </c>
      <c r="D169" s="73" t="s">
        <v>105</v>
      </c>
      <c r="E169" s="1102"/>
      <c r="F169" s="1103"/>
      <c r="G169" s="1210"/>
      <c r="H169" s="1103"/>
      <c r="I169" s="1103"/>
      <c r="J169" s="1210"/>
      <c r="K169" s="1210"/>
      <c r="L169" s="1103"/>
      <c r="M169" s="1103"/>
      <c r="N169" s="1103"/>
      <c r="O169" s="1103"/>
      <c r="P169" s="1103"/>
      <c r="Q169" s="1210"/>
      <c r="R169" s="1210"/>
      <c r="S169" s="1103"/>
      <c r="T169" s="1103"/>
      <c r="U169" s="1103"/>
      <c r="V169" s="1103"/>
      <c r="W169" s="1103"/>
      <c r="X169" s="1210"/>
      <c r="Y169" s="1210"/>
      <c r="Z169" s="1103"/>
      <c r="AA169" s="1103"/>
      <c r="AB169" s="1103"/>
      <c r="AC169" s="1103"/>
      <c r="AD169" s="1103"/>
      <c r="AE169" s="1210"/>
      <c r="AF169" s="1210"/>
      <c r="AG169" s="1103"/>
      <c r="AH169" s="1103"/>
      <c r="AI169" s="1352"/>
      <c r="AJ169" s="666">
        <f>SUM(E169:AI169)</f>
        <v>0</v>
      </c>
      <c r="AK169" s="666"/>
      <c r="AL169" s="649">
        <f>+AJ169*AN163</f>
        <v>0</v>
      </c>
      <c r="AM169" s="920"/>
      <c r="AN169" s="449"/>
      <c r="AO169" s="622"/>
      <c r="AP169" s="47" t="s">
        <v>106</v>
      </c>
      <c r="AQ169" s="48">
        <f>AQ165*AN163</f>
        <v>0</v>
      </c>
      <c r="AR169" s="48">
        <f>AR165*AN163</f>
        <v>0</v>
      </c>
      <c r="AS169" s="48">
        <f>AS165*AN163</f>
        <v>0</v>
      </c>
      <c r="AT169" s="48">
        <f>AT165*AN163</f>
        <v>0</v>
      </c>
      <c r="AU169" s="48">
        <f>AU165*AN163</f>
        <v>0</v>
      </c>
      <c r="AV169" s="50">
        <f t="shared" si="393"/>
        <v>0</v>
      </c>
    </row>
    <row r="170" spans="1:48" s="644" customFormat="1" ht="19.899999999999999" hidden="1" customHeight="1">
      <c r="A170" s="224" t="s">
        <v>351</v>
      </c>
      <c r="B170" s="65"/>
      <c r="C170" s="383">
        <f>+C166*0.8</f>
        <v>24000</v>
      </c>
      <c r="D170" s="78" t="s">
        <v>107</v>
      </c>
      <c r="E170" s="1137">
        <v>16</v>
      </c>
      <c r="F170" s="1097">
        <v>16</v>
      </c>
      <c r="G170" s="1205">
        <v>16</v>
      </c>
      <c r="H170" s="1097">
        <v>16</v>
      </c>
      <c r="I170" s="1097">
        <v>16</v>
      </c>
      <c r="J170" s="1205">
        <v>16</v>
      </c>
      <c r="K170" s="1205">
        <v>16</v>
      </c>
      <c r="L170" s="1097">
        <v>16</v>
      </c>
      <c r="M170" s="1097">
        <v>16</v>
      </c>
      <c r="N170" s="1097">
        <v>16</v>
      </c>
      <c r="O170" s="1097">
        <v>16</v>
      </c>
      <c r="P170" s="1097">
        <v>16</v>
      </c>
      <c r="Q170" s="1205">
        <v>16</v>
      </c>
      <c r="R170" s="1205">
        <v>16</v>
      </c>
      <c r="S170" s="1097">
        <v>16</v>
      </c>
      <c r="T170" s="1097">
        <v>16</v>
      </c>
      <c r="U170" s="1097">
        <v>16</v>
      </c>
      <c r="V170" s="1097">
        <v>16</v>
      </c>
      <c r="W170" s="1097">
        <v>16</v>
      </c>
      <c r="X170" s="1205">
        <v>16</v>
      </c>
      <c r="Y170" s="1205">
        <v>16</v>
      </c>
      <c r="Z170" s="1097">
        <v>16</v>
      </c>
      <c r="AA170" s="1097">
        <v>16</v>
      </c>
      <c r="AB170" s="1097">
        <v>16</v>
      </c>
      <c r="AC170" s="1097">
        <v>16</v>
      </c>
      <c r="AD170" s="1097">
        <v>16</v>
      </c>
      <c r="AE170" s="1205">
        <v>16</v>
      </c>
      <c r="AF170" s="1205">
        <v>16</v>
      </c>
      <c r="AG170" s="1097">
        <v>16</v>
      </c>
      <c r="AH170" s="1097">
        <v>16</v>
      </c>
      <c r="AI170" s="1328">
        <v>16</v>
      </c>
      <c r="AJ170" s="663"/>
      <c r="AK170" s="663"/>
      <c r="AL170" s="646"/>
      <c r="AM170" s="917"/>
      <c r="AN170" s="449"/>
      <c r="AO170" s="622"/>
    </row>
    <row r="171" spans="1:48" s="644" customFormat="1" ht="19.899999999999999" hidden="1" customHeight="1">
      <c r="A171" s="224" t="s">
        <v>351</v>
      </c>
      <c r="B171" s="65"/>
      <c r="C171" s="514"/>
      <c r="D171" s="81" t="s">
        <v>109</v>
      </c>
      <c r="E171" s="1105">
        <f>SUM(E165+E167+E168+E169)/E170</f>
        <v>0</v>
      </c>
      <c r="F171" s="1105">
        <f>SUM(F165+F167+F168+F169)/F170</f>
        <v>0</v>
      </c>
      <c r="G171" s="1198">
        <f>SUM(G165+G167+G168+G169)/G170</f>
        <v>0</v>
      </c>
      <c r="H171" s="1105">
        <f>SUM(H165+H167+H168+H169)/H170</f>
        <v>0</v>
      </c>
      <c r="I171" s="1105">
        <f>SUM(I165+I167+I168+I169)/I170</f>
        <v>0</v>
      </c>
      <c r="J171" s="1198">
        <f t="shared" ref="J171:AH171" si="396">SUM(J165+J167+J168+J169)/J170</f>
        <v>0</v>
      </c>
      <c r="K171" s="1198">
        <f t="shared" si="396"/>
        <v>0</v>
      </c>
      <c r="L171" s="1105">
        <f t="shared" si="396"/>
        <v>0</v>
      </c>
      <c r="M171" s="1105">
        <f t="shared" si="396"/>
        <v>0</v>
      </c>
      <c r="N171" s="1105">
        <f t="shared" si="396"/>
        <v>0</v>
      </c>
      <c r="O171" s="1105">
        <f t="shared" si="396"/>
        <v>0</v>
      </c>
      <c r="P171" s="1105">
        <f t="shared" si="396"/>
        <v>0</v>
      </c>
      <c r="Q171" s="1198">
        <f t="shared" si="396"/>
        <v>0</v>
      </c>
      <c r="R171" s="1198">
        <f t="shared" si="396"/>
        <v>0</v>
      </c>
      <c r="S171" s="1105">
        <f t="shared" si="396"/>
        <v>0</v>
      </c>
      <c r="T171" s="1105">
        <f t="shared" si="396"/>
        <v>0</v>
      </c>
      <c r="U171" s="1105">
        <f t="shared" si="396"/>
        <v>0</v>
      </c>
      <c r="V171" s="1105">
        <f t="shared" si="396"/>
        <v>0</v>
      </c>
      <c r="W171" s="1105">
        <f t="shared" si="396"/>
        <v>0</v>
      </c>
      <c r="X171" s="1198">
        <f t="shared" si="396"/>
        <v>0</v>
      </c>
      <c r="Y171" s="1198">
        <f t="shared" si="396"/>
        <v>0</v>
      </c>
      <c r="Z171" s="1105">
        <f t="shared" si="396"/>
        <v>0</v>
      </c>
      <c r="AA171" s="1105">
        <f t="shared" si="396"/>
        <v>0</v>
      </c>
      <c r="AB171" s="1105">
        <f t="shared" si="396"/>
        <v>0</v>
      </c>
      <c r="AC171" s="1105">
        <f t="shared" si="396"/>
        <v>0</v>
      </c>
      <c r="AD171" s="1105">
        <f t="shared" si="396"/>
        <v>0</v>
      </c>
      <c r="AE171" s="1198">
        <f t="shared" si="396"/>
        <v>0</v>
      </c>
      <c r="AF171" s="1198">
        <f t="shared" si="396"/>
        <v>0</v>
      </c>
      <c r="AG171" s="1105">
        <f t="shared" si="396"/>
        <v>0</v>
      </c>
      <c r="AH171" s="1105">
        <f t="shared" si="396"/>
        <v>0</v>
      </c>
      <c r="AI171" s="1441">
        <f>SUM(AI165+AI167+AI168+AI169)/AI170</f>
        <v>0</v>
      </c>
      <c r="AJ171" s="104">
        <f>SUM(E171:AI171)</f>
        <v>0</v>
      </c>
      <c r="AK171" s="104"/>
      <c r="AL171" s="650"/>
      <c r="AM171" s="921"/>
      <c r="AN171" s="449"/>
      <c r="AO171" s="622"/>
    </row>
    <row r="172" spans="1:48" s="644" customFormat="1" ht="19.899999999999999" hidden="1" customHeight="1">
      <c r="A172" s="224" t="s">
        <v>351</v>
      </c>
      <c r="B172" s="42"/>
      <c r="C172" s="72"/>
      <c r="D172" s="85" t="s">
        <v>110</v>
      </c>
      <c r="E172" s="1336"/>
      <c r="F172" s="1106"/>
      <c r="G172" s="1228"/>
      <c r="H172" s="1107"/>
      <c r="I172" s="1107"/>
      <c r="J172" s="1211"/>
      <c r="K172" s="1211"/>
      <c r="L172" s="1107"/>
      <c r="M172" s="1104"/>
      <c r="N172" s="1104"/>
      <c r="O172" s="1104"/>
      <c r="P172" s="1107"/>
      <c r="Q172" s="1211"/>
      <c r="R172" s="1211"/>
      <c r="S172" s="1107"/>
      <c r="T172" s="1104"/>
      <c r="U172" s="1107"/>
      <c r="V172" s="1107"/>
      <c r="W172" s="1107"/>
      <c r="X172" s="1228"/>
      <c r="Y172" s="1228"/>
      <c r="Z172" s="1104"/>
      <c r="AA172" s="1104"/>
      <c r="AB172" s="1104"/>
      <c r="AC172" s="1104"/>
      <c r="AD172" s="1104"/>
      <c r="AE172" s="1211"/>
      <c r="AF172" s="1211"/>
      <c r="AG172" s="1104"/>
      <c r="AH172" s="1104"/>
      <c r="AI172" s="1353"/>
      <c r="AJ172" s="667"/>
      <c r="AK172" s="667"/>
      <c r="AL172" s="703"/>
      <c r="AM172" s="922"/>
      <c r="AN172" s="449"/>
      <c r="AO172" s="622"/>
    </row>
    <row r="173" spans="1:48" s="644" customFormat="1" ht="19.899999999999999" hidden="1" customHeight="1">
      <c r="A173" s="224" t="s">
        <v>351</v>
      </c>
      <c r="B173" s="42"/>
      <c r="C173" s="72" t="s">
        <v>104</v>
      </c>
      <c r="D173" s="88" t="s">
        <v>111</v>
      </c>
      <c r="E173" s="1108">
        <f>IF(E172="O/H",E171,25210+E171)</f>
        <v>25210</v>
      </c>
      <c r="F173" s="1089">
        <f>IF(F172="O/H",F171,+E173+F171)</f>
        <v>25210</v>
      </c>
      <c r="G173" s="44">
        <f t="shared" ref="G173:AI173" si="397">IF(G172="O/H",G171,+F173+G171)</f>
        <v>25210</v>
      </c>
      <c r="H173" s="1089">
        <f t="shared" si="397"/>
        <v>25210</v>
      </c>
      <c r="I173" s="1089">
        <f t="shared" si="397"/>
        <v>25210</v>
      </c>
      <c r="J173" s="44">
        <f t="shared" si="397"/>
        <v>25210</v>
      </c>
      <c r="K173" s="44">
        <f t="shared" si="397"/>
        <v>25210</v>
      </c>
      <c r="L173" s="1089">
        <f t="shared" si="397"/>
        <v>25210</v>
      </c>
      <c r="M173" s="1089">
        <f t="shared" si="397"/>
        <v>25210</v>
      </c>
      <c r="N173" s="1089">
        <f t="shared" si="397"/>
        <v>25210</v>
      </c>
      <c r="O173" s="1089">
        <f t="shared" si="397"/>
        <v>25210</v>
      </c>
      <c r="P173" s="1089">
        <f t="shared" si="397"/>
        <v>25210</v>
      </c>
      <c r="Q173" s="44">
        <f t="shared" si="397"/>
        <v>25210</v>
      </c>
      <c r="R173" s="44">
        <f t="shared" si="397"/>
        <v>25210</v>
      </c>
      <c r="S173" s="1089">
        <f t="shared" si="397"/>
        <v>25210</v>
      </c>
      <c r="T173" s="1089">
        <f t="shared" si="397"/>
        <v>25210</v>
      </c>
      <c r="U173" s="1089">
        <f t="shared" si="397"/>
        <v>25210</v>
      </c>
      <c r="V173" s="1089">
        <f t="shared" si="397"/>
        <v>25210</v>
      </c>
      <c r="W173" s="1089">
        <f t="shared" si="397"/>
        <v>25210</v>
      </c>
      <c r="X173" s="44">
        <f t="shared" si="397"/>
        <v>25210</v>
      </c>
      <c r="Y173" s="44">
        <f t="shared" si="397"/>
        <v>25210</v>
      </c>
      <c r="Z173" s="1089">
        <f t="shared" si="397"/>
        <v>25210</v>
      </c>
      <c r="AA173" s="1089">
        <f t="shared" si="397"/>
        <v>25210</v>
      </c>
      <c r="AB173" s="1089">
        <f t="shared" si="397"/>
        <v>25210</v>
      </c>
      <c r="AC173" s="1089">
        <f t="shared" si="397"/>
        <v>25210</v>
      </c>
      <c r="AD173" s="1089">
        <f t="shared" si="397"/>
        <v>25210</v>
      </c>
      <c r="AE173" s="44">
        <f t="shared" si="397"/>
        <v>25210</v>
      </c>
      <c r="AF173" s="44">
        <f t="shared" si="397"/>
        <v>25210</v>
      </c>
      <c r="AG173" s="1089">
        <f t="shared" si="397"/>
        <v>25210</v>
      </c>
      <c r="AH173" s="1089">
        <f t="shared" si="397"/>
        <v>25210</v>
      </c>
      <c r="AI173" s="1326">
        <f t="shared" si="397"/>
        <v>25210</v>
      </c>
      <c r="AJ173" s="663"/>
      <c r="AK173" s="667"/>
      <c r="AL173" s="704"/>
      <c r="AM173" s="923"/>
      <c r="AN173" s="449"/>
      <c r="AO173" s="622"/>
    </row>
    <row r="174" spans="1:48" s="23" customFormat="1" ht="20.65" hidden="1" customHeight="1">
      <c r="A174" s="274"/>
      <c r="B174" s="312"/>
      <c r="C174" s="308">
        <v>300000</v>
      </c>
      <c r="D174" s="795" t="s">
        <v>112</v>
      </c>
      <c r="E174" s="1117" t="b">
        <f>IF(AND(ISNUMBER(E165)),1117115+E171)</f>
        <v>0</v>
      </c>
      <c r="F174" s="1118" t="str">
        <f>IF(AND(ISNUMBER(F165)),E174+F171,"")</f>
        <v/>
      </c>
      <c r="G174" s="1216" t="str">
        <f t="shared" ref="G174:H174" si="398">IF(AND(ISNUMBER(G165)),F174+G171,"")</f>
        <v/>
      </c>
      <c r="H174" s="1118" t="str">
        <f t="shared" si="398"/>
        <v/>
      </c>
      <c r="I174" s="1118" t="str">
        <f>IF(AND(ISNUMBER(I165)),H174+I171,"")</f>
        <v/>
      </c>
      <c r="J174" s="1216" t="str">
        <f>IF(AND(ISNUMBER(J165)),I174+J171,"")</f>
        <v/>
      </c>
      <c r="K174" s="1216" t="str">
        <f>IF(AND(ISNUMBER(K165)),J174+K171,"")</f>
        <v/>
      </c>
      <c r="L174" s="1118" t="str">
        <f t="shared" ref="L174:AI174" si="399">IF(AND(ISNUMBER(L165)),K174+L171,"")</f>
        <v/>
      </c>
      <c r="M174" s="1118" t="str">
        <f t="shared" si="399"/>
        <v/>
      </c>
      <c r="N174" s="1118" t="str">
        <f t="shared" si="399"/>
        <v/>
      </c>
      <c r="O174" s="1118" t="str">
        <f t="shared" si="399"/>
        <v/>
      </c>
      <c r="P174" s="1118" t="str">
        <f t="shared" si="399"/>
        <v/>
      </c>
      <c r="Q174" s="1216" t="str">
        <f t="shared" si="399"/>
        <v/>
      </c>
      <c r="R174" s="1216" t="str">
        <f t="shared" si="399"/>
        <v/>
      </c>
      <c r="S174" s="1118" t="str">
        <f t="shared" si="399"/>
        <v/>
      </c>
      <c r="T174" s="1118" t="str">
        <f t="shared" si="399"/>
        <v/>
      </c>
      <c r="U174" s="1118" t="str">
        <f t="shared" si="399"/>
        <v/>
      </c>
      <c r="V174" s="1118" t="str">
        <f t="shared" si="399"/>
        <v/>
      </c>
      <c r="W174" s="1118" t="str">
        <f t="shared" si="399"/>
        <v/>
      </c>
      <c r="X174" s="1216" t="str">
        <f t="shared" si="399"/>
        <v/>
      </c>
      <c r="Y174" s="1216" t="str">
        <f t="shared" si="399"/>
        <v/>
      </c>
      <c r="Z174" s="1118" t="str">
        <f t="shared" si="399"/>
        <v/>
      </c>
      <c r="AA174" s="1118" t="str">
        <f t="shared" si="399"/>
        <v/>
      </c>
      <c r="AB174" s="1118" t="str">
        <f t="shared" si="399"/>
        <v/>
      </c>
      <c r="AC174" s="1118" t="str">
        <f t="shared" si="399"/>
        <v/>
      </c>
      <c r="AD174" s="1118" t="str">
        <f t="shared" si="399"/>
        <v/>
      </c>
      <c r="AE174" s="1216" t="str">
        <f t="shared" si="399"/>
        <v/>
      </c>
      <c r="AF174" s="1216" t="str">
        <f t="shared" si="399"/>
        <v/>
      </c>
      <c r="AG174" s="1118" t="str">
        <f t="shared" si="399"/>
        <v/>
      </c>
      <c r="AH174" s="1118"/>
      <c r="AI174" s="1089" t="str">
        <f t="shared" si="399"/>
        <v/>
      </c>
      <c r="AJ174" s="793"/>
      <c r="AK174" s="793"/>
      <c r="AL174" s="909"/>
      <c r="AM174" s="890"/>
      <c r="AN174" s="91"/>
      <c r="AO174" s="630"/>
      <c r="AP174" s="285"/>
      <c r="AQ174" s="285"/>
      <c r="AR174" s="285"/>
      <c r="AS174" s="285"/>
      <c r="AT174" s="286"/>
      <c r="AU174" s="285"/>
      <c r="AV174" s="287"/>
    </row>
    <row r="175" spans="1:48" s="644" customFormat="1" ht="19.899999999999999" hidden="1" customHeight="1">
      <c r="A175" s="224"/>
      <c r="B175" s="89" t="s">
        <v>341</v>
      </c>
      <c r="C175" s="89" t="s">
        <v>108</v>
      </c>
      <c r="D175" s="90" t="s">
        <v>104</v>
      </c>
      <c r="E175" s="1415"/>
      <c r="F175" s="1141"/>
      <c r="G175" s="1272"/>
      <c r="H175" s="1144"/>
      <c r="I175" s="1144"/>
      <c r="J175" s="1272"/>
      <c r="K175" s="1272"/>
      <c r="L175" s="1144"/>
      <c r="M175" s="1141"/>
      <c r="N175" s="1141"/>
      <c r="O175" s="1141"/>
      <c r="P175" s="1141"/>
      <c r="Q175" s="1272"/>
      <c r="R175" s="1272"/>
      <c r="S175" s="1141"/>
      <c r="T175" s="1141"/>
      <c r="U175" s="1141"/>
      <c r="V175" s="1141"/>
      <c r="W175" s="1141"/>
      <c r="X175" s="1272"/>
      <c r="Y175" s="1272"/>
      <c r="Z175" s="1141"/>
      <c r="AA175" s="1141"/>
      <c r="AB175" s="1141"/>
      <c r="AC175" s="1141"/>
      <c r="AD175" s="1141"/>
      <c r="AE175" s="1272"/>
      <c r="AF175" s="1272"/>
      <c r="AG175" s="1141"/>
      <c r="AH175" s="1141"/>
      <c r="AI175" s="1416"/>
      <c r="AJ175" s="663"/>
      <c r="AK175" s="663"/>
      <c r="AL175" s="647"/>
      <c r="AM175" s="924"/>
      <c r="AN175" s="449"/>
      <c r="AO175" s="622"/>
    </row>
    <row r="176" spans="1:48" s="644" customFormat="1" ht="19.899999999999999" hidden="1" customHeight="1" thickBot="1">
      <c r="A176" s="516"/>
      <c r="B176" s="517"/>
      <c r="C176" s="94">
        <f>+C174*0.8</f>
        <v>240000</v>
      </c>
      <c r="D176" s="88" t="s">
        <v>111</v>
      </c>
      <c r="E176" s="1109">
        <f>IF(E175="O/H",E171,42100+E171)</f>
        <v>42100</v>
      </c>
      <c r="F176" s="1110">
        <f t="shared" ref="F176:AI176" si="400">IF(F175="O/H",F171,+E176+F171)</f>
        <v>42100</v>
      </c>
      <c r="G176" s="1212">
        <f t="shared" si="400"/>
        <v>42100</v>
      </c>
      <c r="H176" s="1110">
        <f t="shared" si="400"/>
        <v>42100</v>
      </c>
      <c r="I176" s="1110">
        <f t="shared" si="400"/>
        <v>42100</v>
      </c>
      <c r="J176" s="1212">
        <f t="shared" si="400"/>
        <v>42100</v>
      </c>
      <c r="K176" s="1212">
        <f t="shared" si="400"/>
        <v>42100</v>
      </c>
      <c r="L176" s="1110">
        <f t="shared" si="400"/>
        <v>42100</v>
      </c>
      <c r="M176" s="1110">
        <f t="shared" si="400"/>
        <v>42100</v>
      </c>
      <c r="N176" s="1110">
        <f t="shared" si="400"/>
        <v>42100</v>
      </c>
      <c r="O176" s="1110">
        <f t="shared" si="400"/>
        <v>42100</v>
      </c>
      <c r="P176" s="1110">
        <f t="shared" si="400"/>
        <v>42100</v>
      </c>
      <c r="Q176" s="1212">
        <f t="shared" si="400"/>
        <v>42100</v>
      </c>
      <c r="R176" s="1212">
        <f t="shared" si="400"/>
        <v>42100</v>
      </c>
      <c r="S176" s="1110">
        <f t="shared" si="400"/>
        <v>42100</v>
      </c>
      <c r="T176" s="1110">
        <f t="shared" si="400"/>
        <v>42100</v>
      </c>
      <c r="U176" s="1110">
        <f t="shared" si="400"/>
        <v>42100</v>
      </c>
      <c r="V176" s="1110">
        <f t="shared" si="400"/>
        <v>42100</v>
      </c>
      <c r="W176" s="1110">
        <f t="shared" si="400"/>
        <v>42100</v>
      </c>
      <c r="X176" s="1212">
        <f t="shared" si="400"/>
        <v>42100</v>
      </c>
      <c r="Y176" s="1212">
        <f t="shared" si="400"/>
        <v>42100</v>
      </c>
      <c r="Z176" s="1110">
        <f t="shared" si="400"/>
        <v>42100</v>
      </c>
      <c r="AA176" s="1110">
        <f t="shared" si="400"/>
        <v>42100</v>
      </c>
      <c r="AB176" s="1110">
        <f t="shared" si="400"/>
        <v>42100</v>
      </c>
      <c r="AC176" s="1110">
        <f t="shared" si="400"/>
        <v>42100</v>
      </c>
      <c r="AD176" s="1110">
        <f t="shared" si="400"/>
        <v>42100</v>
      </c>
      <c r="AE176" s="1212">
        <f t="shared" si="400"/>
        <v>42100</v>
      </c>
      <c r="AF176" s="1212">
        <f t="shared" si="400"/>
        <v>42100</v>
      </c>
      <c r="AG176" s="1110">
        <f t="shared" si="400"/>
        <v>42100</v>
      </c>
      <c r="AH176" s="1110">
        <f t="shared" si="400"/>
        <v>42100</v>
      </c>
      <c r="AI176" s="1340">
        <f t="shared" si="400"/>
        <v>42100</v>
      </c>
      <c r="AJ176" s="668"/>
      <c r="AK176" s="668"/>
      <c r="AL176" s="705"/>
      <c r="AM176" s="925"/>
      <c r="AN176" s="567"/>
      <c r="AO176" s="625"/>
    </row>
    <row r="177" spans="1:48" s="23" customFormat="1" ht="19.899999999999999" customHeight="1" thickTop="1">
      <c r="A177" s="112"/>
      <c r="B177" s="113"/>
      <c r="C177" s="113"/>
      <c r="D177" s="452" t="s">
        <v>82</v>
      </c>
      <c r="E177" s="1147">
        <f t="shared" ref="E177:AI177" si="401">E163+E135+E107+E93+E79+E37+E149+E121+E65+E51+E23+E9</f>
        <v>26000</v>
      </c>
      <c r="F177" s="1147">
        <f t="shared" si="401"/>
        <v>26000</v>
      </c>
      <c r="G177" s="1236">
        <f t="shared" si="401"/>
        <v>26000</v>
      </c>
      <c r="H177" s="1147">
        <f t="shared" si="401"/>
        <v>26000</v>
      </c>
      <c r="I177" s="1147">
        <f t="shared" si="401"/>
        <v>26000</v>
      </c>
      <c r="J177" s="1236">
        <f t="shared" si="401"/>
        <v>24000</v>
      </c>
      <c r="K177" s="1236">
        <f t="shared" si="401"/>
        <v>24000</v>
      </c>
      <c r="L177" s="1147">
        <f t="shared" si="401"/>
        <v>0</v>
      </c>
      <c r="M177" s="1147">
        <f t="shared" si="401"/>
        <v>0</v>
      </c>
      <c r="N177" s="1147">
        <f t="shared" si="401"/>
        <v>15000</v>
      </c>
      <c r="O177" s="1147">
        <f t="shared" si="401"/>
        <v>26000</v>
      </c>
      <c r="P177" s="1147">
        <f t="shared" si="401"/>
        <v>26000</v>
      </c>
      <c r="Q177" s="1236">
        <f t="shared" si="401"/>
        <v>26000</v>
      </c>
      <c r="R177" s="1236">
        <f t="shared" si="401"/>
        <v>26000</v>
      </c>
      <c r="S177" s="1147">
        <f t="shared" si="401"/>
        <v>26000</v>
      </c>
      <c r="T177" s="1147">
        <f t="shared" si="401"/>
        <v>26000</v>
      </c>
      <c r="U177" s="1147">
        <f t="shared" si="401"/>
        <v>26000</v>
      </c>
      <c r="V177" s="1147">
        <f t="shared" si="401"/>
        <v>21000</v>
      </c>
      <c r="W177" s="1147">
        <f t="shared" si="401"/>
        <v>16000</v>
      </c>
      <c r="X177" s="1236">
        <f t="shared" si="401"/>
        <v>16000</v>
      </c>
      <c r="Y177" s="1236">
        <f t="shared" si="401"/>
        <v>16000</v>
      </c>
      <c r="Z177" s="1147">
        <f t="shared" si="401"/>
        <v>16000</v>
      </c>
      <c r="AA177" s="1147">
        <f t="shared" si="401"/>
        <v>16000</v>
      </c>
      <c r="AB177" s="1147">
        <f t="shared" si="401"/>
        <v>16000</v>
      </c>
      <c r="AC177" s="1147">
        <f t="shared" si="401"/>
        <v>8000</v>
      </c>
      <c r="AD177" s="1147">
        <f t="shared" si="401"/>
        <v>0</v>
      </c>
      <c r="AE177" s="1236">
        <f t="shared" si="401"/>
        <v>0</v>
      </c>
      <c r="AF177" s="1236">
        <f t="shared" si="401"/>
        <v>0</v>
      </c>
      <c r="AG177" s="1147">
        <f t="shared" si="401"/>
        <v>0</v>
      </c>
      <c r="AH177" s="1147">
        <f t="shared" si="401"/>
        <v>0</v>
      </c>
      <c r="AI177" s="1359">
        <f t="shared" si="401"/>
        <v>0</v>
      </c>
      <c r="AJ177" s="528">
        <f>AJ163+AJ135+AJ107+AJ93+AJ65+AJ37+AJ23+AJ9+AJ79+AJ149+AJ121+AJ51</f>
        <v>500000</v>
      </c>
      <c r="AK177" s="1084">
        <f>AJ178</f>
        <v>312324</v>
      </c>
      <c r="AL177" s="697">
        <f>AL163+AL135+AL107+AL93+AL65+AL37+AL23+AL9+AL79+AL149+AL121+AL51</f>
        <v>2053550.5</v>
      </c>
      <c r="AM177" s="1091">
        <f>AL178</f>
        <v>1171480.77336</v>
      </c>
      <c r="AN177" s="455"/>
      <c r="AO177" s="636"/>
    </row>
    <row r="178" spans="1:48" s="23" customFormat="1" ht="19.899999999999999" customHeight="1">
      <c r="A178" s="112"/>
      <c r="B178" s="113"/>
      <c r="C178" s="113"/>
      <c r="D178" s="459" t="s">
        <v>93</v>
      </c>
      <c r="E178" s="1148">
        <f t="shared" ref="E178:AI178" si="402">+E109+E137+E123+E53+E11+E25+E67+E95+E81+E39+E165+E151</f>
        <v>0</v>
      </c>
      <c r="F178" s="1148">
        <f t="shared" si="402"/>
        <v>0</v>
      </c>
      <c r="G178" s="1296">
        <f t="shared" si="402"/>
        <v>0</v>
      </c>
      <c r="H178" s="1148">
        <f t="shared" si="402"/>
        <v>0</v>
      </c>
      <c r="I178" s="1148">
        <f t="shared" si="402"/>
        <v>9144</v>
      </c>
      <c r="J178" s="1296">
        <f t="shared" si="402"/>
        <v>16128</v>
      </c>
      <c r="K178" s="1296">
        <f t="shared" si="402"/>
        <v>15360</v>
      </c>
      <c r="L178" s="1148">
        <f t="shared" si="402"/>
        <v>16896</v>
      </c>
      <c r="M178" s="1148">
        <f t="shared" si="402"/>
        <v>15360</v>
      </c>
      <c r="N178" s="1148">
        <f t="shared" si="402"/>
        <v>16896</v>
      </c>
      <c r="O178" s="1148">
        <f t="shared" si="402"/>
        <v>16896</v>
      </c>
      <c r="P178" s="1148">
        <f t="shared" si="402"/>
        <v>16896</v>
      </c>
      <c r="Q178" s="1296">
        <f t="shared" si="402"/>
        <v>16896</v>
      </c>
      <c r="R178" s="1296">
        <f t="shared" si="402"/>
        <v>15360</v>
      </c>
      <c r="S178" s="1148">
        <f t="shared" si="402"/>
        <v>16896</v>
      </c>
      <c r="T178" s="1148">
        <f t="shared" si="402"/>
        <v>16896</v>
      </c>
      <c r="U178" s="1148">
        <f t="shared" si="402"/>
        <v>16896</v>
      </c>
      <c r="V178" s="1148">
        <f t="shared" si="402"/>
        <v>16896</v>
      </c>
      <c r="W178" s="1148">
        <f t="shared" si="402"/>
        <v>16896</v>
      </c>
      <c r="X178" s="1296">
        <f t="shared" si="402"/>
        <v>15360</v>
      </c>
      <c r="Y178" s="1296">
        <f t="shared" si="402"/>
        <v>15360</v>
      </c>
      <c r="Z178" s="1148">
        <f t="shared" si="402"/>
        <v>16896</v>
      </c>
      <c r="AA178" s="1148">
        <f t="shared" si="402"/>
        <v>24396</v>
      </c>
      <c r="AB178" s="1148">
        <f t="shared" si="402"/>
        <v>0</v>
      </c>
      <c r="AC178" s="1148">
        <f t="shared" si="402"/>
        <v>0</v>
      </c>
      <c r="AD178" s="1148">
        <f t="shared" si="402"/>
        <v>0</v>
      </c>
      <c r="AE178" s="1296">
        <f t="shared" si="402"/>
        <v>0</v>
      </c>
      <c r="AF178" s="1296">
        <f t="shared" si="402"/>
        <v>0</v>
      </c>
      <c r="AG178" s="1148">
        <f t="shared" si="402"/>
        <v>0</v>
      </c>
      <c r="AH178" s="1148">
        <f t="shared" si="402"/>
        <v>0</v>
      </c>
      <c r="AI178" s="1443">
        <f t="shared" si="402"/>
        <v>0</v>
      </c>
      <c r="AJ178" s="529">
        <f>AJ165+AJ151+AJ137+AJ123+AJ109+AJ95+AJ81+AJ67+AJ53+AJ39+AJ25+AJ11</f>
        <v>312324</v>
      </c>
      <c r="AK178" s="529"/>
      <c r="AL178" s="698">
        <f>AL165+AL151+AL137+AL123+AL109++AL95+AL81+AL67+AL53+AL39+AL25+AL11</f>
        <v>1171480.77336</v>
      </c>
      <c r="AM178" s="929"/>
      <c r="AN178" s="462"/>
      <c r="AO178" s="672"/>
    </row>
    <row r="179" spans="1:48" s="23" customFormat="1" ht="19.899999999999999" customHeight="1">
      <c r="A179" s="112"/>
      <c r="B179" s="742" t="s">
        <v>68</v>
      </c>
      <c r="C179" s="113"/>
      <c r="D179" s="465" t="s">
        <v>229</v>
      </c>
      <c r="E179" s="1149">
        <f t="shared" ref="E179:AI179" si="403">+E111+E55+E139+E125+E13+E27+E69+E97+E83+E41+E167+E153</f>
        <v>760</v>
      </c>
      <c r="F179" s="1149">
        <f t="shared" si="403"/>
        <v>1632</v>
      </c>
      <c r="G179" s="1297">
        <f t="shared" si="403"/>
        <v>0</v>
      </c>
      <c r="H179" s="1149">
        <f t="shared" si="403"/>
        <v>944</v>
      </c>
      <c r="I179" s="1149">
        <f t="shared" si="403"/>
        <v>424</v>
      </c>
      <c r="J179" s="1297">
        <f t="shared" si="403"/>
        <v>192</v>
      </c>
      <c r="K179" s="1297">
        <f t="shared" si="403"/>
        <v>384</v>
      </c>
      <c r="L179" s="1149">
        <f t="shared" si="403"/>
        <v>0</v>
      </c>
      <c r="M179" s="1149">
        <f t="shared" si="403"/>
        <v>96</v>
      </c>
      <c r="N179" s="1149">
        <f t="shared" si="403"/>
        <v>600</v>
      </c>
      <c r="O179" s="1149">
        <f t="shared" si="403"/>
        <v>748</v>
      </c>
      <c r="P179" s="1149">
        <f t="shared" si="403"/>
        <v>0</v>
      </c>
      <c r="Q179" s="1297">
        <f t="shared" si="403"/>
        <v>0</v>
      </c>
      <c r="R179" s="1297">
        <f t="shared" si="403"/>
        <v>384</v>
      </c>
      <c r="S179" s="1149">
        <f t="shared" si="403"/>
        <v>420</v>
      </c>
      <c r="T179" s="1149">
        <f t="shared" si="403"/>
        <v>480</v>
      </c>
      <c r="U179" s="1149">
        <f t="shared" si="403"/>
        <v>0</v>
      </c>
      <c r="V179" s="1149">
        <f t="shared" si="403"/>
        <v>0</v>
      </c>
      <c r="W179" s="1149">
        <f t="shared" si="403"/>
        <v>480</v>
      </c>
      <c r="X179" s="1297">
        <f t="shared" si="403"/>
        <v>384</v>
      </c>
      <c r="Y179" s="1297">
        <f t="shared" si="403"/>
        <v>352</v>
      </c>
      <c r="Z179" s="1149">
        <f t="shared" si="403"/>
        <v>0</v>
      </c>
      <c r="AA179" s="1149">
        <f t="shared" si="403"/>
        <v>488</v>
      </c>
      <c r="AB179" s="1149">
        <f t="shared" si="403"/>
        <v>0</v>
      </c>
      <c r="AC179" s="1149">
        <f t="shared" si="403"/>
        <v>0</v>
      </c>
      <c r="AD179" s="1149">
        <f t="shared" si="403"/>
        <v>0</v>
      </c>
      <c r="AE179" s="1297">
        <f t="shared" si="403"/>
        <v>0</v>
      </c>
      <c r="AF179" s="1297">
        <f t="shared" si="403"/>
        <v>0</v>
      </c>
      <c r="AG179" s="1149">
        <f t="shared" si="403"/>
        <v>0</v>
      </c>
      <c r="AH179" s="1149">
        <f t="shared" si="403"/>
        <v>0</v>
      </c>
      <c r="AI179" s="1444">
        <f t="shared" si="403"/>
        <v>0</v>
      </c>
      <c r="AJ179" s="530">
        <f>AJ167+AJ153+AJ139+AJ125+AJ111+AJ97+AJ83+AJ69+AJ55+AJ41+AJ27+AJ13</f>
        <v>8768</v>
      </c>
      <c r="AK179" s="530"/>
      <c r="AL179" s="699">
        <f>AL167+AL153+AL139+AL125+AL111+AL97+AL83+AL69+AL55+AL41+AL27+AL13</f>
        <v>40052.05876</v>
      </c>
      <c r="AM179" s="930"/>
      <c r="AN179" s="468"/>
      <c r="AO179" s="636"/>
    </row>
    <row r="180" spans="1:48" s="23" customFormat="1" ht="19.899999999999999" customHeight="1">
      <c r="A180" s="112"/>
      <c r="B180" s="798"/>
      <c r="C180" s="113"/>
      <c r="D180" s="531" t="s">
        <v>103</v>
      </c>
      <c r="E180" s="1150">
        <f t="shared" ref="E180:AI180" si="404">+E112+E56+E140+E126+E14+E28+E70+E98+E84+E42+E168+E154</f>
        <v>0</v>
      </c>
      <c r="F180" s="1150">
        <f t="shared" si="404"/>
        <v>0</v>
      </c>
      <c r="G180" s="1298">
        <f t="shared" si="404"/>
        <v>0</v>
      </c>
      <c r="H180" s="1150">
        <f t="shared" si="404"/>
        <v>0</v>
      </c>
      <c r="I180" s="1150">
        <f t="shared" si="404"/>
        <v>48</v>
      </c>
      <c r="J180" s="1298">
        <f t="shared" si="404"/>
        <v>48</v>
      </c>
      <c r="K180" s="1298">
        <f t="shared" si="404"/>
        <v>32</v>
      </c>
      <c r="L180" s="1150">
        <f t="shared" si="404"/>
        <v>48</v>
      </c>
      <c r="M180" s="1150">
        <f t="shared" si="404"/>
        <v>48</v>
      </c>
      <c r="N180" s="1150">
        <f t="shared" si="404"/>
        <v>48</v>
      </c>
      <c r="O180" s="1150">
        <f t="shared" si="404"/>
        <v>48</v>
      </c>
      <c r="P180" s="1150">
        <f t="shared" si="404"/>
        <v>48</v>
      </c>
      <c r="Q180" s="1298">
        <f t="shared" si="404"/>
        <v>48</v>
      </c>
      <c r="R180" s="1298">
        <f t="shared" si="404"/>
        <v>48</v>
      </c>
      <c r="S180" s="1150">
        <f t="shared" si="404"/>
        <v>48</v>
      </c>
      <c r="T180" s="1150">
        <f t="shared" si="404"/>
        <v>48</v>
      </c>
      <c r="U180" s="1150">
        <f t="shared" si="404"/>
        <v>16</v>
      </c>
      <c r="V180" s="1150">
        <f t="shared" si="404"/>
        <v>48</v>
      </c>
      <c r="W180" s="1150">
        <f t="shared" si="404"/>
        <v>48</v>
      </c>
      <c r="X180" s="1298">
        <f t="shared" si="404"/>
        <v>48</v>
      </c>
      <c r="Y180" s="1298">
        <f t="shared" si="404"/>
        <v>48</v>
      </c>
      <c r="Z180" s="1150">
        <f t="shared" si="404"/>
        <v>48</v>
      </c>
      <c r="AA180" s="1150">
        <f t="shared" si="404"/>
        <v>120</v>
      </c>
      <c r="AB180" s="1150">
        <f t="shared" si="404"/>
        <v>0</v>
      </c>
      <c r="AC180" s="1150">
        <f t="shared" si="404"/>
        <v>0</v>
      </c>
      <c r="AD180" s="1150">
        <f t="shared" si="404"/>
        <v>0</v>
      </c>
      <c r="AE180" s="1298">
        <f t="shared" si="404"/>
        <v>0</v>
      </c>
      <c r="AF180" s="1298">
        <f t="shared" si="404"/>
        <v>0</v>
      </c>
      <c r="AG180" s="1150">
        <f t="shared" si="404"/>
        <v>0</v>
      </c>
      <c r="AH180" s="1150">
        <f t="shared" si="404"/>
        <v>0</v>
      </c>
      <c r="AI180" s="1445">
        <f t="shared" si="404"/>
        <v>0</v>
      </c>
      <c r="AJ180" s="532">
        <f>AJ168+AJ154+AJ140+AJ126+AJ112+AJ98+AJ84+AJ70+AJ56+AJ42+AJ28+AJ14</f>
        <v>936</v>
      </c>
      <c r="AK180" s="532"/>
      <c r="AL180" s="706">
        <f>AL168+AL154+AL140+AL126+AL112+AL98+AL84+AL70+AL56+AL42+AL28+AL14</f>
        <v>3586.4015999999997</v>
      </c>
      <c r="AM180" s="931"/>
      <c r="AN180" s="468"/>
      <c r="AO180" s="636"/>
    </row>
    <row r="181" spans="1:48" s="23" customFormat="1" ht="19.899999999999999" customHeight="1">
      <c r="A181" s="112"/>
      <c r="B181" s="113"/>
      <c r="C181" s="113"/>
      <c r="D181" s="533" t="s">
        <v>105</v>
      </c>
      <c r="E181" s="1151">
        <f t="shared" ref="E181:AI181" si="405">E169+E99+E113+E43+E15+E141+E71+E29+E155+E127+E85+E57</f>
        <v>0</v>
      </c>
      <c r="F181" s="1151">
        <f t="shared" si="405"/>
        <v>0</v>
      </c>
      <c r="G181" s="1299">
        <f t="shared" si="405"/>
        <v>0</v>
      </c>
      <c r="H181" s="1151">
        <f t="shared" si="405"/>
        <v>0</v>
      </c>
      <c r="I181" s="1151">
        <f t="shared" si="405"/>
        <v>0</v>
      </c>
      <c r="J181" s="1299">
        <f t="shared" si="405"/>
        <v>0</v>
      </c>
      <c r="K181" s="1299">
        <f t="shared" si="405"/>
        <v>0</v>
      </c>
      <c r="L181" s="1151">
        <f t="shared" si="405"/>
        <v>0</v>
      </c>
      <c r="M181" s="1151">
        <f t="shared" si="405"/>
        <v>0</v>
      </c>
      <c r="N181" s="1151">
        <f t="shared" si="405"/>
        <v>0</v>
      </c>
      <c r="O181" s="1151">
        <f t="shared" si="405"/>
        <v>0</v>
      </c>
      <c r="P181" s="1151">
        <f t="shared" si="405"/>
        <v>0</v>
      </c>
      <c r="Q181" s="1299">
        <f t="shared" si="405"/>
        <v>0</v>
      </c>
      <c r="R181" s="1299">
        <f t="shared" si="405"/>
        <v>0</v>
      </c>
      <c r="S181" s="1151">
        <f t="shared" si="405"/>
        <v>0</v>
      </c>
      <c r="T181" s="1151">
        <f t="shared" si="405"/>
        <v>0</v>
      </c>
      <c r="U181" s="1151">
        <f t="shared" si="405"/>
        <v>0</v>
      </c>
      <c r="V181" s="1151">
        <f t="shared" si="405"/>
        <v>0</v>
      </c>
      <c r="W181" s="1151">
        <f t="shared" si="405"/>
        <v>0</v>
      </c>
      <c r="X181" s="1299">
        <f t="shared" si="405"/>
        <v>0</v>
      </c>
      <c r="Y181" s="1299">
        <f t="shared" si="405"/>
        <v>0</v>
      </c>
      <c r="Z181" s="1151">
        <f t="shared" si="405"/>
        <v>0</v>
      </c>
      <c r="AA181" s="1151">
        <f t="shared" si="405"/>
        <v>0</v>
      </c>
      <c r="AB181" s="1151">
        <f t="shared" si="405"/>
        <v>0</v>
      </c>
      <c r="AC181" s="1151">
        <f t="shared" si="405"/>
        <v>0</v>
      </c>
      <c r="AD181" s="1151">
        <f t="shared" si="405"/>
        <v>0</v>
      </c>
      <c r="AE181" s="1299">
        <f t="shared" si="405"/>
        <v>0</v>
      </c>
      <c r="AF181" s="1299">
        <f t="shared" si="405"/>
        <v>0</v>
      </c>
      <c r="AG181" s="1151">
        <f t="shared" si="405"/>
        <v>0</v>
      </c>
      <c r="AH181" s="1151">
        <f t="shared" si="405"/>
        <v>0</v>
      </c>
      <c r="AI181" s="1446">
        <f t="shared" si="405"/>
        <v>0</v>
      </c>
      <c r="AJ181" s="534">
        <f>AJ169+AJ155+AJ141+AJ127+AJ113+AJ99+AJ85+AJ71+AJ57+AJ43+AJ29+AJ15</f>
        <v>0</v>
      </c>
      <c r="AK181" s="534"/>
      <c r="AL181" s="707">
        <f>AL169+AL155+AL141+AL127+AL113+AL99+AL85+AL71+AL57+AL43+AL29+AL15</f>
        <v>0</v>
      </c>
      <c r="AM181" s="932"/>
      <c r="AN181" s="468"/>
      <c r="AO181" s="636"/>
    </row>
    <row r="182" spans="1:48" s="23" customFormat="1" ht="19.899999999999999" customHeight="1" thickBot="1">
      <c r="A182" s="138"/>
      <c r="B182" s="139"/>
      <c r="C182" s="139"/>
      <c r="D182" s="535" t="s">
        <v>230</v>
      </c>
      <c r="E182" s="1447">
        <f>+E179/(E178+E179)</f>
        <v>1</v>
      </c>
      <c r="F182" s="1152">
        <f t="shared" ref="F182:AI182" si="406">+F179/(F178+F179)</f>
        <v>1</v>
      </c>
      <c r="G182" s="1300" t="e">
        <f t="shared" si="406"/>
        <v>#DIV/0!</v>
      </c>
      <c r="H182" s="1152">
        <f t="shared" si="406"/>
        <v>1</v>
      </c>
      <c r="I182" s="1152">
        <f t="shared" si="406"/>
        <v>4.4314381270903008E-2</v>
      </c>
      <c r="J182" s="1300">
        <f>+J179/(J178+J179)</f>
        <v>1.1764705882352941E-2</v>
      </c>
      <c r="K182" s="1300">
        <f t="shared" si="406"/>
        <v>2.4390243902439025E-2</v>
      </c>
      <c r="L182" s="1152">
        <f t="shared" si="406"/>
        <v>0</v>
      </c>
      <c r="M182" s="1152">
        <f t="shared" si="406"/>
        <v>6.2111801242236021E-3</v>
      </c>
      <c r="N182" s="1152">
        <f t="shared" si="406"/>
        <v>3.4293552812071332E-2</v>
      </c>
      <c r="O182" s="1152">
        <f t="shared" si="406"/>
        <v>4.2394014962593519E-2</v>
      </c>
      <c r="P182" s="1152">
        <f t="shared" si="406"/>
        <v>0</v>
      </c>
      <c r="Q182" s="1300">
        <f t="shared" si="406"/>
        <v>0</v>
      </c>
      <c r="R182" s="1300">
        <f t="shared" si="406"/>
        <v>2.4390243902439025E-2</v>
      </c>
      <c r="S182" s="1152">
        <f t="shared" si="406"/>
        <v>2.4255024255024255E-2</v>
      </c>
      <c r="T182" s="1152">
        <f t="shared" si="406"/>
        <v>2.7624309392265192E-2</v>
      </c>
      <c r="U182" s="1152">
        <f t="shared" si="406"/>
        <v>0</v>
      </c>
      <c r="V182" s="1152">
        <f t="shared" si="406"/>
        <v>0</v>
      </c>
      <c r="W182" s="1152">
        <f t="shared" si="406"/>
        <v>2.7624309392265192E-2</v>
      </c>
      <c r="X182" s="1300">
        <f t="shared" si="406"/>
        <v>2.4390243902439025E-2</v>
      </c>
      <c r="Y182" s="1300">
        <f t="shared" si="406"/>
        <v>2.2403258655804479E-2</v>
      </c>
      <c r="Z182" s="1152">
        <f t="shared" si="406"/>
        <v>0</v>
      </c>
      <c r="AA182" s="1152">
        <f t="shared" si="406"/>
        <v>1.9610995016878314E-2</v>
      </c>
      <c r="AB182" s="1152" t="e">
        <f t="shared" si="406"/>
        <v>#DIV/0!</v>
      </c>
      <c r="AC182" s="1152" t="e">
        <f t="shared" si="406"/>
        <v>#DIV/0!</v>
      </c>
      <c r="AD182" s="1152" t="e">
        <f t="shared" si="406"/>
        <v>#DIV/0!</v>
      </c>
      <c r="AE182" s="1300" t="e">
        <f t="shared" si="406"/>
        <v>#DIV/0!</v>
      </c>
      <c r="AF182" s="1300" t="e">
        <f t="shared" si="406"/>
        <v>#DIV/0!</v>
      </c>
      <c r="AG182" s="1152" t="e">
        <f t="shared" si="406"/>
        <v>#DIV/0!</v>
      </c>
      <c r="AH182" s="1152" t="e">
        <f t="shared" si="406"/>
        <v>#DIV/0!</v>
      </c>
      <c r="AI182" s="1448" t="e">
        <f t="shared" si="406"/>
        <v>#DIV/0!</v>
      </c>
      <c r="AJ182" s="536">
        <f>+AJ179/(AJ178+AJ179)</f>
        <v>2.7306815492133096E-2</v>
      </c>
      <c r="AK182" s="536"/>
      <c r="AL182" s="708">
        <f>+AL179/(AL178+AL179)</f>
        <v>3.3058995759871347E-2</v>
      </c>
      <c r="AM182" s="933"/>
      <c r="AN182" s="569"/>
      <c r="AO182" s="673"/>
    </row>
    <row r="183" spans="1:48" ht="17.25" customHeight="1" thickTop="1"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  <c r="AH183" s="23"/>
      <c r="AI183" s="146"/>
      <c r="AJ183" s="887"/>
      <c r="AK183" s="154"/>
    </row>
    <row r="184" spans="1:48" ht="25.15" customHeight="1">
      <c r="D184" s="150"/>
      <c r="E184" s="151"/>
      <c r="F184" s="152"/>
      <c r="G184" s="152"/>
      <c r="H184" s="152"/>
      <c r="I184" s="152"/>
      <c r="J184" s="152"/>
      <c r="K184" s="152"/>
      <c r="L184" s="153"/>
      <c r="M184" s="346"/>
      <c r="N184" s="346"/>
      <c r="O184" s="346"/>
      <c r="P184" s="346"/>
      <c r="Q184" s="346"/>
      <c r="R184" s="346"/>
      <c r="S184" s="346"/>
      <c r="T184" s="346"/>
      <c r="U184" s="346"/>
      <c r="V184" s="346"/>
      <c r="W184" s="346"/>
      <c r="X184" s="346"/>
      <c r="Y184" s="346"/>
      <c r="Z184" s="346"/>
      <c r="AA184" s="346"/>
      <c r="AB184" s="346"/>
      <c r="AC184" s="346"/>
      <c r="AD184" s="346"/>
      <c r="AE184" s="346"/>
      <c r="AF184" s="346"/>
      <c r="AG184" s="346"/>
      <c r="AH184" s="346"/>
      <c r="AI184" s="346"/>
      <c r="AJ184" s="888"/>
      <c r="AK184" s="888"/>
      <c r="AL184" s="537"/>
      <c r="AM184" s="537"/>
      <c r="AN184" s="537"/>
      <c r="AO184" s="537"/>
      <c r="AP184" s="156" t="s">
        <v>354</v>
      </c>
      <c r="AQ184" s="157" t="s">
        <v>232</v>
      </c>
      <c r="AR184" s="157" t="s">
        <v>233</v>
      </c>
      <c r="AS184" s="157" t="s">
        <v>234</v>
      </c>
      <c r="AT184" s="157" t="s">
        <v>235</v>
      </c>
      <c r="AU184" s="157" t="s">
        <v>236</v>
      </c>
      <c r="AV184" s="158" t="s">
        <v>68</v>
      </c>
    </row>
    <row r="185" spans="1:48" ht="25.15" customHeight="1">
      <c r="B185" s="272"/>
      <c r="C185" s="538"/>
      <c r="D185" s="161"/>
      <c r="E185" s="162"/>
      <c r="F185" s="163"/>
      <c r="G185" s="163"/>
      <c r="H185" s="163"/>
      <c r="I185" s="163"/>
      <c r="J185" s="163"/>
      <c r="K185" s="163"/>
      <c r="L185" s="163"/>
      <c r="M185" s="164"/>
      <c r="N185" s="164"/>
      <c r="O185" s="164"/>
      <c r="P185" s="164"/>
      <c r="Q185" s="164"/>
      <c r="R185" s="164"/>
      <c r="S185" s="164"/>
      <c r="T185" s="164"/>
      <c r="U185" s="164"/>
      <c r="V185" s="164"/>
      <c r="W185" s="164"/>
      <c r="X185" s="164"/>
      <c r="Y185" s="164"/>
      <c r="Z185" s="164"/>
      <c r="AA185" s="164"/>
      <c r="AB185" s="164"/>
      <c r="AC185" s="164"/>
      <c r="AD185" s="164"/>
      <c r="AE185" s="164"/>
      <c r="AF185" s="164"/>
      <c r="AG185" s="164"/>
      <c r="AH185" s="164"/>
      <c r="AI185" s="164"/>
      <c r="AJ185" s="164"/>
      <c r="AK185" s="164"/>
      <c r="AL185" s="537"/>
      <c r="AM185" s="537"/>
      <c r="AN185" s="537"/>
      <c r="AO185" s="537"/>
      <c r="AP185" s="165" t="s">
        <v>91</v>
      </c>
      <c r="AQ185" s="163">
        <f>AQ164+AQ150+AQ136+AQ122+AQ108+AQ94+AQ80+AQ66+AQ52+AQ38+AQ24+AQ10</f>
        <v>104000</v>
      </c>
      <c r="AR185" s="163">
        <f>AR164+AR150+AR136+AR122+AR108+AR94+AR80+AR66+AR52+AR38+AR24+AR10</f>
        <v>115000</v>
      </c>
      <c r="AS185" s="163">
        <f>AS164+AS150+AS136+AS122+AS108+AS94+AS80+AS66+AS52+AS38+AS24+AS10</f>
        <v>177000</v>
      </c>
      <c r="AT185" s="163">
        <f>AT164+AT150+AT136+AT122+AT108+AT94+AT80+AT66+AT52+AT38+AT24+AT10</f>
        <v>104000</v>
      </c>
      <c r="AU185" s="163">
        <f>AU164+AU150+AU136+AU122+AU108+AU94+AU80+AU66+AU52+AU38+AU24+AU10</f>
        <v>0</v>
      </c>
      <c r="AV185" s="166">
        <f>SUM(AQ185:AU185)</f>
        <v>500000</v>
      </c>
    </row>
    <row r="186" spans="1:48" ht="25.15" customHeight="1">
      <c r="D186" s="169"/>
      <c r="E186" s="170"/>
      <c r="F186" s="171"/>
      <c r="G186" s="171"/>
      <c r="H186" s="171"/>
      <c r="I186" s="171"/>
      <c r="J186" s="171"/>
      <c r="K186" s="171"/>
      <c r="L186" s="171"/>
      <c r="M186" s="164"/>
      <c r="N186" s="164"/>
      <c r="O186" s="164"/>
      <c r="P186" s="164"/>
      <c r="Q186" s="164"/>
      <c r="R186" s="164"/>
      <c r="S186" s="164"/>
      <c r="T186" s="164"/>
      <c r="U186" s="164"/>
      <c r="V186" s="164"/>
      <c r="W186" s="164"/>
      <c r="X186" s="164"/>
      <c r="Y186" s="164"/>
      <c r="Z186" s="164"/>
      <c r="AA186" s="164"/>
      <c r="AB186" s="164"/>
      <c r="AC186" s="164"/>
      <c r="AD186" s="164"/>
      <c r="AE186" s="164"/>
      <c r="AF186" s="164"/>
      <c r="AG186" s="164"/>
      <c r="AH186" s="164"/>
      <c r="AI186" s="164"/>
      <c r="AJ186" s="164"/>
      <c r="AK186" s="164"/>
      <c r="AL186" s="1093"/>
      <c r="AM186" s="1093"/>
      <c r="AN186" s="1093"/>
      <c r="AO186" s="1093"/>
      <c r="AP186" s="172" t="s">
        <v>94</v>
      </c>
      <c r="AQ186" s="171">
        <f>AQ165+AQ151+AQ137+AQ123+AQ109+AQ95+AQ81+AQ67+AQ53+AQ39+AQ25</f>
        <v>0</v>
      </c>
      <c r="AR186" s="171">
        <f>AR165+AR151+AR137+AR123+AR109+AR95+AR81+AR67+AR53+AR39+AR25+AR11</f>
        <v>106680</v>
      </c>
      <c r="AS186" s="171">
        <f>AS165+AS151+AS137+AS123+AS109+AS95+AS81+AS67+AS53+AS39+AS25+AS11</f>
        <v>116736</v>
      </c>
      <c r="AT186" s="171">
        <f>AT165+AT151+AT137+AT123+AT109+AT95+AT81+AT67+AT53+AT39+AT25+AT11</f>
        <v>88908</v>
      </c>
      <c r="AU186" s="171">
        <f>AU165+AU151+AU137+AU123+AU109+AU95+AU81+AU67+AU53+AU39+AU25+AU11</f>
        <v>0</v>
      </c>
      <c r="AV186" s="173">
        <f>SUM(AQ186:AU186)</f>
        <v>312324</v>
      </c>
    </row>
    <row r="187" spans="1:48" ht="25.15" customHeight="1">
      <c r="D187" s="174"/>
      <c r="E187" s="151"/>
      <c r="F187" s="175"/>
      <c r="G187" s="175"/>
      <c r="H187" s="175"/>
      <c r="I187" s="175"/>
      <c r="J187" s="175"/>
      <c r="K187" s="539"/>
      <c r="L187" s="175"/>
      <c r="M187" s="346"/>
      <c r="N187" s="346"/>
      <c r="O187" s="346"/>
      <c r="P187" s="346"/>
      <c r="Q187" s="346"/>
      <c r="R187" s="346"/>
      <c r="S187" s="346"/>
      <c r="T187" s="346"/>
      <c r="U187" s="346"/>
      <c r="V187" s="346"/>
      <c r="W187" s="346"/>
      <c r="X187" s="346"/>
      <c r="Y187" s="346"/>
      <c r="Z187" s="346"/>
      <c r="AA187" s="346"/>
      <c r="AB187" s="346"/>
      <c r="AC187" s="346"/>
      <c r="AD187" s="346"/>
      <c r="AE187" s="346"/>
      <c r="AF187" s="346"/>
      <c r="AG187" s="346"/>
      <c r="AH187" s="346"/>
      <c r="AI187" s="346"/>
      <c r="AJ187" s="889"/>
      <c r="AK187" s="889"/>
      <c r="AL187" s="2"/>
      <c r="AM187" s="2"/>
      <c r="AN187" s="182"/>
      <c r="AO187" s="182"/>
      <c r="AP187" s="176" t="s">
        <v>237</v>
      </c>
      <c r="AQ187" s="177">
        <f>AQ186-AQ185</f>
        <v>-104000</v>
      </c>
      <c r="AR187" s="177">
        <f>AR186-AR185</f>
        <v>-8320</v>
      </c>
      <c r="AS187" s="177">
        <f>AS186-AS185</f>
        <v>-60264</v>
      </c>
      <c r="AT187" s="177">
        <f>AT186-AT185</f>
        <v>-15092</v>
      </c>
      <c r="AU187" s="177">
        <f>AU186-AU185</f>
        <v>0</v>
      </c>
      <c r="AV187" s="178">
        <f>SUM(AQ187:AU187)</f>
        <v>-187676</v>
      </c>
    </row>
    <row r="188" spans="1:48" ht="25.15" customHeight="1">
      <c r="D188" s="161"/>
      <c r="F188" s="177"/>
      <c r="G188" s="177"/>
      <c r="H188" s="177"/>
      <c r="I188" s="177"/>
      <c r="J188" s="177"/>
      <c r="K188" s="171"/>
      <c r="L188" s="175"/>
      <c r="M188" s="164"/>
      <c r="N188" s="164"/>
      <c r="O188" s="164"/>
      <c r="P188" s="164"/>
      <c r="Q188" s="164"/>
      <c r="R188" s="164"/>
      <c r="S188" s="164"/>
      <c r="T188" s="164"/>
      <c r="U188" s="164"/>
      <c r="V188" s="164"/>
      <c r="W188" s="164"/>
      <c r="X188" s="164"/>
      <c r="Y188" s="164"/>
      <c r="Z188" s="164"/>
      <c r="AA188" s="164"/>
      <c r="AB188" s="164"/>
      <c r="AC188" s="164"/>
      <c r="AD188" s="164"/>
      <c r="AE188" s="164"/>
      <c r="AF188" s="164"/>
      <c r="AG188" s="164"/>
      <c r="AH188" s="164"/>
      <c r="AI188" s="164"/>
      <c r="AJ188" s="164"/>
      <c r="AK188" s="164"/>
      <c r="AL188" s="352"/>
      <c r="AM188" s="352"/>
      <c r="AN188" s="187"/>
      <c r="AO188" s="187"/>
      <c r="AP188" s="165" t="s">
        <v>238</v>
      </c>
      <c r="AQ188" s="177">
        <f>AQ167+AQ153+AQ139+AQ125+AQ111+AQ97+AQ83+AQ69+AQ55+AQ41+AQ27+AQ13</f>
        <v>3336</v>
      </c>
      <c r="AR188" s="177">
        <f>AR167+AR153+AR139+AR125+AR111+AR97+AR83+AR69+AR55+AR41+AR27+AR13</f>
        <v>2444</v>
      </c>
      <c r="AS188" s="177">
        <f>AS167+AS153+AS139+AS125+AS111+AS97+AS83+AS69+AS55+AS41+AS27+AS13</f>
        <v>1284</v>
      </c>
      <c r="AT188" s="177">
        <f>AT167+AT153+AT139+AT125+AT111+AT97+AT83+AT69+AT55+AT41+AT27+AT13</f>
        <v>1704</v>
      </c>
      <c r="AU188" s="177">
        <f>AU167+AU153+AU139+AU125+AU111+AU97+AU83+AU69+AU55+AU41+AU27+AU13</f>
        <v>0</v>
      </c>
      <c r="AV188" s="178">
        <f>SUM(AQ188:AU188)</f>
        <v>8768</v>
      </c>
    </row>
    <row r="189" spans="1:48" ht="25.15" customHeight="1">
      <c r="D189" s="183"/>
      <c r="E189" s="184"/>
      <c r="F189" s="185"/>
      <c r="G189" s="185"/>
      <c r="H189" s="185"/>
      <c r="I189" s="185"/>
      <c r="J189" s="185"/>
      <c r="K189" s="185"/>
      <c r="L189" s="185"/>
      <c r="AP189" s="188" t="s">
        <v>97</v>
      </c>
      <c r="AQ189" s="185" t="e">
        <f t="shared" ref="AQ189:AV189" si="407">AQ188/AQ186</f>
        <v>#DIV/0!</v>
      </c>
      <c r="AR189" s="185">
        <f t="shared" si="407"/>
        <v>2.2909636295463068E-2</v>
      </c>
      <c r="AS189" s="185">
        <f t="shared" si="407"/>
        <v>1.0999177631578948E-2</v>
      </c>
      <c r="AT189" s="185">
        <f t="shared" si="407"/>
        <v>1.9165879335942774E-2</v>
      </c>
      <c r="AU189" s="185" t="e">
        <f t="shared" si="407"/>
        <v>#DIV/0!</v>
      </c>
      <c r="AV189" s="189">
        <f t="shared" si="407"/>
        <v>2.8073410945044248E-2</v>
      </c>
    </row>
    <row r="190" spans="1:48" ht="25.15" customHeight="1">
      <c r="D190" s="190"/>
      <c r="E190" s="191"/>
      <c r="F190" s="192"/>
      <c r="G190" s="192"/>
      <c r="H190" s="192"/>
      <c r="I190" s="192"/>
      <c r="J190" s="192"/>
      <c r="K190" s="192"/>
      <c r="L190" s="193"/>
      <c r="AP190" s="194" t="s">
        <v>19</v>
      </c>
      <c r="AQ190" s="177">
        <f>AQ168+AQ140+AQ126+AQ112+AQ98+AQ84+AQ70+AQ56+AQ42+AQ28+AQ14</f>
        <v>15342.509399999999</v>
      </c>
      <c r="AR190" s="177">
        <f t="shared" ref="AR190:AU190" si="408">AR168+AR154+AR140+AR126+AR112+AR98+AR84+AR70+AR56+AR42+AR28+AR14</f>
        <v>11148.841840000001</v>
      </c>
      <c r="AS190" s="177">
        <f t="shared" si="408"/>
        <v>5961.9957599999998</v>
      </c>
      <c r="AT190" s="177">
        <f t="shared" si="408"/>
        <v>7598.7117600000001</v>
      </c>
      <c r="AU190" s="177">
        <f t="shared" si="408"/>
        <v>0</v>
      </c>
      <c r="AV190" s="178">
        <f>SUM(AQ190:AU190)</f>
        <v>40052.05876</v>
      </c>
    </row>
    <row r="191" spans="1:48" ht="25.15" customHeight="1">
      <c r="AP191" s="197" t="s">
        <v>106</v>
      </c>
      <c r="AQ191" s="171">
        <f>AQ169+AQ155+AQ141+AQ127+AQ113+AQ99+AQ85+AQ71+AQ57+AQ43+AQ29+AQ15</f>
        <v>0</v>
      </c>
      <c r="AR191" s="171">
        <f t="shared" ref="AR191:AU191" si="409">AR169+AR155+AR141+AR127+AR113+AR99+AR85+AR71+AR57+AR43+AR29+AR15</f>
        <v>399356.45519999997</v>
      </c>
      <c r="AS191" s="171">
        <f t="shared" si="409"/>
        <v>432610.77503999998</v>
      </c>
      <c r="AT191" s="171">
        <f t="shared" si="409"/>
        <v>339513.54311999999</v>
      </c>
      <c r="AU191" s="171">
        <f t="shared" si="409"/>
        <v>0</v>
      </c>
      <c r="AV191" s="173">
        <f>SUM(AQ191:AU191)</f>
        <v>1171480.77336</v>
      </c>
    </row>
    <row r="193" spans="2:4" ht="11.25">
      <c r="B193" s="1"/>
      <c r="C193" s="1"/>
      <c r="D193" s="1"/>
    </row>
  </sheetData>
  <sheetProtection selectLockedCells="1" selectUnlockedCells="1"/>
  <dataConsolidate/>
  <mergeCells count="1">
    <mergeCell ref="D4:D5"/>
  </mergeCells>
  <conditionalFormatting sqref="E144:AH144">
    <cfRule type="containsText" dxfId="594" priority="1" operator="containsText" text="O/H">
      <formula>NOT(ISERROR(SEARCH("O/H",E144)))</formula>
    </cfRule>
  </conditionalFormatting>
  <conditionalFormatting sqref="E105:AI105">
    <cfRule type="containsText" dxfId="593" priority="5" operator="containsText" text="O/H">
      <formula>NOT(ISERROR(SEARCH("O/H",E105)))</formula>
    </cfRule>
  </conditionalFormatting>
  <conditionalFormatting sqref="E117:AI117">
    <cfRule type="cellIs" dxfId="592" priority="51" operator="greaterThan">
      <formula>40001</formula>
    </cfRule>
    <cfRule type="cellIs" dxfId="591" priority="52" operator="greaterThan">
      <formula>40001</formula>
    </cfRule>
  </conditionalFormatting>
  <conditionalFormatting sqref="E130:AI130">
    <cfRule type="containsText" dxfId="590" priority="2" operator="containsText" text="O/H">
      <formula>NOT(ISERROR(SEARCH("O/H",E130)))</formula>
    </cfRule>
  </conditionalFormatting>
  <conditionalFormatting sqref="E172:AI172">
    <cfRule type="containsText" dxfId="589" priority="3" operator="containsText" text="O/H">
      <formula>NOT(ISERROR(SEARCH("O/H",E172)))</formula>
    </cfRule>
  </conditionalFormatting>
  <conditionalFormatting sqref="R185:R186 R188">
    <cfRule type="cellIs" dxfId="588" priority="174" stopIfTrue="1" operator="between">
      <formula>1</formula>
      <formula>999999</formula>
    </cfRule>
    <cfRule type="cellIs" dxfId="587" priority="175" stopIfTrue="1" operator="between">
      <formula>-1</formula>
      <formula>-999999</formula>
    </cfRule>
  </conditionalFormatting>
  <conditionalFormatting sqref="AA185:AI186 AA188:AI188">
    <cfRule type="cellIs" dxfId="586" priority="176" stopIfTrue="1" operator="between">
      <formula>1</formula>
      <formula>999999</formula>
    </cfRule>
    <cfRule type="cellIs" dxfId="585" priority="177" stopIfTrue="1" operator="between">
      <formula>-1</formula>
      <formula>-999999</formula>
    </cfRule>
  </conditionalFormatting>
  <printOptions horizontalCentered="1"/>
  <pageMargins left="0.11" right="0.17" top="0.38" bottom="0.12" header="0.12" footer="0.12"/>
  <pageSetup paperSize="8" scale="26" orientation="landscape" horizontalDpi="4294967294" verticalDpi="300" r:id="rId1"/>
  <headerFooter alignWithMargins="0"/>
  <drawing r:id="rId2"/>
  <legacyDrawing r:id="rId3"/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F8BC3-507F-4C95-A179-222AF04FB2B7}">
  <sheetPr codeName="Sheet3">
    <tabColor rgb="FFFF00FF"/>
  </sheetPr>
  <dimension ref="A1:BD607"/>
  <sheetViews>
    <sheetView showGridLines="0" zoomScale="70" zoomScaleNormal="70" workbookViewId="0">
      <pane xSplit="5" ySplit="8" topLeftCell="X34" activePane="bottomRight" state="frozen"/>
      <selection pane="topRight" activeCell="AI19" sqref="AI19"/>
      <selection pane="bottomLeft" activeCell="AI19" sqref="AI19"/>
      <selection pane="bottomRight" activeCell="AA84" sqref="AA84"/>
    </sheetView>
  </sheetViews>
  <sheetFormatPr defaultColWidth="9.42578125" defaultRowHeight="15.75"/>
  <cols>
    <col min="1" max="1" width="16.42578125" style="4" customWidth="1"/>
    <col min="2" max="2" width="48" style="2" customWidth="1"/>
    <col min="3" max="3" width="26.42578125" style="3" customWidth="1"/>
    <col min="4" max="4" width="38.85546875" style="195" customWidth="1"/>
    <col min="5" max="34" width="13" style="1" customWidth="1"/>
    <col min="35" max="35" width="13" style="1" hidden="1" customWidth="1"/>
    <col min="36" max="36" width="17.5703125" style="1" customWidth="1"/>
    <col min="37" max="37" width="19" style="1" customWidth="1"/>
    <col min="38" max="38" width="19.5703125" style="1" customWidth="1"/>
    <col min="39" max="39" width="21.85546875" style="1" customWidth="1"/>
    <col min="40" max="40" width="17.5703125" style="1" customWidth="1"/>
    <col min="41" max="41" width="13.5703125" style="1" customWidth="1"/>
    <col min="42" max="42" width="25.5703125" style="256" customWidth="1"/>
    <col min="43" max="45" width="16" style="256" customWidth="1"/>
    <col min="46" max="46" width="16" style="257" customWidth="1"/>
    <col min="47" max="47" width="16" style="256" customWidth="1"/>
    <col min="48" max="48" width="20.7109375" style="1" customWidth="1"/>
    <col min="49" max="16384" width="9.42578125" style="1"/>
  </cols>
  <sheetData>
    <row r="1" spans="1:55" ht="11.25">
      <c r="D1" s="4"/>
    </row>
    <row r="2" spans="1:55" ht="11.25">
      <c r="D2" s="4"/>
    </row>
    <row r="3" spans="1:55" ht="30.75" customHeight="1">
      <c r="D3" s="198"/>
      <c r="G3" s="258"/>
      <c r="H3" s="159"/>
      <c r="I3" s="258"/>
      <c r="N3" s="255"/>
    </row>
    <row r="4" spans="1:55" ht="11.1" customHeight="1">
      <c r="D4" s="1520" t="s">
        <v>32</v>
      </c>
      <c r="G4" s="258"/>
      <c r="I4" s="258"/>
      <c r="N4" s="255"/>
    </row>
    <row r="5" spans="1:55" ht="25.35" customHeight="1">
      <c r="A5" s="199" t="s">
        <v>564</v>
      </c>
      <c r="D5" s="1520"/>
      <c r="G5" s="258"/>
      <c r="H5" s="258"/>
      <c r="I5" s="258"/>
      <c r="N5" s="255"/>
    </row>
    <row r="6" spans="1:55" s="7" customFormat="1" ht="25.35" customHeight="1" thickBot="1">
      <c r="A6" s="6" t="s">
        <v>33</v>
      </c>
      <c r="C6" s="8"/>
      <c r="D6" s="9"/>
      <c r="P6" s="1518"/>
      <c r="Q6" s="1518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P6" s="259"/>
      <c r="AQ6" s="259"/>
      <c r="AR6" s="259"/>
      <c r="AS6" s="259"/>
      <c r="AT6" s="260"/>
      <c r="AU6" s="259"/>
    </row>
    <row r="7" spans="1:55" s="23" customFormat="1" ht="30.75" customHeight="1" thickTop="1" thickBot="1">
      <c r="A7" s="261" t="s">
        <v>34</v>
      </c>
      <c r="B7" s="11" t="s">
        <v>318</v>
      </c>
      <c r="C7" s="262" t="s">
        <v>36</v>
      </c>
      <c r="D7" s="12" t="s">
        <v>37</v>
      </c>
      <c r="E7" s="13" t="s">
        <v>561</v>
      </c>
      <c r="F7" s="263" t="s">
        <v>355</v>
      </c>
      <c r="G7" s="263" t="s">
        <v>356</v>
      </c>
      <c r="H7" s="263" t="s">
        <v>357</v>
      </c>
      <c r="I7" s="263" t="s">
        <v>358</v>
      </c>
      <c r="J7" s="263" t="s">
        <v>359</v>
      </c>
      <c r="K7" s="263" t="s">
        <v>360</v>
      </c>
      <c r="L7" s="263" t="s">
        <v>361</v>
      </c>
      <c r="M7" s="263" t="s">
        <v>362</v>
      </c>
      <c r="N7" s="263" t="s">
        <v>363</v>
      </c>
      <c r="O7" s="263" t="s">
        <v>364</v>
      </c>
      <c r="P7" s="263" t="s">
        <v>365</v>
      </c>
      <c r="Q7" s="263" t="s">
        <v>366</v>
      </c>
      <c r="R7" s="263" t="s">
        <v>367</v>
      </c>
      <c r="S7" s="263" t="s">
        <v>368</v>
      </c>
      <c r="T7" s="263" t="s">
        <v>369</v>
      </c>
      <c r="U7" s="263" t="s">
        <v>370</v>
      </c>
      <c r="V7" s="263" t="s">
        <v>371</v>
      </c>
      <c r="W7" s="263" t="s">
        <v>372</v>
      </c>
      <c r="X7" s="263" t="s">
        <v>373</v>
      </c>
      <c r="Y7" s="264" t="s">
        <v>57</v>
      </c>
      <c r="Z7" s="264" t="s">
        <v>58</v>
      </c>
      <c r="AA7" s="264" t="s">
        <v>59</v>
      </c>
      <c r="AB7" s="264" t="s">
        <v>60</v>
      </c>
      <c r="AC7" s="264" t="s">
        <v>61</v>
      </c>
      <c r="AD7" s="264" t="s">
        <v>374</v>
      </c>
      <c r="AE7" s="264" t="s">
        <v>375</v>
      </c>
      <c r="AF7" s="264" t="s">
        <v>64</v>
      </c>
      <c r="AG7" s="264" t="s">
        <v>65</v>
      </c>
      <c r="AH7" s="264" t="s">
        <v>66</v>
      </c>
      <c r="AI7" s="264" t="s">
        <v>67</v>
      </c>
      <c r="AJ7" s="367" t="s">
        <v>68</v>
      </c>
      <c r="AK7" s="1010" t="s">
        <v>69</v>
      </c>
      <c r="AL7" s="687" t="s">
        <v>70</v>
      </c>
      <c r="AM7" s="1018" t="s">
        <v>71</v>
      </c>
      <c r="AN7" s="265" t="s">
        <v>72</v>
      </c>
      <c r="AO7" s="620" t="s">
        <v>73</v>
      </c>
      <c r="AP7" s="266" t="s">
        <v>38</v>
      </c>
      <c r="AQ7" s="266" t="s">
        <v>39</v>
      </c>
      <c r="AR7" s="266" t="s">
        <v>40</v>
      </c>
      <c r="AS7" s="266" t="s">
        <v>41</v>
      </c>
      <c r="AT7" s="266" t="s">
        <v>42</v>
      </c>
      <c r="AU7" s="266" t="s">
        <v>43</v>
      </c>
      <c r="AV7" s="23" t="s">
        <v>44</v>
      </c>
      <c r="AW7" s="23" t="s">
        <v>45</v>
      </c>
      <c r="AX7" s="23" t="s">
        <v>46</v>
      </c>
      <c r="AY7" s="23" t="s">
        <v>47</v>
      </c>
      <c r="AZ7" s="23" t="s">
        <v>48</v>
      </c>
      <c r="BA7" s="23" t="s">
        <v>49</v>
      </c>
      <c r="BB7" s="23" t="s">
        <v>50</v>
      </c>
      <c r="BC7" s="23" t="s">
        <v>51</v>
      </c>
    </row>
    <row r="8" spans="1:55" s="272" customFormat="1" ht="34.15" customHeight="1" thickBot="1">
      <c r="A8" s="267"/>
      <c r="B8" s="93"/>
      <c r="C8" s="268"/>
      <c r="D8" s="206"/>
      <c r="E8" s="1320">
        <v>46174</v>
      </c>
      <c r="F8" s="1153">
        <f>Table2[[#This Row],[June''2026]]+1</f>
        <v>46175</v>
      </c>
      <c r="G8" s="1234">
        <f>Table2[[#This Row],[13-Mar]]+1</f>
        <v>46176</v>
      </c>
      <c r="H8" s="1153">
        <f>Table2[[#This Row],[14-Mar]]+1</f>
        <v>46177</v>
      </c>
      <c r="I8" s="1153">
        <f>Table2[[#This Row],[15-Mar]]+1</f>
        <v>46178</v>
      </c>
      <c r="J8" s="1234">
        <f>Table2[[#This Row],[16-Mar]]+1</f>
        <v>46179</v>
      </c>
      <c r="K8" s="1234">
        <f>Table2[[#This Row],[17-Mar]]+1</f>
        <v>46180</v>
      </c>
      <c r="L8" s="1153">
        <f>Table2[[#This Row],[18-Mar]]+1</f>
        <v>46181</v>
      </c>
      <c r="M8" s="1153">
        <f>Table2[[#This Row],[19-Mar]]+1</f>
        <v>46182</v>
      </c>
      <c r="N8" s="1153">
        <f>Table2[[#This Row],[20-Mar]]+1</f>
        <v>46183</v>
      </c>
      <c r="O8" s="1153">
        <f>Table2[[#This Row],[21-Mar]]+1</f>
        <v>46184</v>
      </c>
      <c r="P8" s="1153">
        <f>Table2[[#This Row],[22-Mar]]+1</f>
        <v>46185</v>
      </c>
      <c r="Q8" s="1234">
        <f>Table2[[#This Row],[23-Mar]]+1</f>
        <v>46186</v>
      </c>
      <c r="R8" s="1234">
        <f>Table2[[#This Row],[24-Mar]]+1</f>
        <v>46187</v>
      </c>
      <c r="S8" s="1153">
        <f>Table2[[#This Row],[25-Mar]]+1</f>
        <v>46188</v>
      </c>
      <c r="T8" s="1153">
        <f>Table2[[#This Row],[26-Mar]]+1</f>
        <v>46189</v>
      </c>
      <c r="U8" s="1153">
        <f>Table2[[#This Row],[27-Mar]]+1</f>
        <v>46190</v>
      </c>
      <c r="V8" s="1153">
        <f>Table2[[#This Row],[28-Mar]]+1</f>
        <v>46191</v>
      </c>
      <c r="W8" s="1153">
        <f>Table2[[#This Row],[29-Mar]]+1</f>
        <v>46192</v>
      </c>
      <c r="X8" s="1234">
        <f>Table2[[#This Row],[30-Mar]]+1</f>
        <v>46193</v>
      </c>
      <c r="Y8" s="1234">
        <f>Table2[[#This Row],[31-Mar]]+1</f>
        <v>46194</v>
      </c>
      <c r="Z8" s="1153">
        <f>Table2[[#This Row],[Column20]]+1</f>
        <v>46195</v>
      </c>
      <c r="AA8" s="1153">
        <f>Table2[[#This Row],[Column21]]+1</f>
        <v>46196</v>
      </c>
      <c r="AB8" s="1153">
        <f>Table2[[#This Row],[Column22]]+1</f>
        <v>46197</v>
      </c>
      <c r="AC8" s="1153">
        <f>Table2[[#This Row],[Column23]]+1</f>
        <v>46198</v>
      </c>
      <c r="AD8" s="1153">
        <f>Table2[[#This Row],[Column24]]+1</f>
        <v>46199</v>
      </c>
      <c r="AE8" s="1234">
        <f>Table2[[#This Row],[Column222]]+1</f>
        <v>46200</v>
      </c>
      <c r="AF8" s="1234">
        <f>Table2[[#This Row],[Column233]]+1</f>
        <v>46201</v>
      </c>
      <c r="AG8" s="1153">
        <f>Table2[[#This Row],[Column244]]+1</f>
        <v>46202</v>
      </c>
      <c r="AH8" s="1153">
        <f>Table2[[#This Row],[Column25]]+1</f>
        <v>46203</v>
      </c>
      <c r="AI8" s="1321">
        <f>Table2[[#This Row],[Column26]]+1</f>
        <v>46204</v>
      </c>
      <c r="AJ8" s="715"/>
      <c r="AK8" s="715"/>
      <c r="AL8" s="688"/>
      <c r="AM8" s="957"/>
      <c r="AN8" s="269"/>
      <c r="AO8" s="629"/>
      <c r="AP8" s="80"/>
      <c r="AQ8" s="80"/>
      <c r="AR8" s="80"/>
      <c r="AS8" s="80"/>
      <c r="AT8" s="271"/>
      <c r="AU8" s="80"/>
    </row>
    <row r="9" spans="1:55" s="23" customFormat="1" ht="20.65" hidden="1" customHeight="1" thickTop="1">
      <c r="A9" s="952" t="s">
        <v>710</v>
      </c>
      <c r="B9" s="218" t="s">
        <v>675</v>
      </c>
      <c r="C9" s="295" t="str">
        <f>Table2[[#This Row],[M/C No.]]</f>
        <v>H2(40ton)</v>
      </c>
      <c r="D9" s="28" t="s">
        <v>82</v>
      </c>
      <c r="E9" s="1124"/>
      <c r="F9" s="1124"/>
      <c r="G9" s="1242"/>
      <c r="H9" s="1124"/>
      <c r="I9" s="1124"/>
      <c r="J9" s="1242"/>
      <c r="K9" s="1242"/>
      <c r="L9" s="1124"/>
      <c r="M9" s="1124"/>
      <c r="N9" s="1124"/>
      <c r="O9" s="1124"/>
      <c r="P9" s="1124"/>
      <c r="Q9" s="1242"/>
      <c r="R9" s="1242"/>
      <c r="S9" s="1124"/>
      <c r="T9" s="1124"/>
      <c r="U9" s="1124"/>
      <c r="V9" s="1124"/>
      <c r="W9" s="1124"/>
      <c r="X9" s="1242"/>
      <c r="Y9" s="1242"/>
      <c r="Z9" s="1124"/>
      <c r="AA9" s="1124"/>
      <c r="AB9" s="1124"/>
      <c r="AC9" s="1124"/>
      <c r="AD9" s="1124"/>
      <c r="AE9" s="1242"/>
      <c r="AF9" s="1242"/>
      <c r="AG9" s="1124"/>
      <c r="AH9" s="1124"/>
      <c r="AI9" s="1124"/>
      <c r="AJ9" s="100">
        <f>SUM(E9:AI9)</f>
        <v>0</v>
      </c>
      <c r="AK9" s="1000">
        <f>AJ11</f>
        <v>0</v>
      </c>
      <c r="AL9" s="101">
        <f>+AJ9*AN9</f>
        <v>0</v>
      </c>
      <c r="AM9" s="1019">
        <f>AL11</f>
        <v>0</v>
      </c>
      <c r="AN9" s="273">
        <v>1.4330499999999999</v>
      </c>
      <c r="AO9" s="633">
        <f>Table2[[#This Row],[Total]]*B13/1000</f>
        <v>0</v>
      </c>
      <c r="AP9" s="32" t="s">
        <v>377</v>
      </c>
      <c r="AQ9" s="33" t="s">
        <v>84</v>
      </c>
      <c r="AR9" s="33" t="s">
        <v>85</v>
      </c>
      <c r="AS9" s="33" t="s">
        <v>86</v>
      </c>
      <c r="AT9" s="33" t="s">
        <v>87</v>
      </c>
      <c r="AU9" s="33" t="s">
        <v>88</v>
      </c>
      <c r="AV9" s="34" t="s">
        <v>68</v>
      </c>
    </row>
    <row r="10" spans="1:55" s="23" customFormat="1" ht="20.65" hidden="1" customHeight="1">
      <c r="A10" s="274"/>
      <c r="B10" s="219" t="s">
        <v>378</v>
      </c>
      <c r="C10" s="275"/>
      <c r="D10" s="37" t="s">
        <v>90</v>
      </c>
      <c r="E10" s="1323">
        <f>IF(E9="",0,+ E9/E16)</f>
        <v>0</v>
      </c>
      <c r="F10" s="1096">
        <f t="shared" ref="F10:AC10" si="0">IF(F9="",0, E10+F9/F16)</f>
        <v>0</v>
      </c>
      <c r="G10" s="1207">
        <f t="shared" si="0"/>
        <v>0</v>
      </c>
      <c r="H10" s="1096">
        <f t="shared" si="0"/>
        <v>0</v>
      </c>
      <c r="I10" s="1096">
        <f t="shared" si="0"/>
        <v>0</v>
      </c>
      <c r="J10" s="1207">
        <f t="shared" si="0"/>
        <v>0</v>
      </c>
      <c r="K10" s="1207">
        <f t="shared" si="0"/>
        <v>0</v>
      </c>
      <c r="L10" s="1096">
        <f t="shared" si="0"/>
        <v>0</v>
      </c>
      <c r="M10" s="1096">
        <f t="shared" si="0"/>
        <v>0</v>
      </c>
      <c r="N10" s="1096">
        <f t="shared" si="0"/>
        <v>0</v>
      </c>
      <c r="O10" s="1096">
        <f t="shared" si="0"/>
        <v>0</v>
      </c>
      <c r="P10" s="1096">
        <f t="shared" si="0"/>
        <v>0</v>
      </c>
      <c r="Q10" s="1207">
        <f t="shared" si="0"/>
        <v>0</v>
      </c>
      <c r="R10" s="1207">
        <f t="shared" si="0"/>
        <v>0</v>
      </c>
      <c r="S10" s="1096">
        <f t="shared" si="0"/>
        <v>0</v>
      </c>
      <c r="T10" s="1096">
        <f t="shared" si="0"/>
        <v>0</v>
      </c>
      <c r="U10" s="1096">
        <f t="shared" si="0"/>
        <v>0</v>
      </c>
      <c r="V10" s="1096">
        <f t="shared" si="0"/>
        <v>0</v>
      </c>
      <c r="W10" s="1096">
        <f t="shared" si="0"/>
        <v>0</v>
      </c>
      <c r="X10" s="1207">
        <f t="shared" si="0"/>
        <v>0</v>
      </c>
      <c r="Y10" s="1207">
        <f t="shared" si="0"/>
        <v>0</v>
      </c>
      <c r="Z10" s="1096">
        <f t="shared" si="0"/>
        <v>0</v>
      </c>
      <c r="AA10" s="1096">
        <f t="shared" si="0"/>
        <v>0</v>
      </c>
      <c r="AB10" s="1096">
        <f t="shared" si="0"/>
        <v>0</v>
      </c>
      <c r="AC10" s="1096">
        <f t="shared" si="0"/>
        <v>0</v>
      </c>
      <c r="AD10" s="1096">
        <f>IF(AD9="",0, Z10+AD9/AD16)</f>
        <v>0</v>
      </c>
      <c r="AE10" s="1207">
        <f>IF(AE9="",0, AA10+AE9/AE16)</f>
        <v>0</v>
      </c>
      <c r="AF10" s="1207">
        <f>IF(AF9="",0, AB10+AF9/AF16)</f>
        <v>0</v>
      </c>
      <c r="AG10" s="1096">
        <f>IF(AG9="",0, AC10+AG9/AG16)</f>
        <v>0</v>
      </c>
      <c r="AH10" s="1096">
        <f>IF(AH9="",0, AD10+AH9/AH16)</f>
        <v>0</v>
      </c>
      <c r="AI10" s="1324">
        <f>IF(AI9="",0, AH10+AI9/AI16)</f>
        <v>0</v>
      </c>
      <c r="AJ10" s="716"/>
      <c r="AK10" s="716"/>
      <c r="AL10" s="209"/>
      <c r="AM10" s="794"/>
      <c r="AN10" s="91"/>
      <c r="AO10" s="675"/>
      <c r="AP10" s="39" t="s">
        <v>91</v>
      </c>
      <c r="AQ10" s="40">
        <f>SUM(E9:K9)</f>
        <v>0</v>
      </c>
      <c r="AR10" s="41">
        <f>SUM(L9:R9)</f>
        <v>0</v>
      </c>
      <c r="AS10" s="41">
        <f>SUM(S9:Y9)</f>
        <v>0</v>
      </c>
      <c r="AT10" s="41">
        <f>SUM(Z9:AF9)</f>
        <v>0</v>
      </c>
      <c r="AU10" s="41">
        <f>SUM(AG9:AI9)</f>
        <v>0</v>
      </c>
      <c r="AV10" s="34">
        <f t="shared" ref="AV10:AV15" si="1">SUM(AQ10:AU10)</f>
        <v>0</v>
      </c>
    </row>
    <row r="11" spans="1:55" s="23" customFormat="1" ht="20.65" hidden="1" customHeight="1">
      <c r="A11" s="296" t="s">
        <v>379</v>
      </c>
      <c r="B11" s="89" t="s">
        <v>272</v>
      </c>
      <c r="C11" s="89" t="s">
        <v>380</v>
      </c>
      <c r="D11" s="43" t="s">
        <v>93</v>
      </c>
      <c r="E11" s="1108"/>
      <c r="F11" s="1089"/>
      <c r="G11" s="44"/>
      <c r="H11" s="1089"/>
      <c r="I11" s="1089"/>
      <c r="J11" s="44"/>
      <c r="K11" s="44"/>
      <c r="L11" s="1089"/>
      <c r="M11" s="1089"/>
      <c r="N11" s="1089"/>
      <c r="O11" s="1089"/>
      <c r="P11" s="1089"/>
      <c r="Q11" s="44"/>
      <c r="R11" s="44"/>
      <c r="S11" s="1089"/>
      <c r="T11" s="1089"/>
      <c r="U11" s="1089"/>
      <c r="V11" s="1089"/>
      <c r="W11" s="1089"/>
      <c r="X11" s="44"/>
      <c r="Y11" s="44"/>
      <c r="Z11" s="1089"/>
      <c r="AA11" s="1089"/>
      <c r="AB11" s="1089"/>
      <c r="AC11" s="1089"/>
      <c r="AD11" s="1089"/>
      <c r="AE11" s="44"/>
      <c r="AF11" s="44"/>
      <c r="AG11" s="1089"/>
      <c r="AH11" s="1089"/>
      <c r="AI11" s="1326"/>
      <c r="AJ11" s="45">
        <f>SUM(E11:AI11)</f>
        <v>0</v>
      </c>
      <c r="AK11" s="45"/>
      <c r="AL11" s="46">
        <f>+AJ11*AN9</f>
        <v>0</v>
      </c>
      <c r="AM11" s="934"/>
      <c r="AN11" s="293"/>
      <c r="AO11" s="632">
        <f>(AJ11+AJ13+AJ14+AJ15)*B13/1000</f>
        <v>0</v>
      </c>
      <c r="AP11" s="47" t="s">
        <v>94</v>
      </c>
      <c r="AQ11" s="48">
        <f>SUM(E11:K11)</f>
        <v>0</v>
      </c>
      <c r="AR11" s="49">
        <f>SUM(L11:R11)</f>
        <v>0</v>
      </c>
      <c r="AS11" s="49">
        <f>SUM(S11:Y11)</f>
        <v>0</v>
      </c>
      <c r="AT11" s="49">
        <f>SUM(Z11:AF11)</f>
        <v>0</v>
      </c>
      <c r="AU11" s="49">
        <f>SUM(AG11:AI11)</f>
        <v>0</v>
      </c>
      <c r="AV11" s="50">
        <f t="shared" si="1"/>
        <v>0</v>
      </c>
    </row>
    <row r="12" spans="1:55" s="23" customFormat="1" ht="20.65" hidden="1" customHeight="1">
      <c r="A12" s="296" t="s">
        <v>379</v>
      </c>
      <c r="B12" s="763" t="s">
        <v>247</v>
      </c>
      <c r="C12" s="280"/>
      <c r="D12" s="53" t="s">
        <v>96</v>
      </c>
      <c r="E12" s="1137">
        <f t="shared" ref="E12:AI12" si="2">+E11-E9</f>
        <v>0</v>
      </c>
      <c r="F12" s="1097">
        <f t="shared" si="2"/>
        <v>0</v>
      </c>
      <c r="G12" s="1205">
        <f t="shared" si="2"/>
        <v>0</v>
      </c>
      <c r="H12" s="1097">
        <f t="shared" si="2"/>
        <v>0</v>
      </c>
      <c r="I12" s="1097">
        <f t="shared" si="2"/>
        <v>0</v>
      </c>
      <c r="J12" s="1205">
        <f t="shared" si="2"/>
        <v>0</v>
      </c>
      <c r="K12" s="1205">
        <f t="shared" si="2"/>
        <v>0</v>
      </c>
      <c r="L12" s="1097">
        <f t="shared" si="2"/>
        <v>0</v>
      </c>
      <c r="M12" s="1097">
        <f t="shared" si="2"/>
        <v>0</v>
      </c>
      <c r="N12" s="1097">
        <f t="shared" si="2"/>
        <v>0</v>
      </c>
      <c r="O12" s="1097">
        <f t="shared" si="2"/>
        <v>0</v>
      </c>
      <c r="P12" s="1097">
        <f t="shared" si="2"/>
        <v>0</v>
      </c>
      <c r="Q12" s="1205">
        <f t="shared" si="2"/>
        <v>0</v>
      </c>
      <c r="R12" s="1205">
        <f t="shared" si="2"/>
        <v>0</v>
      </c>
      <c r="S12" s="1097">
        <f t="shared" si="2"/>
        <v>0</v>
      </c>
      <c r="T12" s="1097">
        <f t="shared" si="2"/>
        <v>0</v>
      </c>
      <c r="U12" s="1097">
        <f t="shared" si="2"/>
        <v>0</v>
      </c>
      <c r="V12" s="1097">
        <f t="shared" si="2"/>
        <v>0</v>
      </c>
      <c r="W12" s="1097">
        <f t="shared" si="2"/>
        <v>0</v>
      </c>
      <c r="X12" s="1205">
        <f t="shared" si="2"/>
        <v>0</v>
      </c>
      <c r="Y12" s="1205">
        <f t="shared" si="2"/>
        <v>0</v>
      </c>
      <c r="Z12" s="1097">
        <f t="shared" si="2"/>
        <v>0</v>
      </c>
      <c r="AA12" s="1097">
        <f t="shared" si="2"/>
        <v>0</v>
      </c>
      <c r="AB12" s="1097">
        <f t="shared" si="2"/>
        <v>0</v>
      </c>
      <c r="AC12" s="1097">
        <f t="shared" si="2"/>
        <v>0</v>
      </c>
      <c r="AD12" s="1097">
        <f t="shared" si="2"/>
        <v>0</v>
      </c>
      <c r="AE12" s="1205">
        <f t="shared" si="2"/>
        <v>0</v>
      </c>
      <c r="AF12" s="1205">
        <f t="shared" si="2"/>
        <v>0</v>
      </c>
      <c r="AG12" s="1097">
        <f t="shared" si="2"/>
        <v>0</v>
      </c>
      <c r="AH12" s="1097">
        <f t="shared" si="2"/>
        <v>0</v>
      </c>
      <c r="AI12" s="1328">
        <f t="shared" si="2"/>
        <v>0</v>
      </c>
      <c r="AJ12" s="79">
        <f>+AJ11-AJ9</f>
        <v>0</v>
      </c>
      <c r="AK12" s="79"/>
      <c r="AL12" s="55">
        <f>+AJ12*AN9</f>
        <v>0</v>
      </c>
      <c r="AM12" s="935"/>
      <c r="AN12" s="293" t="s">
        <v>97</v>
      </c>
      <c r="AO12" s="622"/>
      <c r="AP12" s="39" t="s">
        <v>98</v>
      </c>
      <c r="AQ12" s="56">
        <f>AQ11-AQ10</f>
        <v>0</v>
      </c>
      <c r="AR12" s="70">
        <f>AR11-AR10</f>
        <v>0</v>
      </c>
      <c r="AS12" s="70">
        <f>AS11-AS10</f>
        <v>0</v>
      </c>
      <c r="AT12" s="70">
        <f>AT11-AT10</f>
        <v>0</v>
      </c>
      <c r="AU12" s="70">
        <f>AU11-AU10</f>
        <v>0</v>
      </c>
      <c r="AV12" s="57">
        <f t="shared" si="1"/>
        <v>0</v>
      </c>
    </row>
    <row r="13" spans="1:55" s="23" customFormat="1" ht="20.65" hidden="1" customHeight="1">
      <c r="A13" s="296" t="s">
        <v>379</v>
      </c>
      <c r="B13" s="764">
        <v>0.47413</v>
      </c>
      <c r="C13" s="297">
        <v>50000</v>
      </c>
      <c r="D13" s="61" t="s">
        <v>101</v>
      </c>
      <c r="E13" s="1098"/>
      <c r="F13" s="1099"/>
      <c r="G13" s="1208"/>
      <c r="H13" s="1099"/>
      <c r="I13" s="1099"/>
      <c r="J13" s="1208"/>
      <c r="K13" s="1208"/>
      <c r="L13" s="1099"/>
      <c r="M13" s="1099"/>
      <c r="N13" s="1099"/>
      <c r="O13" s="1099"/>
      <c r="P13" s="1099"/>
      <c r="Q13" s="1208"/>
      <c r="R13" s="1208"/>
      <c r="S13" s="1099"/>
      <c r="T13" s="1099"/>
      <c r="U13" s="1099"/>
      <c r="V13" s="1099"/>
      <c r="W13" s="1099"/>
      <c r="X13" s="1208"/>
      <c r="Y13" s="1208"/>
      <c r="Z13" s="1099"/>
      <c r="AA13" s="1099"/>
      <c r="AB13" s="1099"/>
      <c r="AC13" s="1099"/>
      <c r="AD13" s="1099"/>
      <c r="AE13" s="1208"/>
      <c r="AF13" s="1208"/>
      <c r="AG13" s="1099"/>
      <c r="AH13" s="1099"/>
      <c r="AI13" s="1330"/>
      <c r="AJ13" s="62">
        <f>SUM(E13:AI13)</f>
        <v>0</v>
      </c>
      <c r="AK13" s="62"/>
      <c r="AL13" s="63">
        <f>+AJ13*AN9</f>
        <v>0</v>
      </c>
      <c r="AM13" s="936"/>
      <c r="AN13" s="282" t="e">
        <f>+AJ13/AJ11</f>
        <v>#DIV/0!</v>
      </c>
      <c r="AO13" s="635" t="e">
        <f>AO11/AO9</f>
        <v>#DIV/0!</v>
      </c>
      <c r="AP13" s="39" t="s">
        <v>102</v>
      </c>
      <c r="AQ13" s="56">
        <f>SUM(E13:K13)</f>
        <v>0</v>
      </c>
      <c r="AR13" s="70">
        <f>SUM(L13:R13)</f>
        <v>0</v>
      </c>
      <c r="AS13" s="70">
        <f>SUM(S13:Y13)</f>
        <v>0</v>
      </c>
      <c r="AT13" s="70">
        <f>SUM(Z13:AF13)</f>
        <v>0</v>
      </c>
      <c r="AU13" s="70">
        <f>SUM(AG13:AI13)</f>
        <v>0</v>
      </c>
      <c r="AV13" s="57">
        <f t="shared" si="1"/>
        <v>0</v>
      </c>
    </row>
    <row r="14" spans="1:55" s="23" customFormat="1" ht="20.65" hidden="1" customHeight="1">
      <c r="A14" s="298"/>
      <c r="B14" s="334" t="s">
        <v>381</v>
      </c>
      <c r="C14" s="89" t="s">
        <v>108</v>
      </c>
      <c r="D14" s="67" t="s">
        <v>103</v>
      </c>
      <c r="E14" s="1100"/>
      <c r="F14" s="1101"/>
      <c r="G14" s="1209"/>
      <c r="H14" s="1101"/>
      <c r="I14" s="1101"/>
      <c r="J14" s="1209"/>
      <c r="K14" s="1209"/>
      <c r="L14" s="1101"/>
      <c r="M14" s="1101"/>
      <c r="N14" s="1101"/>
      <c r="O14" s="1101"/>
      <c r="P14" s="1101"/>
      <c r="Q14" s="1209"/>
      <c r="R14" s="1209"/>
      <c r="S14" s="1101"/>
      <c r="T14" s="1101"/>
      <c r="U14" s="1101"/>
      <c r="V14" s="1101"/>
      <c r="W14" s="1101"/>
      <c r="X14" s="1209"/>
      <c r="Y14" s="1209"/>
      <c r="Z14" s="1101"/>
      <c r="AA14" s="1101"/>
      <c r="AB14" s="1101"/>
      <c r="AC14" s="1101"/>
      <c r="AD14" s="1101"/>
      <c r="AE14" s="1209"/>
      <c r="AF14" s="1209"/>
      <c r="AG14" s="1101"/>
      <c r="AH14" s="1101"/>
      <c r="AI14" s="1332"/>
      <c r="AJ14" s="68">
        <f>SUM(E14:AI14)</f>
        <v>0</v>
      </c>
      <c r="AK14" s="68"/>
      <c r="AL14" s="69">
        <f>+AJ14*AN9</f>
        <v>0</v>
      </c>
      <c r="AM14" s="937"/>
      <c r="AN14" s="277"/>
      <c r="AO14" s="679"/>
      <c r="AP14" s="39" t="s">
        <v>19</v>
      </c>
      <c r="AQ14" s="56">
        <f>AQ13*AN9</f>
        <v>0</v>
      </c>
      <c r="AR14" s="56">
        <f>AR13*AN9</f>
        <v>0</v>
      </c>
      <c r="AS14" s="56">
        <f>AS13*AN9</f>
        <v>0</v>
      </c>
      <c r="AT14" s="56">
        <f>AT13*AN9</f>
        <v>0</v>
      </c>
      <c r="AU14" s="56">
        <f>AU13*AN9</f>
        <v>0</v>
      </c>
      <c r="AV14" s="57">
        <f t="shared" si="1"/>
        <v>0</v>
      </c>
    </row>
    <row r="15" spans="1:55" s="23" customFormat="1" ht="20.65" hidden="1" customHeight="1">
      <c r="A15" s="274"/>
      <c r="B15" s="89"/>
      <c r="C15" s="299">
        <f>+C13*0.8</f>
        <v>40000</v>
      </c>
      <c r="D15" s="73" t="s">
        <v>105</v>
      </c>
      <c r="E15" s="1102"/>
      <c r="F15" s="1102"/>
      <c r="G15" s="1197"/>
      <c r="H15" s="1102"/>
      <c r="I15" s="1102"/>
      <c r="J15" s="1197"/>
      <c r="K15" s="1197"/>
      <c r="L15" s="1102"/>
      <c r="M15" s="1102"/>
      <c r="N15" s="1102"/>
      <c r="O15" s="1102"/>
      <c r="P15" s="1102"/>
      <c r="Q15" s="1197"/>
      <c r="R15" s="1197"/>
      <c r="S15" s="1102"/>
      <c r="T15" s="1102"/>
      <c r="U15" s="1102"/>
      <c r="V15" s="1102"/>
      <c r="W15" s="1102"/>
      <c r="X15" s="1197"/>
      <c r="Y15" s="1197"/>
      <c r="Z15" s="1102"/>
      <c r="AA15" s="1102"/>
      <c r="AB15" s="1102"/>
      <c r="AC15" s="1102"/>
      <c r="AD15" s="1102"/>
      <c r="AE15" s="1197"/>
      <c r="AF15" s="1197"/>
      <c r="AG15" s="1102"/>
      <c r="AH15" s="1102"/>
      <c r="AI15" s="1352"/>
      <c r="AJ15" s="74">
        <f>SUM(E15:AI15)</f>
        <v>0</v>
      </c>
      <c r="AK15" s="74"/>
      <c r="AL15" s="75">
        <f>+AJ15*AN9</f>
        <v>0</v>
      </c>
      <c r="AM15" s="938"/>
      <c r="AN15" s="91"/>
      <c r="AO15" s="630"/>
      <c r="AP15" s="47" t="s">
        <v>106</v>
      </c>
      <c r="AQ15" s="48">
        <f>AQ11*AN9</f>
        <v>0</v>
      </c>
      <c r="AR15" s="48">
        <f>AR11*AN9</f>
        <v>0</v>
      </c>
      <c r="AS15" s="48">
        <f>AS11*AN9</f>
        <v>0</v>
      </c>
      <c r="AT15" s="48">
        <f>AT11*AN9</f>
        <v>0</v>
      </c>
      <c r="AU15" s="48">
        <f>AU11*AN9</f>
        <v>0</v>
      </c>
      <c r="AV15" s="50">
        <f t="shared" si="1"/>
        <v>0</v>
      </c>
    </row>
    <row r="16" spans="1:55" s="23" customFormat="1" ht="20.65" hidden="1" customHeight="1">
      <c r="A16" s="296" t="s">
        <v>379</v>
      </c>
      <c r="B16" s="89"/>
      <c r="C16" s="300"/>
      <c r="D16" s="78" t="s">
        <v>107</v>
      </c>
      <c r="E16" s="1137">
        <v>8</v>
      </c>
      <c r="F16" s="1097">
        <v>8</v>
      </c>
      <c r="G16" s="1205">
        <v>8</v>
      </c>
      <c r="H16" s="1097">
        <v>8</v>
      </c>
      <c r="I16" s="1097">
        <v>8</v>
      </c>
      <c r="J16" s="1205">
        <v>8</v>
      </c>
      <c r="K16" s="1205">
        <v>8</v>
      </c>
      <c r="L16" s="1097">
        <v>8</v>
      </c>
      <c r="M16" s="1097">
        <v>8</v>
      </c>
      <c r="N16" s="1097">
        <v>8</v>
      </c>
      <c r="O16" s="1097">
        <v>8</v>
      </c>
      <c r="P16" s="1097">
        <v>8</v>
      </c>
      <c r="Q16" s="1205">
        <v>8</v>
      </c>
      <c r="R16" s="1205">
        <v>8</v>
      </c>
      <c r="S16" s="1097">
        <v>8</v>
      </c>
      <c r="T16" s="1097">
        <v>8</v>
      </c>
      <c r="U16" s="1097">
        <v>8</v>
      </c>
      <c r="V16" s="1097">
        <v>8</v>
      </c>
      <c r="W16" s="1097">
        <v>8</v>
      </c>
      <c r="X16" s="1205">
        <v>8</v>
      </c>
      <c r="Y16" s="1205">
        <v>8</v>
      </c>
      <c r="Z16" s="1097">
        <v>8</v>
      </c>
      <c r="AA16" s="1097">
        <v>8</v>
      </c>
      <c r="AB16" s="1097">
        <v>8</v>
      </c>
      <c r="AC16" s="1097">
        <v>8</v>
      </c>
      <c r="AD16" s="1097">
        <v>8</v>
      </c>
      <c r="AE16" s="1205">
        <v>8</v>
      </c>
      <c r="AF16" s="1205">
        <v>8</v>
      </c>
      <c r="AG16" s="1097">
        <v>8</v>
      </c>
      <c r="AH16" s="1097">
        <v>8</v>
      </c>
      <c r="AI16" s="1328">
        <v>8</v>
      </c>
      <c r="AJ16" s="79"/>
      <c r="AK16" s="79"/>
      <c r="AL16" s="69"/>
      <c r="AM16" s="937"/>
      <c r="AN16" s="277"/>
      <c r="AO16" s="679"/>
      <c r="AP16" s="107"/>
      <c r="AQ16" s="109"/>
      <c r="AR16" s="110"/>
      <c r="AS16" s="110"/>
      <c r="AT16" s="110"/>
      <c r="AU16" s="110"/>
      <c r="AV16" s="281"/>
    </row>
    <row r="17" spans="1:48" s="23" customFormat="1" ht="20.65" hidden="1" customHeight="1">
      <c r="A17" s="296" t="s">
        <v>379</v>
      </c>
      <c r="B17" s="89"/>
      <c r="C17" s="42"/>
      <c r="D17" s="81" t="s">
        <v>109</v>
      </c>
      <c r="E17" s="1125">
        <f>SUM(E11+E13+E14+E15)/E16</f>
        <v>0</v>
      </c>
      <c r="F17" s="1125">
        <f>SUM(F11+F13+F14+F15)/F16</f>
        <v>0</v>
      </c>
      <c r="G17" s="1233">
        <f>SUM(G11+G13+G14+G15)/G16</f>
        <v>0</v>
      </c>
      <c r="H17" s="1125">
        <f t="shared" ref="H17:AH17" si="3">SUM(H11+H13+H14+H15)/H16</f>
        <v>0</v>
      </c>
      <c r="I17" s="1125">
        <f t="shared" si="3"/>
        <v>0</v>
      </c>
      <c r="J17" s="1233">
        <f t="shared" si="3"/>
        <v>0</v>
      </c>
      <c r="K17" s="1233">
        <f t="shared" si="3"/>
        <v>0</v>
      </c>
      <c r="L17" s="1125">
        <f t="shared" si="3"/>
        <v>0</v>
      </c>
      <c r="M17" s="1125">
        <f t="shared" si="3"/>
        <v>0</v>
      </c>
      <c r="N17" s="1125">
        <f t="shared" si="3"/>
        <v>0</v>
      </c>
      <c r="O17" s="1125">
        <f t="shared" si="3"/>
        <v>0</v>
      </c>
      <c r="P17" s="1125">
        <f t="shared" si="3"/>
        <v>0</v>
      </c>
      <c r="Q17" s="1233">
        <f t="shared" si="3"/>
        <v>0</v>
      </c>
      <c r="R17" s="1233">
        <f t="shared" si="3"/>
        <v>0</v>
      </c>
      <c r="S17" s="1125">
        <f t="shared" si="3"/>
        <v>0</v>
      </c>
      <c r="T17" s="1125">
        <f t="shared" si="3"/>
        <v>0</v>
      </c>
      <c r="U17" s="1125">
        <f t="shared" si="3"/>
        <v>0</v>
      </c>
      <c r="V17" s="1125">
        <f t="shared" si="3"/>
        <v>0</v>
      </c>
      <c r="W17" s="1125">
        <f t="shared" si="3"/>
        <v>0</v>
      </c>
      <c r="X17" s="1233">
        <f t="shared" si="3"/>
        <v>0</v>
      </c>
      <c r="Y17" s="1233">
        <f t="shared" si="3"/>
        <v>0</v>
      </c>
      <c r="Z17" s="1125">
        <f t="shared" si="3"/>
        <v>0</v>
      </c>
      <c r="AA17" s="1125">
        <f t="shared" si="3"/>
        <v>0</v>
      </c>
      <c r="AB17" s="1125">
        <f t="shared" si="3"/>
        <v>0</v>
      </c>
      <c r="AC17" s="1125">
        <f t="shared" si="3"/>
        <v>0</v>
      </c>
      <c r="AD17" s="1125">
        <f t="shared" si="3"/>
        <v>0</v>
      </c>
      <c r="AE17" s="1233">
        <f t="shared" si="3"/>
        <v>0</v>
      </c>
      <c r="AF17" s="1233">
        <f t="shared" si="3"/>
        <v>0</v>
      </c>
      <c r="AG17" s="1125">
        <f t="shared" si="3"/>
        <v>0</v>
      </c>
      <c r="AH17" s="1125">
        <f t="shared" si="3"/>
        <v>0</v>
      </c>
      <c r="AI17" s="1335">
        <f>SUM(AI11+AI13+AI14)/AI16</f>
        <v>0</v>
      </c>
      <c r="AJ17" s="515">
        <f>SUM(E17:AI17)</f>
        <v>0</v>
      </c>
      <c r="AK17" s="515"/>
      <c r="AL17" s="689"/>
      <c r="AM17" s="940"/>
      <c r="AN17" s="277"/>
      <c r="AO17" s="679"/>
      <c r="AP17" s="108"/>
      <c r="AQ17" s="111"/>
      <c r="AR17" s="111"/>
      <c r="AS17" s="111"/>
      <c r="AT17" s="111"/>
      <c r="AU17" s="111"/>
      <c r="AV17" s="278"/>
    </row>
    <row r="18" spans="1:48" s="23" customFormat="1" ht="20.65" hidden="1" customHeight="1">
      <c r="A18" s="296" t="s">
        <v>379</v>
      </c>
      <c r="B18" s="89"/>
      <c r="C18" s="72"/>
      <c r="D18" s="85" t="s">
        <v>110</v>
      </c>
      <c r="E18" s="1336"/>
      <c r="F18" s="1107"/>
      <c r="G18" s="1228"/>
      <c r="H18" s="1107"/>
      <c r="I18" s="1107"/>
      <c r="J18" s="1228"/>
      <c r="K18" s="1228"/>
      <c r="L18" s="1107"/>
      <c r="M18" s="1107"/>
      <c r="N18" s="1107"/>
      <c r="O18" s="1107"/>
      <c r="P18" s="1107"/>
      <c r="Q18" s="1228"/>
      <c r="R18" s="1228"/>
      <c r="S18" s="1107"/>
      <c r="T18" s="1107"/>
      <c r="U18" s="1107"/>
      <c r="V18" s="1107"/>
      <c r="W18" s="1107"/>
      <c r="X18" s="1228"/>
      <c r="Y18" s="1228"/>
      <c r="Z18" s="1107"/>
      <c r="AA18" s="1107"/>
      <c r="AB18" s="1107"/>
      <c r="AC18" s="1107"/>
      <c r="AD18" s="1107"/>
      <c r="AE18" s="1228"/>
      <c r="AF18" s="1228"/>
      <c r="AG18" s="1107"/>
      <c r="AH18" s="1107"/>
      <c r="AI18" s="1337"/>
      <c r="AJ18" s="86"/>
      <c r="AK18" s="86"/>
      <c r="AL18" s="690"/>
      <c r="AM18" s="940"/>
      <c r="AN18" s="277"/>
      <c r="AO18" s="679"/>
      <c r="AP18" s="285"/>
      <c r="AQ18" s="285"/>
      <c r="AR18" s="1318"/>
      <c r="AS18" s="285"/>
      <c r="AT18" s="286"/>
      <c r="AU18" s="285"/>
      <c r="AV18" s="287"/>
    </row>
    <row r="19" spans="1:48" s="23" customFormat="1" ht="20.65" hidden="1" customHeight="1">
      <c r="A19" s="296" t="s">
        <v>379</v>
      </c>
      <c r="B19" s="89"/>
      <c r="C19" s="72" t="s">
        <v>104</v>
      </c>
      <c r="D19" s="88" t="s">
        <v>111</v>
      </c>
      <c r="E19" s="1108">
        <f>IF(E18="O/H",E17,13994+E17)</f>
        <v>13994</v>
      </c>
      <c r="F19" s="1089">
        <f t="shared" ref="F19:AI19" si="4">IF(F18="O/H",F17,+E19+F17)</f>
        <v>13994</v>
      </c>
      <c r="G19" s="44">
        <f t="shared" si="4"/>
        <v>13994</v>
      </c>
      <c r="H19" s="1089">
        <f t="shared" si="4"/>
        <v>13994</v>
      </c>
      <c r="I19" s="1089">
        <f t="shared" si="4"/>
        <v>13994</v>
      </c>
      <c r="J19" s="44">
        <f t="shared" si="4"/>
        <v>13994</v>
      </c>
      <c r="K19" s="44">
        <f t="shared" si="4"/>
        <v>13994</v>
      </c>
      <c r="L19" s="1089">
        <f t="shared" si="4"/>
        <v>13994</v>
      </c>
      <c r="M19" s="1089">
        <f t="shared" si="4"/>
        <v>13994</v>
      </c>
      <c r="N19" s="1089">
        <f t="shared" si="4"/>
        <v>13994</v>
      </c>
      <c r="O19" s="1089">
        <f t="shared" si="4"/>
        <v>13994</v>
      </c>
      <c r="P19" s="1089">
        <f t="shared" si="4"/>
        <v>13994</v>
      </c>
      <c r="Q19" s="44">
        <f t="shared" si="4"/>
        <v>13994</v>
      </c>
      <c r="R19" s="44">
        <f t="shared" si="4"/>
        <v>13994</v>
      </c>
      <c r="S19" s="1089">
        <f t="shared" si="4"/>
        <v>13994</v>
      </c>
      <c r="T19" s="1089">
        <f t="shared" si="4"/>
        <v>13994</v>
      </c>
      <c r="U19" s="1089">
        <f t="shared" si="4"/>
        <v>13994</v>
      </c>
      <c r="V19" s="1089">
        <f t="shared" si="4"/>
        <v>13994</v>
      </c>
      <c r="W19" s="1089">
        <f t="shared" si="4"/>
        <v>13994</v>
      </c>
      <c r="X19" s="44">
        <f t="shared" si="4"/>
        <v>13994</v>
      </c>
      <c r="Y19" s="44">
        <f t="shared" si="4"/>
        <v>13994</v>
      </c>
      <c r="Z19" s="1089">
        <f t="shared" si="4"/>
        <v>13994</v>
      </c>
      <c r="AA19" s="1089">
        <f t="shared" si="4"/>
        <v>13994</v>
      </c>
      <c r="AB19" s="1089">
        <f t="shared" si="4"/>
        <v>13994</v>
      </c>
      <c r="AC19" s="1089">
        <f t="shared" si="4"/>
        <v>13994</v>
      </c>
      <c r="AD19" s="1089">
        <f t="shared" si="4"/>
        <v>13994</v>
      </c>
      <c r="AE19" s="44">
        <f t="shared" si="4"/>
        <v>13994</v>
      </c>
      <c r="AF19" s="44">
        <f t="shared" si="4"/>
        <v>13994</v>
      </c>
      <c r="AG19" s="1089">
        <f t="shared" si="4"/>
        <v>13994</v>
      </c>
      <c r="AH19" s="1089">
        <f t="shared" si="4"/>
        <v>13994</v>
      </c>
      <c r="AI19" s="1326">
        <f t="shared" si="4"/>
        <v>13994</v>
      </c>
      <c r="AJ19" s="79"/>
      <c r="AK19" s="86"/>
      <c r="AL19" s="689"/>
      <c r="AM19" s="940"/>
      <c r="AN19" s="277"/>
      <c r="AO19" s="679"/>
      <c r="AP19" s="285"/>
      <c r="AQ19" s="285"/>
      <c r="AR19" s="285"/>
      <c r="AS19" s="285"/>
      <c r="AT19" s="286"/>
      <c r="AU19" s="285"/>
      <c r="AV19" s="287"/>
    </row>
    <row r="20" spans="1:48" s="23" customFormat="1" ht="20.45" hidden="1" customHeight="1">
      <c r="A20" s="312"/>
      <c r="B20" s="312"/>
      <c r="C20" s="308">
        <v>300000</v>
      </c>
      <c r="D20" s="795" t="s">
        <v>112</v>
      </c>
      <c r="E20" s="1117" t="b">
        <f>IF(AND(ISNUMBER(E11)),2501923+E17)</f>
        <v>0</v>
      </c>
      <c r="F20" s="1118" t="str">
        <f>IF(AND(ISNUMBER(F11)),E20+F17,"")</f>
        <v/>
      </c>
      <c r="G20" s="1216" t="str">
        <f t="shared" ref="G20" si="5">IF(AND(ISNUMBER(G11)),F20+G17,"")</f>
        <v/>
      </c>
      <c r="H20" s="1118" t="str">
        <f t="shared" ref="H20" si="6">IF(AND(ISNUMBER(H11)),G20+H17,"")</f>
        <v/>
      </c>
      <c r="I20" s="1118" t="str">
        <f>IF(AND(ISNUMBER(I11)),H20+I17,"")</f>
        <v/>
      </c>
      <c r="J20" s="1216" t="str">
        <f>IF(AND(ISNUMBER(J11)),I20+J17,"")</f>
        <v/>
      </c>
      <c r="K20" s="1216" t="str">
        <f>IF(AND(ISNUMBER(K11)),J20+K17,"")</f>
        <v/>
      </c>
      <c r="L20" s="1118" t="str">
        <f t="shared" ref="L20" si="7">IF(AND(ISNUMBER(L11)),K20+L17,"")</f>
        <v/>
      </c>
      <c r="M20" s="1118" t="str">
        <f t="shared" ref="M20" si="8">IF(AND(ISNUMBER(M11)),L20+M17,"")</f>
        <v/>
      </c>
      <c r="N20" s="1118" t="str">
        <f t="shared" ref="N20" si="9">IF(AND(ISNUMBER(N11)),M20+N17,"")</f>
        <v/>
      </c>
      <c r="O20" s="1118" t="str">
        <f t="shared" ref="O20" si="10">IF(AND(ISNUMBER(O11)),N20+O17,"")</f>
        <v/>
      </c>
      <c r="P20" s="1118" t="str">
        <f t="shared" ref="P20" si="11">IF(AND(ISNUMBER(P11)),O20+P17,"")</f>
        <v/>
      </c>
      <c r="Q20" s="1216" t="str">
        <f t="shared" ref="Q20" si="12">IF(AND(ISNUMBER(Q11)),P20+Q17,"")</f>
        <v/>
      </c>
      <c r="R20" s="1216" t="str">
        <f t="shared" ref="R20" si="13">IF(AND(ISNUMBER(R11)),Q20+R17,"")</f>
        <v/>
      </c>
      <c r="S20" s="1118" t="str">
        <f t="shared" ref="S20" si="14">IF(AND(ISNUMBER(S11)),R20+S17,"")</f>
        <v/>
      </c>
      <c r="T20" s="1118" t="str">
        <f t="shared" ref="T20" si="15">IF(AND(ISNUMBER(T11)),S20+T17,"")</f>
        <v/>
      </c>
      <c r="U20" s="1118" t="str">
        <f t="shared" ref="U20" si="16">IF(AND(ISNUMBER(U11)),T20+U17,"")</f>
        <v/>
      </c>
      <c r="V20" s="1118" t="str">
        <f t="shared" ref="V20" si="17">IF(AND(ISNUMBER(V11)),U20+V17,"")</f>
        <v/>
      </c>
      <c r="W20" s="1118" t="str">
        <f t="shared" ref="W20" si="18">IF(AND(ISNUMBER(W11)),V20+W17,"")</f>
        <v/>
      </c>
      <c r="X20" s="1216" t="str">
        <f t="shared" ref="X20" si="19">IF(AND(ISNUMBER(X11)),W20+X17,"")</f>
        <v/>
      </c>
      <c r="Y20" s="1216" t="str">
        <f t="shared" ref="Y20" si="20">IF(AND(ISNUMBER(Y11)),X20+Y17,"")</f>
        <v/>
      </c>
      <c r="Z20" s="1118" t="str">
        <f t="shared" ref="Z20" si="21">IF(AND(ISNUMBER(Z11)),Y20+Z17,"")</f>
        <v/>
      </c>
      <c r="AA20" s="1118" t="str">
        <f t="shared" ref="AA20" si="22">IF(AND(ISNUMBER(AA11)),Z20+AA17,"")</f>
        <v/>
      </c>
      <c r="AB20" s="1118" t="str">
        <f t="shared" ref="AB20" si="23">IF(AND(ISNUMBER(AB11)),AA20+AB17,"")</f>
        <v/>
      </c>
      <c r="AC20" s="1118" t="str">
        <f t="shared" ref="AC20" si="24">IF(AND(ISNUMBER(AC11)),AB20+AC17,"")</f>
        <v/>
      </c>
      <c r="AD20" s="1118" t="str">
        <f t="shared" ref="AD20" si="25">IF(AND(ISNUMBER(AD11)),AC20+AD17,"")</f>
        <v/>
      </c>
      <c r="AE20" s="1216" t="str">
        <f t="shared" ref="AE20" si="26">IF(AND(ISNUMBER(AE11)),AD20+AE17,"")</f>
        <v/>
      </c>
      <c r="AF20" s="1216" t="str">
        <f t="shared" ref="AF20" si="27">IF(AND(ISNUMBER(AF11)),AE20+AF17,"")</f>
        <v/>
      </c>
      <c r="AG20" s="1118" t="str">
        <f t="shared" ref="AG20" si="28">IF(AND(ISNUMBER(AG11)),AF20+AG17,"")</f>
        <v/>
      </c>
      <c r="AH20" s="1118" t="str">
        <f t="shared" ref="AH20" si="29">IF(AND(ISNUMBER(AH11)),AG20+AH17,"")</f>
        <v/>
      </c>
      <c r="AI20" s="1118" t="str">
        <f t="shared" ref="AI20" si="30">IF(AND(ISNUMBER(AI11)),AH20+AI17,"")</f>
        <v/>
      </c>
      <c r="AJ20" s="793"/>
      <c r="AK20" s="793"/>
      <c r="AL20" s="909"/>
      <c r="AM20" s="794"/>
      <c r="AN20" s="429"/>
      <c r="AO20" s="675"/>
      <c r="AP20" s="285"/>
      <c r="AQ20" s="285"/>
      <c r="AR20" s="285"/>
      <c r="AS20" s="285"/>
      <c r="AT20" s="286"/>
      <c r="AU20" s="285"/>
      <c r="AV20" s="287"/>
    </row>
    <row r="21" spans="1:48" s="23" customFormat="1" ht="20.25" hidden="1" customHeight="1">
      <c r="A21" s="276"/>
      <c r="B21" s="89" t="s">
        <v>382</v>
      </c>
      <c r="C21" s="80" t="s">
        <v>108</v>
      </c>
      <c r="D21" s="90" t="s">
        <v>104</v>
      </c>
      <c r="E21" s="1338"/>
      <c r="F21" s="1106"/>
      <c r="G21" s="1253"/>
      <c r="H21" s="1106"/>
      <c r="I21" s="1106"/>
      <c r="J21" s="1253"/>
      <c r="K21" s="1253"/>
      <c r="L21" s="1106"/>
      <c r="M21" s="1106"/>
      <c r="N21" s="1106"/>
      <c r="O21" s="1106"/>
      <c r="P21" s="1106"/>
      <c r="Q21" s="1253"/>
      <c r="R21" s="1253"/>
      <c r="S21" s="1106"/>
      <c r="T21" s="1106"/>
      <c r="U21" s="1106"/>
      <c r="V21" s="1106"/>
      <c r="W21" s="1106"/>
      <c r="X21" s="1253"/>
      <c r="Y21" s="1253"/>
      <c r="Z21" s="1106"/>
      <c r="AA21" s="1106"/>
      <c r="AB21" s="1106"/>
      <c r="AC21" s="1106"/>
      <c r="AD21" s="1106"/>
      <c r="AE21" s="1253"/>
      <c r="AF21" s="1253"/>
      <c r="AG21" s="1106"/>
      <c r="AH21" s="1106"/>
      <c r="AI21" s="1339"/>
      <c r="AJ21" s="79"/>
      <c r="AK21" s="79"/>
      <c r="AL21" s="63"/>
      <c r="AM21" s="936"/>
      <c r="AN21" s="301"/>
      <c r="AO21" s="680"/>
      <c r="AP21" s="285"/>
      <c r="AQ21" s="285"/>
      <c r="AR21" s="285"/>
      <c r="AS21" s="285"/>
      <c r="AT21" s="286"/>
      <c r="AU21" s="285"/>
      <c r="AV21" s="287"/>
    </row>
    <row r="22" spans="1:48" s="23" customFormat="1" ht="20.25" hidden="1" customHeight="1" thickBot="1">
      <c r="A22" s="289"/>
      <c r="B22" s="93"/>
      <c r="C22" s="94">
        <f>+C20*0.8</f>
        <v>240000</v>
      </c>
      <c r="D22" s="88" t="s">
        <v>111</v>
      </c>
      <c r="E22" s="1109">
        <f>IF(E21="O/H",E17,164758+E17)</f>
        <v>164758</v>
      </c>
      <c r="F22" s="1110">
        <f t="shared" ref="F22:AI22" si="31">IF(F21="O/H",F17,+E22+F17)</f>
        <v>164758</v>
      </c>
      <c r="G22" s="1212">
        <f t="shared" si="31"/>
        <v>164758</v>
      </c>
      <c r="H22" s="1110">
        <f t="shared" si="31"/>
        <v>164758</v>
      </c>
      <c r="I22" s="1110">
        <f t="shared" si="31"/>
        <v>164758</v>
      </c>
      <c r="J22" s="1212">
        <f t="shared" si="31"/>
        <v>164758</v>
      </c>
      <c r="K22" s="1212">
        <f t="shared" si="31"/>
        <v>164758</v>
      </c>
      <c r="L22" s="1110">
        <f t="shared" si="31"/>
        <v>164758</v>
      </c>
      <c r="M22" s="1110">
        <f t="shared" si="31"/>
        <v>164758</v>
      </c>
      <c r="N22" s="1110">
        <f t="shared" si="31"/>
        <v>164758</v>
      </c>
      <c r="O22" s="1110">
        <f t="shared" si="31"/>
        <v>164758</v>
      </c>
      <c r="P22" s="1110">
        <f t="shared" si="31"/>
        <v>164758</v>
      </c>
      <c r="Q22" s="1212">
        <f t="shared" si="31"/>
        <v>164758</v>
      </c>
      <c r="R22" s="1212">
        <f t="shared" si="31"/>
        <v>164758</v>
      </c>
      <c r="S22" s="1110">
        <f t="shared" si="31"/>
        <v>164758</v>
      </c>
      <c r="T22" s="1110">
        <f t="shared" si="31"/>
        <v>164758</v>
      </c>
      <c r="U22" s="1110">
        <f t="shared" si="31"/>
        <v>164758</v>
      </c>
      <c r="V22" s="1110">
        <f t="shared" si="31"/>
        <v>164758</v>
      </c>
      <c r="W22" s="1110">
        <f t="shared" si="31"/>
        <v>164758</v>
      </c>
      <c r="X22" s="1212">
        <f t="shared" si="31"/>
        <v>164758</v>
      </c>
      <c r="Y22" s="1212">
        <f t="shared" si="31"/>
        <v>164758</v>
      </c>
      <c r="Z22" s="1110">
        <f t="shared" si="31"/>
        <v>164758</v>
      </c>
      <c r="AA22" s="1110">
        <f t="shared" si="31"/>
        <v>164758</v>
      </c>
      <c r="AB22" s="1110">
        <f t="shared" si="31"/>
        <v>164758</v>
      </c>
      <c r="AC22" s="1110">
        <f t="shared" si="31"/>
        <v>164758</v>
      </c>
      <c r="AD22" s="1110">
        <f t="shared" si="31"/>
        <v>164758</v>
      </c>
      <c r="AE22" s="1212">
        <f t="shared" si="31"/>
        <v>164758</v>
      </c>
      <c r="AF22" s="1212">
        <f t="shared" si="31"/>
        <v>164758</v>
      </c>
      <c r="AG22" s="1110">
        <f t="shared" si="31"/>
        <v>164758</v>
      </c>
      <c r="AH22" s="1110">
        <f t="shared" si="31"/>
        <v>164758</v>
      </c>
      <c r="AI22" s="1340">
        <f t="shared" si="31"/>
        <v>164758</v>
      </c>
      <c r="AJ22" s="96"/>
      <c r="AK22" s="96"/>
      <c r="AL22" s="97"/>
      <c r="AM22" s="958"/>
      <c r="AN22" s="292"/>
      <c r="AO22" s="681"/>
      <c r="AP22" s="285"/>
      <c r="AQ22" s="285"/>
      <c r="AR22" s="285"/>
      <c r="AS22" s="285"/>
      <c r="AT22" s="286"/>
      <c r="AU22" s="285"/>
      <c r="AV22" s="287"/>
    </row>
    <row r="23" spans="1:48" s="23" customFormat="1" ht="20.65" customHeight="1" thickTop="1">
      <c r="A23" s="953" t="s">
        <v>710</v>
      </c>
      <c r="B23" s="218" t="s">
        <v>615</v>
      </c>
      <c r="C23" s="1493" t="str">
        <f>Table2[[#This Row],[M/C No.]]</f>
        <v>H2(40ton)</v>
      </c>
      <c r="D23" s="28" t="s">
        <v>82</v>
      </c>
      <c r="E23" s="1124">
        <v>0</v>
      </c>
      <c r="F23" s="1124">
        <v>0</v>
      </c>
      <c r="G23" s="1242">
        <v>0</v>
      </c>
      <c r="H23" s="1124">
        <v>10000</v>
      </c>
      <c r="I23" s="1124">
        <v>36000</v>
      </c>
      <c r="J23" s="1242">
        <v>0</v>
      </c>
      <c r="K23" s="1242">
        <v>0</v>
      </c>
      <c r="L23" s="1124">
        <v>10000</v>
      </c>
      <c r="M23" s="1124">
        <v>36000</v>
      </c>
      <c r="N23" s="1124">
        <v>36000</v>
      </c>
      <c r="O23" s="1124">
        <v>36000</v>
      </c>
      <c r="P23" s="1124">
        <v>36000</v>
      </c>
      <c r="Q23" s="1242">
        <v>0</v>
      </c>
      <c r="R23" s="1242">
        <v>0</v>
      </c>
      <c r="S23" s="1124">
        <v>10000</v>
      </c>
      <c r="T23" s="1124">
        <v>36000</v>
      </c>
      <c r="U23" s="1124">
        <v>36000</v>
      </c>
      <c r="V23" s="1124">
        <v>18000</v>
      </c>
      <c r="W23" s="1124">
        <v>0</v>
      </c>
      <c r="X23" s="1242">
        <v>0</v>
      </c>
      <c r="Y23" s="1242">
        <v>0</v>
      </c>
      <c r="Z23" s="1124">
        <v>0</v>
      </c>
      <c r="AA23" s="1124">
        <v>0</v>
      </c>
      <c r="AB23" s="1124">
        <v>0</v>
      </c>
      <c r="AC23" s="1124">
        <v>0</v>
      </c>
      <c r="AD23" s="1124">
        <v>0</v>
      </c>
      <c r="AE23" s="1242">
        <v>0</v>
      </c>
      <c r="AF23" s="1242">
        <v>0</v>
      </c>
      <c r="AG23" s="1124">
        <v>0</v>
      </c>
      <c r="AH23" s="1124">
        <v>0</v>
      </c>
      <c r="AI23" s="1350"/>
      <c r="AJ23" s="100">
        <f>SUM(E23:AI23)</f>
        <v>300000</v>
      </c>
      <c r="AK23" s="1000">
        <f>AJ25</f>
        <v>38000</v>
      </c>
      <c r="AL23" s="101">
        <f>+AJ23*AN23</f>
        <v>357537</v>
      </c>
      <c r="AM23" s="1019">
        <f>AL25</f>
        <v>45288.02</v>
      </c>
      <c r="AN23" s="273">
        <v>1.1917899999999999</v>
      </c>
      <c r="AO23" s="633">
        <f>Table2[[#This Row],[Total]]*B27/1000</f>
        <v>142.83750000000001</v>
      </c>
      <c r="AP23" s="32" t="s">
        <v>377</v>
      </c>
      <c r="AQ23" s="33" t="s">
        <v>84</v>
      </c>
      <c r="AR23" s="33" t="s">
        <v>85</v>
      </c>
      <c r="AS23" s="33" t="s">
        <v>86</v>
      </c>
      <c r="AT23" s="33" t="s">
        <v>87</v>
      </c>
      <c r="AU23" s="33" t="s">
        <v>88</v>
      </c>
      <c r="AV23" s="34" t="s">
        <v>68</v>
      </c>
    </row>
    <row r="24" spans="1:48" s="23" customFormat="1" ht="20.65" customHeight="1">
      <c r="A24" s="274"/>
      <c r="B24" s="219" t="s">
        <v>383</v>
      </c>
      <c r="C24" s="275"/>
      <c r="D24" s="37" t="s">
        <v>90</v>
      </c>
      <c r="E24" s="1323">
        <f>IF(E23="",0,+ E23/E30)</f>
        <v>0</v>
      </c>
      <c r="F24" s="1096">
        <f t="shared" ref="F24:AC24" si="32">IF(F23="",0, E24+F23/F30)</f>
        <v>0</v>
      </c>
      <c r="G24" s="1207">
        <f t="shared" si="32"/>
        <v>0</v>
      </c>
      <c r="H24" s="1096">
        <f t="shared" si="32"/>
        <v>1250</v>
      </c>
      <c r="I24" s="1096">
        <f t="shared" si="32"/>
        <v>5750</v>
      </c>
      <c r="J24" s="1207">
        <f t="shared" si="32"/>
        <v>5750</v>
      </c>
      <c r="K24" s="1207">
        <f t="shared" si="32"/>
        <v>5750</v>
      </c>
      <c r="L24" s="1096">
        <f t="shared" si="32"/>
        <v>7000</v>
      </c>
      <c r="M24" s="1096">
        <f t="shared" si="32"/>
        <v>11500</v>
      </c>
      <c r="N24" s="1096">
        <f t="shared" si="32"/>
        <v>16000</v>
      </c>
      <c r="O24" s="1096">
        <f t="shared" si="32"/>
        <v>20500</v>
      </c>
      <c r="P24" s="1096">
        <f t="shared" si="32"/>
        <v>25000</v>
      </c>
      <c r="Q24" s="1207">
        <f t="shared" si="32"/>
        <v>25000</v>
      </c>
      <c r="R24" s="1207">
        <f t="shared" si="32"/>
        <v>25000</v>
      </c>
      <c r="S24" s="1096">
        <f t="shared" si="32"/>
        <v>26250</v>
      </c>
      <c r="T24" s="1096">
        <f t="shared" si="32"/>
        <v>30750</v>
      </c>
      <c r="U24" s="1096">
        <f t="shared" si="32"/>
        <v>35250</v>
      </c>
      <c r="V24" s="1096">
        <f t="shared" si="32"/>
        <v>37500</v>
      </c>
      <c r="W24" s="1096">
        <f t="shared" si="32"/>
        <v>37500</v>
      </c>
      <c r="X24" s="1207">
        <f t="shared" si="32"/>
        <v>37500</v>
      </c>
      <c r="Y24" s="1207">
        <f t="shared" si="32"/>
        <v>37500</v>
      </c>
      <c r="Z24" s="1096">
        <f t="shared" si="32"/>
        <v>37500</v>
      </c>
      <c r="AA24" s="1096">
        <f t="shared" si="32"/>
        <v>37500</v>
      </c>
      <c r="AB24" s="1096">
        <f t="shared" si="32"/>
        <v>37500</v>
      </c>
      <c r="AC24" s="1096">
        <f t="shared" si="32"/>
        <v>37500</v>
      </c>
      <c r="AD24" s="1096">
        <f>IF(AD23="",0, Z24+AD23/AD30)</f>
        <v>37500</v>
      </c>
      <c r="AE24" s="1207">
        <f>IF(AE23="",0, AA24+AE23/AE30)</f>
        <v>37500</v>
      </c>
      <c r="AF24" s="1207">
        <f>IF(AF23="",0, AB24+AF23/AF30)</f>
        <v>37500</v>
      </c>
      <c r="AG24" s="1096">
        <f>IF(AG23="",0, AC24+AG23/AG30)</f>
        <v>37500</v>
      </c>
      <c r="AH24" s="1096">
        <f>IF(AH23="",0, AD24+AH23/AH30)</f>
        <v>37500</v>
      </c>
      <c r="AI24" s="1324">
        <f>IF(AI23="",0, AH24+AI23/AI30)</f>
        <v>0</v>
      </c>
      <c r="AJ24" s="716"/>
      <c r="AK24" s="716"/>
      <c r="AL24" s="209"/>
      <c r="AM24" s="794"/>
      <c r="AN24" s="91"/>
      <c r="AO24" s="675"/>
      <c r="AP24" s="39" t="s">
        <v>91</v>
      </c>
      <c r="AQ24" s="40">
        <f>SUM(E23:H23)</f>
        <v>10000</v>
      </c>
      <c r="AR24" s="41">
        <f>SUM(I23:O23)</f>
        <v>154000</v>
      </c>
      <c r="AS24" s="41">
        <f>SUM(P23:V23)</f>
        <v>136000</v>
      </c>
      <c r="AT24" s="41">
        <f>SUM(W23:AC23)</f>
        <v>0</v>
      </c>
      <c r="AU24" s="41">
        <f>SUM(AD23:AI23)</f>
        <v>0</v>
      </c>
      <c r="AV24" s="34">
        <f t="shared" ref="AV24:AV29" si="33">SUM(AQ24:AU24)</f>
        <v>300000</v>
      </c>
    </row>
    <row r="25" spans="1:48" s="23" customFormat="1" ht="20.65" customHeight="1">
      <c r="A25" s="302" t="s">
        <v>376</v>
      </c>
      <c r="B25" s="89" t="s">
        <v>272</v>
      </c>
      <c r="C25" s="89" t="s">
        <v>380</v>
      </c>
      <c r="D25" s="43" t="s">
        <v>93</v>
      </c>
      <c r="E25" s="1108">
        <v>0</v>
      </c>
      <c r="F25" s="1089">
        <v>0</v>
      </c>
      <c r="G25" s="44">
        <v>0</v>
      </c>
      <c r="H25" s="1089">
        <v>0</v>
      </c>
      <c r="I25" s="1089">
        <v>0</v>
      </c>
      <c r="J25" s="44">
        <v>0</v>
      </c>
      <c r="K25" s="44">
        <v>0</v>
      </c>
      <c r="L25" s="1089">
        <v>0</v>
      </c>
      <c r="M25" s="1089">
        <v>0</v>
      </c>
      <c r="N25" s="1089">
        <v>0</v>
      </c>
      <c r="O25" s="1089">
        <v>0</v>
      </c>
      <c r="P25" s="1089">
        <v>0</v>
      </c>
      <c r="Q25" s="44">
        <v>0</v>
      </c>
      <c r="R25" s="44">
        <v>0</v>
      </c>
      <c r="S25" s="1089">
        <v>0</v>
      </c>
      <c r="T25" s="1089">
        <v>0</v>
      </c>
      <c r="U25" s="1089">
        <v>0</v>
      </c>
      <c r="V25" s="1089">
        <v>0</v>
      </c>
      <c r="W25" s="1089">
        <v>0</v>
      </c>
      <c r="X25" s="44">
        <v>0</v>
      </c>
      <c r="Y25" s="44">
        <v>0</v>
      </c>
      <c r="Z25" s="1089">
        <v>2000</v>
      </c>
      <c r="AA25" s="1089">
        <v>36000</v>
      </c>
      <c r="AB25" s="1089"/>
      <c r="AC25" s="1089"/>
      <c r="AD25" s="1089"/>
      <c r="AE25" s="44"/>
      <c r="AF25" s="44"/>
      <c r="AG25" s="1089"/>
      <c r="AH25" s="1089"/>
      <c r="AI25" s="1326"/>
      <c r="AJ25" s="45">
        <f>SUM(E25:AI25)</f>
        <v>38000</v>
      </c>
      <c r="AK25" s="45"/>
      <c r="AL25" s="46">
        <f>+AJ25*AN23</f>
        <v>45288.02</v>
      </c>
      <c r="AM25" s="934"/>
      <c r="AN25" s="277"/>
      <c r="AO25" s="632">
        <f>(AJ25+AJ27+AJ28+AJ29)*B27/1000</f>
        <v>25.814545250000002</v>
      </c>
      <c r="AP25" s="47" t="s">
        <v>94</v>
      </c>
      <c r="AQ25" s="48">
        <f>SUM(E25:H25)</f>
        <v>0</v>
      </c>
      <c r="AR25" s="49">
        <f>SUM(I25:O25)</f>
        <v>0</v>
      </c>
      <c r="AS25" s="49">
        <f>SUM(P25:V25)</f>
        <v>0</v>
      </c>
      <c r="AT25" s="49">
        <f>SUM(W25:AC25)</f>
        <v>38000</v>
      </c>
      <c r="AU25" s="49">
        <f>SUM(AD25:AI25)</f>
        <v>0</v>
      </c>
      <c r="AV25" s="50">
        <f t="shared" si="33"/>
        <v>38000</v>
      </c>
    </row>
    <row r="26" spans="1:48" s="23" customFormat="1" ht="20.65" customHeight="1">
      <c r="A26" s="302" t="s">
        <v>376</v>
      </c>
      <c r="B26" s="638" t="s">
        <v>247</v>
      </c>
      <c r="C26" s="280"/>
      <c r="D26" s="53" t="s">
        <v>96</v>
      </c>
      <c r="E26" s="1137">
        <f>+E25-E23</f>
        <v>0</v>
      </c>
      <c r="F26" s="1097">
        <f t="shared" ref="F26:AJ26" si="34">+F25-F23</f>
        <v>0</v>
      </c>
      <c r="G26" s="1205">
        <f t="shared" si="34"/>
        <v>0</v>
      </c>
      <c r="H26" s="1097">
        <f>+H25-H23</f>
        <v>-10000</v>
      </c>
      <c r="I26" s="1097">
        <f t="shared" si="34"/>
        <v>-36000</v>
      </c>
      <c r="J26" s="1205">
        <f>+J25-J23</f>
        <v>0</v>
      </c>
      <c r="K26" s="1205">
        <f t="shared" si="34"/>
        <v>0</v>
      </c>
      <c r="L26" s="1097">
        <f t="shared" si="34"/>
        <v>-10000</v>
      </c>
      <c r="M26" s="1097">
        <f t="shared" si="34"/>
        <v>-36000</v>
      </c>
      <c r="N26" s="1097">
        <f t="shared" si="34"/>
        <v>-36000</v>
      </c>
      <c r="O26" s="1097">
        <f t="shared" si="34"/>
        <v>-36000</v>
      </c>
      <c r="P26" s="1097">
        <f t="shared" si="34"/>
        <v>-36000</v>
      </c>
      <c r="Q26" s="1205">
        <f>+Q25-Q23</f>
        <v>0</v>
      </c>
      <c r="R26" s="1205">
        <f t="shared" si="34"/>
        <v>0</v>
      </c>
      <c r="S26" s="1097">
        <f t="shared" si="34"/>
        <v>-10000</v>
      </c>
      <c r="T26" s="1097">
        <f t="shared" si="34"/>
        <v>-36000</v>
      </c>
      <c r="U26" s="1097">
        <f t="shared" si="34"/>
        <v>-36000</v>
      </c>
      <c r="V26" s="1097">
        <f t="shared" si="34"/>
        <v>-18000</v>
      </c>
      <c r="W26" s="1097">
        <f>+W25-W23</f>
        <v>0</v>
      </c>
      <c r="X26" s="1205">
        <f>+X25-X23</f>
        <v>0</v>
      </c>
      <c r="Y26" s="1205">
        <f t="shared" si="34"/>
        <v>0</v>
      </c>
      <c r="Z26" s="1097">
        <f t="shared" si="34"/>
        <v>2000</v>
      </c>
      <c r="AA26" s="1097">
        <f>+AA25-AA23</f>
        <v>36000</v>
      </c>
      <c r="AB26" s="1097">
        <f t="shared" si="34"/>
        <v>0</v>
      </c>
      <c r="AC26" s="1097">
        <f t="shared" si="34"/>
        <v>0</v>
      </c>
      <c r="AD26" s="1097">
        <f t="shared" si="34"/>
        <v>0</v>
      </c>
      <c r="AE26" s="1205">
        <f t="shared" si="34"/>
        <v>0</v>
      </c>
      <c r="AF26" s="1205">
        <f t="shared" si="34"/>
        <v>0</v>
      </c>
      <c r="AG26" s="1097">
        <f t="shared" si="34"/>
        <v>0</v>
      </c>
      <c r="AH26" s="1097">
        <f t="shared" si="34"/>
        <v>0</v>
      </c>
      <c r="AI26" s="1328">
        <f t="shared" si="34"/>
        <v>0</v>
      </c>
      <c r="AJ26" s="79">
        <f t="shared" si="34"/>
        <v>-262000</v>
      </c>
      <c r="AK26" s="79"/>
      <c r="AL26" s="55">
        <f>+AJ26*AN23</f>
        <v>-312248.98</v>
      </c>
      <c r="AM26" s="935"/>
      <c r="AN26" s="277" t="s">
        <v>97</v>
      </c>
      <c r="AO26" s="622"/>
      <c r="AP26" s="39" t="s">
        <v>98</v>
      </c>
      <c r="AQ26" s="56">
        <f>AQ25-AQ24</f>
        <v>-10000</v>
      </c>
      <c r="AR26" s="70">
        <f>AR25-AR24</f>
        <v>-154000</v>
      </c>
      <c r="AS26" s="70">
        <f>AS25-AS24</f>
        <v>-136000</v>
      </c>
      <c r="AT26" s="70">
        <f>AT25-AT24</f>
        <v>38000</v>
      </c>
      <c r="AU26" s="70">
        <f>AU25-AU24</f>
        <v>0</v>
      </c>
      <c r="AV26" s="57">
        <f t="shared" si="33"/>
        <v>-262000</v>
      </c>
    </row>
    <row r="27" spans="1:48" s="23" customFormat="1" ht="20.65" customHeight="1">
      <c r="A27" s="302" t="s">
        <v>376</v>
      </c>
      <c r="B27" s="659">
        <v>0.47612500000000002</v>
      </c>
      <c r="C27" s="297">
        <v>50000</v>
      </c>
      <c r="D27" s="61" t="s">
        <v>101</v>
      </c>
      <c r="E27" s="1098">
        <v>540</v>
      </c>
      <c r="F27" s="1099">
        <v>0</v>
      </c>
      <c r="G27" s="1208">
        <v>0</v>
      </c>
      <c r="H27" s="1099">
        <v>362</v>
      </c>
      <c r="I27" s="1099">
        <v>752</v>
      </c>
      <c r="J27" s="1208">
        <v>0</v>
      </c>
      <c r="K27" s="1208">
        <v>0</v>
      </c>
      <c r="L27" s="1099">
        <v>1376</v>
      </c>
      <c r="M27" s="1099">
        <v>2952</v>
      </c>
      <c r="N27" s="1099">
        <v>584</v>
      </c>
      <c r="O27" s="1099">
        <v>1816</v>
      </c>
      <c r="P27" s="1099">
        <v>1316</v>
      </c>
      <c r="Q27" s="1208">
        <v>0</v>
      </c>
      <c r="R27" s="1208">
        <v>0</v>
      </c>
      <c r="S27" s="1099">
        <v>1888</v>
      </c>
      <c r="T27" s="1099">
        <v>280</v>
      </c>
      <c r="U27" s="1099">
        <v>320</v>
      </c>
      <c r="V27" s="1099">
        <v>824</v>
      </c>
      <c r="W27" s="1099">
        <v>1088</v>
      </c>
      <c r="X27" s="1208">
        <v>0</v>
      </c>
      <c r="Y27" s="1208">
        <v>0</v>
      </c>
      <c r="Z27" s="1099">
        <v>808</v>
      </c>
      <c r="AA27" s="1099">
        <v>960</v>
      </c>
      <c r="AB27" s="1099"/>
      <c r="AC27" s="1099"/>
      <c r="AD27" s="1099"/>
      <c r="AE27" s="1208"/>
      <c r="AF27" s="1208"/>
      <c r="AG27" s="1099"/>
      <c r="AH27" s="1099"/>
      <c r="AI27" s="1330"/>
      <c r="AJ27" s="62">
        <f>SUM(E27:AI27)</f>
        <v>15866</v>
      </c>
      <c r="AK27" s="62"/>
      <c r="AL27" s="63">
        <f>+AJ27*AN23</f>
        <v>18908.940139999999</v>
      </c>
      <c r="AM27" s="936"/>
      <c r="AN27" s="303">
        <f>+AJ27/AJ25</f>
        <v>0.41752631578947369</v>
      </c>
      <c r="AO27" s="635">
        <f>AO25/AO23</f>
        <v>0.18072666666666667</v>
      </c>
      <c r="AP27" s="39" t="s">
        <v>102</v>
      </c>
      <c r="AQ27" s="56">
        <f>SUM(E27:H27)</f>
        <v>902</v>
      </c>
      <c r="AR27" s="70">
        <f>SUM(I27:O27)</f>
        <v>7480</v>
      </c>
      <c r="AS27" s="70">
        <f>SUM(P27:V27)</f>
        <v>4628</v>
      </c>
      <c r="AT27" s="70">
        <f>SUM(W27:AC27)</f>
        <v>2856</v>
      </c>
      <c r="AU27" s="70">
        <f>SUM(AD27:AI27)</f>
        <v>0</v>
      </c>
      <c r="AV27" s="57">
        <f t="shared" si="33"/>
        <v>15866</v>
      </c>
    </row>
    <row r="28" spans="1:48" s="23" customFormat="1" ht="20.65" customHeight="1">
      <c r="A28" s="298"/>
      <c r="B28" s="89"/>
      <c r="C28" s="89" t="s">
        <v>108</v>
      </c>
      <c r="D28" s="67" t="s">
        <v>103</v>
      </c>
      <c r="E28" s="1100">
        <v>0</v>
      </c>
      <c r="F28" s="1101">
        <v>0</v>
      </c>
      <c r="G28" s="1209">
        <v>0</v>
      </c>
      <c r="H28" s="1101">
        <v>0</v>
      </c>
      <c r="I28" s="1101">
        <v>0</v>
      </c>
      <c r="J28" s="1209">
        <v>0</v>
      </c>
      <c r="K28" s="1209">
        <v>0</v>
      </c>
      <c r="L28" s="1101">
        <v>0</v>
      </c>
      <c r="M28" s="1101">
        <v>0</v>
      </c>
      <c r="N28" s="1101">
        <v>0</v>
      </c>
      <c r="O28" s="1101">
        <v>0</v>
      </c>
      <c r="P28" s="1101">
        <v>0</v>
      </c>
      <c r="Q28" s="1209">
        <v>0</v>
      </c>
      <c r="R28" s="1209">
        <v>0</v>
      </c>
      <c r="S28" s="1101">
        <v>0</v>
      </c>
      <c r="T28" s="1101">
        <v>0</v>
      </c>
      <c r="U28" s="1101">
        <v>0</v>
      </c>
      <c r="V28" s="1101">
        <v>0</v>
      </c>
      <c r="W28" s="1101">
        <v>0</v>
      </c>
      <c r="X28" s="1209">
        <v>0</v>
      </c>
      <c r="Y28" s="1209">
        <v>0</v>
      </c>
      <c r="Z28" s="1101">
        <v>0</v>
      </c>
      <c r="AA28" s="1101">
        <v>192</v>
      </c>
      <c r="AB28" s="1101"/>
      <c r="AC28" s="1101"/>
      <c r="AD28" s="1101"/>
      <c r="AE28" s="1209"/>
      <c r="AF28" s="1209"/>
      <c r="AG28" s="1101"/>
      <c r="AH28" s="1101"/>
      <c r="AI28" s="1332"/>
      <c r="AJ28" s="68">
        <f>SUM(E28:AI28)</f>
        <v>192</v>
      </c>
      <c r="AK28" s="68"/>
      <c r="AL28" s="69">
        <f>+AJ28*AN23</f>
        <v>228.82367999999997</v>
      </c>
      <c r="AM28" s="937"/>
      <c r="AN28" s="277"/>
      <c r="AO28" s="679"/>
      <c r="AP28" s="39" t="s">
        <v>19</v>
      </c>
      <c r="AQ28" s="56">
        <f>AQ27*AN23</f>
        <v>1074.9945799999998</v>
      </c>
      <c r="AR28" s="56">
        <f>AR27*AN23</f>
        <v>8914.5891999999985</v>
      </c>
      <c r="AS28" s="56">
        <f>AS27*AN23</f>
        <v>5515.60412</v>
      </c>
      <c r="AT28" s="56">
        <f>AT27*AN23</f>
        <v>3403.7522399999998</v>
      </c>
      <c r="AU28" s="56">
        <f>AU27*AN23</f>
        <v>0</v>
      </c>
      <c r="AV28" s="57">
        <f t="shared" si="33"/>
        <v>18908.940139999999</v>
      </c>
    </row>
    <row r="29" spans="1:48" s="23" customFormat="1" ht="20.65" customHeight="1">
      <c r="A29" s="298"/>
      <c r="B29" s="89"/>
      <c r="C29" s="299">
        <f>+C27*0.8</f>
        <v>40000</v>
      </c>
      <c r="D29" s="73" t="s">
        <v>105</v>
      </c>
      <c r="E29" s="1115">
        <v>0</v>
      </c>
      <c r="F29" s="1115">
        <v>0</v>
      </c>
      <c r="G29" s="1203">
        <v>0</v>
      </c>
      <c r="H29" s="1115">
        <v>0</v>
      </c>
      <c r="I29" s="1115">
        <v>0</v>
      </c>
      <c r="J29" s="1203">
        <v>0</v>
      </c>
      <c r="K29" s="1210">
        <v>0</v>
      </c>
      <c r="L29" s="1103">
        <v>0</v>
      </c>
      <c r="M29" s="1115">
        <v>0</v>
      </c>
      <c r="N29" s="1115">
        <v>0</v>
      </c>
      <c r="O29" s="1103">
        <v>0</v>
      </c>
      <c r="P29" s="1103">
        <v>0</v>
      </c>
      <c r="Q29" s="1210">
        <v>0</v>
      </c>
      <c r="R29" s="1210">
        <v>0</v>
      </c>
      <c r="S29" s="1103">
        <v>0</v>
      </c>
      <c r="T29" s="1103">
        <v>0</v>
      </c>
      <c r="U29" s="1103">
        <v>0</v>
      </c>
      <c r="V29" s="1103">
        <v>0</v>
      </c>
      <c r="W29" s="1103">
        <v>0</v>
      </c>
      <c r="X29" s="1203">
        <v>0</v>
      </c>
      <c r="Y29" s="1203">
        <v>0</v>
      </c>
      <c r="Z29" s="1115">
        <v>0</v>
      </c>
      <c r="AA29" s="1115">
        <v>160</v>
      </c>
      <c r="AB29" s="1115"/>
      <c r="AC29" s="1115"/>
      <c r="AD29" s="1115"/>
      <c r="AE29" s="1203"/>
      <c r="AF29" s="1203"/>
      <c r="AG29" s="1115"/>
      <c r="AH29" s="1115"/>
      <c r="AI29" s="1399"/>
      <c r="AJ29" s="717">
        <f>SUM(E29:AI29)</f>
        <v>160</v>
      </c>
      <c r="AK29" s="717"/>
      <c r="AL29" s="75">
        <f>+AJ29*AN23</f>
        <v>190.68639999999999</v>
      </c>
      <c r="AM29" s="938"/>
      <c r="AN29" s="91"/>
      <c r="AO29" s="630"/>
      <c r="AP29" s="47" t="s">
        <v>106</v>
      </c>
      <c r="AQ29" s="48">
        <f>AQ25*AN23</f>
        <v>0</v>
      </c>
      <c r="AR29" s="48">
        <f>AR25*AN23</f>
        <v>0</v>
      </c>
      <c r="AS29" s="48">
        <f>AS25*AN23</f>
        <v>0</v>
      </c>
      <c r="AT29" s="48">
        <f>AT25*AN23</f>
        <v>45288.02</v>
      </c>
      <c r="AU29" s="48">
        <f>AU25*AN23</f>
        <v>0</v>
      </c>
      <c r="AV29" s="50">
        <f t="shared" si="33"/>
        <v>45288.02</v>
      </c>
    </row>
    <row r="30" spans="1:48" s="23" customFormat="1" ht="20.65" customHeight="1">
      <c r="A30" s="302" t="s">
        <v>376</v>
      </c>
      <c r="B30" s="89"/>
      <c r="C30" s="300"/>
      <c r="D30" s="78" t="s">
        <v>107</v>
      </c>
      <c r="E30" s="1137">
        <v>8</v>
      </c>
      <c r="F30" s="1097">
        <v>8</v>
      </c>
      <c r="G30" s="1205">
        <v>8</v>
      </c>
      <c r="H30" s="1097">
        <v>8</v>
      </c>
      <c r="I30" s="1097">
        <v>8</v>
      </c>
      <c r="J30" s="1205">
        <v>8</v>
      </c>
      <c r="K30" s="1205">
        <v>8</v>
      </c>
      <c r="L30" s="1097">
        <v>8</v>
      </c>
      <c r="M30" s="1097">
        <v>8</v>
      </c>
      <c r="N30" s="1097">
        <v>8</v>
      </c>
      <c r="O30" s="1097">
        <v>8</v>
      </c>
      <c r="P30" s="1097">
        <v>8</v>
      </c>
      <c r="Q30" s="1205">
        <v>8</v>
      </c>
      <c r="R30" s="1205">
        <v>8</v>
      </c>
      <c r="S30" s="1097">
        <v>8</v>
      </c>
      <c r="T30" s="1097">
        <v>8</v>
      </c>
      <c r="U30" s="1097">
        <v>8</v>
      </c>
      <c r="V30" s="1097">
        <v>8</v>
      </c>
      <c r="W30" s="1097">
        <v>8</v>
      </c>
      <c r="X30" s="1205">
        <v>8</v>
      </c>
      <c r="Y30" s="1205">
        <v>8</v>
      </c>
      <c r="Z30" s="1097">
        <v>8</v>
      </c>
      <c r="AA30" s="1097">
        <v>8</v>
      </c>
      <c r="AB30" s="1097">
        <v>8</v>
      </c>
      <c r="AC30" s="1097">
        <v>8</v>
      </c>
      <c r="AD30" s="1097">
        <v>8</v>
      </c>
      <c r="AE30" s="1205">
        <v>8</v>
      </c>
      <c r="AF30" s="1205">
        <v>8</v>
      </c>
      <c r="AG30" s="1097">
        <v>8</v>
      </c>
      <c r="AH30" s="1097">
        <v>8</v>
      </c>
      <c r="AI30" s="1328">
        <v>8</v>
      </c>
      <c r="AJ30" s="79"/>
      <c r="AK30" s="79"/>
      <c r="AL30" s="69"/>
      <c r="AM30" s="937"/>
      <c r="AN30" s="277"/>
      <c r="AO30" s="679"/>
      <c r="AP30" s="47"/>
      <c r="AQ30" s="48"/>
      <c r="AR30" s="48"/>
      <c r="AS30" s="48"/>
      <c r="AT30" s="48"/>
      <c r="AU30" s="48"/>
      <c r="AV30" s="284"/>
    </row>
    <row r="31" spans="1:48" s="23" customFormat="1" ht="20.65" customHeight="1">
      <c r="A31" s="302" t="s">
        <v>376</v>
      </c>
      <c r="B31" s="89"/>
      <c r="C31" s="42"/>
      <c r="D31" s="81" t="s">
        <v>109</v>
      </c>
      <c r="E31" s="1125">
        <f>SUM(E25+E27+E28+E29)/E30</f>
        <v>67.5</v>
      </c>
      <c r="F31" s="1125">
        <f>SUM(F25+F27+F28+F29)/F30</f>
        <v>0</v>
      </c>
      <c r="G31" s="1233">
        <f>SUM(G25+G27+G28+G29)/G30</f>
        <v>0</v>
      </c>
      <c r="H31" s="1125">
        <f t="shared" ref="H31:AH31" si="35">SUM(H25+H27+H28+H29)/H30</f>
        <v>45.25</v>
      </c>
      <c r="I31" s="1125">
        <f t="shared" si="35"/>
        <v>94</v>
      </c>
      <c r="J31" s="1233">
        <f t="shared" si="35"/>
        <v>0</v>
      </c>
      <c r="K31" s="1233">
        <f t="shared" si="35"/>
        <v>0</v>
      </c>
      <c r="L31" s="1125">
        <f t="shared" si="35"/>
        <v>172</v>
      </c>
      <c r="M31" s="1125">
        <f t="shared" si="35"/>
        <v>369</v>
      </c>
      <c r="N31" s="1125">
        <f t="shared" si="35"/>
        <v>73</v>
      </c>
      <c r="O31" s="1125">
        <f t="shared" si="35"/>
        <v>227</v>
      </c>
      <c r="P31" s="1125">
        <f t="shared" si="35"/>
        <v>164.5</v>
      </c>
      <c r="Q31" s="1233">
        <f>SUM(Q25+Q27+Q28+Q29)/Q30</f>
        <v>0</v>
      </c>
      <c r="R31" s="1233">
        <f t="shared" si="35"/>
        <v>0</v>
      </c>
      <c r="S31" s="1125">
        <f t="shared" si="35"/>
        <v>236</v>
      </c>
      <c r="T31" s="1125">
        <f t="shared" si="35"/>
        <v>35</v>
      </c>
      <c r="U31" s="1125">
        <f t="shared" si="35"/>
        <v>40</v>
      </c>
      <c r="V31" s="1125">
        <f t="shared" si="35"/>
        <v>103</v>
      </c>
      <c r="W31" s="1125">
        <f t="shared" si="35"/>
        <v>136</v>
      </c>
      <c r="X31" s="1233">
        <f t="shared" si="35"/>
        <v>0</v>
      </c>
      <c r="Y31" s="1233">
        <f t="shared" si="35"/>
        <v>0</v>
      </c>
      <c r="Z31" s="1125">
        <f t="shared" si="35"/>
        <v>351</v>
      </c>
      <c r="AA31" s="1125">
        <f t="shared" si="35"/>
        <v>4664</v>
      </c>
      <c r="AB31" s="1125">
        <f t="shared" si="35"/>
        <v>0</v>
      </c>
      <c r="AC31" s="1125">
        <f t="shared" si="35"/>
        <v>0</v>
      </c>
      <c r="AD31" s="1125">
        <f t="shared" si="35"/>
        <v>0</v>
      </c>
      <c r="AE31" s="1233">
        <f t="shared" si="35"/>
        <v>0</v>
      </c>
      <c r="AF31" s="1233">
        <f t="shared" si="35"/>
        <v>0</v>
      </c>
      <c r="AG31" s="1125">
        <f t="shared" si="35"/>
        <v>0</v>
      </c>
      <c r="AH31" s="1125">
        <f t="shared" si="35"/>
        <v>0</v>
      </c>
      <c r="AI31" s="1335">
        <f>SUM(AI25+AI27+AI28+AI29)/AI30</f>
        <v>0</v>
      </c>
      <c r="AJ31" s="515">
        <f>SUM(E31:AI31)</f>
        <v>6777.25</v>
      </c>
      <c r="AK31" s="515"/>
      <c r="AL31" s="689"/>
      <c r="AM31" s="940"/>
      <c r="AN31" s="277"/>
      <c r="AO31" s="679"/>
      <c r="AP31" s="285"/>
      <c r="AQ31" s="285"/>
      <c r="AR31" s="285"/>
      <c r="AS31" s="285"/>
      <c r="AT31" s="286"/>
      <c r="AU31" s="285"/>
      <c r="AV31" s="287"/>
    </row>
    <row r="32" spans="1:48" s="23" customFormat="1" ht="20.65" customHeight="1">
      <c r="A32" s="302" t="s">
        <v>376</v>
      </c>
      <c r="B32" s="89"/>
      <c r="C32" s="72"/>
      <c r="D32" s="85" t="s">
        <v>110</v>
      </c>
      <c r="E32" s="1400"/>
      <c r="F32" s="1154"/>
      <c r="G32" s="1286"/>
      <c r="H32" s="1154"/>
      <c r="I32" s="1154"/>
      <c r="J32" s="1286"/>
      <c r="K32" s="1286"/>
      <c r="L32" s="1154"/>
      <c r="M32" s="1155"/>
      <c r="N32" s="1154"/>
      <c r="O32" s="1154"/>
      <c r="P32" s="1154"/>
      <c r="Q32" s="1229"/>
      <c r="R32" s="1286"/>
      <c r="S32" s="1154"/>
      <c r="T32" s="1154"/>
      <c r="U32" s="1154"/>
      <c r="V32" s="1154"/>
      <c r="W32" s="1154"/>
      <c r="X32" s="1229"/>
      <c r="Y32" s="1286"/>
      <c r="Z32" s="1154"/>
      <c r="AA32" s="1154"/>
      <c r="AB32" s="1154"/>
      <c r="AC32" s="1154"/>
      <c r="AD32" s="1154"/>
      <c r="AE32" s="1286"/>
      <c r="AF32" s="1229"/>
      <c r="AG32" s="1154"/>
      <c r="AH32" s="1154"/>
      <c r="AI32" s="1401"/>
      <c r="AJ32" s="86"/>
      <c r="AK32" s="86"/>
      <c r="AL32" s="690"/>
      <c r="AM32" s="940"/>
      <c r="AN32" s="277"/>
      <c r="AO32" s="679"/>
      <c r="AP32" s="285"/>
      <c r="AQ32" s="285"/>
      <c r="AR32" s="285"/>
      <c r="AS32" s="285"/>
      <c r="AT32" s="286"/>
      <c r="AU32" s="285"/>
      <c r="AV32" s="287"/>
    </row>
    <row r="33" spans="1:48" s="23" customFormat="1" ht="20.65" customHeight="1">
      <c r="A33" s="302" t="s">
        <v>376</v>
      </c>
      <c r="B33" s="89"/>
      <c r="C33" s="72" t="s">
        <v>104</v>
      </c>
      <c r="D33" s="88" t="s">
        <v>111</v>
      </c>
      <c r="E33" s="1156">
        <f>IF(E32="O/H",E31,0+E31)</f>
        <v>67.5</v>
      </c>
      <c r="F33" s="1157">
        <f t="shared" ref="F33:AB33" si="36">IF(F32="O/H",F31,+E33+F31)</f>
        <v>67.5</v>
      </c>
      <c r="G33" s="1264">
        <f t="shared" si="36"/>
        <v>67.5</v>
      </c>
      <c r="H33" s="1157">
        <f t="shared" si="36"/>
        <v>112.75</v>
      </c>
      <c r="I33" s="1157">
        <f t="shared" si="36"/>
        <v>206.75</v>
      </c>
      <c r="J33" s="1264">
        <f t="shared" si="36"/>
        <v>206.75</v>
      </c>
      <c r="K33" s="1264">
        <f t="shared" si="36"/>
        <v>206.75</v>
      </c>
      <c r="L33" s="1157">
        <f t="shared" si="36"/>
        <v>378.75</v>
      </c>
      <c r="M33" s="1157">
        <f t="shared" si="36"/>
        <v>747.75</v>
      </c>
      <c r="N33" s="1157">
        <f t="shared" si="36"/>
        <v>820.75</v>
      </c>
      <c r="O33" s="1157">
        <f t="shared" si="36"/>
        <v>1047.75</v>
      </c>
      <c r="P33" s="1157">
        <f t="shared" si="36"/>
        <v>1212.25</v>
      </c>
      <c r="Q33" s="1264">
        <f t="shared" si="36"/>
        <v>1212.25</v>
      </c>
      <c r="R33" s="1264">
        <f t="shared" si="36"/>
        <v>1212.25</v>
      </c>
      <c r="S33" s="1157">
        <f t="shared" si="36"/>
        <v>1448.25</v>
      </c>
      <c r="T33" s="1157">
        <f t="shared" si="36"/>
        <v>1483.25</v>
      </c>
      <c r="U33" s="1157">
        <f t="shared" si="36"/>
        <v>1523.25</v>
      </c>
      <c r="V33" s="1157">
        <f t="shared" si="36"/>
        <v>1626.25</v>
      </c>
      <c r="W33" s="1157">
        <f t="shared" si="36"/>
        <v>1762.25</v>
      </c>
      <c r="X33" s="1264">
        <f t="shared" si="36"/>
        <v>1762.25</v>
      </c>
      <c r="Y33" s="1264">
        <f t="shared" si="36"/>
        <v>1762.25</v>
      </c>
      <c r="Z33" s="1157">
        <f t="shared" si="36"/>
        <v>2113.25</v>
      </c>
      <c r="AA33" s="1157">
        <f t="shared" si="36"/>
        <v>6777.25</v>
      </c>
      <c r="AB33" s="1157">
        <f t="shared" si="36"/>
        <v>6777.25</v>
      </c>
      <c r="AC33" s="1157">
        <f>IF(AC32="O/H",AC31,+AB33+AC31)</f>
        <v>6777.25</v>
      </c>
      <c r="AD33" s="1157">
        <f t="shared" ref="AD33:AI33" si="37">IF(AD32="O/H",AD31,+AC33+AD31)</f>
        <v>6777.25</v>
      </c>
      <c r="AE33" s="1264">
        <f t="shared" si="37"/>
        <v>6777.25</v>
      </c>
      <c r="AF33" s="1264">
        <f t="shared" si="37"/>
        <v>6777.25</v>
      </c>
      <c r="AG33" s="1157">
        <f t="shared" si="37"/>
        <v>6777.25</v>
      </c>
      <c r="AH33" s="1157">
        <f t="shared" si="37"/>
        <v>6777.25</v>
      </c>
      <c r="AI33" s="1402">
        <f t="shared" si="37"/>
        <v>6777.25</v>
      </c>
      <c r="AJ33" s="86"/>
      <c r="AK33" s="86"/>
      <c r="AL33" s="689"/>
      <c r="AM33" s="940"/>
      <c r="AN33" s="277"/>
      <c r="AO33" s="679"/>
      <c r="AP33" s="285"/>
      <c r="AQ33" s="285"/>
      <c r="AR33" s="285"/>
      <c r="AS33" s="285"/>
      <c r="AT33" s="286"/>
      <c r="AU33" s="285"/>
      <c r="AV33" s="287"/>
    </row>
    <row r="34" spans="1:48" s="23" customFormat="1" ht="20.45" customHeight="1">
      <c r="A34" s="312"/>
      <c r="B34" s="1226" t="s">
        <v>529</v>
      </c>
      <c r="C34" s="308">
        <v>300000</v>
      </c>
      <c r="D34" s="795" t="s">
        <v>112</v>
      </c>
      <c r="E34" s="1117">
        <f>IF(AND(ISNUMBER(E25)),3799749+E31)</f>
        <v>3799816.5</v>
      </c>
      <c r="F34" s="1118">
        <f t="shared" ref="F34:G34" si="38">IF(AND(ISNUMBER(F25)),E34+F31,"")</f>
        <v>3799816.5</v>
      </c>
      <c r="G34" s="1216">
        <f t="shared" si="38"/>
        <v>3799816.5</v>
      </c>
      <c r="H34" s="1118">
        <f t="shared" ref="H34" si="39">IF(AND(ISNUMBER(H25)),G34+H31,"")</f>
        <v>3799861.75</v>
      </c>
      <c r="I34" s="1118">
        <f>IF(AND(ISNUMBER(I25)),H34+I31,"")</f>
        <v>3799955.75</v>
      </c>
      <c r="J34" s="1216">
        <f>IF(AND(ISNUMBER(J25)),I34+J31,"")</f>
        <v>3799955.75</v>
      </c>
      <c r="K34" s="1216">
        <f>IF(AND(ISNUMBER(K25)),J34+K31,"")</f>
        <v>3799955.75</v>
      </c>
      <c r="L34" s="1118">
        <f t="shared" ref="L34" si="40">IF(AND(ISNUMBER(L25)),K34+L31,"")</f>
        <v>3800127.75</v>
      </c>
      <c r="M34" s="1118">
        <f t="shared" ref="M34" si="41">IF(AND(ISNUMBER(M25)),L34+M31,"")</f>
        <v>3800496.75</v>
      </c>
      <c r="N34" s="1118">
        <f t="shared" ref="N34" si="42">IF(AND(ISNUMBER(N25)),M34+N31,"")</f>
        <v>3800569.75</v>
      </c>
      <c r="O34" s="1118">
        <f t="shared" ref="O34" si="43">IF(AND(ISNUMBER(O25)),N34+O31,"")</f>
        <v>3800796.75</v>
      </c>
      <c r="P34" s="1118">
        <f t="shared" ref="P34" si="44">IF(AND(ISNUMBER(P25)),O34+P31,"")</f>
        <v>3800961.25</v>
      </c>
      <c r="Q34" s="1216">
        <f t="shared" ref="Q34" si="45">IF(AND(ISNUMBER(Q25)),P34+Q31,"")</f>
        <v>3800961.25</v>
      </c>
      <c r="R34" s="1216">
        <f t="shared" ref="R34" si="46">IF(AND(ISNUMBER(R25)),Q34+R31,"")</f>
        <v>3800961.25</v>
      </c>
      <c r="S34" s="1118">
        <f t="shared" ref="S34" si="47">IF(AND(ISNUMBER(S25)),R34+S31,"")</f>
        <v>3801197.25</v>
      </c>
      <c r="T34" s="1118">
        <f t="shared" ref="T34" si="48">IF(AND(ISNUMBER(T25)),S34+T31,"")</f>
        <v>3801232.25</v>
      </c>
      <c r="U34" s="1118">
        <f t="shared" ref="U34" si="49">IF(AND(ISNUMBER(U25)),T34+U31,"")</f>
        <v>3801272.25</v>
      </c>
      <c r="V34" s="1118">
        <f t="shared" ref="V34" si="50">IF(AND(ISNUMBER(V25)),U34+V31,"")</f>
        <v>3801375.25</v>
      </c>
      <c r="W34" s="1118">
        <f t="shared" ref="W34" si="51">IF(AND(ISNUMBER(W25)),V34+W31,"")</f>
        <v>3801511.25</v>
      </c>
      <c r="X34" s="1216">
        <f t="shared" ref="X34" si="52">IF(AND(ISNUMBER(X25)),W34+X31,"")</f>
        <v>3801511.25</v>
      </c>
      <c r="Y34" s="1216">
        <f t="shared" ref="Y34" si="53">IF(AND(ISNUMBER(Y25)),X34+Y31,"")</f>
        <v>3801511.25</v>
      </c>
      <c r="Z34" s="1118">
        <f t="shared" ref="Z34" si="54">IF(AND(ISNUMBER(Z25)),Y34+Z31,"")</f>
        <v>3801862.25</v>
      </c>
      <c r="AA34" s="1118">
        <f t="shared" ref="AA34" si="55">IF(AND(ISNUMBER(AA25)),Z34+AA31,"")</f>
        <v>3806526.25</v>
      </c>
      <c r="AB34" s="1118" t="str">
        <f t="shared" ref="AB34" si="56">IF(AND(ISNUMBER(AB25)),AA34+AB31,"")</f>
        <v/>
      </c>
      <c r="AC34" s="1118" t="str">
        <f t="shared" ref="AC34" si="57">IF(AND(ISNUMBER(AC25)),AB34+AC31,"")</f>
        <v/>
      </c>
      <c r="AD34" s="1118" t="str">
        <f t="shared" ref="AD34" si="58">IF(AND(ISNUMBER(AD25)),AC34+AD31,"")</f>
        <v/>
      </c>
      <c r="AE34" s="1216" t="str">
        <f t="shared" ref="AE34" si="59">IF(AND(ISNUMBER(AE25)),AD34+AE31,"")</f>
        <v/>
      </c>
      <c r="AF34" s="1216" t="str">
        <f t="shared" ref="AF34" si="60">IF(AND(ISNUMBER(AF25)),AE34+AF31,"")</f>
        <v/>
      </c>
      <c r="AG34" s="1118" t="str">
        <f t="shared" ref="AG34" si="61">IF(AND(ISNUMBER(AG25)),AF34+AG31,"")</f>
        <v/>
      </c>
      <c r="AH34" s="1118" t="str">
        <f t="shared" ref="AH34" si="62">IF(AND(ISNUMBER(AH25)),AG34+AH31,"")</f>
        <v/>
      </c>
      <c r="AI34" s="1118" t="str">
        <f t="shared" ref="AI34" si="63">IF(AND(ISNUMBER(AI25)),AH34+AI31,"")</f>
        <v/>
      </c>
      <c r="AJ34" s="793"/>
      <c r="AK34" s="793"/>
      <c r="AL34" s="909"/>
      <c r="AM34" s="794"/>
      <c r="AN34" s="429"/>
      <c r="AO34" s="675"/>
      <c r="AP34" s="285"/>
      <c r="AQ34" s="285"/>
      <c r="AR34" s="285"/>
      <c r="AS34" s="285"/>
      <c r="AT34" s="286"/>
      <c r="AU34" s="285"/>
      <c r="AV34" s="287"/>
    </row>
    <row r="35" spans="1:48" s="23" customFormat="1" ht="20.65" customHeight="1">
      <c r="A35" s="276"/>
      <c r="B35" s="89"/>
      <c r="C35" s="80" t="s">
        <v>108</v>
      </c>
      <c r="D35" s="90" t="s">
        <v>104</v>
      </c>
      <c r="E35" s="1338"/>
      <c r="F35" s="1106"/>
      <c r="G35" s="1253"/>
      <c r="H35" s="1106"/>
      <c r="I35" s="1106"/>
      <c r="J35" s="1253"/>
      <c r="K35" s="1253"/>
      <c r="L35" s="1106"/>
      <c r="M35" s="1106"/>
      <c r="N35" s="1106"/>
      <c r="O35" s="1106"/>
      <c r="P35" s="1106"/>
      <c r="Q35" s="1253"/>
      <c r="R35" s="1253"/>
      <c r="S35" s="1106"/>
      <c r="T35" s="1106"/>
      <c r="U35" s="1106"/>
      <c r="V35" s="1106"/>
      <c r="W35" s="1106"/>
      <c r="X35" s="1253"/>
      <c r="Y35" s="1253"/>
      <c r="Z35" s="1106"/>
      <c r="AA35" s="1106"/>
      <c r="AB35" s="1106"/>
      <c r="AC35" s="1106"/>
      <c r="AD35" s="1106"/>
      <c r="AE35" s="1253"/>
      <c r="AF35" s="1253"/>
      <c r="AG35" s="1106"/>
      <c r="AH35" s="1106"/>
      <c r="AI35" s="1326"/>
      <c r="AJ35" s="79"/>
      <c r="AK35" s="79"/>
      <c r="AL35" s="63"/>
      <c r="AM35" s="936"/>
      <c r="AN35" s="301"/>
      <c r="AO35" s="680"/>
      <c r="AP35" s="285"/>
      <c r="AQ35" s="285"/>
      <c r="AR35" s="285"/>
      <c r="AS35" s="285"/>
      <c r="AT35" s="286"/>
      <c r="AU35" s="285"/>
      <c r="AV35" s="287"/>
    </row>
    <row r="36" spans="1:48" s="23" customFormat="1" ht="20.65" customHeight="1" thickBot="1">
      <c r="A36" s="289"/>
      <c r="B36" s="93"/>
      <c r="C36" s="94">
        <f>+C34*0.8</f>
        <v>240000</v>
      </c>
      <c r="D36" s="88" t="s">
        <v>111</v>
      </c>
      <c r="E36" s="1109">
        <f>IF(E35="O/H",E31,0+E31)</f>
        <v>67.5</v>
      </c>
      <c r="F36" s="1110">
        <f t="shared" ref="F36:AI36" si="64">IF(F35="O/H",F31,+E36+F31)</f>
        <v>67.5</v>
      </c>
      <c r="G36" s="1212">
        <f t="shared" si="64"/>
        <v>67.5</v>
      </c>
      <c r="H36" s="1110">
        <f t="shared" si="64"/>
        <v>112.75</v>
      </c>
      <c r="I36" s="1110">
        <f t="shared" si="64"/>
        <v>206.75</v>
      </c>
      <c r="J36" s="1212">
        <f t="shared" si="64"/>
        <v>206.75</v>
      </c>
      <c r="K36" s="1212">
        <f t="shared" si="64"/>
        <v>206.75</v>
      </c>
      <c r="L36" s="1110">
        <f t="shared" si="64"/>
        <v>378.75</v>
      </c>
      <c r="M36" s="1110">
        <f t="shared" si="64"/>
        <v>747.75</v>
      </c>
      <c r="N36" s="1110">
        <f t="shared" si="64"/>
        <v>820.75</v>
      </c>
      <c r="O36" s="1110">
        <f t="shared" si="64"/>
        <v>1047.75</v>
      </c>
      <c r="P36" s="1110">
        <f t="shared" si="64"/>
        <v>1212.25</v>
      </c>
      <c r="Q36" s="1212">
        <f t="shared" si="64"/>
        <v>1212.25</v>
      </c>
      <c r="R36" s="1212">
        <f t="shared" si="64"/>
        <v>1212.25</v>
      </c>
      <c r="S36" s="1110">
        <f t="shared" si="64"/>
        <v>1448.25</v>
      </c>
      <c r="T36" s="1110">
        <f t="shared" si="64"/>
        <v>1483.25</v>
      </c>
      <c r="U36" s="1110">
        <f t="shared" si="64"/>
        <v>1523.25</v>
      </c>
      <c r="V36" s="1110">
        <f t="shared" si="64"/>
        <v>1626.25</v>
      </c>
      <c r="W36" s="1110">
        <f t="shared" si="64"/>
        <v>1762.25</v>
      </c>
      <c r="X36" s="1212">
        <f t="shared" si="64"/>
        <v>1762.25</v>
      </c>
      <c r="Y36" s="1212">
        <f t="shared" si="64"/>
        <v>1762.25</v>
      </c>
      <c r="Z36" s="1110">
        <f t="shared" si="64"/>
        <v>2113.25</v>
      </c>
      <c r="AA36" s="1110">
        <f t="shared" si="64"/>
        <v>6777.25</v>
      </c>
      <c r="AB36" s="1110">
        <f t="shared" si="64"/>
        <v>6777.25</v>
      </c>
      <c r="AC36" s="1110">
        <f t="shared" si="64"/>
        <v>6777.25</v>
      </c>
      <c r="AD36" s="1110">
        <f t="shared" si="64"/>
        <v>6777.25</v>
      </c>
      <c r="AE36" s="1212">
        <f t="shared" si="64"/>
        <v>6777.25</v>
      </c>
      <c r="AF36" s="1212">
        <f t="shared" si="64"/>
        <v>6777.25</v>
      </c>
      <c r="AG36" s="1110">
        <f t="shared" si="64"/>
        <v>6777.25</v>
      </c>
      <c r="AH36" s="1110">
        <f t="shared" si="64"/>
        <v>6777.25</v>
      </c>
      <c r="AI36" s="1340">
        <f t="shared" si="64"/>
        <v>6777.25</v>
      </c>
      <c r="AJ36" s="96"/>
      <c r="AK36" s="96"/>
      <c r="AL36" s="97"/>
      <c r="AM36" s="958"/>
      <c r="AN36" s="292"/>
      <c r="AO36" s="681"/>
      <c r="AP36" s="285"/>
      <c r="AQ36" s="285"/>
      <c r="AR36" s="285"/>
      <c r="AS36" s="285"/>
      <c r="AT36" s="286"/>
      <c r="AU36" s="285"/>
      <c r="AV36" s="287"/>
    </row>
    <row r="37" spans="1:48" s="23" customFormat="1" ht="20.65" hidden="1" customHeight="1" thickTop="1">
      <c r="A37" s="298" t="s">
        <v>709</v>
      </c>
      <c r="B37" s="218"/>
      <c r="C37" s="1493" t="str">
        <f>Table2[[#This Row],[M/C No.]]</f>
        <v>H3(50ton)</v>
      </c>
      <c r="D37" s="28" t="s">
        <v>82</v>
      </c>
      <c r="E37" s="1139"/>
      <c r="F37" s="1139"/>
      <c r="G37" s="1231"/>
      <c r="H37" s="1139"/>
      <c r="I37" s="1139"/>
      <c r="J37" s="1231"/>
      <c r="K37" s="1231"/>
      <c r="L37" s="1139"/>
      <c r="M37" s="1139"/>
      <c r="N37" s="1139"/>
      <c r="O37" s="1139"/>
      <c r="P37" s="1139"/>
      <c r="Q37" s="1231"/>
      <c r="R37" s="1231"/>
      <c r="S37" s="1139"/>
      <c r="T37" s="1139"/>
      <c r="U37" s="1139"/>
      <c r="V37" s="1139"/>
      <c r="W37" s="1139"/>
      <c r="X37" s="1231"/>
      <c r="Y37" s="1231"/>
      <c r="Z37" s="1139"/>
      <c r="AA37" s="1139"/>
      <c r="AB37" s="1139"/>
      <c r="AC37" s="1139"/>
      <c r="AD37" s="1139"/>
      <c r="AE37" s="1231"/>
      <c r="AF37" s="1231"/>
      <c r="AG37" s="1139"/>
      <c r="AH37" s="1139"/>
      <c r="AI37" s="1322"/>
      <c r="AJ37" s="29">
        <f>SUM(E37:AI37)</f>
        <v>0</v>
      </c>
      <c r="AK37" s="1020">
        <f>AJ39</f>
        <v>0</v>
      </c>
      <c r="AL37" s="101">
        <f>+AJ37*AN37</f>
        <v>0</v>
      </c>
      <c r="AM37" s="1019">
        <f>AL39</f>
        <v>0</v>
      </c>
      <c r="AN37" s="273">
        <v>1.4330511458333333</v>
      </c>
      <c r="AO37" s="633">
        <f>Table2[[#This Row],[Total]]*B41/1000</f>
        <v>0</v>
      </c>
      <c r="AP37" s="32" t="s">
        <v>384</v>
      </c>
      <c r="AQ37" s="33" t="s">
        <v>84</v>
      </c>
      <c r="AR37" s="33" t="s">
        <v>85</v>
      </c>
      <c r="AS37" s="33" t="s">
        <v>86</v>
      </c>
      <c r="AT37" s="33" t="s">
        <v>87</v>
      </c>
      <c r="AU37" s="33" t="s">
        <v>88</v>
      </c>
      <c r="AV37" s="34" t="s">
        <v>68</v>
      </c>
    </row>
    <row r="38" spans="1:48" s="23" customFormat="1" ht="20.65" hidden="1" customHeight="1">
      <c r="A38" s="274"/>
      <c r="B38" s="219" t="s">
        <v>378</v>
      </c>
      <c r="C38" s="275"/>
      <c r="D38" s="37" t="s">
        <v>90</v>
      </c>
      <c r="E38" s="1323">
        <f>IF(E37="",0,+ E37/E44)</f>
        <v>0</v>
      </c>
      <c r="F38" s="1096">
        <f t="shared" ref="F38:AC38" si="65">IF(F37="",0, E38+F37/F44)</f>
        <v>0</v>
      </c>
      <c r="G38" s="1207">
        <f t="shared" si="65"/>
        <v>0</v>
      </c>
      <c r="H38" s="1096">
        <f t="shared" si="65"/>
        <v>0</v>
      </c>
      <c r="I38" s="1096">
        <f t="shared" si="65"/>
        <v>0</v>
      </c>
      <c r="J38" s="1207">
        <f t="shared" si="65"/>
        <v>0</v>
      </c>
      <c r="K38" s="1207">
        <f t="shared" si="65"/>
        <v>0</v>
      </c>
      <c r="L38" s="1096">
        <f t="shared" si="65"/>
        <v>0</v>
      </c>
      <c r="M38" s="1096">
        <f t="shared" si="65"/>
        <v>0</v>
      </c>
      <c r="N38" s="1096">
        <f t="shared" si="65"/>
        <v>0</v>
      </c>
      <c r="O38" s="1096">
        <f t="shared" si="65"/>
        <v>0</v>
      </c>
      <c r="P38" s="1096">
        <f t="shared" si="65"/>
        <v>0</v>
      </c>
      <c r="Q38" s="1207">
        <f t="shared" si="65"/>
        <v>0</v>
      </c>
      <c r="R38" s="1207">
        <f t="shared" si="65"/>
        <v>0</v>
      </c>
      <c r="S38" s="1096">
        <f t="shared" si="65"/>
        <v>0</v>
      </c>
      <c r="T38" s="1096">
        <f t="shared" si="65"/>
        <v>0</v>
      </c>
      <c r="U38" s="1096">
        <f t="shared" si="65"/>
        <v>0</v>
      </c>
      <c r="V38" s="1096">
        <f t="shared" si="65"/>
        <v>0</v>
      </c>
      <c r="W38" s="1096">
        <f t="shared" si="65"/>
        <v>0</v>
      </c>
      <c r="X38" s="1207">
        <f t="shared" si="65"/>
        <v>0</v>
      </c>
      <c r="Y38" s="1207">
        <f t="shared" si="65"/>
        <v>0</v>
      </c>
      <c r="Z38" s="1096">
        <f t="shared" si="65"/>
        <v>0</v>
      </c>
      <c r="AA38" s="1096">
        <f t="shared" si="65"/>
        <v>0</v>
      </c>
      <c r="AB38" s="1096">
        <f t="shared" si="65"/>
        <v>0</v>
      </c>
      <c r="AC38" s="1096">
        <f t="shared" si="65"/>
        <v>0</v>
      </c>
      <c r="AD38" s="1096">
        <f>IF(AD37="",0, Z38+AD37/AD44)</f>
        <v>0</v>
      </c>
      <c r="AE38" s="1207">
        <f>IF(AE37="",0, AA38+AE37/AE44)</f>
        <v>0</v>
      </c>
      <c r="AF38" s="1207">
        <f>IF(AF37="",0, AB38+AF37/AF44)</f>
        <v>0</v>
      </c>
      <c r="AG38" s="1096">
        <f>IF(AG37="",0, AC38+AG37/AG44)</f>
        <v>0</v>
      </c>
      <c r="AH38" s="1096">
        <f>IF(AH37="",0, AD38+AH37/AH44)</f>
        <v>0</v>
      </c>
      <c r="AI38" s="1324">
        <f>IF(AI37="",0, AH38+AI37/AI44)</f>
        <v>0</v>
      </c>
      <c r="AJ38" s="716"/>
      <c r="AK38" s="716"/>
      <c r="AL38" s="209"/>
      <c r="AM38" s="794"/>
      <c r="AN38" s="91"/>
      <c r="AO38" s="675"/>
      <c r="AP38" s="39" t="s">
        <v>91</v>
      </c>
      <c r="AQ38" s="40">
        <f>SUM(E37:K37)</f>
        <v>0</v>
      </c>
      <c r="AR38" s="41">
        <f>SUM(L37:R37)</f>
        <v>0</v>
      </c>
      <c r="AS38" s="41">
        <f>SUM(S37:Y37)</f>
        <v>0</v>
      </c>
      <c r="AT38" s="41">
        <f>SUM(Z37:AF37)</f>
        <v>0</v>
      </c>
      <c r="AU38" s="41">
        <f>SUM(AG37:AI37)</f>
        <v>0</v>
      </c>
      <c r="AV38" s="34">
        <f t="shared" ref="AV38:AV43" si="66">SUM(AQ38:AU38)</f>
        <v>0</v>
      </c>
    </row>
    <row r="39" spans="1:48" s="23" customFormat="1" ht="20.65" hidden="1" customHeight="1">
      <c r="A39" s="302" t="s">
        <v>376</v>
      </c>
      <c r="B39" s="89" t="s">
        <v>272</v>
      </c>
      <c r="C39" s="89" t="s">
        <v>380</v>
      </c>
      <c r="D39" s="43" t="s">
        <v>93</v>
      </c>
      <c r="E39" s="1403"/>
      <c r="F39" s="1119"/>
      <c r="G39" s="1243"/>
      <c r="H39" s="1089"/>
      <c r="I39" s="1119"/>
      <c r="J39" s="1243"/>
      <c r="K39" s="1243"/>
      <c r="L39" s="1119"/>
      <c r="M39" s="1119"/>
      <c r="N39" s="1119"/>
      <c r="O39" s="1089"/>
      <c r="P39" s="1089"/>
      <c r="Q39" s="44"/>
      <c r="R39" s="44"/>
      <c r="S39" s="1089"/>
      <c r="T39" s="1089"/>
      <c r="U39" s="1089"/>
      <c r="V39" s="1089"/>
      <c r="W39" s="1089"/>
      <c r="X39" s="44"/>
      <c r="Y39" s="44"/>
      <c r="Z39" s="1089"/>
      <c r="AA39" s="1089"/>
      <c r="AB39" s="1089"/>
      <c r="AC39" s="1089"/>
      <c r="AD39" s="1089"/>
      <c r="AE39" s="44"/>
      <c r="AF39" s="44"/>
      <c r="AG39" s="1089"/>
      <c r="AH39" s="1404"/>
      <c r="AI39" s="1405"/>
      <c r="AJ39" s="45">
        <f>SUM(E39:AI39)</f>
        <v>0</v>
      </c>
      <c r="AK39" s="45"/>
      <c r="AL39" s="46">
        <f>+AJ39*AN37</f>
        <v>0</v>
      </c>
      <c r="AM39" s="934"/>
      <c r="AN39" s="277"/>
      <c r="AO39" s="632">
        <f>(AJ39+AJ41+AJ42+AJ43)*B41/1000</f>
        <v>0</v>
      </c>
      <c r="AP39" s="47" t="s">
        <v>94</v>
      </c>
      <c r="AQ39" s="48">
        <f>SUM(E39:K39)</f>
        <v>0</v>
      </c>
      <c r="AR39" s="49">
        <f>SUM(L39:R39)</f>
        <v>0</v>
      </c>
      <c r="AS39" s="49">
        <f>SUM(S39:Y39)</f>
        <v>0</v>
      </c>
      <c r="AT39" s="49">
        <f>SUM(Z39:AF39)</f>
        <v>0</v>
      </c>
      <c r="AU39" s="49">
        <f>SUM(AG39:AI39)</f>
        <v>0</v>
      </c>
      <c r="AV39" s="50">
        <f t="shared" si="66"/>
        <v>0</v>
      </c>
    </row>
    <row r="40" spans="1:48" s="23" customFormat="1" ht="20.65" hidden="1" customHeight="1">
      <c r="A40" s="302" t="s">
        <v>376</v>
      </c>
      <c r="B40" s="638" t="s">
        <v>247</v>
      </c>
      <c r="C40" s="280"/>
      <c r="D40" s="53" t="s">
        <v>96</v>
      </c>
      <c r="E40" s="1137">
        <f t="shared" ref="E40:AJ40" si="67">+E39-E37</f>
        <v>0</v>
      </c>
      <c r="F40" s="1097">
        <f>+F39-F37</f>
        <v>0</v>
      </c>
      <c r="G40" s="1205">
        <f t="shared" si="67"/>
        <v>0</v>
      </c>
      <c r="H40" s="1097">
        <f t="shared" si="67"/>
        <v>0</v>
      </c>
      <c r="I40" s="1097">
        <f t="shared" si="67"/>
        <v>0</v>
      </c>
      <c r="J40" s="1205">
        <f>+J39-J37</f>
        <v>0</v>
      </c>
      <c r="K40" s="1205">
        <f t="shared" si="67"/>
        <v>0</v>
      </c>
      <c r="L40" s="1097">
        <f t="shared" si="67"/>
        <v>0</v>
      </c>
      <c r="M40" s="1097">
        <f t="shared" si="67"/>
        <v>0</v>
      </c>
      <c r="N40" s="1097">
        <f>+N39-N37</f>
        <v>0</v>
      </c>
      <c r="O40" s="1097">
        <f>+O39-O37</f>
        <v>0</v>
      </c>
      <c r="P40" s="1097">
        <f t="shared" si="67"/>
        <v>0</v>
      </c>
      <c r="Q40" s="1205">
        <f t="shared" si="67"/>
        <v>0</v>
      </c>
      <c r="R40" s="1205">
        <f t="shared" si="67"/>
        <v>0</v>
      </c>
      <c r="S40" s="1097">
        <f t="shared" si="67"/>
        <v>0</v>
      </c>
      <c r="T40" s="1097">
        <f t="shared" si="67"/>
        <v>0</v>
      </c>
      <c r="U40" s="1097">
        <f t="shared" si="67"/>
        <v>0</v>
      </c>
      <c r="V40" s="1097">
        <f t="shared" si="67"/>
        <v>0</v>
      </c>
      <c r="W40" s="1097">
        <f t="shared" si="67"/>
        <v>0</v>
      </c>
      <c r="X40" s="1205">
        <f t="shared" si="67"/>
        <v>0</v>
      </c>
      <c r="Y40" s="1205">
        <f t="shared" si="67"/>
        <v>0</v>
      </c>
      <c r="Z40" s="1097">
        <f t="shared" si="67"/>
        <v>0</v>
      </c>
      <c r="AA40" s="1097">
        <f t="shared" si="67"/>
        <v>0</v>
      </c>
      <c r="AB40" s="1097">
        <f t="shared" ref="AB40" si="68">+AB39-AB37</f>
        <v>0</v>
      </c>
      <c r="AC40" s="1097">
        <f t="shared" si="67"/>
        <v>0</v>
      </c>
      <c r="AD40" s="1097">
        <f t="shared" si="67"/>
        <v>0</v>
      </c>
      <c r="AE40" s="1205">
        <f t="shared" si="67"/>
        <v>0</v>
      </c>
      <c r="AF40" s="1205">
        <f t="shared" si="67"/>
        <v>0</v>
      </c>
      <c r="AG40" s="1097">
        <f t="shared" si="67"/>
        <v>0</v>
      </c>
      <c r="AH40" s="1097">
        <f t="shared" si="67"/>
        <v>0</v>
      </c>
      <c r="AI40" s="1328">
        <f t="shared" si="67"/>
        <v>0</v>
      </c>
      <c r="AJ40" s="79">
        <f t="shared" si="67"/>
        <v>0</v>
      </c>
      <c r="AK40" s="79"/>
      <c r="AL40" s="55">
        <f>+AJ40*AN37</f>
        <v>0</v>
      </c>
      <c r="AM40" s="935"/>
      <c r="AN40" s="277" t="s">
        <v>97</v>
      </c>
      <c r="AO40" s="622"/>
      <c r="AP40" s="39" t="s">
        <v>98</v>
      </c>
      <c r="AQ40" s="56">
        <f>AQ39-AQ38</f>
        <v>0</v>
      </c>
      <c r="AR40" s="70">
        <f>AR39-AR38</f>
        <v>0</v>
      </c>
      <c r="AS40" s="70">
        <f>AS39-AS38</f>
        <v>0</v>
      </c>
      <c r="AT40" s="70">
        <f>AT39-AT38</f>
        <v>0</v>
      </c>
      <c r="AU40" s="70">
        <f>AU39-AU38</f>
        <v>0</v>
      </c>
      <c r="AV40" s="57">
        <f t="shared" si="66"/>
        <v>0</v>
      </c>
    </row>
    <row r="41" spans="1:48" s="23" customFormat="1" ht="20.65" hidden="1" customHeight="1">
      <c r="A41" s="302" t="s">
        <v>376</v>
      </c>
      <c r="B41" s="659">
        <v>0.47413</v>
      </c>
      <c r="C41" s="297">
        <v>50000</v>
      </c>
      <c r="D41" s="61" t="s">
        <v>101</v>
      </c>
      <c r="E41" s="1098"/>
      <c r="F41" s="1099"/>
      <c r="G41" s="1208"/>
      <c r="H41" s="1099"/>
      <c r="I41" s="1099"/>
      <c r="J41" s="1208"/>
      <c r="K41" s="1208"/>
      <c r="L41" s="1099"/>
      <c r="M41" s="1099"/>
      <c r="N41" s="1099"/>
      <c r="O41" s="1099"/>
      <c r="P41" s="1099"/>
      <c r="Q41" s="1208"/>
      <c r="R41" s="1208"/>
      <c r="S41" s="1099"/>
      <c r="T41" s="1099"/>
      <c r="U41" s="1099"/>
      <c r="V41" s="1099"/>
      <c r="W41" s="1099"/>
      <c r="X41" s="1208"/>
      <c r="Y41" s="1208"/>
      <c r="Z41" s="1099"/>
      <c r="AA41" s="1099"/>
      <c r="AB41" s="1099"/>
      <c r="AC41" s="1099"/>
      <c r="AD41" s="1099"/>
      <c r="AE41" s="1208"/>
      <c r="AF41" s="1208"/>
      <c r="AG41" s="1099"/>
      <c r="AH41" s="1099"/>
      <c r="AI41" s="1330"/>
      <c r="AJ41" s="62">
        <f>SUM(E41:AI41)</f>
        <v>0</v>
      </c>
      <c r="AK41" s="62"/>
      <c r="AL41" s="63">
        <f>+AJ41*AN37</f>
        <v>0</v>
      </c>
      <c r="AM41" s="936"/>
      <c r="AN41" s="301" t="e">
        <f>+AJ41/AJ39*100</f>
        <v>#DIV/0!</v>
      </c>
      <c r="AO41" s="635" t="e">
        <f>AO39/AO37</f>
        <v>#DIV/0!</v>
      </c>
      <c r="AP41" s="39" t="s">
        <v>102</v>
      </c>
      <c r="AQ41" s="56">
        <f>SUM(E41:K41)</f>
        <v>0</v>
      </c>
      <c r="AR41" s="70">
        <f>SUM(L41:R41)</f>
        <v>0</v>
      </c>
      <c r="AS41" s="70">
        <f>SUM(S41:Y41)</f>
        <v>0</v>
      </c>
      <c r="AT41" s="70">
        <f>SUM(Z41:AF41)</f>
        <v>0</v>
      </c>
      <c r="AU41" s="70">
        <f>SUM(AG41:AI41)</f>
        <v>0</v>
      </c>
      <c r="AV41" s="57">
        <f t="shared" si="66"/>
        <v>0</v>
      </c>
    </row>
    <row r="42" spans="1:48" s="23" customFormat="1" ht="20.65" hidden="1" customHeight="1">
      <c r="A42" s="298"/>
      <c r="B42" s="89"/>
      <c r="C42" s="89" t="s">
        <v>108</v>
      </c>
      <c r="D42" s="67" t="s">
        <v>103</v>
      </c>
      <c r="E42" s="1100"/>
      <c r="F42" s="1101"/>
      <c r="G42" s="1209"/>
      <c r="H42" s="1101"/>
      <c r="I42" s="1101"/>
      <c r="J42" s="1209"/>
      <c r="K42" s="1209"/>
      <c r="L42" s="1101"/>
      <c r="M42" s="1101"/>
      <c r="N42" s="1101"/>
      <c r="O42" s="1101"/>
      <c r="P42" s="1101"/>
      <c r="Q42" s="1209"/>
      <c r="R42" s="1209"/>
      <c r="S42" s="1101"/>
      <c r="T42" s="1101"/>
      <c r="U42" s="1101"/>
      <c r="V42" s="1101"/>
      <c r="W42" s="1101"/>
      <c r="X42" s="1209"/>
      <c r="Y42" s="1209"/>
      <c r="Z42" s="1101"/>
      <c r="AA42" s="1101"/>
      <c r="AB42" s="1101"/>
      <c r="AC42" s="1101"/>
      <c r="AD42" s="1101"/>
      <c r="AE42" s="1209"/>
      <c r="AF42" s="1209"/>
      <c r="AG42" s="1101"/>
      <c r="AH42" s="1101"/>
      <c r="AI42" s="1332"/>
      <c r="AJ42" s="68">
        <f>SUM(E42:AI42)</f>
        <v>0</v>
      </c>
      <c r="AK42" s="68"/>
      <c r="AL42" s="69">
        <f>+AJ42*AN37</f>
        <v>0</v>
      </c>
      <c r="AM42" s="937"/>
      <c r="AN42" s="277"/>
      <c r="AO42" s="679"/>
      <c r="AP42" s="39" t="s">
        <v>19</v>
      </c>
      <c r="AQ42" s="56">
        <f>AQ41*AN37</f>
        <v>0</v>
      </c>
      <c r="AR42" s="56">
        <f>AR41*AN37</f>
        <v>0</v>
      </c>
      <c r="AS42" s="56">
        <f>AS41*AN37</f>
        <v>0</v>
      </c>
      <c r="AT42" s="56">
        <f>AT41*AN37</f>
        <v>0</v>
      </c>
      <c r="AU42" s="56">
        <f>AU41*AN37</f>
        <v>0</v>
      </c>
      <c r="AV42" s="57">
        <f t="shared" si="66"/>
        <v>0</v>
      </c>
    </row>
    <row r="43" spans="1:48" s="23" customFormat="1" ht="20.65" hidden="1" customHeight="1">
      <c r="A43" s="298"/>
      <c r="B43" s="89"/>
      <c r="C43" s="299">
        <f>+C41*0.8</f>
        <v>40000</v>
      </c>
      <c r="D43" s="73" t="s">
        <v>105</v>
      </c>
      <c r="E43" s="1158"/>
      <c r="F43" s="1158"/>
      <c r="G43" s="1287"/>
      <c r="H43" s="1158"/>
      <c r="I43" s="1158"/>
      <c r="J43" s="1287"/>
      <c r="K43" s="1287"/>
      <c r="L43" s="1158"/>
      <c r="M43" s="1158"/>
      <c r="N43" s="1158"/>
      <c r="O43" s="1158"/>
      <c r="P43" s="1158"/>
      <c r="Q43" s="1287"/>
      <c r="R43" s="1287"/>
      <c r="S43" s="1158"/>
      <c r="T43" s="1158"/>
      <c r="U43" s="1158"/>
      <c r="V43" s="1158"/>
      <c r="W43" s="1158"/>
      <c r="X43" s="1287"/>
      <c r="Y43" s="1287"/>
      <c r="Z43" s="1158"/>
      <c r="AA43" s="1158"/>
      <c r="AB43" s="1158"/>
      <c r="AC43" s="1158"/>
      <c r="AD43" s="1158"/>
      <c r="AE43" s="1287"/>
      <c r="AF43" s="1287"/>
      <c r="AG43" s="1158"/>
      <c r="AH43" s="1158"/>
      <c r="AI43" s="1406"/>
      <c r="AJ43" s="718">
        <f>SUM(E43:AI43)</f>
        <v>0</v>
      </c>
      <c r="AK43" s="718"/>
      <c r="AL43" s="691">
        <f>+AJ43*AN37</f>
        <v>0</v>
      </c>
      <c r="AM43" s="959"/>
      <c r="AN43" s="91"/>
      <c r="AO43" s="630"/>
      <c r="AP43" s="47" t="s">
        <v>106</v>
      </c>
      <c r="AQ43" s="48">
        <f>AQ39*AN37</f>
        <v>0</v>
      </c>
      <c r="AR43" s="48">
        <f>AR39*AN37</f>
        <v>0</v>
      </c>
      <c r="AS43" s="48">
        <f>AS39*AN37</f>
        <v>0</v>
      </c>
      <c r="AT43" s="48">
        <f>AT39*AN37</f>
        <v>0</v>
      </c>
      <c r="AU43" s="48">
        <f>AU39*AN37</f>
        <v>0</v>
      </c>
      <c r="AV43" s="50">
        <f t="shared" si="66"/>
        <v>0</v>
      </c>
    </row>
    <row r="44" spans="1:48" s="23" customFormat="1" ht="20.65" hidden="1" customHeight="1">
      <c r="A44" s="302" t="s">
        <v>376</v>
      </c>
      <c r="B44" s="89"/>
      <c r="C44" s="300"/>
      <c r="D44" s="78" t="s">
        <v>107</v>
      </c>
      <c r="E44" s="1137">
        <v>8</v>
      </c>
      <c r="F44" s="1097">
        <v>8</v>
      </c>
      <c r="G44" s="1205">
        <v>8</v>
      </c>
      <c r="H44" s="1097">
        <v>8</v>
      </c>
      <c r="I44" s="1097">
        <v>8</v>
      </c>
      <c r="J44" s="1205">
        <v>8</v>
      </c>
      <c r="K44" s="1205">
        <v>8</v>
      </c>
      <c r="L44" s="1097">
        <v>8</v>
      </c>
      <c r="M44" s="1097">
        <v>8</v>
      </c>
      <c r="N44" s="1097">
        <v>8</v>
      </c>
      <c r="O44" s="1097">
        <v>8</v>
      </c>
      <c r="P44" s="1097">
        <v>8</v>
      </c>
      <c r="Q44" s="1205">
        <v>8</v>
      </c>
      <c r="R44" s="1205">
        <v>8</v>
      </c>
      <c r="S44" s="1097">
        <v>8</v>
      </c>
      <c r="T44" s="1097">
        <v>8</v>
      </c>
      <c r="U44" s="1097">
        <v>8</v>
      </c>
      <c r="V44" s="1097">
        <v>8</v>
      </c>
      <c r="W44" s="1097">
        <v>8</v>
      </c>
      <c r="X44" s="1205">
        <v>8</v>
      </c>
      <c r="Y44" s="1205">
        <v>8</v>
      </c>
      <c r="Z44" s="1097">
        <v>8</v>
      </c>
      <c r="AA44" s="1097">
        <v>8</v>
      </c>
      <c r="AB44" s="1097">
        <v>8</v>
      </c>
      <c r="AC44" s="1097">
        <v>8</v>
      </c>
      <c r="AD44" s="1097">
        <v>8</v>
      </c>
      <c r="AE44" s="1205">
        <v>8</v>
      </c>
      <c r="AF44" s="1205">
        <v>8</v>
      </c>
      <c r="AG44" s="1097">
        <v>8</v>
      </c>
      <c r="AH44" s="1097">
        <v>8</v>
      </c>
      <c r="AI44" s="1328">
        <v>8</v>
      </c>
      <c r="AJ44" s="79"/>
      <c r="AK44" s="79"/>
      <c r="AL44" s="692"/>
      <c r="AM44" s="960"/>
      <c r="AN44" s="277"/>
      <c r="AO44" s="679"/>
      <c r="AP44" s="47"/>
      <c r="AQ44" s="48"/>
      <c r="AR44" s="48"/>
      <c r="AS44" s="48"/>
      <c r="AT44" s="48"/>
      <c r="AU44" s="48"/>
      <c r="AV44" s="284"/>
    </row>
    <row r="45" spans="1:48" s="23" customFormat="1" ht="20.65" hidden="1" customHeight="1">
      <c r="A45" s="302" t="s">
        <v>376</v>
      </c>
      <c r="B45" s="89"/>
      <c r="C45" s="42"/>
      <c r="D45" s="81" t="s">
        <v>109</v>
      </c>
      <c r="E45" s="1125">
        <f>SUM(E39+E41+E42+E43)/E44</f>
        <v>0</v>
      </c>
      <c r="F45" s="1125">
        <f>SUM(F39+F41+F42+F43)/F44</f>
        <v>0</v>
      </c>
      <c r="G45" s="1233">
        <f>SUM(G39+G41+G42+G43)/G44</f>
        <v>0</v>
      </c>
      <c r="H45" s="1125">
        <f t="shared" ref="H45:AH45" si="69">SUM(H39+H41+H42+H43)/H44</f>
        <v>0</v>
      </c>
      <c r="I45" s="1125">
        <f t="shared" si="69"/>
        <v>0</v>
      </c>
      <c r="J45" s="1233">
        <f t="shared" si="69"/>
        <v>0</v>
      </c>
      <c r="K45" s="1233">
        <f t="shared" si="69"/>
        <v>0</v>
      </c>
      <c r="L45" s="1125">
        <f t="shared" si="69"/>
        <v>0</v>
      </c>
      <c r="M45" s="1125">
        <f t="shared" si="69"/>
        <v>0</v>
      </c>
      <c r="N45" s="1125">
        <f t="shared" si="69"/>
        <v>0</v>
      </c>
      <c r="O45" s="1125">
        <f t="shared" si="69"/>
        <v>0</v>
      </c>
      <c r="P45" s="1125">
        <f t="shared" si="69"/>
        <v>0</v>
      </c>
      <c r="Q45" s="1233">
        <f t="shared" si="69"/>
        <v>0</v>
      </c>
      <c r="R45" s="1233">
        <f t="shared" si="69"/>
        <v>0</v>
      </c>
      <c r="S45" s="1125">
        <f t="shared" si="69"/>
        <v>0</v>
      </c>
      <c r="T45" s="1125">
        <f t="shared" si="69"/>
        <v>0</v>
      </c>
      <c r="U45" s="1125">
        <f t="shared" si="69"/>
        <v>0</v>
      </c>
      <c r="V45" s="1125">
        <f t="shared" si="69"/>
        <v>0</v>
      </c>
      <c r="W45" s="1125">
        <f t="shared" si="69"/>
        <v>0</v>
      </c>
      <c r="X45" s="1233">
        <f t="shared" si="69"/>
        <v>0</v>
      </c>
      <c r="Y45" s="1233">
        <f t="shared" si="69"/>
        <v>0</v>
      </c>
      <c r="Z45" s="1125">
        <f t="shared" si="69"/>
        <v>0</v>
      </c>
      <c r="AA45" s="1125">
        <f t="shared" si="69"/>
        <v>0</v>
      </c>
      <c r="AB45" s="1125">
        <f t="shared" si="69"/>
        <v>0</v>
      </c>
      <c r="AC45" s="1125">
        <f t="shared" si="69"/>
        <v>0</v>
      </c>
      <c r="AD45" s="1125">
        <f t="shared" si="69"/>
        <v>0</v>
      </c>
      <c r="AE45" s="1233">
        <f t="shared" si="69"/>
        <v>0</v>
      </c>
      <c r="AF45" s="1233">
        <f t="shared" si="69"/>
        <v>0</v>
      </c>
      <c r="AG45" s="1125">
        <f t="shared" si="69"/>
        <v>0</v>
      </c>
      <c r="AH45" s="1125">
        <f t="shared" si="69"/>
        <v>0</v>
      </c>
      <c r="AI45" s="1335">
        <f>SUM(AI39+AI41+AI42)/AI44</f>
        <v>0</v>
      </c>
      <c r="AJ45" s="515">
        <f>SUM(E45:AI45)</f>
        <v>0</v>
      </c>
      <c r="AK45" s="515"/>
      <c r="AL45" s="689"/>
      <c r="AM45" s="940"/>
      <c r="AN45" s="277"/>
      <c r="AO45" s="679"/>
      <c r="AP45" s="285"/>
      <c r="AQ45" s="285"/>
      <c r="AR45" s="285"/>
      <c r="AS45" s="285"/>
      <c r="AT45" s="286"/>
      <c r="AU45" s="285"/>
      <c r="AV45" s="287"/>
    </row>
    <row r="46" spans="1:48" s="23" customFormat="1" ht="20.65" hidden="1" customHeight="1">
      <c r="A46" s="302" t="s">
        <v>376</v>
      </c>
      <c r="B46" s="89"/>
      <c r="C46" s="72"/>
      <c r="D46" s="85" t="s">
        <v>110</v>
      </c>
      <c r="E46" s="1407"/>
      <c r="F46" s="1159"/>
      <c r="G46" s="1288"/>
      <c r="H46" s="1159"/>
      <c r="I46" s="1159"/>
      <c r="J46" s="1288"/>
      <c r="K46" s="1288"/>
      <c r="L46" s="1159"/>
      <c r="M46" s="1155"/>
      <c r="N46" s="1159"/>
      <c r="O46" s="1159"/>
      <c r="P46" s="1159"/>
      <c r="Q46" s="1229"/>
      <c r="R46" s="1288"/>
      <c r="S46" s="1159"/>
      <c r="T46" s="1159"/>
      <c r="U46" s="1159"/>
      <c r="V46" s="1159"/>
      <c r="W46" s="1159"/>
      <c r="X46" s="1229"/>
      <c r="Y46" s="1288"/>
      <c r="Z46" s="1159"/>
      <c r="AA46" s="1159"/>
      <c r="AB46" s="1159"/>
      <c r="AC46" s="1159"/>
      <c r="AD46" s="1159"/>
      <c r="AE46" s="1288"/>
      <c r="AF46" s="1288"/>
      <c r="AG46" s="1159"/>
      <c r="AH46" s="1159"/>
      <c r="AI46" s="1401"/>
      <c r="AJ46" s="86"/>
      <c r="AK46" s="86"/>
      <c r="AL46" s="690"/>
      <c r="AM46" s="940"/>
      <c r="AN46" s="277"/>
      <c r="AO46" s="679"/>
      <c r="AP46" s="285"/>
      <c r="AQ46" s="285"/>
      <c r="AR46" s="285"/>
      <c r="AS46" s="285"/>
      <c r="AT46" s="286"/>
      <c r="AU46" s="285"/>
      <c r="AV46" s="287"/>
    </row>
    <row r="47" spans="1:48" s="23" customFormat="1" ht="20.65" hidden="1" customHeight="1">
      <c r="A47" s="302" t="s">
        <v>376</v>
      </c>
      <c r="B47" s="89" t="s">
        <v>382</v>
      </c>
      <c r="C47" s="72" t="s">
        <v>104</v>
      </c>
      <c r="D47" s="88" t="s">
        <v>111</v>
      </c>
      <c r="E47" s="1156">
        <f>IF(E46="O/H",E45,0+E45)</f>
        <v>0</v>
      </c>
      <c r="F47" s="1157">
        <f t="shared" ref="F47:AB47" si="70">IF(F46="O/H",F45,+E47+F45)</f>
        <v>0</v>
      </c>
      <c r="G47" s="1264">
        <f t="shared" si="70"/>
        <v>0</v>
      </c>
      <c r="H47" s="1157">
        <f t="shared" si="70"/>
        <v>0</v>
      </c>
      <c r="I47" s="1157">
        <f t="shared" si="70"/>
        <v>0</v>
      </c>
      <c r="J47" s="1264">
        <f t="shared" si="70"/>
        <v>0</v>
      </c>
      <c r="K47" s="1264">
        <f t="shared" si="70"/>
        <v>0</v>
      </c>
      <c r="L47" s="1157">
        <f t="shared" si="70"/>
        <v>0</v>
      </c>
      <c r="M47" s="1157">
        <f t="shared" si="70"/>
        <v>0</v>
      </c>
      <c r="N47" s="1157">
        <f t="shared" si="70"/>
        <v>0</v>
      </c>
      <c r="O47" s="1157">
        <f t="shared" si="70"/>
        <v>0</v>
      </c>
      <c r="P47" s="1157">
        <f t="shared" si="70"/>
        <v>0</v>
      </c>
      <c r="Q47" s="1264">
        <f t="shared" si="70"/>
        <v>0</v>
      </c>
      <c r="R47" s="1264">
        <f t="shared" si="70"/>
        <v>0</v>
      </c>
      <c r="S47" s="1157">
        <f t="shared" si="70"/>
        <v>0</v>
      </c>
      <c r="T47" s="1157">
        <f t="shared" si="70"/>
        <v>0</v>
      </c>
      <c r="U47" s="1157">
        <f t="shared" si="70"/>
        <v>0</v>
      </c>
      <c r="V47" s="1157">
        <f t="shared" si="70"/>
        <v>0</v>
      </c>
      <c r="W47" s="1157">
        <f t="shared" si="70"/>
        <v>0</v>
      </c>
      <c r="X47" s="1264">
        <f t="shared" si="70"/>
        <v>0</v>
      </c>
      <c r="Y47" s="1264">
        <f t="shared" si="70"/>
        <v>0</v>
      </c>
      <c r="Z47" s="1157">
        <f t="shared" si="70"/>
        <v>0</v>
      </c>
      <c r="AA47" s="1157">
        <f t="shared" si="70"/>
        <v>0</v>
      </c>
      <c r="AB47" s="1157">
        <f t="shared" si="70"/>
        <v>0</v>
      </c>
      <c r="AC47" s="1157">
        <f>IF(AC46="O/H",AC45,+AB47+AC45)</f>
        <v>0</v>
      </c>
      <c r="AD47" s="1157">
        <f>IF(AD46="O/H",AD45,+AC47+AD45)</f>
        <v>0</v>
      </c>
      <c r="AE47" s="1264">
        <f>IF(AE46="O/H",AE45,+AD47+AE45)</f>
        <v>0</v>
      </c>
      <c r="AF47" s="1264">
        <f>IF(AF46="O/H",AF45,+AE47+AF45)</f>
        <v>0</v>
      </c>
      <c r="AG47" s="1157">
        <f>IF(AG46="O/H",AG45,+AC47+AG45)</f>
        <v>0</v>
      </c>
      <c r="AH47" s="1157">
        <f>IF(AH46="O/H",AH45,+AD47+AH45)</f>
        <v>0</v>
      </c>
      <c r="AI47" s="1402">
        <f>IF(AI46="O/H",AI45,+AH47+AI45)</f>
        <v>0</v>
      </c>
      <c r="AJ47" s="86"/>
      <c r="AK47" s="86"/>
      <c r="AL47" s="689"/>
      <c r="AM47" s="940"/>
      <c r="AN47" s="277"/>
      <c r="AO47" s="679"/>
      <c r="AP47" s="285"/>
      <c r="AQ47" s="285"/>
      <c r="AR47" s="287"/>
      <c r="AS47" s="285"/>
      <c r="AT47" s="286"/>
      <c r="AU47" s="285"/>
      <c r="AV47" s="287"/>
    </row>
    <row r="48" spans="1:48" s="23" customFormat="1" ht="20.45" hidden="1" customHeight="1">
      <c r="A48" s="312"/>
      <c r="B48" s="312"/>
      <c r="C48" s="308">
        <v>300000</v>
      </c>
      <c r="D48" s="795" t="s">
        <v>112</v>
      </c>
      <c r="E48" s="1117" t="b">
        <f>IF(AND(ISNUMBER(E39)),2260248+E45)</f>
        <v>0</v>
      </c>
      <c r="F48" s="1118" t="str">
        <f>IF(AND(ISNUMBER(F39)),E48+F45,"")</f>
        <v/>
      </c>
      <c r="G48" s="1216" t="str">
        <f t="shared" ref="G48" si="71">IF(AND(ISNUMBER(G39)),F48+G45,"")</f>
        <v/>
      </c>
      <c r="H48" s="1118" t="str">
        <f t="shared" ref="H48" si="72">IF(AND(ISNUMBER(H39)),G48+H45,"")</f>
        <v/>
      </c>
      <c r="I48" s="1118" t="str">
        <f>IF(AND(ISNUMBER(I39)),H48+I45,"")</f>
        <v/>
      </c>
      <c r="J48" s="1216" t="str">
        <f>IF(AND(ISNUMBER(J39)),I48+J45,"")</f>
        <v/>
      </c>
      <c r="K48" s="1216" t="str">
        <f>IF(AND(ISNUMBER(K39)),J48+K45,"")</f>
        <v/>
      </c>
      <c r="L48" s="1118" t="str">
        <f t="shared" ref="L48" si="73">IF(AND(ISNUMBER(L39)),K48+L45,"")</f>
        <v/>
      </c>
      <c r="M48" s="1118" t="str">
        <f t="shared" ref="M48" si="74">IF(AND(ISNUMBER(M39)),L48+M45,"")</f>
        <v/>
      </c>
      <c r="N48" s="1118" t="str">
        <f t="shared" ref="N48" si="75">IF(AND(ISNUMBER(N39)),M48+N45,"")</f>
        <v/>
      </c>
      <c r="O48" s="1118" t="str">
        <f t="shared" ref="O48" si="76">IF(AND(ISNUMBER(O39)),N48+O45,"")</f>
        <v/>
      </c>
      <c r="P48" s="1118" t="str">
        <f t="shared" ref="P48" si="77">IF(AND(ISNUMBER(P39)),O48+P45,"")</f>
        <v/>
      </c>
      <c r="Q48" s="1216" t="str">
        <f t="shared" ref="Q48" si="78">IF(AND(ISNUMBER(Q39)),P48+Q45,"")</f>
        <v/>
      </c>
      <c r="R48" s="1216" t="str">
        <f t="shared" ref="R48" si="79">IF(AND(ISNUMBER(R39)),Q48+R45,"")</f>
        <v/>
      </c>
      <c r="S48" s="1118" t="str">
        <f t="shared" ref="S48" si="80">IF(AND(ISNUMBER(S39)),R48+S45,"")</f>
        <v/>
      </c>
      <c r="T48" s="1118" t="str">
        <f t="shared" ref="T48" si="81">IF(AND(ISNUMBER(T39)),S48+T45,"")</f>
        <v/>
      </c>
      <c r="U48" s="1118" t="str">
        <f t="shared" ref="U48" si="82">IF(AND(ISNUMBER(U39)),T48+U45,"")</f>
        <v/>
      </c>
      <c r="V48" s="1118" t="str">
        <f t="shared" ref="V48" si="83">IF(AND(ISNUMBER(V39)),U48+V45,"")</f>
        <v/>
      </c>
      <c r="W48" s="1118" t="str">
        <f t="shared" ref="W48" si="84">IF(AND(ISNUMBER(W39)),V48+W45,"")</f>
        <v/>
      </c>
      <c r="X48" s="1216" t="str">
        <f t="shared" ref="X48" si="85">IF(AND(ISNUMBER(X39)),W48+X45,"")</f>
        <v/>
      </c>
      <c r="Y48" s="1216" t="str">
        <f t="shared" ref="Y48" si="86">IF(AND(ISNUMBER(Y39)),X48+Y45,"")</f>
        <v/>
      </c>
      <c r="Z48" s="1118" t="str">
        <f t="shared" ref="Z48" si="87">IF(AND(ISNUMBER(Z39)),Y48+Z45,"")</f>
        <v/>
      </c>
      <c r="AA48" s="1118" t="str">
        <f t="shared" ref="AA48" si="88">IF(AND(ISNUMBER(AA39)),Z48+AA45,"")</f>
        <v/>
      </c>
      <c r="AB48" s="1118" t="str">
        <f t="shared" ref="AB48" si="89">IF(AND(ISNUMBER(AB39)),AA48+AB45,"")</f>
        <v/>
      </c>
      <c r="AC48" s="1118" t="str">
        <f t="shared" ref="AC48" si="90">IF(AND(ISNUMBER(AC39)),AB48+AC45,"")</f>
        <v/>
      </c>
      <c r="AD48" s="1118" t="str">
        <f t="shared" ref="AD48" si="91">IF(AND(ISNUMBER(AD39)),AC48+AD45,"")</f>
        <v/>
      </c>
      <c r="AE48" s="1216" t="str">
        <f t="shared" ref="AE48" si="92">IF(AND(ISNUMBER(AE39)),AD48+AE45,"")</f>
        <v/>
      </c>
      <c r="AF48" s="1216" t="str">
        <f t="shared" ref="AF48" si="93">IF(AND(ISNUMBER(AF39)),AE48+AF45,"")</f>
        <v/>
      </c>
      <c r="AG48" s="1118" t="str">
        <f t="shared" ref="AG48" si="94">IF(AND(ISNUMBER(AG39)),AF48+AG45,"")</f>
        <v/>
      </c>
      <c r="AH48" s="1118" t="str">
        <f t="shared" ref="AH48" si="95">IF(AND(ISNUMBER(AH39)),AG48+AH45,"")</f>
        <v/>
      </c>
      <c r="AI48" s="1118" t="str">
        <f t="shared" ref="AI48" si="96">IF(AND(ISNUMBER(AI39)),AH48+AI45,"")</f>
        <v/>
      </c>
      <c r="AJ48" s="793"/>
      <c r="AK48" s="793"/>
      <c r="AL48" s="909"/>
      <c r="AM48" s="794"/>
      <c r="AN48" s="429"/>
      <c r="AO48" s="675"/>
      <c r="AP48" s="285"/>
      <c r="AQ48" s="285"/>
      <c r="AR48" s="285"/>
      <c r="AS48" s="285"/>
      <c r="AT48" s="286"/>
      <c r="AU48" s="285"/>
      <c r="AV48" s="287"/>
    </row>
    <row r="49" spans="1:48" s="23" customFormat="1" ht="20.65" hidden="1" customHeight="1">
      <c r="A49" s="302"/>
      <c r="B49" s="89"/>
      <c r="C49" s="80" t="s">
        <v>108</v>
      </c>
      <c r="D49" s="90" t="s">
        <v>104</v>
      </c>
      <c r="E49" s="1108"/>
      <c r="F49" s="1089"/>
      <c r="G49" s="44"/>
      <c r="H49" s="1089"/>
      <c r="I49" s="1089"/>
      <c r="J49" s="44"/>
      <c r="K49" s="44"/>
      <c r="L49" s="1089"/>
      <c r="M49" s="1089"/>
      <c r="N49" s="1089"/>
      <c r="O49" s="1089"/>
      <c r="P49" s="1089"/>
      <c r="Q49" s="44"/>
      <c r="R49" s="44"/>
      <c r="S49" s="1089"/>
      <c r="T49" s="1089"/>
      <c r="U49" s="1089"/>
      <c r="V49" s="1089"/>
      <c r="W49" s="1089"/>
      <c r="X49" s="44"/>
      <c r="Y49" s="44"/>
      <c r="Z49" s="1089"/>
      <c r="AA49" s="1089"/>
      <c r="AB49" s="1089"/>
      <c r="AC49" s="1089"/>
      <c r="AD49" s="1089"/>
      <c r="AE49" s="44"/>
      <c r="AF49" s="44"/>
      <c r="AG49" s="1089"/>
      <c r="AH49" s="1089"/>
      <c r="AI49" s="1326"/>
      <c r="AJ49" s="79"/>
      <c r="AK49" s="79"/>
      <c r="AL49" s="63"/>
      <c r="AM49" s="936"/>
      <c r="AN49" s="277"/>
      <c r="AO49" s="679"/>
      <c r="AP49" s="285"/>
      <c r="AQ49" s="285"/>
      <c r="AR49" s="285"/>
      <c r="AS49" s="285"/>
      <c r="AT49" s="286"/>
      <c r="AU49" s="285"/>
      <c r="AV49" s="287"/>
    </row>
    <row r="50" spans="1:48" s="23" customFormat="1" ht="20.65" hidden="1" customHeight="1" thickBot="1">
      <c r="A50" s="304"/>
      <c r="B50" s="93"/>
      <c r="C50" s="94">
        <f>+C48*0.8</f>
        <v>240000</v>
      </c>
      <c r="D50" s="88" t="s">
        <v>111</v>
      </c>
      <c r="E50" s="1109">
        <f>IF(E49="O/H",E45,0+E45)</f>
        <v>0</v>
      </c>
      <c r="F50" s="1110">
        <f t="shared" ref="F50:AI50" si="97">IF(F49="O/H",F45,+E50+F45)</f>
        <v>0</v>
      </c>
      <c r="G50" s="1212">
        <f t="shared" si="97"/>
        <v>0</v>
      </c>
      <c r="H50" s="1110">
        <f t="shared" ref="H50" si="98">IF(H49="O/H",H45,+G50+H45)</f>
        <v>0</v>
      </c>
      <c r="I50" s="1110">
        <f t="shared" ref="I50" si="99">IF(I49="O/H",I45,+H50+I45)</f>
        <v>0</v>
      </c>
      <c r="J50" s="1212">
        <f t="shared" ref="J50" si="100">IF(J49="O/H",J45,+I50+J45)</f>
        <v>0</v>
      </c>
      <c r="K50" s="1212">
        <f t="shared" ref="K50" si="101">IF(K49="O/H",K45,+J50+K45)</f>
        <v>0</v>
      </c>
      <c r="L50" s="1110">
        <f t="shared" si="97"/>
        <v>0</v>
      </c>
      <c r="M50" s="1110">
        <f t="shared" si="97"/>
        <v>0</v>
      </c>
      <c r="N50" s="1110">
        <f t="shared" si="97"/>
        <v>0</v>
      </c>
      <c r="O50" s="1110">
        <f t="shared" si="97"/>
        <v>0</v>
      </c>
      <c r="P50" s="1110">
        <f t="shared" si="97"/>
        <v>0</v>
      </c>
      <c r="Q50" s="1212">
        <f t="shared" si="97"/>
        <v>0</v>
      </c>
      <c r="R50" s="1212">
        <f t="shared" si="97"/>
        <v>0</v>
      </c>
      <c r="S50" s="1110">
        <f t="shared" si="97"/>
        <v>0</v>
      </c>
      <c r="T50" s="1110">
        <f t="shared" si="97"/>
        <v>0</v>
      </c>
      <c r="U50" s="1110">
        <f t="shared" si="97"/>
        <v>0</v>
      </c>
      <c r="V50" s="1110">
        <f t="shared" si="97"/>
        <v>0</v>
      </c>
      <c r="W50" s="1110">
        <f t="shared" si="97"/>
        <v>0</v>
      </c>
      <c r="X50" s="1212">
        <f t="shared" si="97"/>
        <v>0</v>
      </c>
      <c r="Y50" s="1212">
        <f t="shared" si="97"/>
        <v>0</v>
      </c>
      <c r="Z50" s="1110">
        <f t="shared" si="97"/>
        <v>0</v>
      </c>
      <c r="AA50" s="1110">
        <f t="shared" si="97"/>
        <v>0</v>
      </c>
      <c r="AB50" s="1110">
        <f t="shared" si="97"/>
        <v>0</v>
      </c>
      <c r="AC50" s="1110">
        <f>IF(AC49="O/H",AC45,+AB50+AC45)</f>
        <v>0</v>
      </c>
      <c r="AD50" s="1110">
        <f t="shared" si="97"/>
        <v>0</v>
      </c>
      <c r="AE50" s="1212">
        <f t="shared" si="97"/>
        <v>0</v>
      </c>
      <c r="AF50" s="1212">
        <f t="shared" si="97"/>
        <v>0</v>
      </c>
      <c r="AG50" s="1110">
        <f t="shared" si="97"/>
        <v>0</v>
      </c>
      <c r="AH50" s="1110">
        <f t="shared" si="97"/>
        <v>0</v>
      </c>
      <c r="AI50" s="1340">
        <f t="shared" si="97"/>
        <v>0</v>
      </c>
      <c r="AJ50" s="96"/>
      <c r="AK50" s="96"/>
      <c r="AL50" s="97"/>
      <c r="AM50" s="958"/>
      <c r="AN50" s="292"/>
      <c r="AO50" s="681"/>
      <c r="AP50" s="285"/>
      <c r="AQ50" s="285"/>
      <c r="AR50" s="285"/>
      <c r="AS50" s="285"/>
      <c r="AT50" s="286"/>
      <c r="AU50" s="285"/>
      <c r="AV50" s="287"/>
    </row>
    <row r="51" spans="1:48" s="23" customFormat="1" ht="20.65" hidden="1" customHeight="1" thickTop="1">
      <c r="A51" s="298" t="s">
        <v>709</v>
      </c>
      <c r="B51" s="208" t="s">
        <v>676</v>
      </c>
      <c r="C51" s="1493" t="str">
        <f>Table2[[#This Row],[M/C No.]]</f>
        <v>H3(50ton)</v>
      </c>
      <c r="D51" s="28" t="s">
        <v>82</v>
      </c>
      <c r="E51" s="1139"/>
      <c r="F51" s="1139"/>
      <c r="G51" s="1231"/>
      <c r="H51" s="1139"/>
      <c r="I51" s="1139"/>
      <c r="J51" s="1231"/>
      <c r="K51" s="1231"/>
      <c r="L51" s="1139"/>
      <c r="M51" s="1139"/>
      <c r="N51" s="1139"/>
      <c r="O51" s="1139"/>
      <c r="P51" s="1139"/>
      <c r="Q51" s="1231"/>
      <c r="R51" s="1231"/>
      <c r="S51" s="1139"/>
      <c r="T51" s="1139"/>
      <c r="U51" s="1139"/>
      <c r="V51" s="1139"/>
      <c r="W51" s="1139"/>
      <c r="X51" s="1231"/>
      <c r="Y51" s="1231"/>
      <c r="Z51" s="1139"/>
      <c r="AA51" s="1139"/>
      <c r="AB51" s="1139"/>
      <c r="AC51" s="1139"/>
      <c r="AD51" s="1139"/>
      <c r="AE51" s="1231"/>
      <c r="AF51" s="1231"/>
      <c r="AG51" s="1139"/>
      <c r="AH51" s="1139"/>
      <c r="AI51" s="1322"/>
      <c r="AJ51" s="29">
        <f>SUM(E51:AI51)</f>
        <v>0</v>
      </c>
      <c r="AK51" s="1020">
        <f>AJ53</f>
        <v>0</v>
      </c>
      <c r="AL51" s="101">
        <f>+AJ51*AN51</f>
        <v>0</v>
      </c>
      <c r="AM51" s="1019">
        <f>AL53</f>
        <v>0</v>
      </c>
      <c r="AN51" s="293">
        <v>4.2064200000000005</v>
      </c>
      <c r="AO51" s="633">
        <f>Table2[[#This Row],[Total]]*B55/1000</f>
        <v>0</v>
      </c>
      <c r="AP51" s="32" t="s">
        <v>384</v>
      </c>
      <c r="AQ51" s="33" t="s">
        <v>84</v>
      </c>
      <c r="AR51" s="33" t="s">
        <v>85</v>
      </c>
      <c r="AS51" s="33" t="s">
        <v>86</v>
      </c>
      <c r="AT51" s="33" t="s">
        <v>87</v>
      </c>
      <c r="AU51" s="33" t="s">
        <v>88</v>
      </c>
      <c r="AV51" s="34" t="s">
        <v>68</v>
      </c>
    </row>
    <row r="52" spans="1:48" s="23" customFormat="1" ht="20.65" hidden="1" customHeight="1">
      <c r="A52" s="274"/>
      <c r="B52" s="208" t="s">
        <v>385</v>
      </c>
      <c r="C52" s="275"/>
      <c r="D52" s="37" t="s">
        <v>90</v>
      </c>
      <c r="E52" s="1323">
        <f>IF(E51="",0,+ E51/E58)</f>
        <v>0</v>
      </c>
      <c r="F52" s="1096">
        <f t="shared" ref="F52:AC52" si="102">IF(F51="",0, E52+F51/F58)</f>
        <v>0</v>
      </c>
      <c r="G52" s="1207">
        <f t="shared" si="102"/>
        <v>0</v>
      </c>
      <c r="H52" s="1096">
        <f t="shared" si="102"/>
        <v>0</v>
      </c>
      <c r="I52" s="1096">
        <f t="shared" si="102"/>
        <v>0</v>
      </c>
      <c r="J52" s="1207">
        <f t="shared" si="102"/>
        <v>0</v>
      </c>
      <c r="K52" s="1207">
        <f t="shared" si="102"/>
        <v>0</v>
      </c>
      <c r="L52" s="1096">
        <f t="shared" si="102"/>
        <v>0</v>
      </c>
      <c r="M52" s="1096">
        <f t="shared" si="102"/>
        <v>0</v>
      </c>
      <c r="N52" s="1096">
        <f t="shared" si="102"/>
        <v>0</v>
      </c>
      <c r="O52" s="1096">
        <f t="shared" si="102"/>
        <v>0</v>
      </c>
      <c r="P52" s="1096">
        <f t="shared" si="102"/>
        <v>0</v>
      </c>
      <c r="Q52" s="1207">
        <f t="shared" si="102"/>
        <v>0</v>
      </c>
      <c r="R52" s="1207">
        <f t="shared" si="102"/>
        <v>0</v>
      </c>
      <c r="S52" s="1096">
        <f t="shared" si="102"/>
        <v>0</v>
      </c>
      <c r="T52" s="1096">
        <f t="shared" si="102"/>
        <v>0</v>
      </c>
      <c r="U52" s="1096">
        <f t="shared" si="102"/>
        <v>0</v>
      </c>
      <c r="V52" s="1096">
        <f t="shared" si="102"/>
        <v>0</v>
      </c>
      <c r="W52" s="1096">
        <f t="shared" si="102"/>
        <v>0</v>
      </c>
      <c r="X52" s="1207">
        <f t="shared" si="102"/>
        <v>0</v>
      </c>
      <c r="Y52" s="1207">
        <f t="shared" si="102"/>
        <v>0</v>
      </c>
      <c r="Z52" s="1096">
        <f t="shared" si="102"/>
        <v>0</v>
      </c>
      <c r="AA52" s="1096">
        <f t="shared" si="102"/>
        <v>0</v>
      </c>
      <c r="AB52" s="1096">
        <f t="shared" si="102"/>
        <v>0</v>
      </c>
      <c r="AC52" s="1096">
        <f t="shared" si="102"/>
        <v>0</v>
      </c>
      <c r="AD52" s="1096">
        <f>IF(AD51="",0, Z52+AD51/AD58)</f>
        <v>0</v>
      </c>
      <c r="AE52" s="1207">
        <f>IF(AE51="",0, AA52+AE51/AE58)</f>
        <v>0</v>
      </c>
      <c r="AF52" s="1207">
        <f>IF(AF51="",0, AB52+AF51/AF58)</f>
        <v>0</v>
      </c>
      <c r="AG52" s="1096">
        <f>IF(AG51="",0, AC52+AG51/AG58)</f>
        <v>0</v>
      </c>
      <c r="AH52" s="1096">
        <f>IF(AH51="",0, AD52+AH51/AH58)</f>
        <v>0</v>
      </c>
      <c r="AI52" s="1324">
        <f>IF(AI51="",0, AH52+AI51/AI58)</f>
        <v>0</v>
      </c>
      <c r="AJ52" s="716"/>
      <c r="AK52" s="716"/>
      <c r="AL52" s="209"/>
      <c r="AM52" s="794"/>
      <c r="AN52" s="91"/>
      <c r="AO52" s="675"/>
      <c r="AP52" s="39" t="s">
        <v>91</v>
      </c>
      <c r="AQ52" s="40">
        <f>SUM(E51:K51)</f>
        <v>0</v>
      </c>
      <c r="AR52" s="41">
        <f>SUM(L51:R51)</f>
        <v>0</v>
      </c>
      <c r="AS52" s="41">
        <f>SUM(S51:Y51)</f>
        <v>0</v>
      </c>
      <c r="AT52" s="41">
        <f>SUM(Z51:AF51)</f>
        <v>0</v>
      </c>
      <c r="AU52" s="41">
        <f>SUM(AG51:AI51)</f>
        <v>0</v>
      </c>
      <c r="AV52" s="34">
        <f t="shared" ref="AV52:AV57" si="103">SUM(AQ52:AU52)</f>
        <v>0</v>
      </c>
    </row>
    <row r="53" spans="1:48" s="23" customFormat="1" ht="20.65" hidden="1" customHeight="1">
      <c r="A53" s="302" t="s">
        <v>386</v>
      </c>
      <c r="B53" s="89" t="s">
        <v>246</v>
      </c>
      <c r="C53" s="42"/>
      <c r="D53" s="43" t="s">
        <v>93</v>
      </c>
      <c r="E53" s="1403"/>
      <c r="F53" s="1119"/>
      <c r="G53" s="1243"/>
      <c r="H53" s="1119"/>
      <c r="I53" s="1119"/>
      <c r="J53" s="1243"/>
      <c r="K53" s="1243"/>
      <c r="L53" s="1119"/>
      <c r="M53" s="1119"/>
      <c r="N53" s="1119"/>
      <c r="O53" s="1119"/>
      <c r="P53" s="1119"/>
      <c r="Q53" s="1243"/>
      <c r="R53" s="1243"/>
      <c r="S53" s="1119"/>
      <c r="T53" s="1119"/>
      <c r="U53" s="1119"/>
      <c r="V53" s="1119"/>
      <c r="W53" s="1119"/>
      <c r="X53" s="1243"/>
      <c r="Y53" s="1243"/>
      <c r="Z53" s="1119"/>
      <c r="AA53" s="1119"/>
      <c r="AB53" s="1119"/>
      <c r="AC53" s="1119"/>
      <c r="AD53" s="1119"/>
      <c r="AE53" s="1243"/>
      <c r="AF53" s="1243"/>
      <c r="AG53" s="1119"/>
      <c r="AH53" s="1119"/>
      <c r="AI53" s="1351"/>
      <c r="AJ53" s="45">
        <f>SUM(E53:AI53)</f>
        <v>0</v>
      </c>
      <c r="AK53" s="45"/>
      <c r="AL53" s="46">
        <f>+AJ53*AN51</f>
        <v>0</v>
      </c>
      <c r="AM53" s="934"/>
      <c r="AN53" s="277"/>
      <c r="AO53" s="632">
        <f>(AJ53+AJ55+AJ56+AJ57)*B55/1000</f>
        <v>0</v>
      </c>
      <c r="AP53" s="47" t="s">
        <v>94</v>
      </c>
      <c r="AQ53" s="48">
        <f>SUM(E53:K53)</f>
        <v>0</v>
      </c>
      <c r="AR53" s="49">
        <f>SUM(L53:R53)</f>
        <v>0</v>
      </c>
      <c r="AS53" s="49">
        <f>SUM(S53:Y53)</f>
        <v>0</v>
      </c>
      <c r="AT53" s="49">
        <f>SUM(Z53:AF53)</f>
        <v>0</v>
      </c>
      <c r="AU53" s="49">
        <f>SUM(AG53:AI53)</f>
        <v>0</v>
      </c>
      <c r="AV53" s="50">
        <f t="shared" si="103"/>
        <v>0</v>
      </c>
    </row>
    <row r="54" spans="1:48" s="23" customFormat="1" ht="20.65" hidden="1" customHeight="1">
      <c r="A54" s="302" t="s">
        <v>386</v>
      </c>
      <c r="B54" s="638" t="s">
        <v>247</v>
      </c>
      <c r="C54" s="280"/>
      <c r="D54" s="53" t="s">
        <v>96</v>
      </c>
      <c r="E54" s="1137">
        <f t="shared" ref="E54:AJ54" si="104">+E53-E51</f>
        <v>0</v>
      </c>
      <c r="F54" s="1097">
        <f t="shared" si="104"/>
        <v>0</v>
      </c>
      <c r="G54" s="1205">
        <f t="shared" si="104"/>
        <v>0</v>
      </c>
      <c r="H54" s="1097">
        <f t="shared" si="104"/>
        <v>0</v>
      </c>
      <c r="I54" s="1097">
        <f t="shared" si="104"/>
        <v>0</v>
      </c>
      <c r="J54" s="1205">
        <f t="shared" si="104"/>
        <v>0</v>
      </c>
      <c r="K54" s="1205">
        <f t="shared" si="104"/>
        <v>0</v>
      </c>
      <c r="L54" s="1097">
        <f t="shared" si="104"/>
        <v>0</v>
      </c>
      <c r="M54" s="1097">
        <f t="shared" si="104"/>
        <v>0</v>
      </c>
      <c r="N54" s="1097">
        <f t="shared" si="104"/>
        <v>0</v>
      </c>
      <c r="O54" s="1097">
        <f t="shared" si="104"/>
        <v>0</v>
      </c>
      <c r="P54" s="1097">
        <f t="shared" si="104"/>
        <v>0</v>
      </c>
      <c r="Q54" s="1205">
        <f t="shared" si="104"/>
        <v>0</v>
      </c>
      <c r="R54" s="1205">
        <f t="shared" si="104"/>
        <v>0</v>
      </c>
      <c r="S54" s="1097">
        <f t="shared" si="104"/>
        <v>0</v>
      </c>
      <c r="T54" s="1097">
        <f t="shared" si="104"/>
        <v>0</v>
      </c>
      <c r="U54" s="1097">
        <f t="shared" si="104"/>
        <v>0</v>
      </c>
      <c r="V54" s="1097">
        <f t="shared" si="104"/>
        <v>0</v>
      </c>
      <c r="W54" s="1097">
        <f t="shared" si="104"/>
        <v>0</v>
      </c>
      <c r="X54" s="1205">
        <f t="shared" si="104"/>
        <v>0</v>
      </c>
      <c r="Y54" s="1205">
        <f t="shared" si="104"/>
        <v>0</v>
      </c>
      <c r="Z54" s="1097">
        <f t="shared" si="104"/>
        <v>0</v>
      </c>
      <c r="AA54" s="1097">
        <f t="shared" si="104"/>
        <v>0</v>
      </c>
      <c r="AB54" s="1097">
        <f t="shared" si="104"/>
        <v>0</v>
      </c>
      <c r="AC54" s="1097">
        <f t="shared" si="104"/>
        <v>0</v>
      </c>
      <c r="AD54" s="1097">
        <f t="shared" si="104"/>
        <v>0</v>
      </c>
      <c r="AE54" s="1205">
        <f t="shared" si="104"/>
        <v>0</v>
      </c>
      <c r="AF54" s="1205">
        <f t="shared" si="104"/>
        <v>0</v>
      </c>
      <c r="AG54" s="1097">
        <f t="shared" si="104"/>
        <v>0</v>
      </c>
      <c r="AH54" s="1097">
        <f t="shared" si="104"/>
        <v>0</v>
      </c>
      <c r="AI54" s="1328">
        <f t="shared" si="104"/>
        <v>0</v>
      </c>
      <c r="AJ54" s="79">
        <f t="shared" si="104"/>
        <v>0</v>
      </c>
      <c r="AK54" s="79"/>
      <c r="AL54" s="55">
        <f>+AJ54*AN51</f>
        <v>0</v>
      </c>
      <c r="AM54" s="935"/>
      <c r="AN54" s="277" t="s">
        <v>97</v>
      </c>
      <c r="AO54" s="622"/>
      <c r="AP54" s="39" t="s">
        <v>98</v>
      </c>
      <c r="AQ54" s="56">
        <f>AQ53-AQ52</f>
        <v>0</v>
      </c>
      <c r="AR54" s="70">
        <f>AR53-AR52</f>
        <v>0</v>
      </c>
      <c r="AS54" s="70">
        <f>AS53-AS52</f>
        <v>0</v>
      </c>
      <c r="AT54" s="70">
        <f>AT53-AT52</f>
        <v>0</v>
      </c>
      <c r="AU54" s="70">
        <f>AU53-AU52</f>
        <v>0</v>
      </c>
      <c r="AV54" s="57">
        <f t="shared" si="103"/>
        <v>0</v>
      </c>
    </row>
    <row r="55" spans="1:48" s="23" customFormat="1" ht="20.65" hidden="1" customHeight="1">
      <c r="A55" s="302" t="s">
        <v>386</v>
      </c>
      <c r="B55" s="659">
        <v>2.1890000000000001</v>
      </c>
      <c r="C55" s="305"/>
      <c r="D55" s="61" t="s">
        <v>101</v>
      </c>
      <c r="E55" s="1098"/>
      <c r="F55" s="1099"/>
      <c r="G55" s="1208"/>
      <c r="H55" s="1099"/>
      <c r="I55" s="1099"/>
      <c r="J55" s="1208"/>
      <c r="K55" s="1208"/>
      <c r="L55" s="1099"/>
      <c r="M55" s="1099"/>
      <c r="N55" s="1099"/>
      <c r="O55" s="1099"/>
      <c r="P55" s="1099"/>
      <c r="Q55" s="1208"/>
      <c r="R55" s="1208"/>
      <c r="S55" s="1099"/>
      <c r="T55" s="1099"/>
      <c r="U55" s="1099"/>
      <c r="V55" s="1099"/>
      <c r="W55" s="1099"/>
      <c r="X55" s="1208"/>
      <c r="Y55" s="1208"/>
      <c r="Z55" s="1099"/>
      <c r="AA55" s="1099"/>
      <c r="AB55" s="1099"/>
      <c r="AC55" s="1099"/>
      <c r="AD55" s="1099"/>
      <c r="AE55" s="1208"/>
      <c r="AF55" s="1208"/>
      <c r="AG55" s="1099"/>
      <c r="AH55" s="1099"/>
      <c r="AI55" s="1330"/>
      <c r="AJ55" s="62">
        <f>SUM(E55:AI55)</f>
        <v>0</v>
      </c>
      <c r="AK55" s="62"/>
      <c r="AL55" s="63">
        <f>+AJ55*AN51</f>
        <v>0</v>
      </c>
      <c r="AM55" s="936"/>
      <c r="AN55" s="301" t="e">
        <f>+AJ55/AJ53*100</f>
        <v>#DIV/0!</v>
      </c>
      <c r="AO55" s="635" t="e">
        <f>AO53/AO51</f>
        <v>#DIV/0!</v>
      </c>
      <c r="AP55" s="39" t="s">
        <v>102</v>
      </c>
      <c r="AQ55" s="56">
        <f>SUM(E55:K55)</f>
        <v>0</v>
      </c>
      <c r="AR55" s="70">
        <f>SUM(L55:R55)</f>
        <v>0</v>
      </c>
      <c r="AS55" s="70">
        <f>SUM(S55:Y55)</f>
        <v>0</v>
      </c>
      <c r="AT55" s="70">
        <f>SUM(Z55:AF55)</f>
        <v>0</v>
      </c>
      <c r="AU55" s="70">
        <f>SUM(AG55:AI55)</f>
        <v>0</v>
      </c>
      <c r="AV55" s="57">
        <f t="shared" si="103"/>
        <v>0</v>
      </c>
    </row>
    <row r="56" spans="1:48" s="23" customFormat="1" ht="20.65" hidden="1" customHeight="1">
      <c r="A56" s="302" t="s">
        <v>386</v>
      </c>
      <c r="B56" s="208"/>
      <c r="C56" s="52" t="s">
        <v>95</v>
      </c>
      <c r="D56" s="67" t="s">
        <v>103</v>
      </c>
      <c r="E56" s="1100"/>
      <c r="F56" s="1101"/>
      <c r="G56" s="1209"/>
      <c r="H56" s="1101"/>
      <c r="I56" s="1101"/>
      <c r="J56" s="1209"/>
      <c r="K56" s="1209"/>
      <c r="L56" s="1101"/>
      <c r="M56" s="1101"/>
      <c r="N56" s="1101"/>
      <c r="O56" s="1101"/>
      <c r="P56" s="1101"/>
      <c r="Q56" s="1209"/>
      <c r="R56" s="1209"/>
      <c r="S56" s="1101"/>
      <c r="T56" s="1101"/>
      <c r="U56" s="1101"/>
      <c r="V56" s="1101"/>
      <c r="W56" s="1101"/>
      <c r="X56" s="1209"/>
      <c r="Y56" s="1209"/>
      <c r="Z56" s="1101"/>
      <c r="AA56" s="1101"/>
      <c r="AB56" s="1101"/>
      <c r="AC56" s="1101"/>
      <c r="AD56" s="1101"/>
      <c r="AE56" s="1209"/>
      <c r="AF56" s="1209"/>
      <c r="AG56" s="1101"/>
      <c r="AH56" s="1101"/>
      <c r="AI56" s="1332"/>
      <c r="AJ56" s="68">
        <f>SUM(E56:AI56)</f>
        <v>0</v>
      </c>
      <c r="AK56" s="68"/>
      <c r="AL56" s="69">
        <f>+AJ56*AN51</f>
        <v>0</v>
      </c>
      <c r="AM56" s="937"/>
      <c r="AN56" s="277"/>
      <c r="AO56" s="679"/>
      <c r="AP56" s="39" t="s">
        <v>19</v>
      </c>
      <c r="AQ56" s="56">
        <f>AQ55*AN51</f>
        <v>0</v>
      </c>
      <c r="AR56" s="56">
        <f>AR55*AN51</f>
        <v>0</v>
      </c>
      <c r="AS56" s="56">
        <f>AS55*AN51</f>
        <v>0</v>
      </c>
      <c r="AT56" s="56">
        <f>AT55*AN51</f>
        <v>0</v>
      </c>
      <c r="AU56" s="56">
        <f>AU55*AN51</f>
        <v>0</v>
      </c>
      <c r="AV56" s="57">
        <f t="shared" si="103"/>
        <v>0</v>
      </c>
    </row>
    <row r="57" spans="1:48" s="23" customFormat="1" ht="20.65" hidden="1" customHeight="1">
      <c r="A57" s="298"/>
      <c r="B57" s="208"/>
      <c r="C57" s="306" t="s">
        <v>387</v>
      </c>
      <c r="D57" s="73" t="s">
        <v>105</v>
      </c>
      <c r="E57" s="1158"/>
      <c r="F57" s="1158"/>
      <c r="G57" s="1287"/>
      <c r="H57" s="1158"/>
      <c r="I57" s="1158"/>
      <c r="J57" s="1287"/>
      <c r="K57" s="1287"/>
      <c r="L57" s="1158"/>
      <c r="M57" s="1158"/>
      <c r="N57" s="1158"/>
      <c r="O57" s="1158"/>
      <c r="P57" s="1158"/>
      <c r="Q57" s="1287"/>
      <c r="R57" s="1287"/>
      <c r="S57" s="1158"/>
      <c r="T57" s="1158"/>
      <c r="U57" s="1158"/>
      <c r="V57" s="1158"/>
      <c r="W57" s="1158"/>
      <c r="X57" s="1287"/>
      <c r="Y57" s="1287"/>
      <c r="Z57" s="1158"/>
      <c r="AA57" s="1158"/>
      <c r="AB57" s="1158"/>
      <c r="AC57" s="1158"/>
      <c r="AD57" s="1158"/>
      <c r="AE57" s="1287"/>
      <c r="AF57" s="1287"/>
      <c r="AG57" s="1158"/>
      <c r="AH57" s="1158"/>
      <c r="AI57" s="1408"/>
      <c r="AJ57" s="718">
        <f>SUM(E57:AI57)</f>
        <v>0</v>
      </c>
      <c r="AK57" s="718"/>
      <c r="AL57" s="691">
        <f>+AJ57*AN51</f>
        <v>0</v>
      </c>
      <c r="AM57" s="959"/>
      <c r="AN57" s="91"/>
      <c r="AO57" s="630"/>
      <c r="AP57" s="47" t="s">
        <v>106</v>
      </c>
      <c r="AQ57" s="48">
        <f>AQ53*AN51</f>
        <v>0</v>
      </c>
      <c r="AR57" s="48">
        <f>AR53*AN51</f>
        <v>0</v>
      </c>
      <c r="AS57" s="48">
        <f>AS53*AN51</f>
        <v>0</v>
      </c>
      <c r="AT57" s="48">
        <f>AT53*AN51</f>
        <v>0</v>
      </c>
      <c r="AU57" s="48">
        <f>AU53*AN51</f>
        <v>0</v>
      </c>
      <c r="AV57" s="50">
        <f t="shared" si="103"/>
        <v>0</v>
      </c>
    </row>
    <row r="58" spans="1:48" s="23" customFormat="1" ht="20.65" hidden="1" customHeight="1">
      <c r="A58" s="302" t="s">
        <v>386</v>
      </c>
      <c r="B58" s="208"/>
      <c r="C58" s="307"/>
      <c r="D58" s="78" t="s">
        <v>107</v>
      </c>
      <c r="E58" s="1137">
        <v>4</v>
      </c>
      <c r="F58" s="1097">
        <v>4</v>
      </c>
      <c r="G58" s="1205">
        <v>4</v>
      </c>
      <c r="H58" s="1097">
        <v>4</v>
      </c>
      <c r="I58" s="1097">
        <v>4</v>
      </c>
      <c r="J58" s="1205">
        <v>4</v>
      </c>
      <c r="K58" s="1205">
        <v>4</v>
      </c>
      <c r="L58" s="1097">
        <v>4</v>
      </c>
      <c r="M58" s="1097">
        <v>4</v>
      </c>
      <c r="N58" s="1097">
        <v>4</v>
      </c>
      <c r="O58" s="1097">
        <v>4</v>
      </c>
      <c r="P58" s="1097">
        <v>4</v>
      </c>
      <c r="Q58" s="1205">
        <v>4</v>
      </c>
      <c r="R58" s="1205">
        <v>4</v>
      </c>
      <c r="S58" s="1097">
        <v>4</v>
      </c>
      <c r="T58" s="1097">
        <v>4</v>
      </c>
      <c r="U58" s="1097">
        <v>4</v>
      </c>
      <c r="V58" s="1097">
        <v>4</v>
      </c>
      <c r="W58" s="1097">
        <v>4</v>
      </c>
      <c r="X58" s="1205">
        <v>4</v>
      </c>
      <c r="Y58" s="1205">
        <v>4</v>
      </c>
      <c r="Z58" s="1097">
        <v>4</v>
      </c>
      <c r="AA58" s="1097">
        <v>4</v>
      </c>
      <c r="AB58" s="1097">
        <v>4</v>
      </c>
      <c r="AC58" s="1097">
        <v>4</v>
      </c>
      <c r="AD58" s="1097">
        <v>4</v>
      </c>
      <c r="AE58" s="1205">
        <v>4</v>
      </c>
      <c r="AF58" s="1205">
        <v>4</v>
      </c>
      <c r="AG58" s="1097">
        <v>4</v>
      </c>
      <c r="AH58" s="1097">
        <v>4</v>
      </c>
      <c r="AI58" s="1328">
        <v>4</v>
      </c>
      <c r="AJ58" s="79"/>
      <c r="AK58" s="79"/>
      <c r="AL58" s="69"/>
      <c r="AM58" s="937"/>
      <c r="AN58" s="277"/>
      <c r="AO58" s="679"/>
      <c r="AP58" s="47"/>
      <c r="AQ58" s="48"/>
      <c r="AR58" s="48"/>
      <c r="AS58" s="48"/>
      <c r="AT58" s="48"/>
      <c r="AU58" s="48"/>
      <c r="AV58" s="284"/>
    </row>
    <row r="59" spans="1:48" s="23" customFormat="1" ht="20.65" hidden="1" customHeight="1">
      <c r="A59" s="302" t="s">
        <v>386</v>
      </c>
      <c r="B59" s="208"/>
      <c r="C59" s="305"/>
      <c r="D59" s="81" t="s">
        <v>109</v>
      </c>
      <c r="E59" s="1125">
        <f>SUM(E53+E55+E56+E57)/E58</f>
        <v>0</v>
      </c>
      <c r="F59" s="1125">
        <f>SUM(F53+F55+F56+F57)/F58</f>
        <v>0</v>
      </c>
      <c r="G59" s="1233">
        <f>SUM(G53+G55+G56+G57)/G58</f>
        <v>0</v>
      </c>
      <c r="H59" s="1125">
        <f t="shared" ref="H59:AH59" si="105">SUM(H53+H55+H56+H57)/H58</f>
        <v>0</v>
      </c>
      <c r="I59" s="1125">
        <f t="shared" si="105"/>
        <v>0</v>
      </c>
      <c r="J59" s="1233">
        <f t="shared" si="105"/>
        <v>0</v>
      </c>
      <c r="K59" s="1233">
        <f t="shared" si="105"/>
        <v>0</v>
      </c>
      <c r="L59" s="1125">
        <f t="shared" si="105"/>
        <v>0</v>
      </c>
      <c r="M59" s="1125">
        <f t="shared" si="105"/>
        <v>0</v>
      </c>
      <c r="N59" s="1125">
        <f t="shared" si="105"/>
        <v>0</v>
      </c>
      <c r="O59" s="1125">
        <f t="shared" si="105"/>
        <v>0</v>
      </c>
      <c r="P59" s="1125">
        <f t="shared" si="105"/>
        <v>0</v>
      </c>
      <c r="Q59" s="1233">
        <f t="shared" si="105"/>
        <v>0</v>
      </c>
      <c r="R59" s="1233">
        <f t="shared" si="105"/>
        <v>0</v>
      </c>
      <c r="S59" s="1125">
        <f t="shared" si="105"/>
        <v>0</v>
      </c>
      <c r="T59" s="1125">
        <f t="shared" si="105"/>
        <v>0</v>
      </c>
      <c r="U59" s="1125">
        <f t="shared" si="105"/>
        <v>0</v>
      </c>
      <c r="V59" s="1125">
        <f t="shared" si="105"/>
        <v>0</v>
      </c>
      <c r="W59" s="1125">
        <f t="shared" si="105"/>
        <v>0</v>
      </c>
      <c r="X59" s="1233">
        <f t="shared" si="105"/>
        <v>0</v>
      </c>
      <c r="Y59" s="1233">
        <f t="shared" si="105"/>
        <v>0</v>
      </c>
      <c r="Z59" s="1125">
        <f t="shared" si="105"/>
        <v>0</v>
      </c>
      <c r="AA59" s="1125">
        <f t="shared" si="105"/>
        <v>0</v>
      </c>
      <c r="AB59" s="1125">
        <f t="shared" si="105"/>
        <v>0</v>
      </c>
      <c r="AC59" s="1125">
        <f t="shared" si="105"/>
        <v>0</v>
      </c>
      <c r="AD59" s="1125">
        <f t="shared" si="105"/>
        <v>0</v>
      </c>
      <c r="AE59" s="1233">
        <f t="shared" si="105"/>
        <v>0</v>
      </c>
      <c r="AF59" s="1233">
        <f t="shared" si="105"/>
        <v>0</v>
      </c>
      <c r="AG59" s="1125">
        <f t="shared" si="105"/>
        <v>0</v>
      </c>
      <c r="AH59" s="1125">
        <f t="shared" si="105"/>
        <v>0</v>
      </c>
      <c r="AI59" s="1335">
        <f>SUM(AI53+AI55+AI56)/AI58</f>
        <v>0</v>
      </c>
      <c r="AJ59" s="515">
        <f>SUM(E59:AI59)</f>
        <v>0</v>
      </c>
      <c r="AK59" s="515"/>
      <c r="AL59" s="689"/>
      <c r="AM59" s="940"/>
      <c r="AN59" s="277"/>
      <c r="AO59" s="679"/>
      <c r="AP59" s="285"/>
      <c r="AQ59" s="285"/>
      <c r="AR59" s="285"/>
      <c r="AS59" s="285"/>
      <c r="AT59" s="286"/>
      <c r="AU59" s="285"/>
      <c r="AV59" s="287"/>
    </row>
    <row r="60" spans="1:48" s="23" customFormat="1" ht="20.65" hidden="1" customHeight="1">
      <c r="A60" s="302" t="s">
        <v>386</v>
      </c>
      <c r="B60" s="288"/>
      <c r="C60" s="72"/>
      <c r="D60" s="85" t="s">
        <v>110</v>
      </c>
      <c r="E60" s="1336"/>
      <c r="F60" s="1106"/>
      <c r="G60" s="1211"/>
      <c r="H60" s="1107"/>
      <c r="I60" s="1104"/>
      <c r="J60" s="1211"/>
      <c r="K60" s="1211"/>
      <c r="L60" s="1104"/>
      <c r="M60" s="1104"/>
      <c r="N60" s="1104"/>
      <c r="O60" s="1107"/>
      <c r="P60" s="1104"/>
      <c r="Q60" s="1211"/>
      <c r="R60" s="1211"/>
      <c r="S60" s="1104"/>
      <c r="T60" s="1104"/>
      <c r="U60" s="1104"/>
      <c r="V60" s="1104"/>
      <c r="W60" s="1104"/>
      <c r="X60" s="1211"/>
      <c r="Y60" s="1211"/>
      <c r="Z60" s="1104"/>
      <c r="AA60" s="1104"/>
      <c r="AB60" s="1104"/>
      <c r="AC60" s="1104"/>
      <c r="AD60" s="1104"/>
      <c r="AE60" s="1211"/>
      <c r="AF60" s="1211"/>
      <c r="AG60" s="1104"/>
      <c r="AH60" s="1104"/>
      <c r="AI60" s="1353"/>
      <c r="AJ60" s="86"/>
      <c r="AK60" s="86"/>
      <c r="AL60" s="690"/>
      <c r="AM60" s="940"/>
      <c r="AN60" s="277"/>
      <c r="AO60" s="679"/>
      <c r="AP60" s="285"/>
      <c r="AQ60" s="285"/>
      <c r="AR60" s="285"/>
      <c r="AS60" s="285"/>
      <c r="AT60" s="286"/>
      <c r="AU60" s="285"/>
      <c r="AV60" s="287"/>
    </row>
    <row r="61" spans="1:48" s="23" customFormat="1" ht="20.65" hidden="1" customHeight="1">
      <c r="A61" s="302" t="s">
        <v>386</v>
      </c>
      <c r="B61" s="288"/>
      <c r="C61" s="72" t="s">
        <v>104</v>
      </c>
      <c r="D61" s="88" t="s">
        <v>111</v>
      </c>
      <c r="E61" s="1108">
        <f>IF(E60="O/H",E59,0+E59)</f>
        <v>0</v>
      </c>
      <c r="F61" s="1089">
        <f t="shared" ref="F61:AI61" si="106">IF(F60="O/H",F59,+E61+F59)</f>
        <v>0</v>
      </c>
      <c r="G61" s="44">
        <f t="shared" si="106"/>
        <v>0</v>
      </c>
      <c r="H61" s="1089">
        <f t="shared" si="106"/>
        <v>0</v>
      </c>
      <c r="I61" s="1089">
        <f t="shared" si="106"/>
        <v>0</v>
      </c>
      <c r="J61" s="44">
        <f t="shared" si="106"/>
        <v>0</v>
      </c>
      <c r="K61" s="44">
        <f t="shared" si="106"/>
        <v>0</v>
      </c>
      <c r="L61" s="1089">
        <f t="shared" si="106"/>
        <v>0</v>
      </c>
      <c r="M61" s="1089">
        <f t="shared" si="106"/>
        <v>0</v>
      </c>
      <c r="N61" s="1089">
        <f t="shared" si="106"/>
        <v>0</v>
      </c>
      <c r="O61" s="1089">
        <f t="shared" si="106"/>
        <v>0</v>
      </c>
      <c r="P61" s="1089">
        <f t="shared" si="106"/>
        <v>0</v>
      </c>
      <c r="Q61" s="44">
        <f t="shared" si="106"/>
        <v>0</v>
      </c>
      <c r="R61" s="44">
        <f t="shared" si="106"/>
        <v>0</v>
      </c>
      <c r="S61" s="1089">
        <f t="shared" si="106"/>
        <v>0</v>
      </c>
      <c r="T61" s="1089">
        <f t="shared" si="106"/>
        <v>0</v>
      </c>
      <c r="U61" s="1089">
        <f t="shared" si="106"/>
        <v>0</v>
      </c>
      <c r="V61" s="1089">
        <f t="shared" si="106"/>
        <v>0</v>
      </c>
      <c r="W61" s="1089">
        <f t="shared" si="106"/>
        <v>0</v>
      </c>
      <c r="X61" s="44">
        <f t="shared" si="106"/>
        <v>0</v>
      </c>
      <c r="Y61" s="44">
        <f t="shared" si="106"/>
        <v>0</v>
      </c>
      <c r="Z61" s="1089">
        <f t="shared" si="106"/>
        <v>0</v>
      </c>
      <c r="AA61" s="1089">
        <f t="shared" si="106"/>
        <v>0</v>
      </c>
      <c r="AB61" s="1089">
        <f t="shared" si="106"/>
        <v>0</v>
      </c>
      <c r="AC61" s="1089">
        <f t="shared" si="106"/>
        <v>0</v>
      </c>
      <c r="AD61" s="1089">
        <f t="shared" si="106"/>
        <v>0</v>
      </c>
      <c r="AE61" s="44">
        <f t="shared" si="106"/>
        <v>0</v>
      </c>
      <c r="AF61" s="44">
        <f t="shared" si="106"/>
        <v>0</v>
      </c>
      <c r="AG61" s="1089">
        <f t="shared" si="106"/>
        <v>0</v>
      </c>
      <c r="AH61" s="1089">
        <f t="shared" si="106"/>
        <v>0</v>
      </c>
      <c r="AI61" s="1326">
        <f t="shared" si="106"/>
        <v>0</v>
      </c>
      <c r="AJ61" s="79"/>
      <c r="AK61" s="79"/>
      <c r="AL61" s="690"/>
      <c r="AM61" s="940"/>
      <c r="AN61" s="277"/>
      <c r="AO61" s="679"/>
      <c r="AP61" s="285"/>
      <c r="AQ61" s="285"/>
      <c r="AR61" s="285"/>
      <c r="AS61" s="285"/>
      <c r="AT61" s="286"/>
      <c r="AU61" s="285"/>
      <c r="AV61" s="287"/>
    </row>
    <row r="62" spans="1:48" s="23" customFormat="1" ht="20.45" hidden="1" customHeight="1">
      <c r="A62" s="312"/>
      <c r="B62" s="1226" t="s">
        <v>546</v>
      </c>
      <c r="C62" s="308">
        <v>300000</v>
      </c>
      <c r="D62" s="795" t="s">
        <v>112</v>
      </c>
      <c r="E62" s="1117" t="b">
        <f>IF(AND(ISNUMBER(E53)),972379+E59)</f>
        <v>0</v>
      </c>
      <c r="F62" s="1118" t="str">
        <f>IF(AND(ISNUMBER(F53)),E62+F59,"")</f>
        <v/>
      </c>
      <c r="G62" s="1216" t="str">
        <f t="shared" ref="G62" si="107">IF(AND(ISNUMBER(G53)),F62+G59,"")</f>
        <v/>
      </c>
      <c r="H62" s="1118" t="str">
        <f t="shared" ref="H62" si="108">IF(AND(ISNUMBER(H53)),G62+H59,"")</f>
        <v/>
      </c>
      <c r="I62" s="1118" t="str">
        <f>IF(AND(ISNUMBER(I53)),H62+I59,"")</f>
        <v/>
      </c>
      <c r="J62" s="1216" t="str">
        <f>IF(AND(ISNUMBER(J53)),I62+J59,"")</f>
        <v/>
      </c>
      <c r="K62" s="1216" t="str">
        <f>IF(AND(ISNUMBER(K53)),J62+K59,"")</f>
        <v/>
      </c>
      <c r="L62" s="1118" t="str">
        <f t="shared" ref="L62" si="109">IF(AND(ISNUMBER(L53)),K62+L59,"")</f>
        <v/>
      </c>
      <c r="M62" s="1118" t="str">
        <f t="shared" ref="M62" si="110">IF(AND(ISNUMBER(M53)),L62+M59,"")</f>
        <v/>
      </c>
      <c r="N62" s="1118" t="str">
        <f t="shared" ref="N62" si="111">IF(AND(ISNUMBER(N53)),M62+N59,"")</f>
        <v/>
      </c>
      <c r="O62" s="1118" t="str">
        <f t="shared" ref="O62" si="112">IF(AND(ISNUMBER(O53)),N62+O59,"")</f>
        <v/>
      </c>
      <c r="P62" s="1118" t="str">
        <f t="shared" ref="P62" si="113">IF(AND(ISNUMBER(P53)),O62+P59,"")</f>
        <v/>
      </c>
      <c r="Q62" s="1216" t="str">
        <f t="shared" ref="Q62" si="114">IF(AND(ISNUMBER(Q53)),P62+Q59,"")</f>
        <v/>
      </c>
      <c r="R62" s="1216" t="str">
        <f t="shared" ref="R62" si="115">IF(AND(ISNUMBER(R53)),Q62+R59,"")</f>
        <v/>
      </c>
      <c r="S62" s="1118" t="str">
        <f t="shared" ref="S62" si="116">IF(AND(ISNUMBER(S53)),R62+S59,"")</f>
        <v/>
      </c>
      <c r="T62" s="1118" t="str">
        <f t="shared" ref="T62" si="117">IF(AND(ISNUMBER(T53)),S62+T59,"")</f>
        <v/>
      </c>
      <c r="U62" s="1118" t="str">
        <f t="shared" ref="U62" si="118">IF(AND(ISNUMBER(U53)),T62+U59,"")</f>
        <v/>
      </c>
      <c r="V62" s="1118" t="str">
        <f t="shared" ref="V62" si="119">IF(AND(ISNUMBER(V53)),U62+V59,"")</f>
        <v/>
      </c>
      <c r="W62" s="1118" t="str">
        <f t="shared" ref="W62" si="120">IF(AND(ISNUMBER(W53)),V62+W59,"")</f>
        <v/>
      </c>
      <c r="X62" s="1216" t="str">
        <f t="shared" ref="X62" si="121">IF(AND(ISNUMBER(X53)),W62+X59,"")</f>
        <v/>
      </c>
      <c r="Y62" s="1216" t="str">
        <f t="shared" ref="Y62" si="122">IF(AND(ISNUMBER(Y53)),X62+Y59,"")</f>
        <v/>
      </c>
      <c r="Z62" s="1118" t="str">
        <f t="shared" ref="Z62" si="123">IF(AND(ISNUMBER(Z53)),Y62+Z59,"")</f>
        <v/>
      </c>
      <c r="AA62" s="1118" t="str">
        <f t="shared" ref="AA62" si="124">IF(AND(ISNUMBER(AA53)),Z62+AA59,"")</f>
        <v/>
      </c>
      <c r="AB62" s="1118" t="str">
        <f t="shared" ref="AB62" si="125">IF(AND(ISNUMBER(AB53)),AA62+AB59,"")</f>
        <v/>
      </c>
      <c r="AC62" s="1118" t="str">
        <f t="shared" ref="AC62" si="126">IF(AND(ISNUMBER(AC53)),AB62+AC59,"")</f>
        <v/>
      </c>
      <c r="AD62" s="1118" t="str">
        <f t="shared" ref="AD62" si="127">IF(AND(ISNUMBER(AD53)),AC62+AD59,"")</f>
        <v/>
      </c>
      <c r="AE62" s="1216" t="str">
        <f t="shared" ref="AE62" si="128">IF(AND(ISNUMBER(AE53)),AD62+AE59,"")</f>
        <v/>
      </c>
      <c r="AF62" s="1216" t="str">
        <f t="shared" ref="AF62" si="129">IF(AND(ISNUMBER(AF53)),AE62+AF59,"")</f>
        <v/>
      </c>
      <c r="AG62" s="1118" t="str">
        <f t="shared" ref="AG62" si="130">IF(AND(ISNUMBER(AG53)),AF62+AG59,"")</f>
        <v/>
      </c>
      <c r="AH62" s="1118" t="str">
        <f t="shared" ref="AH62" si="131">IF(AND(ISNUMBER(AH53)),AG62+AH59,"")</f>
        <v/>
      </c>
      <c r="AI62" s="1118" t="str">
        <f t="shared" ref="AI62" si="132">IF(AND(ISNUMBER(AI53)),AH62+AI59,"")</f>
        <v/>
      </c>
      <c r="AJ62" s="793"/>
      <c r="AK62" s="793"/>
      <c r="AL62" s="909"/>
      <c r="AM62" s="794"/>
      <c r="AN62" s="429"/>
      <c r="AO62" s="675"/>
      <c r="AP62" s="285"/>
      <c r="AQ62" s="285"/>
      <c r="AR62" s="285"/>
      <c r="AS62" s="285"/>
      <c r="AT62" s="286"/>
      <c r="AU62" s="285"/>
      <c r="AV62" s="287"/>
    </row>
    <row r="63" spans="1:48" s="23" customFormat="1" ht="20.65" hidden="1" customHeight="1">
      <c r="A63" s="302" t="s">
        <v>386</v>
      </c>
      <c r="B63" s="288"/>
      <c r="C63" s="80" t="s">
        <v>108</v>
      </c>
      <c r="D63" s="90" t="s">
        <v>104</v>
      </c>
      <c r="E63" s="1338"/>
      <c r="F63" s="1089"/>
      <c r="G63" s="44"/>
      <c r="H63" s="1106"/>
      <c r="I63" s="1089"/>
      <c r="J63" s="44"/>
      <c r="K63" s="44"/>
      <c r="L63" s="1089"/>
      <c r="M63" s="1089"/>
      <c r="N63" s="1089"/>
      <c r="O63" s="1089"/>
      <c r="P63" s="1089"/>
      <c r="Q63" s="44"/>
      <c r="R63" s="44"/>
      <c r="S63" s="1089"/>
      <c r="T63" s="1089"/>
      <c r="U63" s="1089"/>
      <c r="V63" s="1089"/>
      <c r="W63" s="1089"/>
      <c r="X63" s="44"/>
      <c r="Y63" s="44"/>
      <c r="Z63" s="1089"/>
      <c r="AA63" s="1089"/>
      <c r="AB63" s="1089"/>
      <c r="AC63" s="1089"/>
      <c r="AD63" s="1089"/>
      <c r="AE63" s="44"/>
      <c r="AF63" s="44"/>
      <c r="AG63" s="1089"/>
      <c r="AH63" s="1089"/>
      <c r="AI63" s="1326"/>
      <c r="AJ63" s="79"/>
      <c r="AK63" s="79"/>
      <c r="AL63" s="690"/>
      <c r="AM63" s="940"/>
      <c r="AN63" s="301"/>
      <c r="AO63" s="680"/>
      <c r="AP63" s="285"/>
      <c r="AQ63" s="285"/>
      <c r="AR63" s="285"/>
      <c r="AS63" s="285"/>
      <c r="AT63" s="286"/>
      <c r="AU63" s="285"/>
      <c r="AV63" s="287"/>
    </row>
    <row r="64" spans="1:48" s="23" customFormat="1" ht="20.65" hidden="1" customHeight="1" thickBot="1">
      <c r="A64" s="309"/>
      <c r="B64" s="290"/>
      <c r="C64" s="94">
        <f>+C62*0.8</f>
        <v>240000</v>
      </c>
      <c r="D64" s="88" t="s">
        <v>111</v>
      </c>
      <c r="E64" s="1109">
        <f>IF(E63="O/H",E59,+E59)</f>
        <v>0</v>
      </c>
      <c r="F64" s="1110">
        <f t="shared" ref="F64:AI64" si="133">IF(F63="O/H",F59,+E64+F59)</f>
        <v>0</v>
      </c>
      <c r="G64" s="1212">
        <f t="shared" si="133"/>
        <v>0</v>
      </c>
      <c r="H64" s="1110">
        <f t="shared" si="133"/>
        <v>0</v>
      </c>
      <c r="I64" s="1110">
        <f t="shared" si="133"/>
        <v>0</v>
      </c>
      <c r="J64" s="1212">
        <f t="shared" si="133"/>
        <v>0</v>
      </c>
      <c r="K64" s="1212">
        <f t="shared" si="133"/>
        <v>0</v>
      </c>
      <c r="L64" s="1110">
        <f t="shared" si="133"/>
        <v>0</v>
      </c>
      <c r="M64" s="1110">
        <f t="shared" si="133"/>
        <v>0</v>
      </c>
      <c r="N64" s="1110">
        <f t="shared" si="133"/>
        <v>0</v>
      </c>
      <c r="O64" s="1110">
        <f t="shared" si="133"/>
        <v>0</v>
      </c>
      <c r="P64" s="1110">
        <f t="shared" si="133"/>
        <v>0</v>
      </c>
      <c r="Q64" s="1212">
        <f t="shared" si="133"/>
        <v>0</v>
      </c>
      <c r="R64" s="1212">
        <f t="shared" si="133"/>
        <v>0</v>
      </c>
      <c r="S64" s="1110">
        <f t="shared" si="133"/>
        <v>0</v>
      </c>
      <c r="T64" s="1110">
        <f t="shared" si="133"/>
        <v>0</v>
      </c>
      <c r="U64" s="1110">
        <f t="shared" si="133"/>
        <v>0</v>
      </c>
      <c r="V64" s="1110">
        <f t="shared" si="133"/>
        <v>0</v>
      </c>
      <c r="W64" s="1110">
        <f t="shared" si="133"/>
        <v>0</v>
      </c>
      <c r="X64" s="1212">
        <f t="shared" si="133"/>
        <v>0</v>
      </c>
      <c r="Y64" s="1212">
        <f t="shared" si="133"/>
        <v>0</v>
      </c>
      <c r="Z64" s="1110">
        <f t="shared" si="133"/>
        <v>0</v>
      </c>
      <c r="AA64" s="1110">
        <f t="shared" si="133"/>
        <v>0</v>
      </c>
      <c r="AB64" s="1110">
        <f t="shared" si="133"/>
        <v>0</v>
      </c>
      <c r="AC64" s="1110">
        <f t="shared" si="133"/>
        <v>0</v>
      </c>
      <c r="AD64" s="1110">
        <f t="shared" si="133"/>
        <v>0</v>
      </c>
      <c r="AE64" s="1212">
        <f t="shared" si="133"/>
        <v>0</v>
      </c>
      <c r="AF64" s="1212">
        <f t="shared" si="133"/>
        <v>0</v>
      </c>
      <c r="AG64" s="1110">
        <f t="shared" si="133"/>
        <v>0</v>
      </c>
      <c r="AH64" s="1110">
        <f t="shared" si="133"/>
        <v>0</v>
      </c>
      <c r="AI64" s="1340">
        <f t="shared" si="133"/>
        <v>0</v>
      </c>
      <c r="AJ64" s="96"/>
      <c r="AK64" s="96"/>
      <c r="AL64" s="693"/>
      <c r="AM64" s="961"/>
      <c r="AN64" s="145"/>
      <c r="AO64" s="681"/>
      <c r="AP64" s="285"/>
      <c r="AQ64" s="285"/>
      <c r="AR64" s="285"/>
      <c r="AS64" s="285"/>
      <c r="AT64" s="286"/>
      <c r="AU64" s="285"/>
      <c r="AV64" s="287"/>
    </row>
    <row r="65" spans="1:48" s="23" customFormat="1" ht="20.65" hidden="1" customHeight="1" thickTop="1">
      <c r="A65" s="298" t="s">
        <v>709</v>
      </c>
      <c r="B65" s="208"/>
      <c r="C65" s="1493" t="str">
        <f>Table2[[#This Row],[M/C No.]]</f>
        <v>H3(50ton)</v>
      </c>
      <c r="D65" s="28" t="s">
        <v>82</v>
      </c>
      <c r="E65" s="1139"/>
      <c r="F65" s="1139"/>
      <c r="G65" s="1231"/>
      <c r="H65" s="1139"/>
      <c r="I65" s="1139"/>
      <c r="J65" s="1231"/>
      <c r="K65" s="1231"/>
      <c r="L65" s="1139"/>
      <c r="M65" s="1139"/>
      <c r="N65" s="1139"/>
      <c r="O65" s="1139"/>
      <c r="P65" s="1139"/>
      <c r="Q65" s="1231"/>
      <c r="R65" s="1231"/>
      <c r="S65" s="1139"/>
      <c r="T65" s="1139"/>
      <c r="U65" s="1139"/>
      <c r="V65" s="1139"/>
      <c r="W65" s="1139"/>
      <c r="X65" s="1231"/>
      <c r="Y65" s="1231"/>
      <c r="Z65" s="1139"/>
      <c r="AA65" s="1139"/>
      <c r="AB65" s="1139"/>
      <c r="AC65" s="1139"/>
      <c r="AD65" s="1139"/>
      <c r="AE65" s="1231"/>
      <c r="AF65" s="1231"/>
      <c r="AG65" s="1139"/>
      <c r="AH65" s="1139"/>
      <c r="AI65" s="1322"/>
      <c r="AJ65" s="29">
        <f>SUM(E65:AI65)</f>
        <v>0</v>
      </c>
      <c r="AK65" s="1020">
        <f>AJ67</f>
        <v>0</v>
      </c>
      <c r="AL65" s="101">
        <f>+AJ65*AN65</f>
        <v>0</v>
      </c>
      <c r="AM65" s="1019">
        <f>AL67</f>
        <v>0</v>
      </c>
      <c r="AN65" s="293">
        <v>4.2064200000000005</v>
      </c>
      <c r="AO65" s="633">
        <f>Table2[[#This Row],[Total]]*B69/1000</f>
        <v>0</v>
      </c>
      <c r="AP65" s="32" t="s">
        <v>384</v>
      </c>
      <c r="AQ65" s="33" t="s">
        <v>84</v>
      </c>
      <c r="AR65" s="33" t="s">
        <v>85</v>
      </c>
      <c r="AS65" s="33" t="s">
        <v>86</v>
      </c>
      <c r="AT65" s="33" t="s">
        <v>87</v>
      </c>
      <c r="AU65" s="33" t="s">
        <v>88</v>
      </c>
      <c r="AV65" s="34" t="s">
        <v>68</v>
      </c>
    </row>
    <row r="66" spans="1:48" s="23" customFormat="1" ht="20.65" hidden="1" customHeight="1">
      <c r="A66" s="274"/>
      <c r="B66" s="208" t="s">
        <v>385</v>
      </c>
      <c r="C66" s="275"/>
      <c r="D66" s="37" t="s">
        <v>90</v>
      </c>
      <c r="E66" s="1323">
        <f>IF(E65="",0,+ E65/E72)</f>
        <v>0</v>
      </c>
      <c r="F66" s="1096">
        <f t="shared" ref="F66:AC66" si="134">IF(F65="",0, E66+F65/F72)</f>
        <v>0</v>
      </c>
      <c r="G66" s="1207">
        <f t="shared" si="134"/>
        <v>0</v>
      </c>
      <c r="H66" s="1096">
        <f t="shared" si="134"/>
        <v>0</v>
      </c>
      <c r="I66" s="1096">
        <f t="shared" si="134"/>
        <v>0</v>
      </c>
      <c r="J66" s="1207">
        <f t="shared" si="134"/>
        <v>0</v>
      </c>
      <c r="K66" s="1207">
        <f t="shared" si="134"/>
        <v>0</v>
      </c>
      <c r="L66" s="1096">
        <f t="shared" si="134"/>
        <v>0</v>
      </c>
      <c r="M66" s="1096">
        <f t="shared" si="134"/>
        <v>0</v>
      </c>
      <c r="N66" s="1096">
        <f t="shared" si="134"/>
        <v>0</v>
      </c>
      <c r="O66" s="1096">
        <f t="shared" si="134"/>
        <v>0</v>
      </c>
      <c r="P66" s="1096">
        <f t="shared" si="134"/>
        <v>0</v>
      </c>
      <c r="Q66" s="1207">
        <f t="shared" si="134"/>
        <v>0</v>
      </c>
      <c r="R66" s="1207">
        <f t="shared" si="134"/>
        <v>0</v>
      </c>
      <c r="S66" s="1096">
        <f t="shared" si="134"/>
        <v>0</v>
      </c>
      <c r="T66" s="1096">
        <f t="shared" si="134"/>
        <v>0</v>
      </c>
      <c r="U66" s="1096">
        <f t="shared" si="134"/>
        <v>0</v>
      </c>
      <c r="V66" s="1096">
        <f t="shared" si="134"/>
        <v>0</v>
      </c>
      <c r="W66" s="1096">
        <f t="shared" si="134"/>
        <v>0</v>
      </c>
      <c r="X66" s="1207">
        <f t="shared" si="134"/>
        <v>0</v>
      </c>
      <c r="Y66" s="1207">
        <f t="shared" si="134"/>
        <v>0</v>
      </c>
      <c r="Z66" s="1096">
        <f t="shared" si="134"/>
        <v>0</v>
      </c>
      <c r="AA66" s="1096">
        <f t="shared" si="134"/>
        <v>0</v>
      </c>
      <c r="AB66" s="1096">
        <f t="shared" si="134"/>
        <v>0</v>
      </c>
      <c r="AC66" s="1096">
        <f t="shared" si="134"/>
        <v>0</v>
      </c>
      <c r="AD66" s="1096">
        <f>IF(AD65="",0, Z66+AD65/AD72)</f>
        <v>0</v>
      </c>
      <c r="AE66" s="1207">
        <f>IF(AE65="",0, AA66+AE65/AE72)</f>
        <v>0</v>
      </c>
      <c r="AF66" s="1207">
        <f>IF(AF65="",0, AB66+AF65/AF72)</f>
        <v>0</v>
      </c>
      <c r="AG66" s="1096">
        <f>IF(AG65="",0, AC66+AG65/AG72)</f>
        <v>0</v>
      </c>
      <c r="AH66" s="1096">
        <f>IF(AH65="",0, AD66+AH65/AH72)</f>
        <v>0</v>
      </c>
      <c r="AI66" s="1324">
        <f>IF(AI65="",0, AH66+AI65/AI72)</f>
        <v>0</v>
      </c>
      <c r="AJ66" s="716"/>
      <c r="AK66" s="716"/>
      <c r="AL66" s="209"/>
      <c r="AM66" s="794"/>
      <c r="AN66" s="91"/>
      <c r="AO66" s="675"/>
      <c r="AP66" s="39" t="s">
        <v>91</v>
      </c>
      <c r="AQ66" s="40">
        <f>SUM(E65:K65)</f>
        <v>0</v>
      </c>
      <c r="AR66" s="41">
        <f>SUM(L65:R65)</f>
        <v>0</v>
      </c>
      <c r="AS66" s="41">
        <f>SUM(S65:Y65)</f>
        <v>0</v>
      </c>
      <c r="AT66" s="41">
        <f>SUM(Z65:AF65)</f>
        <v>0</v>
      </c>
      <c r="AU66" s="41">
        <f>SUM(AG65:AI65)</f>
        <v>0</v>
      </c>
      <c r="AV66" s="34">
        <f t="shared" ref="AV66:AV71" si="135">SUM(AQ66:AU66)</f>
        <v>0</v>
      </c>
    </row>
    <row r="67" spans="1:48" s="23" customFormat="1" ht="20.65" hidden="1" customHeight="1">
      <c r="A67" s="302" t="s">
        <v>386</v>
      </c>
      <c r="B67" s="89" t="s">
        <v>246</v>
      </c>
      <c r="C67" s="42"/>
      <c r="D67" s="43" t="s">
        <v>93</v>
      </c>
      <c r="E67" s="1403"/>
      <c r="F67" s="1119"/>
      <c r="G67" s="1243"/>
      <c r="H67" s="1119"/>
      <c r="I67" s="1119"/>
      <c r="J67" s="1243"/>
      <c r="K67" s="1243"/>
      <c r="L67" s="1119"/>
      <c r="M67" s="1119"/>
      <c r="N67" s="1119"/>
      <c r="O67" s="1119"/>
      <c r="P67" s="1119"/>
      <c r="Q67" s="1243"/>
      <c r="R67" s="1243"/>
      <c r="S67" s="1119"/>
      <c r="T67" s="1119"/>
      <c r="U67" s="1119"/>
      <c r="V67" s="1119"/>
      <c r="W67" s="1119"/>
      <c r="X67" s="1243"/>
      <c r="Y67" s="1243"/>
      <c r="Z67" s="1119"/>
      <c r="AA67" s="1119"/>
      <c r="AB67" s="1119"/>
      <c r="AC67" s="1119"/>
      <c r="AD67" s="1119"/>
      <c r="AE67" s="1243"/>
      <c r="AF67" s="1243"/>
      <c r="AG67" s="1119"/>
      <c r="AH67" s="1119"/>
      <c r="AI67" s="1351"/>
      <c r="AJ67" s="45">
        <f>SUM(E67:AI67)</f>
        <v>0</v>
      </c>
      <c r="AK67" s="45"/>
      <c r="AL67" s="46">
        <f>+AJ67*AN65</f>
        <v>0</v>
      </c>
      <c r="AM67" s="934"/>
      <c r="AN67" s="277"/>
      <c r="AO67" s="632">
        <f>(AJ67+AJ69+AJ70+AJ71)*B69/1000</f>
        <v>0</v>
      </c>
      <c r="AP67" s="47" t="s">
        <v>94</v>
      </c>
      <c r="AQ67" s="48">
        <f>SUM(E67:K67)</f>
        <v>0</v>
      </c>
      <c r="AR67" s="49">
        <f>SUM(L67:R67)</f>
        <v>0</v>
      </c>
      <c r="AS67" s="49">
        <f>SUM(S67:Y67)</f>
        <v>0</v>
      </c>
      <c r="AT67" s="49">
        <f>SUM(Z67:AF67)</f>
        <v>0</v>
      </c>
      <c r="AU67" s="49">
        <f>SUM(AG67:AI67)</f>
        <v>0</v>
      </c>
      <c r="AV67" s="50">
        <f t="shared" si="135"/>
        <v>0</v>
      </c>
    </row>
    <row r="68" spans="1:48" s="23" customFormat="1" ht="20.65" hidden="1" customHeight="1">
      <c r="A68" s="302" t="s">
        <v>386</v>
      </c>
      <c r="B68" s="638" t="s">
        <v>247</v>
      </c>
      <c r="C68" s="280"/>
      <c r="D68" s="53" t="s">
        <v>96</v>
      </c>
      <c r="E68" s="1137">
        <f t="shared" ref="E68:AJ68" si="136">+E67-E65</f>
        <v>0</v>
      </c>
      <c r="F68" s="1097">
        <f t="shared" si="136"/>
        <v>0</v>
      </c>
      <c r="G68" s="1205">
        <f t="shared" si="136"/>
        <v>0</v>
      </c>
      <c r="H68" s="1097">
        <f t="shared" si="136"/>
        <v>0</v>
      </c>
      <c r="I68" s="1097">
        <f t="shared" si="136"/>
        <v>0</v>
      </c>
      <c r="J68" s="1205">
        <f t="shared" si="136"/>
        <v>0</v>
      </c>
      <c r="K68" s="1205">
        <f t="shared" si="136"/>
        <v>0</v>
      </c>
      <c r="L68" s="1097">
        <f t="shared" si="136"/>
        <v>0</v>
      </c>
      <c r="M68" s="1097">
        <f t="shared" si="136"/>
        <v>0</v>
      </c>
      <c r="N68" s="1097">
        <f t="shared" si="136"/>
        <v>0</v>
      </c>
      <c r="O68" s="1097">
        <f t="shared" si="136"/>
        <v>0</v>
      </c>
      <c r="P68" s="1097">
        <f t="shared" si="136"/>
        <v>0</v>
      </c>
      <c r="Q68" s="1205">
        <f t="shared" si="136"/>
        <v>0</v>
      </c>
      <c r="R68" s="1205">
        <f t="shared" si="136"/>
        <v>0</v>
      </c>
      <c r="S68" s="1097">
        <f t="shared" si="136"/>
        <v>0</v>
      </c>
      <c r="T68" s="1097">
        <f t="shared" si="136"/>
        <v>0</v>
      </c>
      <c r="U68" s="1097">
        <f t="shared" si="136"/>
        <v>0</v>
      </c>
      <c r="V68" s="1097">
        <f>+V67-V65</f>
        <v>0</v>
      </c>
      <c r="W68" s="1097">
        <f t="shared" si="136"/>
        <v>0</v>
      </c>
      <c r="X68" s="1205">
        <f t="shared" si="136"/>
        <v>0</v>
      </c>
      <c r="Y68" s="1205">
        <f>+Y67-Y65</f>
        <v>0</v>
      </c>
      <c r="Z68" s="1097">
        <f t="shared" si="136"/>
        <v>0</v>
      </c>
      <c r="AA68" s="1097">
        <f t="shared" si="136"/>
        <v>0</v>
      </c>
      <c r="AB68" s="1097">
        <f t="shared" si="136"/>
        <v>0</v>
      </c>
      <c r="AC68" s="1097">
        <f t="shared" si="136"/>
        <v>0</v>
      </c>
      <c r="AD68" s="1097">
        <f t="shared" si="136"/>
        <v>0</v>
      </c>
      <c r="AE68" s="1205">
        <f t="shared" si="136"/>
        <v>0</v>
      </c>
      <c r="AF68" s="1205">
        <f t="shared" si="136"/>
        <v>0</v>
      </c>
      <c r="AG68" s="1097">
        <f t="shared" si="136"/>
        <v>0</v>
      </c>
      <c r="AH68" s="1097">
        <f t="shared" si="136"/>
        <v>0</v>
      </c>
      <c r="AI68" s="1328">
        <f t="shared" si="136"/>
        <v>0</v>
      </c>
      <c r="AJ68" s="79">
        <f t="shared" si="136"/>
        <v>0</v>
      </c>
      <c r="AK68" s="79"/>
      <c r="AL68" s="55">
        <f>+AJ68*AN65</f>
        <v>0</v>
      </c>
      <c r="AM68" s="935"/>
      <c r="AN68" s="277" t="s">
        <v>97</v>
      </c>
      <c r="AO68" s="622"/>
      <c r="AP68" s="39" t="s">
        <v>98</v>
      </c>
      <c r="AQ68" s="56">
        <f>AQ67-AQ66</f>
        <v>0</v>
      </c>
      <c r="AR68" s="70">
        <f>AR67-AR66</f>
        <v>0</v>
      </c>
      <c r="AS68" s="70">
        <f>AS67-AS66</f>
        <v>0</v>
      </c>
      <c r="AT68" s="70">
        <f>AT67-AT66</f>
        <v>0</v>
      </c>
      <c r="AU68" s="70">
        <f>AU67-AU66</f>
        <v>0</v>
      </c>
      <c r="AV68" s="57">
        <f t="shared" si="135"/>
        <v>0</v>
      </c>
    </row>
    <row r="69" spans="1:48" s="23" customFormat="1" ht="20.65" hidden="1" customHeight="1">
      <c r="A69" s="302" t="s">
        <v>386</v>
      </c>
      <c r="B69" s="659">
        <v>2.1890000000000001</v>
      </c>
      <c r="C69" s="305"/>
      <c r="D69" s="61" t="s">
        <v>101</v>
      </c>
      <c r="E69" s="1098"/>
      <c r="F69" s="1099"/>
      <c r="G69" s="1208"/>
      <c r="H69" s="1099"/>
      <c r="I69" s="1099"/>
      <c r="J69" s="1208"/>
      <c r="K69" s="1208"/>
      <c r="L69" s="1099"/>
      <c r="M69" s="1099"/>
      <c r="N69" s="1099"/>
      <c r="O69" s="1099"/>
      <c r="P69" s="1099"/>
      <c r="Q69" s="1208"/>
      <c r="R69" s="1208"/>
      <c r="S69" s="1099"/>
      <c r="T69" s="1099"/>
      <c r="U69" s="1099"/>
      <c r="V69" s="1099"/>
      <c r="W69" s="1099"/>
      <c r="X69" s="1208"/>
      <c r="Y69" s="1208"/>
      <c r="Z69" s="1099"/>
      <c r="AA69" s="1099"/>
      <c r="AB69" s="1099"/>
      <c r="AC69" s="1099"/>
      <c r="AD69" s="1099"/>
      <c r="AE69" s="1208"/>
      <c r="AF69" s="1208"/>
      <c r="AG69" s="1099"/>
      <c r="AH69" s="1099"/>
      <c r="AI69" s="1330"/>
      <c r="AJ69" s="62">
        <f>SUM(E69:AI69)</f>
        <v>0</v>
      </c>
      <c r="AK69" s="62"/>
      <c r="AL69" s="63">
        <f>+AJ69*AN65</f>
        <v>0</v>
      </c>
      <c r="AM69" s="936"/>
      <c r="AN69" s="301" t="e">
        <f>+AJ69/AJ67*100</f>
        <v>#DIV/0!</v>
      </c>
      <c r="AO69" s="635" t="e">
        <f>AO67/AO65</f>
        <v>#DIV/0!</v>
      </c>
      <c r="AP69" s="39" t="s">
        <v>102</v>
      </c>
      <c r="AQ69" s="56">
        <f>SUM(E69:K69)</f>
        <v>0</v>
      </c>
      <c r="AR69" s="70">
        <f>SUM(L69:R69)</f>
        <v>0</v>
      </c>
      <c r="AS69" s="70">
        <f>SUM(S69:Y69)</f>
        <v>0</v>
      </c>
      <c r="AT69" s="70">
        <f>SUM(Z69:AF69)</f>
        <v>0</v>
      </c>
      <c r="AU69" s="70">
        <f>SUM(AG69:AI69)</f>
        <v>0</v>
      </c>
      <c r="AV69" s="57">
        <f t="shared" si="135"/>
        <v>0</v>
      </c>
    </row>
    <row r="70" spans="1:48" s="23" customFormat="1" ht="20.65" hidden="1" customHeight="1">
      <c r="A70" s="298"/>
      <c r="B70" s="208"/>
      <c r="C70" s="52" t="s">
        <v>95</v>
      </c>
      <c r="D70" s="67" t="s">
        <v>103</v>
      </c>
      <c r="E70" s="1100"/>
      <c r="F70" s="1101"/>
      <c r="G70" s="1209"/>
      <c r="H70" s="1101"/>
      <c r="I70" s="1101"/>
      <c r="J70" s="1209"/>
      <c r="K70" s="1209"/>
      <c r="L70" s="1101"/>
      <c r="M70" s="1101"/>
      <c r="N70" s="1101"/>
      <c r="O70" s="1101"/>
      <c r="P70" s="1101"/>
      <c r="Q70" s="1209"/>
      <c r="R70" s="1209"/>
      <c r="S70" s="1101"/>
      <c r="T70" s="1101"/>
      <c r="U70" s="1101"/>
      <c r="V70" s="1101"/>
      <c r="W70" s="1101"/>
      <c r="X70" s="1209"/>
      <c r="Y70" s="1209"/>
      <c r="Z70" s="1101"/>
      <c r="AA70" s="1101"/>
      <c r="AB70" s="1101"/>
      <c r="AC70" s="1101"/>
      <c r="AD70" s="1101"/>
      <c r="AE70" s="1209"/>
      <c r="AF70" s="1209"/>
      <c r="AG70" s="1101"/>
      <c r="AH70" s="1101"/>
      <c r="AI70" s="1332"/>
      <c r="AJ70" s="68">
        <f>SUM(E70:AI70)</f>
        <v>0</v>
      </c>
      <c r="AK70" s="68"/>
      <c r="AL70" s="69">
        <f>+AJ70*AN65</f>
        <v>0</v>
      </c>
      <c r="AM70" s="937"/>
      <c r="AN70" s="277"/>
      <c r="AO70" s="679"/>
      <c r="AP70" s="39" t="s">
        <v>19</v>
      </c>
      <c r="AQ70" s="56">
        <f>AQ69*AN65</f>
        <v>0</v>
      </c>
      <c r="AR70" s="56">
        <f>AR69*AN65</f>
        <v>0</v>
      </c>
      <c r="AS70" s="56">
        <f>AS69*AN65</f>
        <v>0</v>
      </c>
      <c r="AT70" s="56">
        <f>AT69*AN65</f>
        <v>0</v>
      </c>
      <c r="AU70" s="56">
        <f>AU69*AN65</f>
        <v>0</v>
      </c>
      <c r="AV70" s="57">
        <f t="shared" si="135"/>
        <v>0</v>
      </c>
    </row>
    <row r="71" spans="1:48" s="23" customFormat="1" ht="20.65" hidden="1" customHeight="1">
      <c r="A71" s="298"/>
      <c r="B71" s="208"/>
      <c r="C71" s="306" t="s">
        <v>387</v>
      </c>
      <c r="D71" s="73" t="s">
        <v>105</v>
      </c>
      <c r="E71" s="1115"/>
      <c r="F71" s="1115"/>
      <c r="G71" s="1203"/>
      <c r="H71" s="1115"/>
      <c r="I71" s="1115"/>
      <c r="J71" s="1203"/>
      <c r="K71" s="1203"/>
      <c r="L71" s="1115"/>
      <c r="M71" s="1115"/>
      <c r="N71" s="1115"/>
      <c r="O71" s="1115"/>
      <c r="P71" s="1115"/>
      <c r="Q71" s="1203"/>
      <c r="R71" s="1203"/>
      <c r="S71" s="1115"/>
      <c r="T71" s="1115"/>
      <c r="U71" s="1115"/>
      <c r="V71" s="1115"/>
      <c r="W71" s="1115"/>
      <c r="X71" s="1203"/>
      <c r="Y71" s="1203"/>
      <c r="Z71" s="1115"/>
      <c r="AA71" s="1115"/>
      <c r="AB71" s="1115"/>
      <c r="AC71" s="1115"/>
      <c r="AD71" s="1115"/>
      <c r="AE71" s="1203"/>
      <c r="AF71" s="1203"/>
      <c r="AG71" s="1115"/>
      <c r="AH71" s="1115"/>
      <c r="AI71" s="1399"/>
      <c r="AJ71" s="717">
        <f>SUM(E71:AI71)</f>
        <v>0</v>
      </c>
      <c r="AK71" s="717"/>
      <c r="AL71" s="220">
        <f>+AJ71*AN65</f>
        <v>0</v>
      </c>
      <c r="AM71" s="962"/>
      <c r="AN71" s="91"/>
      <c r="AO71" s="630"/>
      <c r="AP71" s="47" t="s">
        <v>106</v>
      </c>
      <c r="AQ71" s="48">
        <f>AQ67*AN65</f>
        <v>0</v>
      </c>
      <c r="AR71" s="48">
        <f>AR67*AN65</f>
        <v>0</v>
      </c>
      <c r="AS71" s="48">
        <f>AS67*AN65</f>
        <v>0</v>
      </c>
      <c r="AT71" s="48">
        <f>AT67*AN65</f>
        <v>0</v>
      </c>
      <c r="AU71" s="48">
        <f>AU67*AN65</f>
        <v>0</v>
      </c>
      <c r="AV71" s="50">
        <f t="shared" si="135"/>
        <v>0</v>
      </c>
    </row>
    <row r="72" spans="1:48" s="23" customFormat="1" ht="20.65" hidden="1" customHeight="1">
      <c r="A72" s="302" t="s">
        <v>386</v>
      </c>
      <c r="B72" s="208"/>
      <c r="C72" s="307"/>
      <c r="D72" s="78" t="s">
        <v>107</v>
      </c>
      <c r="E72" s="1137">
        <v>4</v>
      </c>
      <c r="F72" s="1097">
        <v>4</v>
      </c>
      <c r="G72" s="1205">
        <v>4</v>
      </c>
      <c r="H72" s="1097">
        <v>4</v>
      </c>
      <c r="I72" s="1097">
        <v>4</v>
      </c>
      <c r="J72" s="1205">
        <v>4</v>
      </c>
      <c r="K72" s="1205">
        <v>4</v>
      </c>
      <c r="L72" s="1097">
        <v>4</v>
      </c>
      <c r="M72" s="1097">
        <v>4</v>
      </c>
      <c r="N72" s="1097">
        <v>4</v>
      </c>
      <c r="O72" s="1097">
        <v>4</v>
      </c>
      <c r="P72" s="1097">
        <v>4</v>
      </c>
      <c r="Q72" s="1205">
        <v>4</v>
      </c>
      <c r="R72" s="1205">
        <v>4</v>
      </c>
      <c r="S72" s="1097">
        <v>4</v>
      </c>
      <c r="T72" s="1097">
        <v>4</v>
      </c>
      <c r="U72" s="1097">
        <v>4</v>
      </c>
      <c r="V72" s="1097">
        <v>4</v>
      </c>
      <c r="W72" s="1097">
        <v>4</v>
      </c>
      <c r="X72" s="1205">
        <v>4</v>
      </c>
      <c r="Y72" s="1205">
        <v>4</v>
      </c>
      <c r="Z72" s="1097">
        <v>4</v>
      </c>
      <c r="AA72" s="1097">
        <v>4</v>
      </c>
      <c r="AB72" s="1097">
        <v>4</v>
      </c>
      <c r="AC72" s="1097">
        <v>4</v>
      </c>
      <c r="AD72" s="1097">
        <v>4</v>
      </c>
      <c r="AE72" s="1205">
        <v>4</v>
      </c>
      <c r="AF72" s="1205">
        <v>4</v>
      </c>
      <c r="AG72" s="1097">
        <v>4</v>
      </c>
      <c r="AH72" s="1097">
        <v>4</v>
      </c>
      <c r="AI72" s="1328">
        <v>4</v>
      </c>
      <c r="AJ72" s="79"/>
      <c r="AK72" s="79"/>
      <c r="AL72" s="692"/>
      <c r="AM72" s="960"/>
      <c r="AN72" s="277"/>
      <c r="AO72" s="679"/>
      <c r="AP72" s="47"/>
      <c r="AQ72" s="48"/>
      <c r="AR72" s="48"/>
      <c r="AS72" s="48"/>
      <c r="AT72" s="48"/>
      <c r="AU72" s="48"/>
      <c r="AV72" s="284"/>
    </row>
    <row r="73" spans="1:48" s="23" customFormat="1" ht="20.65" hidden="1" customHeight="1">
      <c r="A73" s="302" t="s">
        <v>386</v>
      </c>
      <c r="B73" s="208"/>
      <c r="C73" s="305"/>
      <c r="D73" s="81" t="s">
        <v>109</v>
      </c>
      <c r="E73" s="1125">
        <f>SUM(E67+E69+E70+E71)/E72</f>
        <v>0</v>
      </c>
      <c r="F73" s="1125">
        <f>SUM(F67+F69+F70+F71)/F72</f>
        <v>0</v>
      </c>
      <c r="G73" s="1233">
        <f>SUM(G67+G69+G70+G71)/G72</f>
        <v>0</v>
      </c>
      <c r="H73" s="1125">
        <f t="shared" ref="H73:AH73" si="137">SUM(H67+H69+H70+H71)/H72</f>
        <v>0</v>
      </c>
      <c r="I73" s="1125">
        <f t="shared" si="137"/>
        <v>0</v>
      </c>
      <c r="J73" s="1233">
        <f t="shared" si="137"/>
        <v>0</v>
      </c>
      <c r="K73" s="1233">
        <f t="shared" si="137"/>
        <v>0</v>
      </c>
      <c r="L73" s="1125">
        <f t="shared" si="137"/>
        <v>0</v>
      </c>
      <c r="M73" s="1125">
        <f t="shared" si="137"/>
        <v>0</v>
      </c>
      <c r="N73" s="1125">
        <f t="shared" si="137"/>
        <v>0</v>
      </c>
      <c r="O73" s="1125">
        <f t="shared" si="137"/>
        <v>0</v>
      </c>
      <c r="P73" s="1125">
        <f t="shared" si="137"/>
        <v>0</v>
      </c>
      <c r="Q73" s="1233">
        <f t="shared" si="137"/>
        <v>0</v>
      </c>
      <c r="R73" s="1233">
        <f t="shared" si="137"/>
        <v>0</v>
      </c>
      <c r="S73" s="1125">
        <f t="shared" si="137"/>
        <v>0</v>
      </c>
      <c r="T73" s="1125">
        <f t="shared" si="137"/>
        <v>0</v>
      </c>
      <c r="U73" s="1125">
        <f t="shared" si="137"/>
        <v>0</v>
      </c>
      <c r="V73" s="1125">
        <f t="shared" si="137"/>
        <v>0</v>
      </c>
      <c r="W73" s="1125">
        <f t="shared" si="137"/>
        <v>0</v>
      </c>
      <c r="X73" s="1233">
        <f t="shared" si="137"/>
        <v>0</v>
      </c>
      <c r="Y73" s="1233">
        <f t="shared" si="137"/>
        <v>0</v>
      </c>
      <c r="Z73" s="1125">
        <f t="shared" si="137"/>
        <v>0</v>
      </c>
      <c r="AA73" s="1125">
        <f t="shared" si="137"/>
        <v>0</v>
      </c>
      <c r="AB73" s="1125">
        <f t="shared" si="137"/>
        <v>0</v>
      </c>
      <c r="AC73" s="1125">
        <f t="shared" si="137"/>
        <v>0</v>
      </c>
      <c r="AD73" s="1125">
        <f t="shared" si="137"/>
        <v>0</v>
      </c>
      <c r="AE73" s="1233">
        <f t="shared" si="137"/>
        <v>0</v>
      </c>
      <c r="AF73" s="1233">
        <f t="shared" si="137"/>
        <v>0</v>
      </c>
      <c r="AG73" s="1125">
        <f t="shared" si="137"/>
        <v>0</v>
      </c>
      <c r="AH73" s="1125">
        <f t="shared" si="137"/>
        <v>0</v>
      </c>
      <c r="AI73" s="1335">
        <f>SUM(AI67+AI69+AI70)/AI72</f>
        <v>0</v>
      </c>
      <c r="AJ73" s="515">
        <f>SUM(E73:AI73)</f>
        <v>0</v>
      </c>
      <c r="AK73" s="515"/>
      <c r="AL73" s="689"/>
      <c r="AM73" s="940"/>
      <c r="AN73" s="277"/>
      <c r="AO73" s="679"/>
      <c r="AP73" s="285"/>
      <c r="AQ73" s="285"/>
      <c r="AR73" s="285"/>
      <c r="AS73" s="285"/>
      <c r="AT73" s="286"/>
      <c r="AU73" s="285"/>
      <c r="AV73" s="287"/>
    </row>
    <row r="74" spans="1:48" s="23" customFormat="1" ht="20.65" hidden="1" customHeight="1">
      <c r="A74" s="302" t="s">
        <v>386</v>
      </c>
      <c r="B74" s="288"/>
      <c r="C74" s="72"/>
      <c r="D74" s="85" t="s">
        <v>110</v>
      </c>
      <c r="E74" s="1336"/>
      <c r="F74" s="1106"/>
      <c r="G74" s="1211"/>
      <c r="H74" s="1107"/>
      <c r="I74" s="1104"/>
      <c r="J74" s="1211"/>
      <c r="K74" s="1211"/>
      <c r="L74" s="1104"/>
      <c r="M74" s="1104"/>
      <c r="N74" s="1104"/>
      <c r="O74" s="1104"/>
      <c r="P74" s="1104"/>
      <c r="Q74" s="1211"/>
      <c r="R74" s="1211"/>
      <c r="S74" s="1104"/>
      <c r="T74" s="1104"/>
      <c r="U74" s="1104"/>
      <c r="V74" s="1104"/>
      <c r="W74" s="1104"/>
      <c r="X74" s="1211"/>
      <c r="Y74" s="1228"/>
      <c r="Z74" s="1104"/>
      <c r="AA74" s="1104"/>
      <c r="AB74" s="1104"/>
      <c r="AC74" s="1104"/>
      <c r="AD74" s="1104"/>
      <c r="AE74" s="1211"/>
      <c r="AF74" s="1211"/>
      <c r="AG74" s="1104"/>
      <c r="AH74" s="1104"/>
      <c r="AI74" s="1353"/>
      <c r="AJ74" s="86"/>
      <c r="AK74" s="86"/>
      <c r="AL74" s="690"/>
      <c r="AM74" s="940"/>
      <c r="AN74" s="277"/>
      <c r="AO74" s="679"/>
      <c r="AP74" s="285"/>
      <c r="AQ74" s="285"/>
      <c r="AR74" s="285"/>
      <c r="AS74" s="285"/>
      <c r="AT74" s="286"/>
      <c r="AU74" s="285"/>
      <c r="AV74" s="287"/>
    </row>
    <row r="75" spans="1:48" s="23" customFormat="1" ht="20.65" hidden="1" customHeight="1">
      <c r="A75" s="302" t="s">
        <v>386</v>
      </c>
      <c r="B75" s="288"/>
      <c r="C75" s="72" t="s">
        <v>104</v>
      </c>
      <c r="D75" s="88" t="s">
        <v>111</v>
      </c>
      <c r="E75" s="1108">
        <f>IF(E74="O/H",E73,+E73)</f>
        <v>0</v>
      </c>
      <c r="F75" s="1089">
        <f t="shared" ref="F75:AI75" si="138">IF(F74="O/H",F73,+E75+F73)</f>
        <v>0</v>
      </c>
      <c r="G75" s="44">
        <f t="shared" si="138"/>
        <v>0</v>
      </c>
      <c r="H75" s="1089">
        <f t="shared" si="138"/>
        <v>0</v>
      </c>
      <c r="I75" s="1089">
        <f t="shared" si="138"/>
        <v>0</v>
      </c>
      <c r="J75" s="44">
        <f t="shared" si="138"/>
        <v>0</v>
      </c>
      <c r="K75" s="44">
        <f t="shared" si="138"/>
        <v>0</v>
      </c>
      <c r="L75" s="1089">
        <f t="shared" si="138"/>
        <v>0</v>
      </c>
      <c r="M75" s="1089">
        <f t="shared" si="138"/>
        <v>0</v>
      </c>
      <c r="N75" s="1089">
        <f t="shared" si="138"/>
        <v>0</v>
      </c>
      <c r="O75" s="1089">
        <f t="shared" si="138"/>
        <v>0</v>
      </c>
      <c r="P75" s="1089">
        <f t="shared" si="138"/>
        <v>0</v>
      </c>
      <c r="Q75" s="44">
        <f t="shared" si="138"/>
        <v>0</v>
      </c>
      <c r="R75" s="44">
        <f t="shared" si="138"/>
        <v>0</v>
      </c>
      <c r="S75" s="1089">
        <f t="shared" si="138"/>
        <v>0</v>
      </c>
      <c r="T75" s="1089">
        <f t="shared" si="138"/>
        <v>0</v>
      </c>
      <c r="U75" s="1089">
        <f t="shared" si="138"/>
        <v>0</v>
      </c>
      <c r="V75" s="1089">
        <f t="shared" si="138"/>
        <v>0</v>
      </c>
      <c r="W75" s="1089">
        <f t="shared" si="138"/>
        <v>0</v>
      </c>
      <c r="X75" s="44">
        <f t="shared" si="138"/>
        <v>0</v>
      </c>
      <c r="Y75" s="44">
        <f t="shared" si="138"/>
        <v>0</v>
      </c>
      <c r="Z75" s="1089">
        <f t="shared" si="138"/>
        <v>0</v>
      </c>
      <c r="AA75" s="1089">
        <f t="shared" si="138"/>
        <v>0</v>
      </c>
      <c r="AB75" s="1089">
        <f t="shared" si="138"/>
        <v>0</v>
      </c>
      <c r="AC75" s="1089">
        <f t="shared" si="138"/>
        <v>0</v>
      </c>
      <c r="AD75" s="1089">
        <f t="shared" si="138"/>
        <v>0</v>
      </c>
      <c r="AE75" s="44">
        <f t="shared" si="138"/>
        <v>0</v>
      </c>
      <c r="AF75" s="44">
        <f t="shared" si="138"/>
        <v>0</v>
      </c>
      <c r="AG75" s="1089">
        <f t="shared" si="138"/>
        <v>0</v>
      </c>
      <c r="AH75" s="1089">
        <f t="shared" si="138"/>
        <v>0</v>
      </c>
      <c r="AI75" s="1326">
        <f t="shared" si="138"/>
        <v>0</v>
      </c>
      <c r="AJ75" s="79"/>
      <c r="AK75" s="79"/>
      <c r="AL75" s="690"/>
      <c r="AM75" s="940"/>
      <c r="AN75" s="277"/>
      <c r="AO75" s="679"/>
      <c r="AP75" s="285"/>
      <c r="AQ75" s="285"/>
      <c r="AR75" s="285"/>
      <c r="AS75" s="285"/>
      <c r="AT75" s="286"/>
      <c r="AU75" s="285"/>
      <c r="AV75" s="287"/>
    </row>
    <row r="76" spans="1:48" s="23" customFormat="1" ht="20.45" hidden="1" customHeight="1">
      <c r="A76" s="312"/>
      <c r="B76" s="1226" t="s">
        <v>546</v>
      </c>
      <c r="C76" s="308">
        <v>300000</v>
      </c>
      <c r="D76" s="795" t="s">
        <v>112</v>
      </c>
      <c r="E76" s="1117" t="b">
        <f>IF(AND(ISNUMBER(E67)),972379+E73)</f>
        <v>0</v>
      </c>
      <c r="F76" s="1118" t="str">
        <f>IF(AND(ISNUMBER(F67)),E76+F73,"")</f>
        <v/>
      </c>
      <c r="G76" s="1216" t="str">
        <f t="shared" ref="G76" si="139">IF(AND(ISNUMBER(G67)),F76+G73,"")</f>
        <v/>
      </c>
      <c r="H76" s="1118" t="str">
        <f t="shared" ref="H76" si="140">IF(AND(ISNUMBER(H67)),G76+H73,"")</f>
        <v/>
      </c>
      <c r="I76" s="1118" t="str">
        <f>IF(AND(ISNUMBER(I67)),H76+I73,"")</f>
        <v/>
      </c>
      <c r="J76" s="1216" t="str">
        <f>IF(AND(ISNUMBER(J67)),I76+J73,"")</f>
        <v/>
      </c>
      <c r="K76" s="1216" t="str">
        <f>IF(AND(ISNUMBER(K67)),J76+K73,"")</f>
        <v/>
      </c>
      <c r="L76" s="1118" t="str">
        <f t="shared" ref="L76" si="141">IF(AND(ISNUMBER(L67)),K76+L73,"")</f>
        <v/>
      </c>
      <c r="M76" s="1118" t="str">
        <f t="shared" ref="M76" si="142">IF(AND(ISNUMBER(M67)),L76+M73,"")</f>
        <v/>
      </c>
      <c r="N76" s="1118" t="str">
        <f t="shared" ref="N76" si="143">IF(AND(ISNUMBER(N67)),M76+N73,"")</f>
        <v/>
      </c>
      <c r="O76" s="1118" t="str">
        <f t="shared" ref="O76" si="144">IF(AND(ISNUMBER(O67)),N76+O73,"")</f>
        <v/>
      </c>
      <c r="P76" s="1118" t="str">
        <f t="shared" ref="P76" si="145">IF(AND(ISNUMBER(P67)),O76+P73,"")</f>
        <v/>
      </c>
      <c r="Q76" s="1216" t="str">
        <f t="shared" ref="Q76" si="146">IF(AND(ISNUMBER(Q67)),P76+Q73,"")</f>
        <v/>
      </c>
      <c r="R76" s="1216" t="str">
        <f t="shared" ref="R76" si="147">IF(AND(ISNUMBER(R67)),Q76+R73,"")</f>
        <v/>
      </c>
      <c r="S76" s="1118" t="str">
        <f t="shared" ref="S76" si="148">IF(AND(ISNUMBER(S67)),R76+S73,"")</f>
        <v/>
      </c>
      <c r="T76" s="1118" t="str">
        <f t="shared" ref="T76" si="149">IF(AND(ISNUMBER(T67)),S76+T73,"")</f>
        <v/>
      </c>
      <c r="U76" s="1118" t="str">
        <f t="shared" ref="U76" si="150">IF(AND(ISNUMBER(U67)),T76+U73,"")</f>
        <v/>
      </c>
      <c r="V76" s="1118" t="str">
        <f t="shared" ref="V76" si="151">IF(AND(ISNUMBER(V67)),U76+V73,"")</f>
        <v/>
      </c>
      <c r="W76" s="1118" t="str">
        <f t="shared" ref="W76" si="152">IF(AND(ISNUMBER(W67)),V76+W73,"")</f>
        <v/>
      </c>
      <c r="X76" s="1216" t="str">
        <f t="shared" ref="X76" si="153">IF(AND(ISNUMBER(X67)),W76+X73,"")</f>
        <v/>
      </c>
      <c r="Y76" s="1216" t="str">
        <f t="shared" ref="Y76" si="154">IF(AND(ISNUMBER(Y67)),X76+Y73,"")</f>
        <v/>
      </c>
      <c r="Z76" s="1118" t="str">
        <f t="shared" ref="Z76" si="155">IF(AND(ISNUMBER(Z67)),Y76+Z73,"")</f>
        <v/>
      </c>
      <c r="AA76" s="1118" t="str">
        <f t="shared" ref="AA76" si="156">IF(AND(ISNUMBER(AA67)),Z76+AA73,"")</f>
        <v/>
      </c>
      <c r="AB76" s="1118" t="str">
        <f t="shared" ref="AB76" si="157">IF(AND(ISNUMBER(AB67)),AA76+AB73,"")</f>
        <v/>
      </c>
      <c r="AC76" s="1118" t="str">
        <f t="shared" ref="AC76" si="158">IF(AND(ISNUMBER(AC67)),AB76+AC73,"")</f>
        <v/>
      </c>
      <c r="AD76" s="1118" t="str">
        <f t="shared" ref="AD76" si="159">IF(AND(ISNUMBER(AD67)),AC76+AD73,"")</f>
        <v/>
      </c>
      <c r="AE76" s="1216" t="str">
        <f t="shared" ref="AE76" si="160">IF(AND(ISNUMBER(AE67)),AD76+AE73,"")</f>
        <v/>
      </c>
      <c r="AF76" s="1216" t="str">
        <f t="shared" ref="AF76" si="161">IF(AND(ISNUMBER(AF67)),AE76+AF73,"")</f>
        <v/>
      </c>
      <c r="AG76" s="1118" t="str">
        <f t="shared" ref="AG76" si="162">IF(AND(ISNUMBER(AG67)),AF76+AG73,"")</f>
        <v/>
      </c>
      <c r="AH76" s="1118" t="str">
        <f t="shared" ref="AH76" si="163">IF(AND(ISNUMBER(AH67)),AG76+AH73,"")</f>
        <v/>
      </c>
      <c r="AI76" s="1118" t="str">
        <f t="shared" ref="AI76" si="164">IF(AND(ISNUMBER(AI67)),AH76+AI73,"")</f>
        <v/>
      </c>
      <c r="AJ76" s="793"/>
      <c r="AK76" s="793"/>
      <c r="AL76" s="909"/>
      <c r="AM76" s="794"/>
      <c r="AN76" s="429"/>
      <c r="AO76" s="675"/>
      <c r="AP76" s="285"/>
      <c r="AQ76" s="285"/>
      <c r="AR76" s="285"/>
      <c r="AS76" s="285"/>
      <c r="AT76" s="286"/>
      <c r="AU76" s="285"/>
      <c r="AV76" s="287"/>
    </row>
    <row r="77" spans="1:48" s="23" customFormat="1" ht="20.65" hidden="1" customHeight="1">
      <c r="A77" s="302" t="s">
        <v>386</v>
      </c>
      <c r="B77" s="288"/>
      <c r="C77" s="80" t="s">
        <v>108</v>
      </c>
      <c r="D77" s="90" t="s">
        <v>104</v>
      </c>
      <c r="E77" s="1108"/>
      <c r="F77" s="1089"/>
      <c r="G77" s="44"/>
      <c r="H77" s="1106"/>
      <c r="I77" s="1089"/>
      <c r="J77" s="44"/>
      <c r="K77" s="44"/>
      <c r="L77" s="1089"/>
      <c r="M77" s="1089"/>
      <c r="N77" s="1089"/>
      <c r="O77" s="1089"/>
      <c r="P77" s="1089"/>
      <c r="Q77" s="44"/>
      <c r="R77" s="44"/>
      <c r="S77" s="1089"/>
      <c r="T77" s="1089"/>
      <c r="U77" s="1089"/>
      <c r="V77" s="1089"/>
      <c r="W77" s="1089"/>
      <c r="X77" s="44"/>
      <c r="Y77" s="44"/>
      <c r="Z77" s="1089"/>
      <c r="AA77" s="1089"/>
      <c r="AB77" s="1089"/>
      <c r="AC77" s="1089"/>
      <c r="AD77" s="1089"/>
      <c r="AE77" s="44"/>
      <c r="AF77" s="44"/>
      <c r="AG77" s="1089"/>
      <c r="AH77" s="1089"/>
      <c r="AI77" s="1326"/>
      <c r="AJ77" s="79"/>
      <c r="AK77" s="79"/>
      <c r="AL77" s="690"/>
      <c r="AM77" s="940"/>
      <c r="AN77" s="91"/>
      <c r="AO77" s="630"/>
      <c r="AP77" s="285"/>
      <c r="AQ77" s="285"/>
      <c r="AR77" s="285"/>
      <c r="AS77" s="285"/>
      <c r="AT77" s="286"/>
      <c r="AU77" s="285"/>
      <c r="AV77" s="287"/>
    </row>
    <row r="78" spans="1:48" s="23" customFormat="1" ht="20.65" hidden="1" customHeight="1" thickBot="1">
      <c r="A78" s="309"/>
      <c r="B78" s="290"/>
      <c r="C78" s="94">
        <f>+C76*0.8</f>
        <v>240000</v>
      </c>
      <c r="D78" s="88" t="s">
        <v>111</v>
      </c>
      <c r="E78" s="1109">
        <f>IF(E77="O/H",E73,0+E73)</f>
        <v>0</v>
      </c>
      <c r="F78" s="1110">
        <f t="shared" ref="F78:AI78" si="165">IF(F77="O/H",F73,+E78+F73)</f>
        <v>0</v>
      </c>
      <c r="G78" s="1212">
        <f t="shared" si="165"/>
        <v>0</v>
      </c>
      <c r="H78" s="1110">
        <f t="shared" si="165"/>
        <v>0</v>
      </c>
      <c r="I78" s="1110">
        <f t="shared" si="165"/>
        <v>0</v>
      </c>
      <c r="J78" s="1212">
        <f t="shared" si="165"/>
        <v>0</v>
      </c>
      <c r="K78" s="1212">
        <f t="shared" si="165"/>
        <v>0</v>
      </c>
      <c r="L78" s="1110">
        <f t="shared" si="165"/>
        <v>0</v>
      </c>
      <c r="M78" s="1110">
        <f t="shared" si="165"/>
        <v>0</v>
      </c>
      <c r="N78" s="1110">
        <f t="shared" si="165"/>
        <v>0</v>
      </c>
      <c r="O78" s="1110">
        <f t="shared" si="165"/>
        <v>0</v>
      </c>
      <c r="P78" s="1110">
        <f t="shared" si="165"/>
        <v>0</v>
      </c>
      <c r="Q78" s="1212">
        <f t="shared" si="165"/>
        <v>0</v>
      </c>
      <c r="R78" s="1212">
        <f t="shared" si="165"/>
        <v>0</v>
      </c>
      <c r="S78" s="1110">
        <f t="shared" si="165"/>
        <v>0</v>
      </c>
      <c r="T78" s="1110">
        <f t="shared" si="165"/>
        <v>0</v>
      </c>
      <c r="U78" s="1110">
        <f t="shared" si="165"/>
        <v>0</v>
      </c>
      <c r="V78" s="1110">
        <f t="shared" si="165"/>
        <v>0</v>
      </c>
      <c r="W78" s="1110">
        <f t="shared" si="165"/>
        <v>0</v>
      </c>
      <c r="X78" s="1212">
        <f t="shared" si="165"/>
        <v>0</v>
      </c>
      <c r="Y78" s="1212">
        <f t="shared" si="165"/>
        <v>0</v>
      </c>
      <c r="Z78" s="1110">
        <f t="shared" si="165"/>
        <v>0</v>
      </c>
      <c r="AA78" s="1110">
        <f t="shared" si="165"/>
        <v>0</v>
      </c>
      <c r="AB78" s="1110">
        <f t="shared" si="165"/>
        <v>0</v>
      </c>
      <c r="AC78" s="1110">
        <f t="shared" si="165"/>
        <v>0</v>
      </c>
      <c r="AD78" s="1110">
        <f t="shared" si="165"/>
        <v>0</v>
      </c>
      <c r="AE78" s="1212">
        <f t="shared" si="165"/>
        <v>0</v>
      </c>
      <c r="AF78" s="1212">
        <f t="shared" si="165"/>
        <v>0</v>
      </c>
      <c r="AG78" s="1110">
        <f t="shared" si="165"/>
        <v>0</v>
      </c>
      <c r="AH78" s="1110">
        <f t="shared" si="165"/>
        <v>0</v>
      </c>
      <c r="AI78" s="1340">
        <f t="shared" si="165"/>
        <v>0</v>
      </c>
      <c r="AJ78" s="96"/>
      <c r="AK78" s="722"/>
      <c r="AL78" s="694"/>
      <c r="AM78" s="961"/>
      <c r="AN78" s="669"/>
      <c r="AO78" s="681"/>
      <c r="AP78" s="285"/>
      <c r="AQ78" s="285"/>
      <c r="AR78" s="285"/>
      <c r="AS78" s="285"/>
      <c r="AT78" s="286"/>
      <c r="AU78" s="285"/>
      <c r="AV78" s="287"/>
    </row>
    <row r="79" spans="1:48" s="23" customFormat="1" ht="20.25" customHeight="1" thickTop="1">
      <c r="A79" s="270" t="s">
        <v>709</v>
      </c>
      <c r="B79" s="219" t="s">
        <v>616</v>
      </c>
      <c r="C79" s="1493" t="str">
        <f>Table2[[#This Row],[M/C No.]]</f>
        <v>H3(50ton)</v>
      </c>
      <c r="D79" s="28" t="s">
        <v>82</v>
      </c>
      <c r="E79" s="1139">
        <v>11000</v>
      </c>
      <c r="F79" s="1139">
        <v>11000</v>
      </c>
      <c r="G79" s="1231">
        <v>11000</v>
      </c>
      <c r="H79" s="1139">
        <v>11000</v>
      </c>
      <c r="I79" s="1139">
        <v>11000</v>
      </c>
      <c r="J79" s="1231">
        <v>11000</v>
      </c>
      <c r="K79" s="1231">
        <v>11000</v>
      </c>
      <c r="L79" s="1139">
        <v>0</v>
      </c>
      <c r="M79" s="1139">
        <v>0</v>
      </c>
      <c r="N79" s="1139">
        <v>3000</v>
      </c>
      <c r="O79" s="1139">
        <v>11000</v>
      </c>
      <c r="P79" s="1139">
        <v>11000</v>
      </c>
      <c r="Q79" s="1231">
        <v>11000</v>
      </c>
      <c r="R79" s="1231">
        <v>11000</v>
      </c>
      <c r="S79" s="1139">
        <v>11000</v>
      </c>
      <c r="T79" s="1139">
        <v>11000</v>
      </c>
      <c r="U79" s="1139">
        <v>11000</v>
      </c>
      <c r="V79" s="1139">
        <v>11000</v>
      </c>
      <c r="W79" s="1139">
        <v>11000</v>
      </c>
      <c r="X79" s="1231">
        <v>11000</v>
      </c>
      <c r="Y79" s="1231">
        <v>11000</v>
      </c>
      <c r="Z79" s="1139">
        <v>11000</v>
      </c>
      <c r="AA79" s="1139">
        <v>11000</v>
      </c>
      <c r="AB79" s="1139">
        <v>11000</v>
      </c>
      <c r="AC79" s="1139">
        <v>11000</v>
      </c>
      <c r="AD79" s="1139">
        <v>11000</v>
      </c>
      <c r="AE79" s="1231">
        <v>11000</v>
      </c>
      <c r="AF79" s="1231">
        <v>11000</v>
      </c>
      <c r="AG79" s="1139">
        <v>11000</v>
      </c>
      <c r="AH79" s="1139">
        <v>11000</v>
      </c>
      <c r="AI79" s="1139"/>
      <c r="AJ79" s="100">
        <f>SUM(E79:AI79)</f>
        <v>300000</v>
      </c>
      <c r="AK79" s="1000">
        <f>AJ81</f>
        <v>241584</v>
      </c>
      <c r="AL79" s="101">
        <f>+AJ79*AN79</f>
        <v>1542018</v>
      </c>
      <c r="AM79" s="1019">
        <f>AL81</f>
        <v>1241756.25504</v>
      </c>
      <c r="AN79" s="273">
        <v>5.1400600000000001</v>
      </c>
      <c r="AO79" s="633">
        <f>Table2[[#This Row],[Total]]*B83/1000</f>
        <v>601.5</v>
      </c>
      <c r="AP79" s="32" t="s">
        <v>384</v>
      </c>
      <c r="AQ79" s="33" t="s">
        <v>84</v>
      </c>
      <c r="AR79" s="33" t="s">
        <v>85</v>
      </c>
      <c r="AS79" s="33" t="s">
        <v>86</v>
      </c>
      <c r="AT79" s="33" t="s">
        <v>87</v>
      </c>
      <c r="AU79" s="33" t="s">
        <v>88</v>
      </c>
      <c r="AV79" s="34" t="s">
        <v>68</v>
      </c>
    </row>
    <row r="80" spans="1:48" s="23" customFormat="1" ht="20.65" customHeight="1">
      <c r="A80" s="274"/>
      <c r="B80" s="89" t="s">
        <v>388</v>
      </c>
      <c r="C80" s="1244">
        <v>67500</v>
      </c>
      <c r="D80" s="37" t="s">
        <v>90</v>
      </c>
      <c r="E80" s="1323">
        <f>IF(E79="",0,+ E79/E86)</f>
        <v>2750</v>
      </c>
      <c r="F80" s="1096">
        <f t="shared" ref="F80:AC80" si="166">IF(F79="",0, E80+F79/F86)</f>
        <v>5500</v>
      </c>
      <c r="G80" s="1207">
        <f t="shared" si="166"/>
        <v>8250</v>
      </c>
      <c r="H80" s="1096">
        <f t="shared" si="166"/>
        <v>11000</v>
      </c>
      <c r="I80" s="1096">
        <f t="shared" si="166"/>
        <v>13750</v>
      </c>
      <c r="J80" s="1207">
        <f t="shared" si="166"/>
        <v>16500</v>
      </c>
      <c r="K80" s="1207">
        <f t="shared" si="166"/>
        <v>19250</v>
      </c>
      <c r="L80" s="1096">
        <f t="shared" si="166"/>
        <v>19250</v>
      </c>
      <c r="M80" s="1096">
        <f t="shared" si="166"/>
        <v>19250</v>
      </c>
      <c r="N80" s="1096">
        <f t="shared" si="166"/>
        <v>20000</v>
      </c>
      <c r="O80" s="1096">
        <f t="shared" si="166"/>
        <v>22750</v>
      </c>
      <c r="P80" s="1096">
        <f t="shared" si="166"/>
        <v>25500</v>
      </c>
      <c r="Q80" s="1207">
        <f t="shared" si="166"/>
        <v>28250</v>
      </c>
      <c r="R80" s="1207">
        <f t="shared" si="166"/>
        <v>31000</v>
      </c>
      <c r="S80" s="1096">
        <f t="shared" si="166"/>
        <v>33750</v>
      </c>
      <c r="T80" s="1096">
        <f t="shared" si="166"/>
        <v>36500</v>
      </c>
      <c r="U80" s="1096">
        <f t="shared" si="166"/>
        <v>39250</v>
      </c>
      <c r="V80" s="1096">
        <f t="shared" si="166"/>
        <v>42000</v>
      </c>
      <c r="W80" s="1096">
        <f t="shared" si="166"/>
        <v>44750</v>
      </c>
      <c r="X80" s="1207">
        <f t="shared" si="166"/>
        <v>47500</v>
      </c>
      <c r="Y80" s="1207">
        <f t="shared" si="166"/>
        <v>50250</v>
      </c>
      <c r="Z80" s="1096">
        <f t="shared" si="166"/>
        <v>53000</v>
      </c>
      <c r="AA80" s="1096">
        <f t="shared" si="166"/>
        <v>55750</v>
      </c>
      <c r="AB80" s="1096">
        <f t="shared" si="166"/>
        <v>58500</v>
      </c>
      <c r="AC80" s="1096">
        <f t="shared" si="166"/>
        <v>61250</v>
      </c>
      <c r="AD80" s="1096">
        <f>IF(AD79="",0, Z80+AD79/AD86)</f>
        <v>55750</v>
      </c>
      <c r="AE80" s="1207">
        <f>IF(AE79="",0, AA80+AE79/AE86)</f>
        <v>58500</v>
      </c>
      <c r="AF80" s="1207">
        <f>IF(AF79="",0, AB80+AF79/AF86)</f>
        <v>61250</v>
      </c>
      <c r="AG80" s="1096">
        <f>IF(AG79="",0, AC80+AG79/AG86)</f>
        <v>64000</v>
      </c>
      <c r="AH80" s="1096">
        <f>IF(AH79="",0, AD80+AH79/AH86)</f>
        <v>58500</v>
      </c>
      <c r="AI80" s="1324">
        <f>IF(AI79="",0, AH80+AI79/AI86)</f>
        <v>0</v>
      </c>
      <c r="AJ80" s="716"/>
      <c r="AK80" s="716"/>
      <c r="AL80" s="209"/>
      <c r="AM80" s="794"/>
      <c r="AN80" s="91"/>
      <c r="AO80" s="675"/>
      <c r="AP80" s="39" t="s">
        <v>91</v>
      </c>
      <c r="AQ80" s="40">
        <f>SUM(E79:H79)</f>
        <v>44000</v>
      </c>
      <c r="AR80" s="41">
        <f>SUM(I79:O79)</f>
        <v>47000</v>
      </c>
      <c r="AS80" s="41">
        <f>SUM(P79:V79)</f>
        <v>77000</v>
      </c>
      <c r="AT80" s="41">
        <f>SUM(W79:AC79)</f>
        <v>77000</v>
      </c>
      <c r="AU80" s="41">
        <f>SUM(AD79:AI79)</f>
        <v>55000</v>
      </c>
      <c r="AV80" s="34">
        <f t="shared" ref="AV80:AV85" si="167">SUM(AQ80:AU80)</f>
        <v>300000</v>
      </c>
    </row>
    <row r="81" spans="1:48" s="23" customFormat="1" ht="20.65" customHeight="1">
      <c r="A81" s="296" t="s">
        <v>389</v>
      </c>
      <c r="B81" s="89" t="s">
        <v>246</v>
      </c>
      <c r="C81" s="656" t="s">
        <v>108</v>
      </c>
      <c r="D81" s="43" t="s">
        <v>93</v>
      </c>
      <c r="E81" s="1403">
        <v>11088</v>
      </c>
      <c r="F81" s="1119">
        <v>11088</v>
      </c>
      <c r="G81" s="1243">
        <v>12096</v>
      </c>
      <c r="H81" s="1119">
        <v>10080</v>
      </c>
      <c r="I81" s="1119">
        <v>12096</v>
      </c>
      <c r="J81" s="1243">
        <v>12096</v>
      </c>
      <c r="K81" s="1243">
        <v>12096</v>
      </c>
      <c r="L81" s="1119">
        <v>12096</v>
      </c>
      <c r="M81" s="1119">
        <v>8736</v>
      </c>
      <c r="N81" s="1119">
        <v>0</v>
      </c>
      <c r="O81" s="1089">
        <v>0</v>
      </c>
      <c r="P81" s="1089">
        <v>10080</v>
      </c>
      <c r="Q81" s="44">
        <v>12096</v>
      </c>
      <c r="R81" s="44">
        <v>12096</v>
      </c>
      <c r="S81" s="1089">
        <v>12096</v>
      </c>
      <c r="T81" s="1089">
        <v>13104</v>
      </c>
      <c r="U81" s="1089">
        <v>12096</v>
      </c>
      <c r="V81" s="1089">
        <v>13104</v>
      </c>
      <c r="W81" s="1089">
        <v>11088</v>
      </c>
      <c r="X81" s="1243">
        <v>11088</v>
      </c>
      <c r="Y81" s="1243">
        <v>10080</v>
      </c>
      <c r="Z81" s="1119">
        <v>11088</v>
      </c>
      <c r="AA81" s="1119">
        <v>12096</v>
      </c>
      <c r="AB81" s="1119"/>
      <c r="AC81" s="1119"/>
      <c r="AD81" s="1119"/>
      <c r="AE81" s="1243"/>
      <c r="AF81" s="1243"/>
      <c r="AG81" s="1119"/>
      <c r="AH81" s="1119"/>
      <c r="AI81" s="1326"/>
      <c r="AJ81" s="45">
        <f>SUM(E81:AI81)</f>
        <v>241584</v>
      </c>
      <c r="AK81" s="45"/>
      <c r="AL81" s="46">
        <f>+AJ81*AN79</f>
        <v>1241756.25504</v>
      </c>
      <c r="AM81" s="934"/>
      <c r="AN81" s="277"/>
      <c r="AO81" s="632">
        <f>(AJ81+AJ83+AJ84+AJ85)*B83/1000</f>
        <v>499.435475</v>
      </c>
      <c r="AP81" s="47" t="s">
        <v>94</v>
      </c>
      <c r="AQ81" s="48">
        <f>SUM(E81:H81)</f>
        <v>44352</v>
      </c>
      <c r="AR81" s="49">
        <f>SUM(I81:O81)</f>
        <v>57120</v>
      </c>
      <c r="AS81" s="49">
        <f>SUM(P81:V81)</f>
        <v>84672</v>
      </c>
      <c r="AT81" s="49">
        <f>SUM(W81:AC81)</f>
        <v>55440</v>
      </c>
      <c r="AU81" s="49">
        <f>SUM(AD81:AI81)</f>
        <v>0</v>
      </c>
      <c r="AV81" s="50">
        <f t="shared" si="167"/>
        <v>241584</v>
      </c>
    </row>
    <row r="82" spans="1:48" s="23" customFormat="1" ht="20.65" customHeight="1">
      <c r="A82" s="296" t="s">
        <v>389</v>
      </c>
      <c r="B82" s="763" t="s">
        <v>247</v>
      </c>
      <c r="C82" s="1245">
        <f>+C80*0.8</f>
        <v>54000</v>
      </c>
      <c r="D82" s="53" t="s">
        <v>96</v>
      </c>
      <c r="E82" s="1137">
        <f t="shared" ref="E82:AJ82" si="168">+E81-E79</f>
        <v>88</v>
      </c>
      <c r="F82" s="1097">
        <f t="shared" si="168"/>
        <v>88</v>
      </c>
      <c r="G82" s="1205">
        <f t="shared" si="168"/>
        <v>1096</v>
      </c>
      <c r="H82" s="1097">
        <f t="shared" si="168"/>
        <v>-920</v>
      </c>
      <c r="I82" s="1097">
        <f t="shared" si="168"/>
        <v>1096</v>
      </c>
      <c r="J82" s="1205">
        <f t="shared" si="168"/>
        <v>1096</v>
      </c>
      <c r="K82" s="1205">
        <f t="shared" si="168"/>
        <v>1096</v>
      </c>
      <c r="L82" s="1097">
        <f t="shared" si="168"/>
        <v>12096</v>
      </c>
      <c r="M82" s="1097">
        <f t="shared" si="168"/>
        <v>8736</v>
      </c>
      <c r="N82" s="1097">
        <f t="shared" si="168"/>
        <v>-3000</v>
      </c>
      <c r="O82" s="1097">
        <f t="shared" si="168"/>
        <v>-11000</v>
      </c>
      <c r="P82" s="1097">
        <f t="shared" si="168"/>
        <v>-920</v>
      </c>
      <c r="Q82" s="1205">
        <f t="shared" si="168"/>
        <v>1096</v>
      </c>
      <c r="R82" s="1205">
        <f t="shared" si="168"/>
        <v>1096</v>
      </c>
      <c r="S82" s="1097">
        <f t="shared" si="168"/>
        <v>1096</v>
      </c>
      <c r="T82" s="1097">
        <f t="shared" si="168"/>
        <v>2104</v>
      </c>
      <c r="U82" s="1097">
        <f>+U81-U79</f>
        <v>1096</v>
      </c>
      <c r="V82" s="1097">
        <f t="shared" si="168"/>
        <v>2104</v>
      </c>
      <c r="W82" s="1097">
        <f t="shared" si="168"/>
        <v>88</v>
      </c>
      <c r="X82" s="1205">
        <f t="shared" si="168"/>
        <v>88</v>
      </c>
      <c r="Y82" s="1205">
        <f t="shared" si="168"/>
        <v>-920</v>
      </c>
      <c r="Z82" s="1097">
        <f t="shared" si="168"/>
        <v>88</v>
      </c>
      <c r="AA82" s="1097">
        <f t="shared" si="168"/>
        <v>1096</v>
      </c>
      <c r="AB82" s="1097">
        <f t="shared" si="168"/>
        <v>-11000</v>
      </c>
      <c r="AC82" s="1097">
        <f t="shared" si="168"/>
        <v>-11000</v>
      </c>
      <c r="AD82" s="1097">
        <f t="shared" si="168"/>
        <v>-11000</v>
      </c>
      <c r="AE82" s="1205">
        <f t="shared" si="168"/>
        <v>-11000</v>
      </c>
      <c r="AF82" s="1205">
        <f t="shared" si="168"/>
        <v>-11000</v>
      </c>
      <c r="AG82" s="1097">
        <f t="shared" si="168"/>
        <v>-11000</v>
      </c>
      <c r="AH82" s="1097">
        <f t="shared" si="168"/>
        <v>-11000</v>
      </c>
      <c r="AI82" s="1328">
        <f t="shared" si="168"/>
        <v>0</v>
      </c>
      <c r="AJ82" s="79">
        <f t="shared" si="168"/>
        <v>-58416</v>
      </c>
      <c r="AK82" s="79"/>
      <c r="AL82" s="55">
        <f>+AJ82*AN79</f>
        <v>-300261.74495999998</v>
      </c>
      <c r="AM82" s="935"/>
      <c r="AN82" s="293" t="s">
        <v>97</v>
      </c>
      <c r="AO82" s="622"/>
      <c r="AP82" s="39" t="s">
        <v>98</v>
      </c>
      <c r="AQ82" s="56">
        <f>AQ81-AQ80</f>
        <v>352</v>
      </c>
      <c r="AR82" s="70">
        <f>AR81-AR80</f>
        <v>10120</v>
      </c>
      <c r="AS82" s="70">
        <f>AS81-AS80</f>
        <v>7672</v>
      </c>
      <c r="AT82" s="70">
        <f>AT81-AT80</f>
        <v>-21560</v>
      </c>
      <c r="AU82" s="70">
        <f>AU81-AU80</f>
        <v>-55000</v>
      </c>
      <c r="AV82" s="57">
        <f t="shared" si="167"/>
        <v>-58416</v>
      </c>
    </row>
    <row r="83" spans="1:48" s="23" customFormat="1" ht="20.65" customHeight="1">
      <c r="A83" s="296" t="s">
        <v>389</v>
      </c>
      <c r="B83" s="764">
        <v>2.0049999999999999</v>
      </c>
      <c r="C83" s="1246"/>
      <c r="D83" s="61" t="s">
        <v>101</v>
      </c>
      <c r="E83" s="1098">
        <v>0</v>
      </c>
      <c r="F83" s="1099">
        <v>80</v>
      </c>
      <c r="G83" s="1208">
        <v>0</v>
      </c>
      <c r="H83" s="1099">
        <v>480</v>
      </c>
      <c r="I83" s="1099">
        <v>0</v>
      </c>
      <c r="J83" s="1208">
        <v>0</v>
      </c>
      <c r="K83" s="1208">
        <v>0</v>
      </c>
      <c r="L83" s="1099">
        <v>0</v>
      </c>
      <c r="M83" s="1099">
        <v>0</v>
      </c>
      <c r="N83" s="1099">
        <v>0</v>
      </c>
      <c r="O83" s="1099">
        <v>800</v>
      </c>
      <c r="P83" s="1099">
        <v>160</v>
      </c>
      <c r="Q83" s="1208">
        <v>0</v>
      </c>
      <c r="R83" s="1208">
        <v>0</v>
      </c>
      <c r="S83" s="1099">
        <v>0</v>
      </c>
      <c r="T83" s="1099">
        <v>0</v>
      </c>
      <c r="U83" s="1099">
        <v>0</v>
      </c>
      <c r="V83" s="1099">
        <v>0</v>
      </c>
      <c r="W83" s="1099">
        <v>80</v>
      </c>
      <c r="X83" s="1208">
        <v>0</v>
      </c>
      <c r="Y83" s="1208">
        <f>200+461</f>
        <v>661</v>
      </c>
      <c r="Z83" s="1099">
        <v>0</v>
      </c>
      <c r="AA83" s="1099">
        <v>380</v>
      </c>
      <c r="AB83" s="1099"/>
      <c r="AC83" s="1099"/>
      <c r="AD83" s="1099"/>
      <c r="AE83" s="1208"/>
      <c r="AF83" s="1208"/>
      <c r="AG83" s="1099"/>
      <c r="AH83" s="1099"/>
      <c r="AI83" s="1330"/>
      <c r="AJ83" s="62">
        <f>SUM(E83:AI83)</f>
        <v>2641</v>
      </c>
      <c r="AK83" s="62"/>
      <c r="AL83" s="63">
        <f>+AJ83*AN79</f>
        <v>13574.89846</v>
      </c>
      <c r="AM83" s="936"/>
      <c r="AN83" s="683">
        <f>+AJ83/AJ81*100</f>
        <v>1.0932015365255978</v>
      </c>
      <c r="AO83" s="635">
        <f>AO81/AO79</f>
        <v>0.8303166666666667</v>
      </c>
      <c r="AP83" s="39" t="s">
        <v>102</v>
      </c>
      <c r="AQ83" s="56">
        <f>SUM(E83:H83)</f>
        <v>560</v>
      </c>
      <c r="AR83" s="70">
        <f>SUM(I83:O83)</f>
        <v>800</v>
      </c>
      <c r="AS83" s="70">
        <f>SUM(P83:V83)</f>
        <v>160</v>
      </c>
      <c r="AT83" s="70">
        <f>SUM(W83:AC83)</f>
        <v>1121</v>
      </c>
      <c r="AU83" s="70">
        <f>SUM(AD83:AI83)</f>
        <v>0</v>
      </c>
      <c r="AV83" s="57">
        <f t="shared" si="167"/>
        <v>2641</v>
      </c>
    </row>
    <row r="84" spans="1:48" s="23" customFormat="1" ht="20.65" customHeight="1">
      <c r="A84" s="296" t="s">
        <v>389</v>
      </c>
      <c r="B84" s="334" t="s">
        <v>390</v>
      </c>
      <c r="C84" s="52" t="s">
        <v>95</v>
      </c>
      <c r="D84" s="67" t="s">
        <v>103</v>
      </c>
      <c r="E84" s="1100">
        <v>144</v>
      </c>
      <c r="F84" s="1101">
        <v>144</v>
      </c>
      <c r="G84" s="1209">
        <v>144</v>
      </c>
      <c r="H84" s="1101">
        <v>132</v>
      </c>
      <c r="I84" s="1101">
        <v>144</v>
      </c>
      <c r="J84" s="1209">
        <v>144</v>
      </c>
      <c r="K84" s="1209">
        <v>174</v>
      </c>
      <c r="L84" s="1101">
        <v>144</v>
      </c>
      <c r="M84" s="1101">
        <v>96</v>
      </c>
      <c r="N84" s="1101">
        <v>0</v>
      </c>
      <c r="O84" s="1101">
        <v>0</v>
      </c>
      <c r="P84" s="1101">
        <v>120</v>
      </c>
      <c r="Q84" s="1209">
        <v>144</v>
      </c>
      <c r="R84" s="1209">
        <v>144</v>
      </c>
      <c r="S84" s="1101">
        <v>144</v>
      </c>
      <c r="T84" s="1101">
        <v>144</v>
      </c>
      <c r="U84" s="1101">
        <v>144</v>
      </c>
      <c r="V84" s="1101">
        <v>144</v>
      </c>
      <c r="W84" s="1101">
        <v>144</v>
      </c>
      <c r="X84" s="1209">
        <v>324</v>
      </c>
      <c r="Y84" s="1209">
        <v>144</v>
      </c>
      <c r="Z84" s="1101">
        <v>144</v>
      </c>
      <c r="AA84" s="1101">
        <v>144</v>
      </c>
      <c r="AB84" s="1101"/>
      <c r="AC84" s="1101"/>
      <c r="AD84" s="1101"/>
      <c r="AE84" s="1209"/>
      <c r="AF84" s="1209"/>
      <c r="AG84" s="1101"/>
      <c r="AH84" s="1101"/>
      <c r="AI84" s="1332"/>
      <c r="AJ84" s="68">
        <f>SUM(E84:AI84)</f>
        <v>3150</v>
      </c>
      <c r="AK84" s="68"/>
      <c r="AL84" s="69">
        <f>+AJ84*AN79</f>
        <v>16191.189</v>
      </c>
      <c r="AM84" s="937"/>
      <c r="AN84" s="277"/>
      <c r="AO84" s="679"/>
      <c r="AP84" s="39" t="s">
        <v>19</v>
      </c>
      <c r="AQ84" s="56">
        <f>AQ83*AN79</f>
        <v>2878.4335999999998</v>
      </c>
      <c r="AR84" s="56">
        <f>AR83*AN79</f>
        <v>4112.0479999999998</v>
      </c>
      <c r="AS84" s="56">
        <f>AS83*AN79</f>
        <v>822.40959999999995</v>
      </c>
      <c r="AT84" s="56">
        <f>AT83*AN79</f>
        <v>5762.0072600000003</v>
      </c>
      <c r="AU84" s="56">
        <f>AU83*AN79</f>
        <v>0</v>
      </c>
      <c r="AV84" s="57">
        <f t="shared" si="167"/>
        <v>13574.89846</v>
      </c>
    </row>
    <row r="85" spans="1:48" s="23" customFormat="1" ht="20.65" customHeight="1">
      <c r="A85" s="270"/>
      <c r="B85" s="89"/>
      <c r="C85" s="306" t="s">
        <v>387</v>
      </c>
      <c r="D85" s="73" t="s">
        <v>105</v>
      </c>
      <c r="E85" s="1158">
        <v>64</v>
      </c>
      <c r="F85" s="1158">
        <v>80</v>
      </c>
      <c r="G85" s="1287">
        <v>96</v>
      </c>
      <c r="H85" s="1158">
        <v>80</v>
      </c>
      <c r="I85" s="1158">
        <v>80</v>
      </c>
      <c r="J85" s="1287">
        <v>96</v>
      </c>
      <c r="K85" s="1287">
        <v>96</v>
      </c>
      <c r="L85" s="1158">
        <v>80</v>
      </c>
      <c r="M85" s="1158">
        <v>80</v>
      </c>
      <c r="N85" s="1158">
        <v>0</v>
      </c>
      <c r="O85" s="1103">
        <v>0</v>
      </c>
      <c r="P85" s="1103">
        <v>80</v>
      </c>
      <c r="Q85" s="1210">
        <v>96</v>
      </c>
      <c r="R85" s="1210">
        <v>96</v>
      </c>
      <c r="S85" s="1103">
        <v>80</v>
      </c>
      <c r="T85" s="1103">
        <v>80</v>
      </c>
      <c r="U85" s="1103">
        <v>80</v>
      </c>
      <c r="V85" s="1103">
        <v>80</v>
      </c>
      <c r="W85" s="1103">
        <v>80</v>
      </c>
      <c r="X85" s="1287">
        <v>96</v>
      </c>
      <c r="Y85" s="1287">
        <v>88</v>
      </c>
      <c r="Z85" s="1158">
        <v>32</v>
      </c>
      <c r="AA85" s="1158">
        <v>80</v>
      </c>
      <c r="AB85" s="1158"/>
      <c r="AC85" s="1158"/>
      <c r="AD85" s="1158"/>
      <c r="AE85" s="1287"/>
      <c r="AF85" s="1287"/>
      <c r="AG85" s="1158"/>
      <c r="AH85" s="1158"/>
      <c r="AI85" s="1352"/>
      <c r="AJ85" s="74">
        <f>SUM(E85:AI85)</f>
        <v>1720</v>
      </c>
      <c r="AK85" s="74"/>
      <c r="AL85" s="75">
        <f>+AJ85*AN79</f>
        <v>8840.9032000000007</v>
      </c>
      <c r="AM85" s="938"/>
      <c r="AN85" s="91"/>
      <c r="AO85" s="630"/>
      <c r="AP85" s="47" t="s">
        <v>106</v>
      </c>
      <c r="AQ85" s="48">
        <f>AQ81*AN79</f>
        <v>227971.94112</v>
      </c>
      <c r="AR85" s="48">
        <f>AR81*AN79</f>
        <v>293600.22720000002</v>
      </c>
      <c r="AS85" s="48">
        <f>AS81*AN79</f>
        <v>435219.16032000002</v>
      </c>
      <c r="AT85" s="48">
        <f>AT81*AN79</f>
        <v>284964.9264</v>
      </c>
      <c r="AU85" s="48">
        <f>AU81*AN79</f>
        <v>0</v>
      </c>
      <c r="AV85" s="50">
        <f t="shared" si="167"/>
        <v>1241756.2550400002</v>
      </c>
    </row>
    <row r="86" spans="1:48" s="23" customFormat="1" ht="20.65" customHeight="1">
      <c r="A86" s="296" t="s">
        <v>389</v>
      </c>
      <c r="B86" s="89"/>
      <c r="C86" s="307"/>
      <c r="D86" s="78" t="s">
        <v>107</v>
      </c>
      <c r="E86" s="1137">
        <v>4</v>
      </c>
      <c r="F86" s="1097">
        <v>4</v>
      </c>
      <c r="G86" s="1205">
        <v>4</v>
      </c>
      <c r="H86" s="1097">
        <v>4</v>
      </c>
      <c r="I86" s="1097">
        <v>4</v>
      </c>
      <c r="J86" s="1205">
        <v>4</v>
      </c>
      <c r="K86" s="1205">
        <v>4</v>
      </c>
      <c r="L86" s="1097">
        <v>4</v>
      </c>
      <c r="M86" s="1097">
        <v>4</v>
      </c>
      <c r="N86" s="1097">
        <v>4</v>
      </c>
      <c r="O86" s="1097">
        <v>4</v>
      </c>
      <c r="P86" s="1097">
        <v>4</v>
      </c>
      <c r="Q86" s="1205">
        <v>4</v>
      </c>
      <c r="R86" s="1205">
        <v>4</v>
      </c>
      <c r="S86" s="1097">
        <v>4</v>
      </c>
      <c r="T86" s="1097">
        <v>4</v>
      </c>
      <c r="U86" s="1097">
        <v>4</v>
      </c>
      <c r="V86" s="1097">
        <v>4</v>
      </c>
      <c r="W86" s="1097">
        <v>4</v>
      </c>
      <c r="X86" s="1205">
        <v>4</v>
      </c>
      <c r="Y86" s="1205">
        <v>4</v>
      </c>
      <c r="Z86" s="1097">
        <v>4</v>
      </c>
      <c r="AA86" s="1097">
        <v>4</v>
      </c>
      <c r="AB86" s="1097">
        <v>4</v>
      </c>
      <c r="AC86" s="1097">
        <v>4</v>
      </c>
      <c r="AD86" s="1097">
        <v>4</v>
      </c>
      <c r="AE86" s="1205">
        <v>4</v>
      </c>
      <c r="AF86" s="1205">
        <v>4</v>
      </c>
      <c r="AG86" s="1097">
        <v>4</v>
      </c>
      <c r="AH86" s="1097">
        <v>4</v>
      </c>
      <c r="AI86" s="1328">
        <v>4</v>
      </c>
      <c r="AJ86" s="79"/>
      <c r="AK86" s="79"/>
      <c r="AL86" s="692"/>
      <c r="AM86" s="960"/>
      <c r="AN86" s="277"/>
      <c r="AO86" s="679"/>
      <c r="AP86" s="391"/>
      <c r="AQ86" s="48"/>
      <c r="AR86" s="48"/>
      <c r="AS86" s="48"/>
      <c r="AT86" s="48"/>
      <c r="AU86" s="48"/>
      <c r="AV86" s="4"/>
    </row>
    <row r="87" spans="1:48" s="23" customFormat="1" ht="20.65" customHeight="1">
      <c r="A87" s="296" t="s">
        <v>389</v>
      </c>
      <c r="B87" s="89"/>
      <c r="C87" s="305"/>
      <c r="D87" s="81" t="s">
        <v>109</v>
      </c>
      <c r="E87" s="1125">
        <f>SUM(E81+E83+E84+E85)/E86</f>
        <v>2824</v>
      </c>
      <c r="F87" s="1125">
        <f>SUM(F81+F83+F84+F85)/F86</f>
        <v>2848</v>
      </c>
      <c r="G87" s="1233">
        <f>SUM(G81+G83+G84+G85)/G86</f>
        <v>3084</v>
      </c>
      <c r="H87" s="1125">
        <f t="shared" ref="H87:AH87" si="169">SUM(H81+H83+H84+H85)/H86</f>
        <v>2693</v>
      </c>
      <c r="I87" s="1125">
        <f t="shared" si="169"/>
        <v>3080</v>
      </c>
      <c r="J87" s="1233">
        <f t="shared" si="169"/>
        <v>3084</v>
      </c>
      <c r="K87" s="1233">
        <f t="shared" si="169"/>
        <v>3091.5</v>
      </c>
      <c r="L87" s="1125">
        <f t="shared" si="169"/>
        <v>3080</v>
      </c>
      <c r="M87" s="1125">
        <f t="shared" si="169"/>
        <v>2228</v>
      </c>
      <c r="N87" s="1125">
        <f>SUM(N81+N83+N84+N85)/N86</f>
        <v>0</v>
      </c>
      <c r="O87" s="1125">
        <f t="shared" si="169"/>
        <v>200</v>
      </c>
      <c r="P87" s="1125">
        <f t="shared" si="169"/>
        <v>2610</v>
      </c>
      <c r="Q87" s="1233">
        <f t="shared" si="169"/>
        <v>3084</v>
      </c>
      <c r="R87" s="1233">
        <f t="shared" si="169"/>
        <v>3084</v>
      </c>
      <c r="S87" s="1125">
        <f t="shared" si="169"/>
        <v>3080</v>
      </c>
      <c r="T87" s="1125">
        <f t="shared" si="169"/>
        <v>3332</v>
      </c>
      <c r="U87" s="1125">
        <f t="shared" si="169"/>
        <v>3080</v>
      </c>
      <c r="V87" s="1125">
        <f t="shared" si="169"/>
        <v>3332</v>
      </c>
      <c r="W87" s="1125">
        <f t="shared" si="169"/>
        <v>2848</v>
      </c>
      <c r="X87" s="1233">
        <f t="shared" si="169"/>
        <v>2877</v>
      </c>
      <c r="Y87" s="1233">
        <f t="shared" si="169"/>
        <v>2743.25</v>
      </c>
      <c r="Z87" s="1125">
        <f t="shared" si="169"/>
        <v>2816</v>
      </c>
      <c r="AA87" s="1125">
        <f t="shared" si="169"/>
        <v>3175</v>
      </c>
      <c r="AB87" s="1125">
        <f t="shared" si="169"/>
        <v>0</v>
      </c>
      <c r="AC87" s="1125">
        <f t="shared" si="169"/>
        <v>0</v>
      </c>
      <c r="AD87" s="1125">
        <f t="shared" si="169"/>
        <v>0</v>
      </c>
      <c r="AE87" s="1233">
        <f t="shared" si="169"/>
        <v>0</v>
      </c>
      <c r="AF87" s="1233">
        <f t="shared" si="169"/>
        <v>0</v>
      </c>
      <c r="AG87" s="1125">
        <f t="shared" si="169"/>
        <v>0</v>
      </c>
      <c r="AH87" s="1125">
        <f t="shared" si="169"/>
        <v>0</v>
      </c>
      <c r="AI87" s="1335">
        <f>SUM(AI81+AI83+AI84)/AI86</f>
        <v>0</v>
      </c>
      <c r="AJ87" s="515">
        <f>SUM(E87:AI87)</f>
        <v>62273.75</v>
      </c>
      <c r="AK87" s="515"/>
      <c r="AL87" s="689"/>
      <c r="AM87" s="940"/>
      <c r="AN87" s="277"/>
      <c r="AO87" s="679"/>
      <c r="AP87" s="285"/>
      <c r="AQ87" s="285"/>
      <c r="AR87" s="285"/>
      <c r="AS87" s="285"/>
      <c r="AT87" s="286"/>
      <c r="AU87" s="285"/>
      <c r="AV87" s="287"/>
    </row>
    <row r="88" spans="1:48" s="23" customFormat="1" ht="20.65" customHeight="1">
      <c r="A88" s="296" t="s">
        <v>389</v>
      </c>
      <c r="B88" s="89"/>
      <c r="C88" s="72"/>
      <c r="D88" s="85" t="s">
        <v>110</v>
      </c>
      <c r="E88" s="1336"/>
      <c r="F88" s="1106"/>
      <c r="G88" s="1228"/>
      <c r="H88" s="1107" t="s">
        <v>534</v>
      </c>
      <c r="I88" s="1107"/>
      <c r="J88" s="1228"/>
      <c r="K88" s="1228"/>
      <c r="L88" s="1107"/>
      <c r="M88" s="1107"/>
      <c r="N88" s="1107"/>
      <c r="O88" s="1107"/>
      <c r="P88" s="1107"/>
      <c r="Q88" s="1228"/>
      <c r="R88" s="1228"/>
      <c r="S88" s="1107"/>
      <c r="T88" s="1107"/>
      <c r="U88" s="1107"/>
      <c r="V88" s="1107"/>
      <c r="W88" s="1107"/>
      <c r="X88" s="1228"/>
      <c r="Y88" s="1228"/>
      <c r="Z88" s="1107"/>
      <c r="AA88" s="1107"/>
      <c r="AB88" s="1107"/>
      <c r="AC88" s="1107"/>
      <c r="AD88" s="1107"/>
      <c r="AE88" s="1228"/>
      <c r="AF88" s="1228"/>
      <c r="AG88" s="1107"/>
      <c r="AH88" s="1107"/>
      <c r="AI88" s="1337"/>
      <c r="AJ88" s="86"/>
      <c r="AK88" s="86"/>
      <c r="AL88" s="690"/>
      <c r="AM88" s="940"/>
      <c r="AN88" s="277"/>
      <c r="AO88" s="679"/>
      <c r="AP88" s="285"/>
      <c r="AQ88" s="285"/>
      <c r="AR88" s="285"/>
      <c r="AS88" s="285"/>
      <c r="AT88" s="286"/>
      <c r="AU88" s="285"/>
      <c r="AV88" s="287"/>
    </row>
    <row r="89" spans="1:48" s="23" customFormat="1" ht="20.65" customHeight="1">
      <c r="A89" s="296" t="s">
        <v>389</v>
      </c>
      <c r="B89" s="89"/>
      <c r="C89" s="72" t="s">
        <v>104</v>
      </c>
      <c r="D89" s="88" t="s">
        <v>111</v>
      </c>
      <c r="E89" s="1108">
        <f>IF(E88="O/H",E87,92964+E87)</f>
        <v>95788</v>
      </c>
      <c r="F89" s="1089">
        <f t="shared" ref="F89:AI89" si="170">IF(F88="O/H",F87,+E89+F87)</f>
        <v>98636</v>
      </c>
      <c r="G89" s="44">
        <f t="shared" si="170"/>
        <v>101720</v>
      </c>
      <c r="H89" s="1089">
        <f t="shared" si="170"/>
        <v>2693</v>
      </c>
      <c r="I89" s="1089">
        <f t="shared" si="170"/>
        <v>5773</v>
      </c>
      <c r="J89" s="44">
        <f t="shared" si="170"/>
        <v>8857</v>
      </c>
      <c r="K89" s="44">
        <f t="shared" si="170"/>
        <v>11948.5</v>
      </c>
      <c r="L89" s="1089">
        <f t="shared" si="170"/>
        <v>15028.5</v>
      </c>
      <c r="M89" s="1089">
        <f t="shared" si="170"/>
        <v>17256.5</v>
      </c>
      <c r="N89" s="1089">
        <f t="shared" si="170"/>
        <v>17256.5</v>
      </c>
      <c r="O89" s="1089">
        <f t="shared" si="170"/>
        <v>17456.5</v>
      </c>
      <c r="P89" s="1089">
        <f t="shared" si="170"/>
        <v>20066.5</v>
      </c>
      <c r="Q89" s="44">
        <f t="shared" si="170"/>
        <v>23150.5</v>
      </c>
      <c r="R89" s="44">
        <f t="shared" si="170"/>
        <v>26234.5</v>
      </c>
      <c r="S89" s="1089">
        <f t="shared" si="170"/>
        <v>29314.5</v>
      </c>
      <c r="T89" s="1089">
        <f t="shared" si="170"/>
        <v>32646.5</v>
      </c>
      <c r="U89" s="1089">
        <f t="shared" si="170"/>
        <v>35726.5</v>
      </c>
      <c r="V89" s="1089">
        <f t="shared" si="170"/>
        <v>39058.5</v>
      </c>
      <c r="W89" s="1089">
        <f t="shared" si="170"/>
        <v>41906.5</v>
      </c>
      <c r="X89" s="44">
        <f t="shared" si="170"/>
        <v>44783.5</v>
      </c>
      <c r="Y89" s="44">
        <f t="shared" si="170"/>
        <v>47526.75</v>
      </c>
      <c r="Z89" s="1089">
        <f t="shared" si="170"/>
        <v>50342.75</v>
      </c>
      <c r="AA89" s="1089">
        <f t="shared" si="170"/>
        <v>53517.75</v>
      </c>
      <c r="AB89" s="1089">
        <f t="shared" si="170"/>
        <v>53517.75</v>
      </c>
      <c r="AC89" s="1089">
        <f t="shared" si="170"/>
        <v>53517.75</v>
      </c>
      <c r="AD89" s="1089">
        <f t="shared" si="170"/>
        <v>53517.75</v>
      </c>
      <c r="AE89" s="44">
        <f t="shared" si="170"/>
        <v>53517.75</v>
      </c>
      <c r="AF89" s="44">
        <f t="shared" si="170"/>
        <v>53517.75</v>
      </c>
      <c r="AG89" s="1089">
        <f t="shared" si="170"/>
        <v>53517.75</v>
      </c>
      <c r="AH89" s="1089">
        <f t="shared" si="170"/>
        <v>53517.75</v>
      </c>
      <c r="AI89" s="1326">
        <f t="shared" si="170"/>
        <v>53517.75</v>
      </c>
      <c r="AJ89" s="79"/>
      <c r="AK89" s="79"/>
      <c r="AL89" s="690"/>
      <c r="AM89" s="940"/>
      <c r="AN89" s="277"/>
      <c r="AO89" s="679"/>
      <c r="AP89" s="285"/>
      <c r="AQ89" s="285"/>
      <c r="AR89" s="285"/>
      <c r="AS89" s="285"/>
      <c r="AT89" s="286"/>
      <c r="AU89" s="285"/>
      <c r="AV89" s="287"/>
    </row>
    <row r="90" spans="1:48" s="23" customFormat="1" ht="20.45" customHeight="1">
      <c r="A90" s="312"/>
      <c r="B90" s="1226" t="s">
        <v>547</v>
      </c>
      <c r="C90" s="308">
        <v>300000</v>
      </c>
      <c r="D90" s="795" t="s">
        <v>112</v>
      </c>
      <c r="E90" s="1117">
        <f>IF(AND(ISNUMBER(E81)),304904+E87)</f>
        <v>307728</v>
      </c>
      <c r="F90" s="1118">
        <f>IF(AND(ISNUMBER(F81)),E90+F87,"")</f>
        <v>310576</v>
      </c>
      <c r="G90" s="1216">
        <f t="shared" ref="G90" si="171">IF(AND(ISNUMBER(G81)),F90+G87,"")</f>
        <v>313660</v>
      </c>
      <c r="H90" s="1118">
        <f t="shared" ref="H90" si="172">IF(AND(ISNUMBER(H81)),G90+H87,"")</f>
        <v>316353</v>
      </c>
      <c r="I90" s="1118">
        <f>IF(AND(ISNUMBER(I81)),H90+I87,"")</f>
        <v>319433</v>
      </c>
      <c r="J90" s="1216">
        <f>IF(AND(ISNUMBER(J81)),I90+J87,"")</f>
        <v>322517</v>
      </c>
      <c r="K90" s="1216">
        <f>IF(AND(ISNUMBER(K81)),J90+K87,"")</f>
        <v>325608.5</v>
      </c>
      <c r="L90" s="1118">
        <f t="shared" ref="L90" si="173">IF(AND(ISNUMBER(L81)),K90+L87,"")</f>
        <v>328688.5</v>
      </c>
      <c r="M90" s="1118">
        <f t="shared" ref="M90" si="174">IF(AND(ISNUMBER(M81)),L90+M87,"")</f>
        <v>330916.5</v>
      </c>
      <c r="N90" s="1118">
        <f t="shared" ref="N90" si="175">IF(AND(ISNUMBER(N81)),M90+N87,"")</f>
        <v>330916.5</v>
      </c>
      <c r="O90" s="1118">
        <f t="shared" ref="O90" si="176">IF(AND(ISNUMBER(O81)),N90+O87,"")</f>
        <v>331116.5</v>
      </c>
      <c r="P90" s="1118">
        <f t="shared" ref="P90" si="177">IF(AND(ISNUMBER(P81)),O90+P87,"")</f>
        <v>333726.5</v>
      </c>
      <c r="Q90" s="1216">
        <f t="shared" ref="Q90" si="178">IF(AND(ISNUMBER(Q81)),P90+Q87,"")</f>
        <v>336810.5</v>
      </c>
      <c r="R90" s="1216">
        <f t="shared" ref="R90" si="179">IF(AND(ISNUMBER(R81)),Q90+R87,"")</f>
        <v>339894.5</v>
      </c>
      <c r="S90" s="1118">
        <f t="shared" ref="S90" si="180">IF(AND(ISNUMBER(S81)),R90+S87,"")</f>
        <v>342974.5</v>
      </c>
      <c r="T90" s="1118">
        <f t="shared" ref="T90" si="181">IF(AND(ISNUMBER(T81)),S90+T87,"")</f>
        <v>346306.5</v>
      </c>
      <c r="U90" s="1118">
        <f t="shared" ref="U90" si="182">IF(AND(ISNUMBER(U81)),T90+U87,"")</f>
        <v>349386.5</v>
      </c>
      <c r="V90" s="1118">
        <f t="shared" ref="V90" si="183">IF(AND(ISNUMBER(V81)),U90+V87,"")</f>
        <v>352718.5</v>
      </c>
      <c r="W90" s="1118">
        <f t="shared" ref="W90" si="184">IF(AND(ISNUMBER(W81)),V90+W87,"")</f>
        <v>355566.5</v>
      </c>
      <c r="X90" s="1216">
        <f t="shared" ref="X90" si="185">IF(AND(ISNUMBER(X81)),W90+X87,"")</f>
        <v>358443.5</v>
      </c>
      <c r="Y90" s="1216">
        <f t="shared" ref="Y90" si="186">IF(AND(ISNUMBER(Y81)),X90+Y87,"")</f>
        <v>361186.75</v>
      </c>
      <c r="Z90" s="1118">
        <f t="shared" ref="Z90" si="187">IF(AND(ISNUMBER(Z81)),Y90+Z87,"")</f>
        <v>364002.75</v>
      </c>
      <c r="AA90" s="1118">
        <f t="shared" ref="AA90" si="188">IF(AND(ISNUMBER(AA81)),Z90+AA87,"")</f>
        <v>367177.75</v>
      </c>
      <c r="AB90" s="1118" t="str">
        <f t="shared" ref="AB90" si="189">IF(AND(ISNUMBER(AB81)),AA90+AB87,"")</f>
        <v/>
      </c>
      <c r="AC90" s="1118" t="str">
        <f t="shared" ref="AC90" si="190">IF(AND(ISNUMBER(AC81)),AB90+AC87,"")</f>
        <v/>
      </c>
      <c r="AD90" s="1118" t="str">
        <f t="shared" ref="AD90" si="191">IF(AND(ISNUMBER(AD81)),AC90+AD87,"")</f>
        <v/>
      </c>
      <c r="AE90" s="1216" t="str">
        <f t="shared" ref="AE90" si="192">IF(AND(ISNUMBER(AE81)),AD90+AE87,"")</f>
        <v/>
      </c>
      <c r="AF90" s="1216" t="str">
        <f t="shared" ref="AF90" si="193">IF(AND(ISNUMBER(AF81)),AE90+AF87,"")</f>
        <v/>
      </c>
      <c r="AG90" s="1118" t="str">
        <f t="shared" ref="AG90" si="194">IF(AND(ISNUMBER(AG81)),AF90+AG87,"")</f>
        <v/>
      </c>
      <c r="AH90" s="1118" t="str">
        <f t="shared" ref="AH90" si="195">IF(AND(ISNUMBER(AH81)),AG90+AH87,"")</f>
        <v/>
      </c>
      <c r="AI90" s="1118" t="str">
        <f t="shared" ref="AI90" si="196">IF(AND(ISNUMBER(AI81)),AH90+AI87,"")</f>
        <v/>
      </c>
      <c r="AJ90" s="793"/>
      <c r="AK90" s="793"/>
      <c r="AL90" s="909"/>
      <c r="AM90" s="794"/>
      <c r="AN90" s="429"/>
      <c r="AO90" s="675"/>
      <c r="AP90" s="285"/>
      <c r="AQ90" s="285"/>
      <c r="AR90" s="285"/>
      <c r="AS90" s="285"/>
      <c r="AT90" s="286"/>
      <c r="AU90" s="285"/>
      <c r="AV90" s="287"/>
    </row>
    <row r="91" spans="1:48" s="23" customFormat="1" ht="20.65" customHeight="1">
      <c r="A91" s="296" t="s">
        <v>389</v>
      </c>
      <c r="B91" s="89"/>
      <c r="C91" s="80" t="s">
        <v>108</v>
      </c>
      <c r="D91" s="90" t="s">
        <v>104</v>
      </c>
      <c r="E91" s="1338"/>
      <c r="F91" s="1106"/>
      <c r="G91" s="1253"/>
      <c r="H91" s="1106"/>
      <c r="I91" s="1106"/>
      <c r="J91" s="1253"/>
      <c r="K91" s="1253"/>
      <c r="L91" s="1106"/>
      <c r="M91" s="1106"/>
      <c r="N91" s="1106"/>
      <c r="O91" s="1106"/>
      <c r="P91" s="1106"/>
      <c r="Q91" s="1253"/>
      <c r="R91" s="1253"/>
      <c r="S91" s="1106"/>
      <c r="T91" s="1106"/>
      <c r="U91" s="1106"/>
      <c r="V91" s="1106"/>
      <c r="W91" s="1106"/>
      <c r="X91" s="1253"/>
      <c r="Y91" s="1253"/>
      <c r="Z91" s="1106"/>
      <c r="AA91" s="1106"/>
      <c r="AB91" s="1106"/>
      <c r="AC91" s="1106"/>
      <c r="AD91" s="1106"/>
      <c r="AE91" s="1253"/>
      <c r="AF91" s="1253"/>
      <c r="AG91" s="1106"/>
      <c r="AH91" s="1106"/>
      <c r="AI91" s="1339"/>
      <c r="AJ91" s="79"/>
      <c r="AK91" s="79"/>
      <c r="AL91" s="690"/>
      <c r="AM91" s="940"/>
      <c r="AN91" s="277"/>
      <c r="AO91" s="679"/>
      <c r="AP91" s="285"/>
      <c r="AQ91" s="285"/>
      <c r="AR91" s="285"/>
      <c r="AS91" s="285"/>
      <c r="AT91" s="286"/>
      <c r="AU91" s="285"/>
      <c r="AV91" s="287"/>
    </row>
    <row r="92" spans="1:48" s="23" customFormat="1" ht="20.65" customHeight="1" thickBot="1">
      <c r="A92" s="310" t="s">
        <v>389</v>
      </c>
      <c r="B92" s="93"/>
      <c r="C92" s="94">
        <f>+C90*0.8</f>
        <v>240000</v>
      </c>
      <c r="D92" s="88" t="s">
        <v>111</v>
      </c>
      <c r="E92" s="1109">
        <f>IF(E91="O/H",E87,235615+E87)</f>
        <v>238439</v>
      </c>
      <c r="F92" s="1110">
        <f t="shared" ref="F92:AF92" si="197">IF(F91="O/H",F87,+E92+F87)</f>
        <v>241287</v>
      </c>
      <c r="G92" s="1212">
        <f t="shared" si="197"/>
        <v>244371</v>
      </c>
      <c r="H92" s="1110">
        <f t="shared" si="197"/>
        <v>247064</v>
      </c>
      <c r="I92" s="1110">
        <f t="shared" si="197"/>
        <v>250144</v>
      </c>
      <c r="J92" s="1212">
        <f t="shared" si="197"/>
        <v>253228</v>
      </c>
      <c r="K92" s="1212">
        <f t="shared" si="197"/>
        <v>256319.5</v>
      </c>
      <c r="L92" s="1110">
        <f t="shared" si="197"/>
        <v>259399.5</v>
      </c>
      <c r="M92" s="1110">
        <f t="shared" si="197"/>
        <v>261627.5</v>
      </c>
      <c r="N92" s="1110">
        <f t="shared" si="197"/>
        <v>261627.5</v>
      </c>
      <c r="O92" s="1110">
        <f t="shared" si="197"/>
        <v>261827.5</v>
      </c>
      <c r="P92" s="1110">
        <f t="shared" si="197"/>
        <v>264437.5</v>
      </c>
      <c r="Q92" s="1212">
        <f t="shared" si="197"/>
        <v>267521.5</v>
      </c>
      <c r="R92" s="1212">
        <f t="shared" si="197"/>
        <v>270605.5</v>
      </c>
      <c r="S92" s="1110">
        <f t="shared" si="197"/>
        <v>273685.5</v>
      </c>
      <c r="T92" s="1110">
        <f t="shared" si="197"/>
        <v>277017.5</v>
      </c>
      <c r="U92" s="1110">
        <f t="shared" si="197"/>
        <v>280097.5</v>
      </c>
      <c r="V92" s="1110">
        <f t="shared" si="197"/>
        <v>283429.5</v>
      </c>
      <c r="W92" s="1110">
        <f t="shared" si="197"/>
        <v>286277.5</v>
      </c>
      <c r="X92" s="1212">
        <f t="shared" si="197"/>
        <v>289154.5</v>
      </c>
      <c r="Y92" s="1212">
        <f t="shared" si="197"/>
        <v>291897.75</v>
      </c>
      <c r="Z92" s="1110">
        <f t="shared" si="197"/>
        <v>294713.75</v>
      </c>
      <c r="AA92" s="1110">
        <f t="shared" si="197"/>
        <v>297888.75</v>
      </c>
      <c r="AB92" s="1110">
        <f t="shared" si="197"/>
        <v>297888.75</v>
      </c>
      <c r="AC92" s="1110">
        <f t="shared" si="197"/>
        <v>297888.75</v>
      </c>
      <c r="AD92" s="1110">
        <f t="shared" si="197"/>
        <v>297888.75</v>
      </c>
      <c r="AE92" s="1212">
        <f t="shared" si="197"/>
        <v>297888.75</v>
      </c>
      <c r="AF92" s="1212">
        <f t="shared" si="197"/>
        <v>297888.75</v>
      </c>
      <c r="AG92" s="1110">
        <f t="shared" ref="AG92" si="198">IF(AG91="O/H",AG87,+AF92+AG87)</f>
        <v>297888.75</v>
      </c>
      <c r="AH92" s="1110">
        <f t="shared" ref="AH92" si="199">IF(AH91="O/H",AH87,+AG92+AH87)</f>
        <v>297888.75</v>
      </c>
      <c r="AI92" s="1110">
        <f t="shared" ref="AI92" si="200">IF(AI91="O/H",AI87,+AH92+AI87)</f>
        <v>297888.75</v>
      </c>
      <c r="AJ92" s="96"/>
      <c r="AK92" s="723"/>
      <c r="AL92" s="695"/>
      <c r="AM92" s="961"/>
      <c r="AN92" s="292"/>
      <c r="AO92" s="681"/>
      <c r="AP92" s="285"/>
      <c r="AQ92" s="285"/>
      <c r="AR92" s="285"/>
      <c r="AS92" s="285"/>
      <c r="AT92" s="286"/>
      <c r="AU92" s="285"/>
      <c r="AV92" s="287"/>
    </row>
    <row r="93" spans="1:48" s="23" customFormat="1" ht="20.65" customHeight="1" thickTop="1">
      <c r="A93" s="298" t="s">
        <v>708</v>
      </c>
      <c r="B93" s="89" t="s">
        <v>617</v>
      </c>
      <c r="C93" s="1493" t="str">
        <f>Table2[[#This Row],[M/C No.]]</f>
        <v>H5(50ton)</v>
      </c>
      <c r="D93" s="28" t="s">
        <v>82</v>
      </c>
      <c r="E93" s="1139">
        <v>14000</v>
      </c>
      <c r="F93" s="1139">
        <v>14000</v>
      </c>
      <c r="G93" s="1231">
        <v>14000</v>
      </c>
      <c r="H93" s="1139">
        <v>14000</v>
      </c>
      <c r="I93" s="1139">
        <v>14000</v>
      </c>
      <c r="J93" s="1231">
        <v>14000</v>
      </c>
      <c r="K93" s="1231">
        <v>14000</v>
      </c>
      <c r="L93" s="1139">
        <v>14000</v>
      </c>
      <c r="M93" s="1139">
        <v>14000</v>
      </c>
      <c r="N93" s="1139">
        <v>14000</v>
      </c>
      <c r="O93" s="1139">
        <v>14000</v>
      </c>
      <c r="P93" s="1139">
        <v>14000</v>
      </c>
      <c r="Q93" s="1231">
        <v>14000</v>
      </c>
      <c r="R93" s="1231">
        <v>14000</v>
      </c>
      <c r="S93" s="1139">
        <v>14000</v>
      </c>
      <c r="T93" s="1139">
        <v>14000</v>
      </c>
      <c r="U93" s="1139">
        <v>14000</v>
      </c>
      <c r="V93" s="1139">
        <v>14000</v>
      </c>
      <c r="W93" s="1139">
        <v>14000</v>
      </c>
      <c r="X93" s="1231">
        <v>14000</v>
      </c>
      <c r="Y93" s="1231">
        <v>14000</v>
      </c>
      <c r="Z93" s="1139">
        <v>0</v>
      </c>
      <c r="AA93" s="1139">
        <v>0</v>
      </c>
      <c r="AB93" s="1139">
        <v>6000</v>
      </c>
      <c r="AC93" s="1139">
        <v>14000</v>
      </c>
      <c r="AD93" s="1139">
        <v>14000</v>
      </c>
      <c r="AE93" s="1201">
        <v>0</v>
      </c>
      <c r="AF93" s="1201">
        <v>0</v>
      </c>
      <c r="AG93" s="1111">
        <v>6000</v>
      </c>
      <c r="AH93" s="1111">
        <v>14000</v>
      </c>
      <c r="AI93" s="1322"/>
      <c r="AJ93" s="29">
        <f>SUM(E93:AI93)</f>
        <v>348000</v>
      </c>
      <c r="AK93" s="1020">
        <f>AJ95</f>
        <v>127680</v>
      </c>
      <c r="AL93" s="101">
        <f>+AJ93*AN93</f>
        <v>1788740.8800000001</v>
      </c>
      <c r="AM93" s="1019">
        <f>AL95</f>
        <v>656282.86080000002</v>
      </c>
      <c r="AN93" s="273">
        <v>5.1400600000000001</v>
      </c>
      <c r="AO93" s="633">
        <f>Table2[[#This Row],[Total]]*B97/1000</f>
        <v>684.69</v>
      </c>
      <c r="AP93" s="32" t="s">
        <v>391</v>
      </c>
      <c r="AQ93" s="33" t="s">
        <v>84</v>
      </c>
      <c r="AR93" s="33" t="s">
        <v>85</v>
      </c>
      <c r="AS93" s="33" t="s">
        <v>86</v>
      </c>
      <c r="AT93" s="33" t="s">
        <v>87</v>
      </c>
      <c r="AU93" s="33" t="s">
        <v>88</v>
      </c>
      <c r="AV93" s="34" t="s">
        <v>68</v>
      </c>
    </row>
    <row r="94" spans="1:48" s="23" customFormat="1" ht="20.65" customHeight="1">
      <c r="A94" s="274"/>
      <c r="B94" s="89" t="s">
        <v>388</v>
      </c>
      <c r="C94" s="1244">
        <v>67500</v>
      </c>
      <c r="D94" s="37" t="s">
        <v>90</v>
      </c>
      <c r="E94" s="1323">
        <f>IF(E93="",0,+ E93/E100)</f>
        <v>3500</v>
      </c>
      <c r="F94" s="1096">
        <f t="shared" ref="F94:AC94" si="201">IF(F93="",0, E94+F93/F100)</f>
        <v>7000</v>
      </c>
      <c r="G94" s="1207">
        <f t="shared" si="201"/>
        <v>10500</v>
      </c>
      <c r="H94" s="1096">
        <f t="shared" si="201"/>
        <v>14000</v>
      </c>
      <c r="I94" s="1096">
        <f t="shared" si="201"/>
        <v>17500</v>
      </c>
      <c r="J94" s="1207">
        <f t="shared" si="201"/>
        <v>21000</v>
      </c>
      <c r="K94" s="1207">
        <f t="shared" si="201"/>
        <v>24500</v>
      </c>
      <c r="L94" s="1096">
        <f t="shared" si="201"/>
        <v>28000</v>
      </c>
      <c r="M94" s="1096">
        <f t="shared" si="201"/>
        <v>31500</v>
      </c>
      <c r="N94" s="1096">
        <f t="shared" si="201"/>
        <v>35000</v>
      </c>
      <c r="O94" s="1096">
        <f t="shared" si="201"/>
        <v>38500</v>
      </c>
      <c r="P94" s="1096">
        <f t="shared" si="201"/>
        <v>42000</v>
      </c>
      <c r="Q94" s="1207">
        <f t="shared" si="201"/>
        <v>45500</v>
      </c>
      <c r="R94" s="1207">
        <f t="shared" si="201"/>
        <v>49000</v>
      </c>
      <c r="S94" s="1096">
        <f t="shared" si="201"/>
        <v>52500</v>
      </c>
      <c r="T94" s="1096">
        <f t="shared" si="201"/>
        <v>56000</v>
      </c>
      <c r="U94" s="1096">
        <f t="shared" si="201"/>
        <v>59500</v>
      </c>
      <c r="V94" s="1096">
        <f t="shared" si="201"/>
        <v>63000</v>
      </c>
      <c r="W94" s="1096">
        <f t="shared" si="201"/>
        <v>66500</v>
      </c>
      <c r="X94" s="1207">
        <f t="shared" si="201"/>
        <v>70000</v>
      </c>
      <c r="Y94" s="1207">
        <f t="shared" si="201"/>
        <v>73500</v>
      </c>
      <c r="Z94" s="1096">
        <f t="shared" si="201"/>
        <v>73500</v>
      </c>
      <c r="AA94" s="1096">
        <f t="shared" si="201"/>
        <v>73500</v>
      </c>
      <c r="AB94" s="1096">
        <f t="shared" si="201"/>
        <v>75000</v>
      </c>
      <c r="AC94" s="1096">
        <f t="shared" si="201"/>
        <v>78500</v>
      </c>
      <c r="AD94" s="1096">
        <f>IF(AD93="",0, Z94+AD93/AD100)</f>
        <v>77000</v>
      </c>
      <c r="AE94" s="1207">
        <f>IF(AE93="",0, AA94+AE93/AE100)</f>
        <v>73500</v>
      </c>
      <c r="AF94" s="1207">
        <f>IF(AF93="",0, AB94+AF93/AF100)</f>
        <v>75000</v>
      </c>
      <c r="AG94" s="1096">
        <f>IF(AG93="",0, AC94+AG93/AG100)</f>
        <v>80000</v>
      </c>
      <c r="AH94" s="1096">
        <f>IF(AH93="",0, AD94+AH93/AH100)</f>
        <v>80500</v>
      </c>
      <c r="AI94" s="1324">
        <f>IF(AI93="",0, AH94+AI93/AI100)</f>
        <v>0</v>
      </c>
      <c r="AJ94" s="716"/>
      <c r="AK94" s="716"/>
      <c r="AL94" s="209"/>
      <c r="AM94" s="794"/>
      <c r="AN94" s="91"/>
      <c r="AO94" s="675"/>
      <c r="AP94" s="39" t="s">
        <v>91</v>
      </c>
      <c r="AQ94" s="40">
        <f>SUM(E93:H93)</f>
        <v>56000</v>
      </c>
      <c r="AR94" s="41">
        <f>SUM(I93:O93)</f>
        <v>98000</v>
      </c>
      <c r="AS94" s="41">
        <f>SUM(P93:V93)</f>
        <v>98000</v>
      </c>
      <c r="AT94" s="41">
        <f>SUM(W93:AC93)</f>
        <v>62000</v>
      </c>
      <c r="AU94" s="41">
        <f>SUM(AD93:AI93)</f>
        <v>34000</v>
      </c>
      <c r="AV94" s="34">
        <f t="shared" ref="AV94:AV99" si="202">SUM(AQ94:AU94)</f>
        <v>348000</v>
      </c>
    </row>
    <row r="95" spans="1:48" s="23" customFormat="1" ht="20.65" customHeight="1">
      <c r="A95" s="302" t="s">
        <v>392</v>
      </c>
      <c r="B95" s="89" t="s">
        <v>246</v>
      </c>
      <c r="C95" s="656" t="s">
        <v>108</v>
      </c>
      <c r="D95" s="43" t="s">
        <v>93</v>
      </c>
      <c r="E95" s="1108">
        <v>15120</v>
      </c>
      <c r="F95" s="1089">
        <v>5040</v>
      </c>
      <c r="G95" s="44">
        <v>0</v>
      </c>
      <c r="H95" s="1089">
        <v>0</v>
      </c>
      <c r="I95" s="1089">
        <v>0</v>
      </c>
      <c r="J95" s="44">
        <v>0</v>
      </c>
      <c r="K95" s="1243">
        <v>0</v>
      </c>
      <c r="L95" s="1119">
        <v>0</v>
      </c>
      <c r="M95" s="1089">
        <v>0</v>
      </c>
      <c r="N95" s="1089">
        <v>0</v>
      </c>
      <c r="O95" s="1089">
        <v>0</v>
      </c>
      <c r="P95" s="1089">
        <v>0</v>
      </c>
      <c r="Q95" s="44">
        <v>0</v>
      </c>
      <c r="R95" s="44">
        <v>0</v>
      </c>
      <c r="S95" s="1089">
        <v>1008</v>
      </c>
      <c r="T95" s="1089">
        <v>14112</v>
      </c>
      <c r="U95" s="1089">
        <v>12768</v>
      </c>
      <c r="V95" s="1089">
        <v>13104</v>
      </c>
      <c r="W95" s="1089">
        <v>13104</v>
      </c>
      <c r="X95" s="44">
        <v>14112</v>
      </c>
      <c r="Y95" s="44">
        <v>12096</v>
      </c>
      <c r="Z95" s="1089">
        <v>14112</v>
      </c>
      <c r="AA95" s="1089">
        <v>13104</v>
      </c>
      <c r="AB95" s="1089"/>
      <c r="AC95" s="1089"/>
      <c r="AD95" s="1089"/>
      <c r="AE95" s="44"/>
      <c r="AF95" s="44"/>
      <c r="AG95" s="1089"/>
      <c r="AH95" s="1089"/>
      <c r="AI95" s="1326"/>
      <c r="AJ95" s="45">
        <f>SUM(E95:AI95)</f>
        <v>127680</v>
      </c>
      <c r="AK95" s="45"/>
      <c r="AL95" s="46">
        <f>+AJ95*AN93</f>
        <v>656282.86080000002</v>
      </c>
      <c r="AM95" s="934"/>
      <c r="AN95" s="277"/>
      <c r="AO95" s="632">
        <f>(AJ95+AJ97+AJ98+AJ99)*B97/1000</f>
        <v>261.97656000000001</v>
      </c>
      <c r="AP95" s="47" t="s">
        <v>94</v>
      </c>
      <c r="AQ95" s="48">
        <f>SUM(E95:H95)</f>
        <v>20160</v>
      </c>
      <c r="AR95" s="49">
        <f>SUM(I95:O95)</f>
        <v>0</v>
      </c>
      <c r="AS95" s="49">
        <f>SUM(P95:V95)</f>
        <v>40992</v>
      </c>
      <c r="AT95" s="49">
        <f>SUM(W95:AC95)</f>
        <v>66528</v>
      </c>
      <c r="AU95" s="49">
        <f>SUM(AD95:AI95)</f>
        <v>0</v>
      </c>
      <c r="AV95" s="50">
        <f t="shared" si="202"/>
        <v>127680</v>
      </c>
    </row>
    <row r="96" spans="1:48" s="23" customFormat="1" ht="20.65" customHeight="1">
      <c r="A96" s="302" t="s">
        <v>392</v>
      </c>
      <c r="B96" s="763" t="s">
        <v>247</v>
      </c>
      <c r="C96" s="1245">
        <f>+C94*0.8</f>
        <v>54000</v>
      </c>
      <c r="D96" s="53" t="s">
        <v>96</v>
      </c>
      <c r="E96" s="1137">
        <f t="shared" ref="E96:AJ96" si="203">+E95-E93</f>
        <v>1120</v>
      </c>
      <c r="F96" s="1097">
        <f t="shared" si="203"/>
        <v>-8960</v>
      </c>
      <c r="G96" s="1205">
        <f t="shared" si="203"/>
        <v>-14000</v>
      </c>
      <c r="H96" s="1097">
        <f t="shared" si="203"/>
        <v>-14000</v>
      </c>
      <c r="I96" s="1097">
        <f t="shared" si="203"/>
        <v>-14000</v>
      </c>
      <c r="J96" s="1205">
        <f t="shared" si="203"/>
        <v>-14000</v>
      </c>
      <c r="K96" s="1205">
        <f t="shared" si="203"/>
        <v>-14000</v>
      </c>
      <c r="L96" s="1097">
        <f t="shared" si="203"/>
        <v>-14000</v>
      </c>
      <c r="M96" s="1097">
        <f t="shared" si="203"/>
        <v>-14000</v>
      </c>
      <c r="N96" s="1097">
        <f t="shared" si="203"/>
        <v>-14000</v>
      </c>
      <c r="O96" s="1097">
        <f t="shared" si="203"/>
        <v>-14000</v>
      </c>
      <c r="P96" s="1097">
        <f t="shared" si="203"/>
        <v>-14000</v>
      </c>
      <c r="Q96" s="1205">
        <f t="shared" si="203"/>
        <v>-14000</v>
      </c>
      <c r="R96" s="1205">
        <f t="shared" si="203"/>
        <v>-14000</v>
      </c>
      <c r="S96" s="1097">
        <f t="shared" si="203"/>
        <v>-12992</v>
      </c>
      <c r="T96" s="1097">
        <f t="shared" si="203"/>
        <v>112</v>
      </c>
      <c r="U96" s="1097">
        <f t="shared" si="203"/>
        <v>-1232</v>
      </c>
      <c r="V96" s="1097">
        <f t="shared" si="203"/>
        <v>-896</v>
      </c>
      <c r="W96" s="1097">
        <f t="shared" si="203"/>
        <v>-896</v>
      </c>
      <c r="X96" s="1205">
        <f t="shared" si="203"/>
        <v>112</v>
      </c>
      <c r="Y96" s="1205">
        <f t="shared" si="203"/>
        <v>-1904</v>
      </c>
      <c r="Z96" s="1097">
        <f t="shared" si="203"/>
        <v>14112</v>
      </c>
      <c r="AA96" s="1097">
        <f t="shared" si="203"/>
        <v>13104</v>
      </c>
      <c r="AB96" s="1097">
        <f t="shared" si="203"/>
        <v>-6000</v>
      </c>
      <c r="AC96" s="1097">
        <f t="shared" si="203"/>
        <v>-14000</v>
      </c>
      <c r="AD96" s="1097">
        <f t="shared" si="203"/>
        <v>-14000</v>
      </c>
      <c r="AE96" s="1205">
        <f t="shared" si="203"/>
        <v>0</v>
      </c>
      <c r="AF96" s="1205">
        <f t="shared" si="203"/>
        <v>0</v>
      </c>
      <c r="AG96" s="1097">
        <f t="shared" si="203"/>
        <v>-6000</v>
      </c>
      <c r="AH96" s="1097">
        <v>0</v>
      </c>
      <c r="AI96" s="1328">
        <f t="shared" si="203"/>
        <v>0</v>
      </c>
      <c r="AJ96" s="79">
        <f t="shared" si="203"/>
        <v>-220320</v>
      </c>
      <c r="AK96" s="79"/>
      <c r="AL96" s="55">
        <f>+AJ96*AN93</f>
        <v>-1132458.0192</v>
      </c>
      <c r="AM96" s="935"/>
      <c r="AN96" s="277" t="s">
        <v>97</v>
      </c>
      <c r="AO96" s="622"/>
      <c r="AP96" s="39" t="s">
        <v>98</v>
      </c>
      <c r="AQ96" s="56">
        <f>AQ95-AQ94</f>
        <v>-35840</v>
      </c>
      <c r="AR96" s="70">
        <f>AR95-AR94</f>
        <v>-98000</v>
      </c>
      <c r="AS96" s="70">
        <f>AS95-AS94</f>
        <v>-57008</v>
      </c>
      <c r="AT96" s="70">
        <f>AT95-AT94</f>
        <v>4528</v>
      </c>
      <c r="AU96" s="70">
        <f>AU95-AU94</f>
        <v>-34000</v>
      </c>
      <c r="AV96" s="57">
        <f t="shared" si="202"/>
        <v>-220320</v>
      </c>
    </row>
    <row r="97" spans="1:48" s="23" customFormat="1" ht="20.65" customHeight="1">
      <c r="A97" s="302" t="s">
        <v>392</v>
      </c>
      <c r="B97" s="764">
        <v>1.9675</v>
      </c>
      <c r="C97" s="305"/>
      <c r="D97" s="61" t="s">
        <v>101</v>
      </c>
      <c r="E97" s="1098">
        <v>0</v>
      </c>
      <c r="F97" s="1099">
        <v>120</v>
      </c>
      <c r="G97" s="1208">
        <v>0</v>
      </c>
      <c r="H97" s="1099">
        <v>532</v>
      </c>
      <c r="I97" s="1099">
        <v>480</v>
      </c>
      <c r="J97" s="1208">
        <v>0</v>
      </c>
      <c r="K97" s="1208">
        <v>0</v>
      </c>
      <c r="L97" s="1099">
        <v>292</v>
      </c>
      <c r="M97" s="1099">
        <v>480</v>
      </c>
      <c r="N97" s="1099">
        <v>252</v>
      </c>
      <c r="O97" s="1099">
        <v>732</v>
      </c>
      <c r="P97" s="1099">
        <v>0</v>
      </c>
      <c r="Q97" s="1208">
        <v>0</v>
      </c>
      <c r="R97" s="1208">
        <v>0</v>
      </c>
      <c r="S97" s="1099">
        <v>360</v>
      </c>
      <c r="T97" s="1099">
        <v>0</v>
      </c>
      <c r="U97" s="1099">
        <v>120</v>
      </c>
      <c r="V97" s="1099">
        <v>0</v>
      </c>
      <c r="W97" s="1099">
        <v>0</v>
      </c>
      <c r="X97" s="1208">
        <v>0</v>
      </c>
      <c r="Y97" s="1208">
        <v>40</v>
      </c>
      <c r="Z97" s="1099">
        <v>0</v>
      </c>
      <c r="AA97" s="1099">
        <v>0</v>
      </c>
      <c r="AB97" s="1099"/>
      <c r="AC97" s="1099"/>
      <c r="AD97" s="1099"/>
      <c r="AE97" s="1208"/>
      <c r="AF97" s="1208"/>
      <c r="AG97" s="1099"/>
      <c r="AH97" s="1099"/>
      <c r="AI97" s="1330"/>
      <c r="AJ97" s="62">
        <f>SUM(E97:AI97)</f>
        <v>3408</v>
      </c>
      <c r="AK97" s="62"/>
      <c r="AL97" s="63">
        <f>+AJ97*AN93</f>
        <v>17517.324479999999</v>
      </c>
      <c r="AM97" s="936"/>
      <c r="AN97" s="301">
        <f>+AJ97/AJ95*100</f>
        <v>2.6691729323308269</v>
      </c>
      <c r="AO97" s="635">
        <f>AO95/AO93</f>
        <v>0.38262068965517237</v>
      </c>
      <c r="AP97" s="39" t="s">
        <v>102</v>
      </c>
      <c r="AQ97" s="56">
        <f>SUM(E97:H97)</f>
        <v>652</v>
      </c>
      <c r="AR97" s="70">
        <f>SUM(I97:O97)</f>
        <v>2236</v>
      </c>
      <c r="AS97" s="70">
        <f>SUM(P97:V97)</f>
        <v>480</v>
      </c>
      <c r="AT97" s="70">
        <f>SUM(W97:AC97)</f>
        <v>40</v>
      </c>
      <c r="AU97" s="70">
        <f>SUM(AD97:AI97)</f>
        <v>0</v>
      </c>
      <c r="AV97" s="57">
        <f t="shared" si="202"/>
        <v>3408</v>
      </c>
    </row>
    <row r="98" spans="1:48" s="23" customFormat="1" ht="20.65" customHeight="1">
      <c r="A98" s="302" t="s">
        <v>392</v>
      </c>
      <c r="B98" s="334" t="s">
        <v>390</v>
      </c>
      <c r="C98" s="52" t="s">
        <v>95</v>
      </c>
      <c r="D98" s="67" t="s">
        <v>103</v>
      </c>
      <c r="E98" s="1100">
        <v>144</v>
      </c>
      <c r="F98" s="1101">
        <v>48</v>
      </c>
      <c r="G98" s="1209">
        <v>0</v>
      </c>
      <c r="H98" s="1101">
        <v>0</v>
      </c>
      <c r="I98" s="1101">
        <v>0</v>
      </c>
      <c r="J98" s="1209">
        <v>0</v>
      </c>
      <c r="K98" s="1209">
        <v>0</v>
      </c>
      <c r="L98" s="1101">
        <v>0</v>
      </c>
      <c r="M98" s="1101">
        <v>0</v>
      </c>
      <c r="N98" s="1101">
        <v>0</v>
      </c>
      <c r="O98" s="1101">
        <v>0</v>
      </c>
      <c r="P98" s="1101">
        <v>0</v>
      </c>
      <c r="Q98" s="1209">
        <v>0</v>
      </c>
      <c r="R98" s="1209">
        <v>0</v>
      </c>
      <c r="S98" s="1101">
        <v>0</v>
      </c>
      <c r="T98" s="1101">
        <v>144</v>
      </c>
      <c r="U98" s="1101">
        <v>144</v>
      </c>
      <c r="V98" s="1101">
        <v>144</v>
      </c>
      <c r="W98" s="1101">
        <v>144</v>
      </c>
      <c r="X98" s="1209">
        <v>144</v>
      </c>
      <c r="Y98" s="1209">
        <v>144</v>
      </c>
      <c r="Z98" s="1101">
        <v>144</v>
      </c>
      <c r="AA98" s="1101">
        <v>144</v>
      </c>
      <c r="AB98" s="1101"/>
      <c r="AC98" s="1101"/>
      <c r="AD98" s="1101"/>
      <c r="AE98" s="1209"/>
      <c r="AF98" s="1209"/>
      <c r="AG98" s="1101"/>
      <c r="AH98" s="1101"/>
      <c r="AI98" s="1332"/>
      <c r="AJ98" s="68">
        <f>SUM(E98:AI98)</f>
        <v>1344</v>
      </c>
      <c r="AK98" s="68"/>
      <c r="AL98" s="69">
        <f>+AJ98*AN93</f>
        <v>6908.24064</v>
      </c>
      <c r="AM98" s="937"/>
      <c r="AN98" s="277"/>
      <c r="AO98" s="679"/>
      <c r="AP98" s="39" t="s">
        <v>19</v>
      </c>
      <c r="AQ98" s="56">
        <f>AQ97*AN93</f>
        <v>3351.3191200000001</v>
      </c>
      <c r="AR98" s="56">
        <f>AR97*AN93</f>
        <v>11493.17416</v>
      </c>
      <c r="AS98" s="56">
        <f>AS97*AN93</f>
        <v>2467.2287999999999</v>
      </c>
      <c r="AT98" s="56">
        <f>AT97*AN93</f>
        <v>205.60239999999999</v>
      </c>
      <c r="AU98" s="56">
        <f>AU97*AN93</f>
        <v>0</v>
      </c>
      <c r="AV98" s="57">
        <f t="shared" si="202"/>
        <v>17517.324479999999</v>
      </c>
    </row>
    <row r="99" spans="1:48" s="23" customFormat="1" ht="20.65" customHeight="1">
      <c r="A99" s="274"/>
      <c r="B99" s="89"/>
      <c r="C99" s="306" t="s">
        <v>387</v>
      </c>
      <c r="D99" s="73" t="s">
        <v>105</v>
      </c>
      <c r="E99" s="1102">
        <v>64</v>
      </c>
      <c r="F99" s="1102">
        <v>32</v>
      </c>
      <c r="G99" s="1197">
        <v>0</v>
      </c>
      <c r="H99" s="1102">
        <v>0</v>
      </c>
      <c r="I99" s="1102">
        <v>0</v>
      </c>
      <c r="J99" s="1197">
        <v>0</v>
      </c>
      <c r="K99" s="1210">
        <v>0</v>
      </c>
      <c r="L99" s="1103">
        <v>0</v>
      </c>
      <c r="M99" s="1102">
        <v>0</v>
      </c>
      <c r="N99" s="1102">
        <v>0</v>
      </c>
      <c r="O99" s="1102">
        <v>0</v>
      </c>
      <c r="P99" s="1102">
        <v>0</v>
      </c>
      <c r="Q99" s="1197">
        <v>0</v>
      </c>
      <c r="R99" s="1197">
        <v>0</v>
      </c>
      <c r="S99" s="1102">
        <v>0</v>
      </c>
      <c r="T99" s="1102">
        <v>80</v>
      </c>
      <c r="U99" s="1102">
        <v>80</v>
      </c>
      <c r="V99" s="1102">
        <v>80</v>
      </c>
      <c r="W99" s="1102">
        <v>80</v>
      </c>
      <c r="X99" s="1197">
        <v>96</v>
      </c>
      <c r="Y99" s="1197">
        <v>96</v>
      </c>
      <c r="Z99" s="1102">
        <v>32</v>
      </c>
      <c r="AA99" s="1102">
        <v>80</v>
      </c>
      <c r="AB99" s="1102"/>
      <c r="AC99" s="1102"/>
      <c r="AD99" s="1102"/>
      <c r="AE99" s="1197"/>
      <c r="AF99" s="1197"/>
      <c r="AG99" s="1102"/>
      <c r="AH99" s="1102"/>
      <c r="AI99" s="1352"/>
      <c r="AJ99" s="74">
        <f>SUM(E99:AI99)</f>
        <v>720</v>
      </c>
      <c r="AK99" s="74"/>
      <c r="AL99" s="75">
        <f>+AJ99*AN93</f>
        <v>3700.8432000000003</v>
      </c>
      <c r="AM99" s="938"/>
      <c r="AN99" s="91"/>
      <c r="AO99" s="630"/>
      <c r="AP99" s="47" t="s">
        <v>106</v>
      </c>
      <c r="AQ99" s="48">
        <f>AQ95*AN93</f>
        <v>103623.6096</v>
      </c>
      <c r="AR99" s="48">
        <f>AR95*AN93</f>
        <v>0</v>
      </c>
      <c r="AS99" s="48">
        <f>AS95*AN93</f>
        <v>210701.33952000001</v>
      </c>
      <c r="AT99" s="48">
        <f>AT95*AN93</f>
        <v>341957.91168000002</v>
      </c>
      <c r="AU99" s="48">
        <f>AU95*AN93</f>
        <v>0</v>
      </c>
      <c r="AV99" s="50">
        <f t="shared" si="202"/>
        <v>656282.86080000002</v>
      </c>
    </row>
    <row r="100" spans="1:48" s="23" customFormat="1" ht="20.65" customHeight="1">
      <c r="A100" s="298"/>
      <c r="B100" s="89"/>
      <c r="C100" s="307"/>
      <c r="D100" s="78" t="s">
        <v>107</v>
      </c>
      <c r="E100" s="1137">
        <v>4</v>
      </c>
      <c r="F100" s="1137">
        <v>4</v>
      </c>
      <c r="G100" s="1232">
        <v>4</v>
      </c>
      <c r="H100" s="1137">
        <v>4</v>
      </c>
      <c r="I100" s="1137">
        <v>4</v>
      </c>
      <c r="J100" s="1205">
        <v>4</v>
      </c>
      <c r="K100" s="1205">
        <v>4</v>
      </c>
      <c r="L100" s="1097">
        <v>4</v>
      </c>
      <c r="M100" s="1097">
        <v>4</v>
      </c>
      <c r="N100" s="1097">
        <v>4</v>
      </c>
      <c r="O100" s="1097">
        <v>4</v>
      </c>
      <c r="P100" s="1097">
        <v>4</v>
      </c>
      <c r="Q100" s="1205">
        <v>4</v>
      </c>
      <c r="R100" s="1205">
        <v>4</v>
      </c>
      <c r="S100" s="1097">
        <v>4</v>
      </c>
      <c r="T100" s="1097">
        <v>4</v>
      </c>
      <c r="U100" s="1097">
        <v>4</v>
      </c>
      <c r="V100" s="1097">
        <v>4</v>
      </c>
      <c r="W100" s="1097">
        <v>4</v>
      </c>
      <c r="X100" s="1205">
        <v>4</v>
      </c>
      <c r="Y100" s="1205">
        <v>4</v>
      </c>
      <c r="Z100" s="1097">
        <v>4</v>
      </c>
      <c r="AA100" s="1097">
        <v>4</v>
      </c>
      <c r="AB100" s="1097">
        <v>4</v>
      </c>
      <c r="AC100" s="1097">
        <v>4</v>
      </c>
      <c r="AD100" s="1097">
        <v>4</v>
      </c>
      <c r="AE100" s="1205">
        <v>4</v>
      </c>
      <c r="AF100" s="1205">
        <v>4</v>
      </c>
      <c r="AG100" s="1097">
        <v>4</v>
      </c>
      <c r="AH100" s="1097">
        <v>4</v>
      </c>
      <c r="AI100" s="1328">
        <v>4</v>
      </c>
      <c r="AJ100" s="79"/>
      <c r="AK100" s="79"/>
      <c r="AL100" s="692"/>
      <c r="AM100" s="960"/>
      <c r="AN100" s="277"/>
      <c r="AO100" s="679"/>
      <c r="AP100" s="391"/>
      <c r="AQ100" s="48"/>
      <c r="AR100" s="48"/>
      <c r="AS100" s="48"/>
      <c r="AT100" s="48"/>
      <c r="AU100" s="48"/>
      <c r="AV100" s="4"/>
    </row>
    <row r="101" spans="1:48" s="23" customFormat="1" ht="20.65" customHeight="1">
      <c r="A101" s="302" t="s">
        <v>392</v>
      </c>
      <c r="B101" s="89"/>
      <c r="C101" s="305"/>
      <c r="D101" s="81" t="s">
        <v>109</v>
      </c>
      <c r="E101" s="1125">
        <f>SUM(E95+E97+E98+E99)/E100</f>
        <v>3832</v>
      </c>
      <c r="F101" s="1125">
        <f t="shared" ref="F101:AI101" si="204">SUM(F95+F97+F98+F99)/F100</f>
        <v>1310</v>
      </c>
      <c r="G101" s="1233">
        <f t="shared" si="204"/>
        <v>0</v>
      </c>
      <c r="H101" s="1125">
        <f t="shared" si="204"/>
        <v>133</v>
      </c>
      <c r="I101" s="1125">
        <f t="shared" si="204"/>
        <v>120</v>
      </c>
      <c r="J101" s="1233">
        <f t="shared" si="204"/>
        <v>0</v>
      </c>
      <c r="K101" s="1233">
        <f t="shared" si="204"/>
        <v>0</v>
      </c>
      <c r="L101" s="1125">
        <f t="shared" si="204"/>
        <v>73</v>
      </c>
      <c r="M101" s="1125">
        <f t="shared" si="204"/>
        <v>120</v>
      </c>
      <c r="N101" s="1125">
        <f t="shared" si="204"/>
        <v>63</v>
      </c>
      <c r="O101" s="1125">
        <f t="shared" si="204"/>
        <v>183</v>
      </c>
      <c r="P101" s="1125">
        <f t="shared" si="204"/>
        <v>0</v>
      </c>
      <c r="Q101" s="1233">
        <f t="shared" si="204"/>
        <v>0</v>
      </c>
      <c r="R101" s="1233">
        <f t="shared" si="204"/>
        <v>0</v>
      </c>
      <c r="S101" s="1125">
        <f t="shared" si="204"/>
        <v>342</v>
      </c>
      <c r="T101" s="1125">
        <f t="shared" si="204"/>
        <v>3584</v>
      </c>
      <c r="U101" s="1125">
        <f t="shared" si="204"/>
        <v>3278</v>
      </c>
      <c r="V101" s="1125">
        <f t="shared" si="204"/>
        <v>3332</v>
      </c>
      <c r="W101" s="1125">
        <f t="shared" si="204"/>
        <v>3332</v>
      </c>
      <c r="X101" s="1233">
        <f t="shared" si="204"/>
        <v>3588</v>
      </c>
      <c r="Y101" s="1233">
        <f t="shared" si="204"/>
        <v>3094</v>
      </c>
      <c r="Z101" s="1125">
        <f t="shared" si="204"/>
        <v>3572</v>
      </c>
      <c r="AA101" s="1125">
        <f t="shared" si="204"/>
        <v>3332</v>
      </c>
      <c r="AB101" s="1125">
        <f t="shared" si="204"/>
        <v>0</v>
      </c>
      <c r="AC101" s="1125">
        <f t="shared" si="204"/>
        <v>0</v>
      </c>
      <c r="AD101" s="1125">
        <f t="shared" si="204"/>
        <v>0</v>
      </c>
      <c r="AE101" s="1233">
        <f t="shared" si="204"/>
        <v>0</v>
      </c>
      <c r="AF101" s="1233">
        <f t="shared" si="204"/>
        <v>0</v>
      </c>
      <c r="AG101" s="1125">
        <f t="shared" si="204"/>
        <v>0</v>
      </c>
      <c r="AH101" s="1125">
        <f t="shared" si="204"/>
        <v>0</v>
      </c>
      <c r="AI101" s="1409">
        <f t="shared" si="204"/>
        <v>0</v>
      </c>
      <c r="AJ101" s="515">
        <f>SUM(E101:AI101)</f>
        <v>33288</v>
      </c>
      <c r="AK101" s="515"/>
      <c r="AL101" s="689"/>
      <c r="AM101" s="940"/>
      <c r="AN101" s="277"/>
      <c r="AO101" s="679"/>
      <c r="AP101" s="285"/>
      <c r="AQ101" s="285"/>
      <c r="AR101" s="285"/>
      <c r="AS101" s="285"/>
      <c r="AT101" s="286"/>
      <c r="AU101" s="285"/>
      <c r="AV101" s="287"/>
    </row>
    <row r="102" spans="1:48" s="23" customFormat="1" ht="20.65" customHeight="1">
      <c r="A102" s="302" t="s">
        <v>392</v>
      </c>
      <c r="B102" s="89"/>
      <c r="C102" s="72"/>
      <c r="D102" s="85" t="s">
        <v>110</v>
      </c>
      <c r="E102" s="1336"/>
      <c r="F102" s="1106"/>
      <c r="G102" s="1228"/>
      <c r="H102" s="1107"/>
      <c r="I102" s="1107"/>
      <c r="J102" s="1228"/>
      <c r="K102" s="1228"/>
      <c r="L102" s="1107"/>
      <c r="M102" s="1107"/>
      <c r="N102" s="1107"/>
      <c r="O102" s="1107"/>
      <c r="P102" s="1107"/>
      <c r="Q102" s="1228"/>
      <c r="R102" s="1228"/>
      <c r="S102" s="1107"/>
      <c r="T102" s="1107"/>
      <c r="U102" s="1107"/>
      <c r="V102" s="1107"/>
      <c r="W102" s="1107"/>
      <c r="X102" s="1228"/>
      <c r="Y102" s="1228"/>
      <c r="Z102" s="1107"/>
      <c r="AA102" s="1107"/>
      <c r="AB102" s="1107"/>
      <c r="AC102" s="1107"/>
      <c r="AD102" s="1107"/>
      <c r="AE102" s="1228"/>
      <c r="AF102" s="1228"/>
      <c r="AG102" s="1107"/>
      <c r="AH102" s="1107"/>
      <c r="AI102" s="1337"/>
      <c r="AJ102" s="86"/>
      <c r="AK102" s="86"/>
      <c r="AL102" s="690"/>
      <c r="AM102" s="940"/>
      <c r="AN102" s="277"/>
      <c r="AO102" s="679"/>
      <c r="AP102" s="285"/>
      <c r="AQ102" s="285"/>
      <c r="AR102" s="285"/>
      <c r="AS102" s="285"/>
      <c r="AT102" s="286"/>
      <c r="AU102" s="285"/>
      <c r="AV102" s="287"/>
    </row>
    <row r="103" spans="1:48" s="23" customFormat="1" ht="20.65" customHeight="1">
      <c r="A103" s="302" t="s">
        <v>392</v>
      </c>
      <c r="B103" s="89" t="s">
        <v>547</v>
      </c>
      <c r="C103" s="72" t="s">
        <v>104</v>
      </c>
      <c r="D103" s="88" t="s">
        <v>111</v>
      </c>
      <c r="E103" s="1108">
        <f>IF(E102="O/H",E101,22064+E101)</f>
        <v>25896</v>
      </c>
      <c r="F103" s="1089">
        <f t="shared" ref="F103:AI103" si="205">IF(F102="O/H",F101,+E103+F101)</f>
        <v>27206</v>
      </c>
      <c r="G103" s="44">
        <f t="shared" si="205"/>
        <v>27206</v>
      </c>
      <c r="H103" s="1089">
        <f t="shared" si="205"/>
        <v>27339</v>
      </c>
      <c r="I103" s="1089">
        <f t="shared" si="205"/>
        <v>27459</v>
      </c>
      <c r="J103" s="44">
        <f t="shared" si="205"/>
        <v>27459</v>
      </c>
      <c r="K103" s="44">
        <f t="shared" si="205"/>
        <v>27459</v>
      </c>
      <c r="L103" s="1089">
        <f t="shared" si="205"/>
        <v>27532</v>
      </c>
      <c r="M103" s="1089">
        <f t="shared" si="205"/>
        <v>27652</v>
      </c>
      <c r="N103" s="1089">
        <f t="shared" si="205"/>
        <v>27715</v>
      </c>
      <c r="O103" s="1089">
        <f t="shared" si="205"/>
        <v>27898</v>
      </c>
      <c r="P103" s="1089">
        <f t="shared" si="205"/>
        <v>27898</v>
      </c>
      <c r="Q103" s="44">
        <f t="shared" si="205"/>
        <v>27898</v>
      </c>
      <c r="R103" s="44">
        <f t="shared" si="205"/>
        <v>27898</v>
      </c>
      <c r="S103" s="1089">
        <f t="shared" si="205"/>
        <v>28240</v>
      </c>
      <c r="T103" s="1089">
        <f t="shared" si="205"/>
        <v>31824</v>
      </c>
      <c r="U103" s="1089">
        <f t="shared" si="205"/>
        <v>35102</v>
      </c>
      <c r="V103" s="1089">
        <f t="shared" si="205"/>
        <v>38434</v>
      </c>
      <c r="W103" s="1089">
        <f t="shared" si="205"/>
        <v>41766</v>
      </c>
      <c r="X103" s="44">
        <f t="shared" si="205"/>
        <v>45354</v>
      </c>
      <c r="Y103" s="44">
        <f t="shared" si="205"/>
        <v>48448</v>
      </c>
      <c r="Z103" s="1089">
        <f t="shared" si="205"/>
        <v>52020</v>
      </c>
      <c r="AA103" s="1089">
        <f t="shared" si="205"/>
        <v>55352</v>
      </c>
      <c r="AB103" s="1089">
        <f t="shared" si="205"/>
        <v>55352</v>
      </c>
      <c r="AC103" s="1089">
        <f t="shared" si="205"/>
        <v>55352</v>
      </c>
      <c r="AD103" s="1089">
        <f t="shared" si="205"/>
        <v>55352</v>
      </c>
      <c r="AE103" s="44">
        <f t="shared" si="205"/>
        <v>55352</v>
      </c>
      <c r="AF103" s="44">
        <f t="shared" si="205"/>
        <v>55352</v>
      </c>
      <c r="AG103" s="1089">
        <f t="shared" si="205"/>
        <v>55352</v>
      </c>
      <c r="AH103" s="1089">
        <f t="shared" si="205"/>
        <v>55352</v>
      </c>
      <c r="AI103" s="1326">
        <f t="shared" si="205"/>
        <v>55352</v>
      </c>
      <c r="AJ103" s="79"/>
      <c r="AK103" s="79"/>
      <c r="AL103" s="690"/>
      <c r="AM103" s="940"/>
      <c r="AN103" s="277"/>
      <c r="AO103" s="679"/>
      <c r="AP103" s="285"/>
      <c r="AQ103" s="285"/>
      <c r="AR103" s="285"/>
      <c r="AS103" s="285"/>
      <c r="AT103" s="286"/>
      <c r="AU103" s="285"/>
      <c r="AV103" s="287"/>
    </row>
    <row r="104" spans="1:48" s="23" customFormat="1" ht="20.45" customHeight="1">
      <c r="A104" s="312"/>
      <c r="B104" s="312"/>
      <c r="C104" s="308">
        <v>300000</v>
      </c>
      <c r="D104" s="795" t="s">
        <v>112</v>
      </c>
      <c r="E104" s="1117">
        <f>IF(AND(ISNUMBER(E95)),1406762+E101)</f>
        <v>1410594</v>
      </c>
      <c r="F104" s="1118">
        <f>IF(AND(ISNUMBER(F95)),E104+F101,"")</f>
        <v>1411904</v>
      </c>
      <c r="G104" s="1216">
        <f t="shared" ref="G104" si="206">IF(AND(ISNUMBER(G95)),F104+G101,"")</f>
        <v>1411904</v>
      </c>
      <c r="H104" s="1118">
        <f t="shared" ref="H104" si="207">IF(AND(ISNUMBER(H95)),G104+H101,"")</f>
        <v>1412037</v>
      </c>
      <c r="I104" s="1118">
        <f>IF(AND(ISNUMBER(I95)),H104+I101,"")</f>
        <v>1412157</v>
      </c>
      <c r="J104" s="1216">
        <f>IF(AND(ISNUMBER(J95)),I104+J101,"")</f>
        <v>1412157</v>
      </c>
      <c r="K104" s="1216">
        <f>IF(AND(ISNUMBER(K95)),J104+K101,"")</f>
        <v>1412157</v>
      </c>
      <c r="L104" s="1118">
        <f t="shared" ref="L104" si="208">IF(AND(ISNUMBER(L95)),K104+L101,"")</f>
        <v>1412230</v>
      </c>
      <c r="M104" s="1118">
        <f t="shared" ref="M104" si="209">IF(AND(ISNUMBER(M95)),L104+M101,"")</f>
        <v>1412350</v>
      </c>
      <c r="N104" s="1118">
        <f t="shared" ref="N104" si="210">IF(AND(ISNUMBER(N95)),M104+N101,"")</f>
        <v>1412413</v>
      </c>
      <c r="O104" s="1118">
        <f t="shared" ref="O104" si="211">IF(AND(ISNUMBER(O95)),N104+O101,"")</f>
        <v>1412596</v>
      </c>
      <c r="P104" s="1118">
        <f t="shared" ref="P104" si="212">IF(AND(ISNUMBER(P95)),O104+P101,"")</f>
        <v>1412596</v>
      </c>
      <c r="Q104" s="1216">
        <f t="shared" ref="Q104" si="213">IF(AND(ISNUMBER(Q95)),P104+Q101,"")</f>
        <v>1412596</v>
      </c>
      <c r="R104" s="1216">
        <f t="shared" ref="R104" si="214">IF(AND(ISNUMBER(R95)),Q104+R101,"")</f>
        <v>1412596</v>
      </c>
      <c r="S104" s="1118">
        <f t="shared" ref="S104" si="215">IF(AND(ISNUMBER(S95)),R104+S101,"")</f>
        <v>1412938</v>
      </c>
      <c r="T104" s="1118">
        <f t="shared" ref="T104" si="216">IF(AND(ISNUMBER(T95)),S104+T101,"")</f>
        <v>1416522</v>
      </c>
      <c r="U104" s="1118">
        <f t="shared" ref="U104" si="217">IF(AND(ISNUMBER(U95)),T104+U101,"")</f>
        <v>1419800</v>
      </c>
      <c r="V104" s="1118">
        <f t="shared" ref="V104" si="218">IF(AND(ISNUMBER(V95)),U104+V101,"")</f>
        <v>1423132</v>
      </c>
      <c r="W104" s="1118">
        <f t="shared" ref="W104" si="219">IF(AND(ISNUMBER(W95)),V104+W101,"")</f>
        <v>1426464</v>
      </c>
      <c r="X104" s="1216">
        <f t="shared" ref="X104" si="220">IF(AND(ISNUMBER(X95)),W104+X101,"")</f>
        <v>1430052</v>
      </c>
      <c r="Y104" s="1216">
        <f t="shared" ref="Y104" si="221">IF(AND(ISNUMBER(Y95)),X104+Y101,"")</f>
        <v>1433146</v>
      </c>
      <c r="Z104" s="1118">
        <f t="shared" ref="Z104" si="222">IF(AND(ISNUMBER(Z95)),Y104+Z101,"")</f>
        <v>1436718</v>
      </c>
      <c r="AA104" s="1118">
        <f t="shared" ref="AA104" si="223">IF(AND(ISNUMBER(AA95)),Z104+AA101,"")</f>
        <v>1440050</v>
      </c>
      <c r="AB104" s="1118" t="str">
        <f t="shared" ref="AB104" si="224">IF(AND(ISNUMBER(AB95)),AA104+AB101,"")</f>
        <v/>
      </c>
      <c r="AC104" s="1118" t="str">
        <f t="shared" ref="AC104" si="225">IF(AND(ISNUMBER(AC95)),AB104+AC101,"")</f>
        <v/>
      </c>
      <c r="AD104" s="1118" t="str">
        <f t="shared" ref="AD104" si="226">IF(AND(ISNUMBER(AD95)),AC104+AD101,"")</f>
        <v/>
      </c>
      <c r="AE104" s="1216" t="str">
        <f t="shared" ref="AE104" si="227">IF(AND(ISNUMBER(AE95)),AD104+AE101,"")</f>
        <v/>
      </c>
      <c r="AF104" s="1216" t="str">
        <f t="shared" ref="AF104" si="228">IF(AND(ISNUMBER(AF95)),AE104+AF101,"")</f>
        <v/>
      </c>
      <c r="AG104" s="1118" t="str">
        <f t="shared" ref="AG104" si="229">IF(AND(ISNUMBER(AG95)),AF104+AG101,"")</f>
        <v/>
      </c>
      <c r="AH104" s="1118" t="str">
        <f t="shared" ref="AH104" si="230">IF(AND(ISNUMBER(AH95)),AG104+AH101,"")</f>
        <v/>
      </c>
      <c r="AI104" s="1089" t="str">
        <f t="shared" ref="AI104" si="231">IF(AND(ISNUMBER(AI95)),AH104+AI101,"")</f>
        <v/>
      </c>
      <c r="AJ104" s="793"/>
      <c r="AK104" s="793"/>
      <c r="AL104" s="909"/>
      <c r="AM104" s="794"/>
      <c r="AN104" s="429"/>
      <c r="AO104" s="675"/>
      <c r="AP104" s="285"/>
      <c r="AQ104" s="285"/>
      <c r="AR104" s="285"/>
      <c r="AS104" s="285"/>
      <c r="AT104" s="286"/>
      <c r="AU104" s="285"/>
      <c r="AV104" s="287"/>
    </row>
    <row r="105" spans="1:48" s="23" customFormat="1" ht="20.65" customHeight="1">
      <c r="A105" s="302" t="s">
        <v>392</v>
      </c>
      <c r="B105" s="89"/>
      <c r="C105" s="80" t="s">
        <v>108</v>
      </c>
      <c r="D105" s="90" t="s">
        <v>104</v>
      </c>
      <c r="E105" s="1338"/>
      <c r="F105" s="1106"/>
      <c r="G105" s="1253"/>
      <c r="H105" s="1106"/>
      <c r="I105" s="1106"/>
      <c r="J105" s="1253"/>
      <c r="K105" s="1253"/>
      <c r="L105" s="1106"/>
      <c r="M105" s="1106"/>
      <c r="N105" s="1106"/>
      <c r="O105" s="1106"/>
      <c r="P105" s="1106"/>
      <c r="Q105" s="1253"/>
      <c r="R105" s="1253"/>
      <c r="S105" s="1106"/>
      <c r="T105" s="1106"/>
      <c r="U105" s="1106"/>
      <c r="V105" s="1106"/>
      <c r="W105" s="1106"/>
      <c r="X105" s="1253"/>
      <c r="Y105" s="1253"/>
      <c r="Z105" s="1106"/>
      <c r="AA105" s="1106"/>
      <c r="AB105" s="1106"/>
      <c r="AC105" s="1106"/>
      <c r="AD105" s="1106"/>
      <c r="AE105" s="1253"/>
      <c r="AF105" s="1253"/>
      <c r="AG105" s="1106"/>
      <c r="AH105" s="1106"/>
      <c r="AI105" s="1339"/>
      <c r="AJ105" s="79"/>
      <c r="AK105" s="79"/>
      <c r="AL105" s="690"/>
      <c r="AM105" s="940"/>
      <c r="AN105" s="277"/>
      <c r="AO105" s="679"/>
      <c r="AP105" s="285"/>
      <c r="AQ105" s="285"/>
      <c r="AR105" s="285"/>
      <c r="AS105" s="285"/>
      <c r="AT105" s="286"/>
      <c r="AU105" s="285"/>
      <c r="AV105" s="287"/>
    </row>
    <row r="106" spans="1:48" s="23" customFormat="1" ht="20.65" customHeight="1" thickBot="1">
      <c r="A106" s="304" t="s">
        <v>392</v>
      </c>
      <c r="B106" s="93"/>
      <c r="C106" s="94">
        <f>+C104*0.8</f>
        <v>240000</v>
      </c>
      <c r="D106" s="88" t="s">
        <v>111</v>
      </c>
      <c r="E106" s="1109">
        <f>IF(E105="O/H",E101,81605+E101)</f>
        <v>85437</v>
      </c>
      <c r="F106" s="1110">
        <f t="shared" ref="F106:AI106" si="232">IF(F105="O/H",F101,+E106+F101)</f>
        <v>86747</v>
      </c>
      <c r="G106" s="1212">
        <f t="shared" si="232"/>
        <v>86747</v>
      </c>
      <c r="H106" s="1110">
        <f t="shared" si="232"/>
        <v>86880</v>
      </c>
      <c r="I106" s="1110">
        <f t="shared" si="232"/>
        <v>87000</v>
      </c>
      <c r="J106" s="1212">
        <f t="shared" si="232"/>
        <v>87000</v>
      </c>
      <c r="K106" s="1212">
        <f t="shared" si="232"/>
        <v>87000</v>
      </c>
      <c r="L106" s="1110">
        <f t="shared" si="232"/>
        <v>87073</v>
      </c>
      <c r="M106" s="1110">
        <f t="shared" si="232"/>
        <v>87193</v>
      </c>
      <c r="N106" s="1110">
        <f t="shared" si="232"/>
        <v>87256</v>
      </c>
      <c r="O106" s="1110">
        <f t="shared" si="232"/>
        <v>87439</v>
      </c>
      <c r="P106" s="1110">
        <f t="shared" si="232"/>
        <v>87439</v>
      </c>
      <c r="Q106" s="1212">
        <f t="shared" si="232"/>
        <v>87439</v>
      </c>
      <c r="R106" s="1212">
        <f t="shared" si="232"/>
        <v>87439</v>
      </c>
      <c r="S106" s="1110">
        <f t="shared" si="232"/>
        <v>87781</v>
      </c>
      <c r="T106" s="1110">
        <f t="shared" si="232"/>
        <v>91365</v>
      </c>
      <c r="U106" s="1110">
        <f t="shared" si="232"/>
        <v>94643</v>
      </c>
      <c r="V106" s="1110">
        <f t="shared" si="232"/>
        <v>97975</v>
      </c>
      <c r="W106" s="1110">
        <f t="shared" si="232"/>
        <v>101307</v>
      </c>
      <c r="X106" s="1212">
        <f t="shared" si="232"/>
        <v>104895</v>
      </c>
      <c r="Y106" s="1212">
        <f t="shared" si="232"/>
        <v>107989</v>
      </c>
      <c r="Z106" s="1110">
        <f>IF(Z105="O/H",Z101,+Y106+Z101)</f>
        <v>111561</v>
      </c>
      <c r="AA106" s="1110">
        <f t="shared" si="232"/>
        <v>114893</v>
      </c>
      <c r="AB106" s="1110">
        <f t="shared" si="232"/>
        <v>114893</v>
      </c>
      <c r="AC106" s="1110">
        <f t="shared" si="232"/>
        <v>114893</v>
      </c>
      <c r="AD106" s="1110">
        <f t="shared" si="232"/>
        <v>114893</v>
      </c>
      <c r="AE106" s="1212">
        <f t="shared" si="232"/>
        <v>114893</v>
      </c>
      <c r="AF106" s="1212">
        <f t="shared" si="232"/>
        <v>114893</v>
      </c>
      <c r="AG106" s="1110">
        <f t="shared" si="232"/>
        <v>114893</v>
      </c>
      <c r="AH106" s="1110">
        <f t="shared" si="232"/>
        <v>114893</v>
      </c>
      <c r="AI106" s="1340">
        <f t="shared" si="232"/>
        <v>114893</v>
      </c>
      <c r="AJ106" s="96"/>
      <c r="AK106" s="723"/>
      <c r="AL106" s="695"/>
      <c r="AM106" s="961"/>
      <c r="AN106" s="292"/>
      <c r="AO106" s="681"/>
      <c r="AP106" s="285"/>
      <c r="AQ106" s="285"/>
      <c r="AR106" s="285"/>
      <c r="AS106" s="285"/>
      <c r="AT106" s="286"/>
      <c r="AU106" s="285"/>
      <c r="AV106" s="287"/>
    </row>
    <row r="107" spans="1:48" s="23" customFormat="1" ht="20.65" hidden="1" customHeight="1" thickTop="1">
      <c r="A107" s="298" t="s">
        <v>708</v>
      </c>
      <c r="B107" s="208" t="s">
        <v>677</v>
      </c>
      <c r="C107" s="1497" t="str">
        <f>Table2[[#This Row],[M/C No.]]</f>
        <v>H5(50ton)</v>
      </c>
      <c r="D107" s="28" t="s">
        <v>82</v>
      </c>
      <c r="E107" s="1139"/>
      <c r="F107" s="1139"/>
      <c r="G107" s="1231"/>
      <c r="H107" s="1139"/>
      <c r="I107" s="1139"/>
      <c r="J107" s="1231"/>
      <c r="K107" s="1231"/>
      <c r="L107" s="1139"/>
      <c r="M107" s="1139"/>
      <c r="N107" s="1139"/>
      <c r="O107" s="1139"/>
      <c r="P107" s="1139"/>
      <c r="Q107" s="1231"/>
      <c r="R107" s="1231"/>
      <c r="S107" s="1139"/>
      <c r="T107" s="1139"/>
      <c r="U107" s="1139"/>
      <c r="V107" s="1139"/>
      <c r="W107" s="1139"/>
      <c r="X107" s="1231"/>
      <c r="Y107" s="1231"/>
      <c r="Z107" s="1139"/>
      <c r="AA107" s="1139"/>
      <c r="AB107" s="1139"/>
      <c r="AC107" s="1139"/>
      <c r="AD107" s="1139"/>
      <c r="AE107" s="1231"/>
      <c r="AF107" s="1231"/>
      <c r="AG107" s="1139"/>
      <c r="AH107" s="1139"/>
      <c r="AI107" s="1322"/>
      <c r="AJ107" s="29">
        <f>SUM(E107:AI107)</f>
        <v>0</v>
      </c>
      <c r="AK107" s="1020">
        <f>AJ109</f>
        <v>0</v>
      </c>
      <c r="AL107" s="101">
        <f>+AJ107*AN107</f>
        <v>0</v>
      </c>
      <c r="AM107" s="1019">
        <f>AL109</f>
        <v>0</v>
      </c>
      <c r="AN107" s="293">
        <v>4.2064200000000005</v>
      </c>
      <c r="AO107" s="633">
        <f>Table2[[#This Row],[Total]]*B111/1000</f>
        <v>0</v>
      </c>
      <c r="AP107" s="32" t="s">
        <v>391</v>
      </c>
      <c r="AQ107" s="33" t="s">
        <v>84</v>
      </c>
      <c r="AR107" s="33" t="s">
        <v>85</v>
      </c>
      <c r="AS107" s="33" t="s">
        <v>86</v>
      </c>
      <c r="AT107" s="33" t="s">
        <v>87</v>
      </c>
      <c r="AU107" s="33" t="s">
        <v>88</v>
      </c>
      <c r="AV107" s="34" t="s">
        <v>68</v>
      </c>
    </row>
    <row r="108" spans="1:48" s="23" customFormat="1" ht="20.65" hidden="1" customHeight="1">
      <c r="A108" s="274"/>
      <c r="B108" s="208" t="s">
        <v>385</v>
      </c>
      <c r="C108" s="275"/>
      <c r="D108" s="37" t="s">
        <v>90</v>
      </c>
      <c r="E108" s="1323">
        <f>IF(E107="",0,+ E107/E114)</f>
        <v>0</v>
      </c>
      <c r="F108" s="1096">
        <f t="shared" ref="F108:AC108" si="233">IF(F107="",0, E108+F107/F114)</f>
        <v>0</v>
      </c>
      <c r="G108" s="1207">
        <f t="shared" si="233"/>
        <v>0</v>
      </c>
      <c r="H108" s="1096">
        <f t="shared" si="233"/>
        <v>0</v>
      </c>
      <c r="I108" s="1096">
        <f t="shared" si="233"/>
        <v>0</v>
      </c>
      <c r="J108" s="1207">
        <f t="shared" si="233"/>
        <v>0</v>
      </c>
      <c r="K108" s="1207">
        <f t="shared" si="233"/>
        <v>0</v>
      </c>
      <c r="L108" s="1096">
        <f t="shared" si="233"/>
        <v>0</v>
      </c>
      <c r="M108" s="1096">
        <f t="shared" si="233"/>
        <v>0</v>
      </c>
      <c r="N108" s="1096">
        <f t="shared" si="233"/>
        <v>0</v>
      </c>
      <c r="O108" s="1096">
        <f t="shared" si="233"/>
        <v>0</v>
      </c>
      <c r="P108" s="1096">
        <f t="shared" si="233"/>
        <v>0</v>
      </c>
      <c r="Q108" s="1207">
        <f t="shared" si="233"/>
        <v>0</v>
      </c>
      <c r="R108" s="1207">
        <f t="shared" si="233"/>
        <v>0</v>
      </c>
      <c r="S108" s="1096">
        <f t="shared" si="233"/>
        <v>0</v>
      </c>
      <c r="T108" s="1096">
        <f t="shared" si="233"/>
        <v>0</v>
      </c>
      <c r="U108" s="1096">
        <f t="shared" si="233"/>
        <v>0</v>
      </c>
      <c r="V108" s="1096">
        <f t="shared" si="233"/>
        <v>0</v>
      </c>
      <c r="W108" s="1096">
        <f t="shared" si="233"/>
        <v>0</v>
      </c>
      <c r="X108" s="1207">
        <f t="shared" si="233"/>
        <v>0</v>
      </c>
      <c r="Y108" s="1207">
        <f t="shared" si="233"/>
        <v>0</v>
      </c>
      <c r="Z108" s="1096">
        <f t="shared" si="233"/>
        <v>0</v>
      </c>
      <c r="AA108" s="1096">
        <f t="shared" si="233"/>
        <v>0</v>
      </c>
      <c r="AB108" s="1096">
        <f t="shared" si="233"/>
        <v>0</v>
      </c>
      <c r="AC108" s="1096">
        <f t="shared" si="233"/>
        <v>0</v>
      </c>
      <c r="AD108" s="1096">
        <f>IF(AD107="",0, Z108+AD107/AD114)</f>
        <v>0</v>
      </c>
      <c r="AE108" s="1207">
        <f>IF(AE107="",0, AA108+AE107/AE114)</f>
        <v>0</v>
      </c>
      <c r="AF108" s="1207">
        <f>IF(AF107="",0, AB108+AF107/AF114)</f>
        <v>0</v>
      </c>
      <c r="AG108" s="1096">
        <f>IF(AG107="",0, AC108+AG107/AG114)</f>
        <v>0</v>
      </c>
      <c r="AH108" s="1096">
        <f>IF(AH107="",0, AD108+AH107/AH114)</f>
        <v>0</v>
      </c>
      <c r="AI108" s="1324">
        <f>IF(AI107="",0, AH108+AI107/AI114)</f>
        <v>0</v>
      </c>
      <c r="AJ108" s="716"/>
      <c r="AK108" s="716"/>
      <c r="AL108" s="209"/>
      <c r="AM108" s="794"/>
      <c r="AN108" s="91"/>
      <c r="AO108" s="675"/>
      <c r="AP108" s="39" t="s">
        <v>91</v>
      </c>
      <c r="AQ108" s="40">
        <f>SUM(E107:K107)</f>
        <v>0</v>
      </c>
      <c r="AR108" s="41">
        <f>SUM(L107:R107)</f>
        <v>0</v>
      </c>
      <c r="AS108" s="41">
        <f>SUM(S107:Y107)</f>
        <v>0</v>
      </c>
      <c r="AT108" s="41">
        <f>SUM(Z107:AF107)</f>
        <v>0</v>
      </c>
      <c r="AU108" s="41">
        <f>SUM(AG107:AI107)</f>
        <v>0</v>
      </c>
      <c r="AV108" s="34">
        <f t="shared" ref="AV108:AV113" si="234">SUM(AQ108:AU108)</f>
        <v>0</v>
      </c>
    </row>
    <row r="109" spans="1:48" s="23" customFormat="1" ht="20.65" hidden="1" customHeight="1">
      <c r="A109" s="302" t="s">
        <v>392</v>
      </c>
      <c r="B109" s="89" t="s">
        <v>246</v>
      </c>
      <c r="C109" s="42"/>
      <c r="D109" s="43" t="s">
        <v>93</v>
      </c>
      <c r="E109" s="1403"/>
      <c r="F109" s="1119"/>
      <c r="G109" s="1243"/>
      <c r="H109" s="1119"/>
      <c r="I109" s="1119"/>
      <c r="J109" s="1243"/>
      <c r="K109" s="1243"/>
      <c r="L109" s="1119"/>
      <c r="M109" s="1119"/>
      <c r="N109" s="1119"/>
      <c r="O109" s="1119"/>
      <c r="P109" s="1119"/>
      <c r="Q109" s="1243"/>
      <c r="R109" s="1243"/>
      <c r="S109" s="1119"/>
      <c r="T109" s="1119"/>
      <c r="U109" s="1119"/>
      <c r="V109" s="1119"/>
      <c r="W109" s="1119"/>
      <c r="X109" s="1243"/>
      <c r="Y109" s="1243"/>
      <c r="Z109" s="1119"/>
      <c r="AA109" s="1119"/>
      <c r="AB109" s="1119"/>
      <c r="AC109" s="1119"/>
      <c r="AD109" s="1119"/>
      <c r="AE109" s="1243"/>
      <c r="AF109" s="1243"/>
      <c r="AG109" s="1119"/>
      <c r="AH109" s="1119"/>
      <c r="AI109" s="1351"/>
      <c r="AJ109" s="45">
        <f>SUM(E109:AI109)</f>
        <v>0</v>
      </c>
      <c r="AK109" s="45"/>
      <c r="AL109" s="46">
        <f>+AJ109*AN107</f>
        <v>0</v>
      </c>
      <c r="AM109" s="934"/>
      <c r="AN109" s="277"/>
      <c r="AO109" s="632">
        <f>(AJ109+AJ111+AJ112+AJ113)*B111/1000</f>
        <v>0</v>
      </c>
      <c r="AP109" s="47" t="s">
        <v>94</v>
      </c>
      <c r="AQ109" s="48">
        <f>SUM(E109:K109)</f>
        <v>0</v>
      </c>
      <c r="AR109" s="49">
        <f>SUM(L109:R109)</f>
        <v>0</v>
      </c>
      <c r="AS109" s="49">
        <f>SUM(S109:Y109)</f>
        <v>0</v>
      </c>
      <c r="AT109" s="49">
        <f>SUM(Z109:AF109)</f>
        <v>0</v>
      </c>
      <c r="AU109" s="49">
        <f>SUM(AG109:AI109)</f>
        <v>0</v>
      </c>
      <c r="AV109" s="50">
        <f t="shared" si="234"/>
        <v>0</v>
      </c>
    </row>
    <row r="110" spans="1:48" s="23" customFormat="1" ht="20.65" hidden="1" customHeight="1">
      <c r="A110" s="302" t="s">
        <v>392</v>
      </c>
      <c r="B110" s="211" t="s">
        <v>247</v>
      </c>
      <c r="C110" s="280"/>
      <c r="D110" s="53" t="s">
        <v>96</v>
      </c>
      <c r="E110" s="1137">
        <f t="shared" ref="E110:AJ110" si="235">+E109-E107</f>
        <v>0</v>
      </c>
      <c r="F110" s="1097">
        <f t="shared" si="235"/>
        <v>0</v>
      </c>
      <c r="G110" s="1205">
        <f t="shared" si="235"/>
        <v>0</v>
      </c>
      <c r="H110" s="1097">
        <f t="shared" si="235"/>
        <v>0</v>
      </c>
      <c r="I110" s="1097">
        <f t="shared" si="235"/>
        <v>0</v>
      </c>
      <c r="J110" s="1205">
        <f t="shared" si="235"/>
        <v>0</v>
      </c>
      <c r="K110" s="1205">
        <f t="shared" si="235"/>
        <v>0</v>
      </c>
      <c r="L110" s="1097">
        <f t="shared" si="235"/>
        <v>0</v>
      </c>
      <c r="M110" s="1097">
        <f t="shared" si="235"/>
        <v>0</v>
      </c>
      <c r="N110" s="1097">
        <f t="shared" si="235"/>
        <v>0</v>
      </c>
      <c r="O110" s="1097">
        <f t="shared" si="235"/>
        <v>0</v>
      </c>
      <c r="P110" s="1097">
        <f t="shared" si="235"/>
        <v>0</v>
      </c>
      <c r="Q110" s="1205">
        <f t="shared" si="235"/>
        <v>0</v>
      </c>
      <c r="R110" s="1205">
        <f t="shared" si="235"/>
        <v>0</v>
      </c>
      <c r="S110" s="1097">
        <f t="shared" si="235"/>
        <v>0</v>
      </c>
      <c r="T110" s="1097">
        <f t="shared" si="235"/>
        <v>0</v>
      </c>
      <c r="U110" s="1097">
        <f t="shared" si="235"/>
        <v>0</v>
      </c>
      <c r="V110" s="1097">
        <f t="shared" si="235"/>
        <v>0</v>
      </c>
      <c r="W110" s="1097">
        <f t="shared" si="235"/>
        <v>0</v>
      </c>
      <c r="X110" s="1205">
        <f t="shared" si="235"/>
        <v>0</v>
      </c>
      <c r="Y110" s="1205">
        <f t="shared" si="235"/>
        <v>0</v>
      </c>
      <c r="Z110" s="1097">
        <f t="shared" si="235"/>
        <v>0</v>
      </c>
      <c r="AA110" s="1097">
        <f t="shared" si="235"/>
        <v>0</v>
      </c>
      <c r="AB110" s="1097">
        <f t="shared" si="235"/>
        <v>0</v>
      </c>
      <c r="AC110" s="1097">
        <f t="shared" si="235"/>
        <v>0</v>
      </c>
      <c r="AD110" s="1097">
        <f t="shared" si="235"/>
        <v>0</v>
      </c>
      <c r="AE110" s="1205">
        <f t="shared" si="235"/>
        <v>0</v>
      </c>
      <c r="AF110" s="1205">
        <f t="shared" si="235"/>
        <v>0</v>
      </c>
      <c r="AG110" s="1097">
        <f t="shared" si="235"/>
        <v>0</v>
      </c>
      <c r="AH110" s="1097">
        <f t="shared" si="235"/>
        <v>0</v>
      </c>
      <c r="AI110" s="1328">
        <f t="shared" si="235"/>
        <v>0</v>
      </c>
      <c r="AJ110" s="79">
        <f t="shared" si="235"/>
        <v>0</v>
      </c>
      <c r="AK110" s="79"/>
      <c r="AL110" s="55">
        <f>+AJ110*AN107</f>
        <v>0</v>
      </c>
      <c r="AM110" s="935"/>
      <c r="AN110" s="277" t="s">
        <v>97</v>
      </c>
      <c r="AO110" s="622"/>
      <c r="AP110" s="39" t="s">
        <v>98</v>
      </c>
      <c r="AQ110" s="56">
        <f>AQ109-AQ108</f>
        <v>0</v>
      </c>
      <c r="AR110" s="70">
        <f>AR109-AR108</f>
        <v>0</v>
      </c>
      <c r="AS110" s="70">
        <f>AS109-AS108</f>
        <v>0</v>
      </c>
      <c r="AT110" s="70">
        <f>AT109-AT108</f>
        <v>0</v>
      </c>
      <c r="AU110" s="70">
        <f>AU109-AU108</f>
        <v>0</v>
      </c>
      <c r="AV110" s="57">
        <f t="shared" si="234"/>
        <v>0</v>
      </c>
    </row>
    <row r="111" spans="1:48" s="23" customFormat="1" ht="20.65" hidden="1" customHeight="1">
      <c r="A111" s="302" t="s">
        <v>392</v>
      </c>
      <c r="B111" s="658"/>
      <c r="C111" s="305"/>
      <c r="D111" s="61" t="s">
        <v>101</v>
      </c>
      <c r="E111" s="1098"/>
      <c r="F111" s="1099"/>
      <c r="G111" s="1208"/>
      <c r="H111" s="1099"/>
      <c r="I111" s="1099"/>
      <c r="J111" s="1208"/>
      <c r="K111" s="1208"/>
      <c r="L111" s="1099"/>
      <c r="M111" s="1099"/>
      <c r="N111" s="1099"/>
      <c r="O111" s="1099"/>
      <c r="P111" s="1099"/>
      <c r="Q111" s="1208"/>
      <c r="R111" s="1208"/>
      <c r="S111" s="1099"/>
      <c r="T111" s="1099"/>
      <c r="U111" s="1099"/>
      <c r="V111" s="1099"/>
      <c r="W111" s="1099"/>
      <c r="X111" s="1208"/>
      <c r="Y111" s="1208"/>
      <c r="Z111" s="1099"/>
      <c r="AA111" s="1099"/>
      <c r="AB111" s="1099"/>
      <c r="AC111" s="1099"/>
      <c r="AD111" s="1099"/>
      <c r="AE111" s="1208"/>
      <c r="AF111" s="1208"/>
      <c r="AG111" s="1099"/>
      <c r="AH111" s="1099"/>
      <c r="AI111" s="1330"/>
      <c r="AJ111" s="62">
        <f>SUM(E111:AI111)</f>
        <v>0</v>
      </c>
      <c r="AK111" s="62"/>
      <c r="AL111" s="63">
        <f>+AJ111*AN107</f>
        <v>0</v>
      </c>
      <c r="AM111" s="936"/>
      <c r="AN111" s="301" t="e">
        <f>+AJ111/AJ109*100</f>
        <v>#DIV/0!</v>
      </c>
      <c r="AO111" s="635" t="e">
        <f>AO109/AO107</f>
        <v>#DIV/0!</v>
      </c>
      <c r="AP111" s="39" t="s">
        <v>102</v>
      </c>
      <c r="AQ111" s="56">
        <f>SUM(E111:K111)</f>
        <v>0</v>
      </c>
      <c r="AR111" s="70">
        <f>SUM(L111:R111)</f>
        <v>0</v>
      </c>
      <c r="AS111" s="70">
        <f>SUM(S111:Y111)</f>
        <v>0</v>
      </c>
      <c r="AT111" s="70">
        <f>SUM(Z111:AF111)</f>
        <v>0</v>
      </c>
      <c r="AU111" s="70">
        <f>SUM(AG111:AI111)</f>
        <v>0</v>
      </c>
      <c r="AV111" s="57">
        <f t="shared" si="234"/>
        <v>0</v>
      </c>
    </row>
    <row r="112" spans="1:48" s="23" customFormat="1" ht="20.65" hidden="1" customHeight="1">
      <c r="A112" s="302" t="s">
        <v>392</v>
      </c>
      <c r="B112" s="208"/>
      <c r="C112" s="52" t="s">
        <v>95</v>
      </c>
      <c r="D112" s="67" t="s">
        <v>103</v>
      </c>
      <c r="E112" s="1100"/>
      <c r="F112" s="1101"/>
      <c r="G112" s="1209"/>
      <c r="H112" s="1101"/>
      <c r="I112" s="1101"/>
      <c r="J112" s="1209"/>
      <c r="K112" s="1209"/>
      <c r="L112" s="1101"/>
      <c r="M112" s="1101"/>
      <c r="N112" s="1101"/>
      <c r="O112" s="1101"/>
      <c r="P112" s="1101"/>
      <c r="Q112" s="1209"/>
      <c r="R112" s="1209"/>
      <c r="S112" s="1101"/>
      <c r="T112" s="1101"/>
      <c r="U112" s="1101"/>
      <c r="V112" s="1101"/>
      <c r="W112" s="1101"/>
      <c r="X112" s="1209"/>
      <c r="Y112" s="1209"/>
      <c r="Z112" s="1101"/>
      <c r="AA112" s="1101"/>
      <c r="AB112" s="1101"/>
      <c r="AC112" s="1101"/>
      <c r="AD112" s="1101"/>
      <c r="AE112" s="1209"/>
      <c r="AF112" s="1209"/>
      <c r="AG112" s="1101"/>
      <c r="AH112" s="1101"/>
      <c r="AI112" s="1332"/>
      <c r="AJ112" s="68">
        <f>SUM(E112:AI112)</f>
        <v>0</v>
      </c>
      <c r="AK112" s="68"/>
      <c r="AL112" s="69">
        <f>+AJ112*AN107</f>
        <v>0</v>
      </c>
      <c r="AM112" s="937"/>
      <c r="AN112" s="277"/>
      <c r="AO112" s="679"/>
      <c r="AP112" s="39" t="s">
        <v>19</v>
      </c>
      <c r="AQ112" s="56">
        <f>AQ111*AN107</f>
        <v>0</v>
      </c>
      <c r="AR112" s="56">
        <f>AR111*AN107</f>
        <v>0</v>
      </c>
      <c r="AS112" s="56">
        <f>AS111*AN107</f>
        <v>0</v>
      </c>
      <c r="AT112" s="56">
        <f>AT111*AN107</f>
        <v>0</v>
      </c>
      <c r="AU112" s="56">
        <f>AU111*AN107</f>
        <v>0</v>
      </c>
      <c r="AV112" s="57">
        <f t="shared" si="234"/>
        <v>0</v>
      </c>
    </row>
    <row r="113" spans="1:48" s="23" customFormat="1" ht="20.65" hidden="1" customHeight="1">
      <c r="A113" s="298"/>
      <c r="B113" s="208"/>
      <c r="C113" s="306" t="s">
        <v>387</v>
      </c>
      <c r="D113" s="73" t="s">
        <v>105</v>
      </c>
      <c r="E113" s="1102"/>
      <c r="F113" s="1102"/>
      <c r="G113" s="1197"/>
      <c r="H113" s="1102"/>
      <c r="I113" s="1102"/>
      <c r="J113" s="1197"/>
      <c r="K113" s="1197"/>
      <c r="L113" s="1102"/>
      <c r="M113" s="1102"/>
      <c r="N113" s="1102"/>
      <c r="O113" s="1102"/>
      <c r="P113" s="1102"/>
      <c r="Q113" s="1197"/>
      <c r="R113" s="1197"/>
      <c r="S113" s="1102"/>
      <c r="T113" s="1102"/>
      <c r="U113" s="1102"/>
      <c r="V113" s="1102"/>
      <c r="W113" s="1102"/>
      <c r="X113" s="1197"/>
      <c r="Y113" s="1197"/>
      <c r="Z113" s="1102"/>
      <c r="AA113" s="1102"/>
      <c r="AB113" s="1102"/>
      <c r="AC113" s="1102"/>
      <c r="AD113" s="1102"/>
      <c r="AE113" s="1197"/>
      <c r="AF113" s="1197"/>
      <c r="AG113" s="1102"/>
      <c r="AH113" s="1102"/>
      <c r="AI113" s="1410"/>
      <c r="AJ113" s="74">
        <f>SUM(E113:AI113)</f>
        <v>0</v>
      </c>
      <c r="AK113" s="74"/>
      <c r="AL113" s="75">
        <f>+AJ113*AN107</f>
        <v>0</v>
      </c>
      <c r="AM113" s="938"/>
      <c r="AN113" s="91"/>
      <c r="AO113" s="630"/>
      <c r="AP113" s="47" t="s">
        <v>106</v>
      </c>
      <c r="AQ113" s="48">
        <f>AQ109*AN107</f>
        <v>0</v>
      </c>
      <c r="AR113" s="48">
        <f>AR109*AN107</f>
        <v>0</v>
      </c>
      <c r="AS113" s="48">
        <f>AS109*AN107</f>
        <v>0</v>
      </c>
      <c r="AT113" s="48">
        <f>AT109*AN107</f>
        <v>0</v>
      </c>
      <c r="AU113" s="48">
        <f>AU109*AN107</f>
        <v>0</v>
      </c>
      <c r="AV113" s="50">
        <f t="shared" si="234"/>
        <v>0</v>
      </c>
    </row>
    <row r="114" spans="1:48" s="23" customFormat="1" ht="20.65" hidden="1" customHeight="1">
      <c r="A114" s="302" t="s">
        <v>392</v>
      </c>
      <c r="B114" s="208"/>
      <c r="C114" s="307"/>
      <c r="D114" s="78" t="s">
        <v>107</v>
      </c>
      <c r="E114" s="1137">
        <v>4</v>
      </c>
      <c r="F114" s="1097">
        <v>4</v>
      </c>
      <c r="G114" s="1205">
        <v>4</v>
      </c>
      <c r="H114" s="1097">
        <v>4</v>
      </c>
      <c r="I114" s="1097">
        <v>4</v>
      </c>
      <c r="J114" s="1205">
        <v>4</v>
      </c>
      <c r="K114" s="1205">
        <v>4</v>
      </c>
      <c r="L114" s="1097">
        <v>4</v>
      </c>
      <c r="M114" s="1097">
        <v>4</v>
      </c>
      <c r="N114" s="1097">
        <v>4</v>
      </c>
      <c r="O114" s="1097">
        <v>4</v>
      </c>
      <c r="P114" s="1097">
        <v>4</v>
      </c>
      <c r="Q114" s="1205">
        <v>4</v>
      </c>
      <c r="R114" s="1205">
        <v>4</v>
      </c>
      <c r="S114" s="1097">
        <v>4</v>
      </c>
      <c r="T114" s="1097">
        <v>4</v>
      </c>
      <c r="U114" s="1097">
        <v>4</v>
      </c>
      <c r="V114" s="1097">
        <v>4</v>
      </c>
      <c r="W114" s="1097">
        <v>4</v>
      </c>
      <c r="X114" s="1205">
        <v>4</v>
      </c>
      <c r="Y114" s="1205">
        <v>4</v>
      </c>
      <c r="Z114" s="1097">
        <v>4</v>
      </c>
      <c r="AA114" s="1097">
        <v>4</v>
      </c>
      <c r="AB114" s="1097">
        <v>4</v>
      </c>
      <c r="AC114" s="1097">
        <v>4</v>
      </c>
      <c r="AD114" s="1097">
        <v>4</v>
      </c>
      <c r="AE114" s="1205">
        <v>4</v>
      </c>
      <c r="AF114" s="1205">
        <v>4</v>
      </c>
      <c r="AG114" s="1097">
        <v>4</v>
      </c>
      <c r="AH114" s="1097">
        <v>4</v>
      </c>
      <c r="AI114" s="1328">
        <v>4</v>
      </c>
      <c r="AJ114" s="717"/>
      <c r="AK114" s="717"/>
      <c r="AL114" s="69"/>
      <c r="AM114" s="937"/>
      <c r="AN114" s="277"/>
      <c r="AO114" s="679"/>
      <c r="AP114" s="47"/>
      <c r="AQ114" s="48"/>
      <c r="AR114" s="48"/>
      <c r="AS114" s="48"/>
      <c r="AT114" s="48"/>
      <c r="AU114" s="48"/>
      <c r="AV114" s="284"/>
    </row>
    <row r="115" spans="1:48" s="23" customFormat="1" ht="20.65" hidden="1" customHeight="1">
      <c r="A115" s="302" t="s">
        <v>392</v>
      </c>
      <c r="B115" s="208"/>
      <c r="C115" s="305"/>
      <c r="D115" s="81" t="s">
        <v>109</v>
      </c>
      <c r="E115" s="1125">
        <f>SUM(E109+E111+E112+E113)/E114</f>
        <v>0</v>
      </c>
      <c r="F115" s="1125">
        <f t="shared" ref="F115:AI115" si="236">SUM(F109+F111+F112+F113)/F114</f>
        <v>0</v>
      </c>
      <c r="G115" s="1233">
        <f t="shared" si="236"/>
        <v>0</v>
      </c>
      <c r="H115" s="1125">
        <f t="shared" si="236"/>
        <v>0</v>
      </c>
      <c r="I115" s="1125">
        <f t="shared" si="236"/>
        <v>0</v>
      </c>
      <c r="J115" s="1233">
        <f t="shared" si="236"/>
        <v>0</v>
      </c>
      <c r="K115" s="1233">
        <f t="shared" si="236"/>
        <v>0</v>
      </c>
      <c r="L115" s="1125">
        <f t="shared" si="236"/>
        <v>0</v>
      </c>
      <c r="M115" s="1125">
        <f t="shared" si="236"/>
        <v>0</v>
      </c>
      <c r="N115" s="1125">
        <f t="shared" si="236"/>
        <v>0</v>
      </c>
      <c r="O115" s="1125">
        <f t="shared" si="236"/>
        <v>0</v>
      </c>
      <c r="P115" s="1125">
        <f t="shared" si="236"/>
        <v>0</v>
      </c>
      <c r="Q115" s="1233">
        <f t="shared" si="236"/>
        <v>0</v>
      </c>
      <c r="R115" s="1233">
        <f t="shared" si="236"/>
        <v>0</v>
      </c>
      <c r="S115" s="1125">
        <f t="shared" si="236"/>
        <v>0</v>
      </c>
      <c r="T115" s="1125">
        <f t="shared" si="236"/>
        <v>0</v>
      </c>
      <c r="U115" s="1125">
        <f t="shared" si="236"/>
        <v>0</v>
      </c>
      <c r="V115" s="1125">
        <f t="shared" si="236"/>
        <v>0</v>
      </c>
      <c r="W115" s="1125">
        <f t="shared" si="236"/>
        <v>0</v>
      </c>
      <c r="X115" s="1233">
        <f t="shared" si="236"/>
        <v>0</v>
      </c>
      <c r="Y115" s="1233">
        <f t="shared" si="236"/>
        <v>0</v>
      </c>
      <c r="Z115" s="1125">
        <f t="shared" si="236"/>
        <v>0</v>
      </c>
      <c r="AA115" s="1125">
        <f t="shared" si="236"/>
        <v>0</v>
      </c>
      <c r="AB115" s="1125">
        <f t="shared" si="236"/>
        <v>0</v>
      </c>
      <c r="AC115" s="1125">
        <f t="shared" si="236"/>
        <v>0</v>
      </c>
      <c r="AD115" s="1125">
        <f t="shared" si="236"/>
        <v>0</v>
      </c>
      <c r="AE115" s="1233">
        <f t="shared" si="236"/>
        <v>0</v>
      </c>
      <c r="AF115" s="1233">
        <f t="shared" si="236"/>
        <v>0</v>
      </c>
      <c r="AG115" s="1125">
        <f t="shared" si="236"/>
        <v>0</v>
      </c>
      <c r="AH115" s="1125">
        <f t="shared" si="236"/>
        <v>0</v>
      </c>
      <c r="AI115" s="1409">
        <f t="shared" si="236"/>
        <v>0</v>
      </c>
      <c r="AJ115" s="45">
        <f>SUM(E115:AI115)</f>
        <v>0</v>
      </c>
      <c r="AK115" s="956"/>
      <c r="AL115" s="689"/>
      <c r="AM115" s="940"/>
      <c r="AN115" s="277"/>
      <c r="AO115" s="679"/>
      <c r="AP115" s="285"/>
      <c r="AQ115" s="285"/>
      <c r="AR115" s="285"/>
      <c r="AS115" s="285"/>
      <c r="AT115" s="286"/>
      <c r="AU115" s="285"/>
      <c r="AV115" s="287"/>
    </row>
    <row r="116" spans="1:48" s="23" customFormat="1" ht="20.65" hidden="1" customHeight="1">
      <c r="A116" s="302" t="s">
        <v>392</v>
      </c>
      <c r="B116" s="288"/>
      <c r="C116" s="72"/>
      <c r="D116" s="85" t="s">
        <v>110</v>
      </c>
      <c r="E116" s="1105"/>
      <c r="F116" s="1106"/>
      <c r="G116" s="1211"/>
      <c r="H116" s="1104"/>
      <c r="I116" s="1104"/>
      <c r="J116" s="1211"/>
      <c r="K116" s="1228"/>
      <c r="L116" s="1104"/>
      <c r="M116" s="1104"/>
      <c r="N116" s="1104"/>
      <c r="O116" s="1104"/>
      <c r="P116" s="1104"/>
      <c r="Q116" s="1211"/>
      <c r="R116" s="1211"/>
      <c r="S116" s="1104"/>
      <c r="T116" s="1104"/>
      <c r="U116" s="1104"/>
      <c r="V116" s="1104"/>
      <c r="W116" s="1104"/>
      <c r="X116" s="1211"/>
      <c r="Y116" s="1211"/>
      <c r="Z116" s="1104"/>
      <c r="AA116" s="1104"/>
      <c r="AB116" s="1104"/>
      <c r="AC116" s="1104"/>
      <c r="AD116" s="1104"/>
      <c r="AE116" s="1211"/>
      <c r="AF116" s="1228"/>
      <c r="AG116" s="1104"/>
      <c r="AH116" s="1104"/>
      <c r="AI116" s="1353"/>
      <c r="AJ116" s="86"/>
      <c r="AK116" s="86"/>
      <c r="AL116" s="690"/>
      <c r="AM116" s="940"/>
      <c r="AN116" s="277"/>
      <c r="AO116" s="679"/>
      <c r="AP116" s="285"/>
      <c r="AQ116" s="285"/>
      <c r="AR116" s="285"/>
      <c r="AS116" s="285"/>
      <c r="AT116" s="286"/>
      <c r="AU116" s="285"/>
      <c r="AV116" s="287"/>
    </row>
    <row r="117" spans="1:48" s="23" customFormat="1" ht="20.65" hidden="1" customHeight="1">
      <c r="A117" s="302" t="s">
        <v>392</v>
      </c>
      <c r="B117" s="288" t="s">
        <v>546</v>
      </c>
      <c r="C117" s="72" t="s">
        <v>104</v>
      </c>
      <c r="D117" s="88" t="s">
        <v>111</v>
      </c>
      <c r="E117" s="1108">
        <f>IF(E116="O/H",E115,+E115)</f>
        <v>0</v>
      </c>
      <c r="F117" s="1089">
        <f t="shared" ref="F117:AI117" si="237">IF(F116="O/H",F115,+E117+F115)</f>
        <v>0</v>
      </c>
      <c r="G117" s="44">
        <f t="shared" si="237"/>
        <v>0</v>
      </c>
      <c r="H117" s="1089">
        <f t="shared" si="237"/>
        <v>0</v>
      </c>
      <c r="I117" s="1089">
        <f t="shared" si="237"/>
        <v>0</v>
      </c>
      <c r="J117" s="44">
        <f t="shared" si="237"/>
        <v>0</v>
      </c>
      <c r="K117" s="44">
        <f t="shared" si="237"/>
        <v>0</v>
      </c>
      <c r="L117" s="1089">
        <f t="shared" si="237"/>
        <v>0</v>
      </c>
      <c r="M117" s="1089">
        <f t="shared" si="237"/>
        <v>0</v>
      </c>
      <c r="N117" s="1089">
        <f t="shared" si="237"/>
        <v>0</v>
      </c>
      <c r="O117" s="1089">
        <f t="shared" si="237"/>
        <v>0</v>
      </c>
      <c r="P117" s="1089">
        <f t="shared" si="237"/>
        <v>0</v>
      </c>
      <c r="Q117" s="44">
        <f t="shared" si="237"/>
        <v>0</v>
      </c>
      <c r="R117" s="44">
        <f t="shared" si="237"/>
        <v>0</v>
      </c>
      <c r="S117" s="1089">
        <f t="shared" si="237"/>
        <v>0</v>
      </c>
      <c r="T117" s="1089">
        <f t="shared" si="237"/>
        <v>0</v>
      </c>
      <c r="U117" s="1089">
        <f t="shared" si="237"/>
        <v>0</v>
      </c>
      <c r="V117" s="1089">
        <f t="shared" si="237"/>
        <v>0</v>
      </c>
      <c r="W117" s="1089">
        <f t="shared" si="237"/>
        <v>0</v>
      </c>
      <c r="X117" s="44">
        <f t="shared" si="237"/>
        <v>0</v>
      </c>
      <c r="Y117" s="44">
        <f t="shared" si="237"/>
        <v>0</v>
      </c>
      <c r="Z117" s="1089">
        <f t="shared" si="237"/>
        <v>0</v>
      </c>
      <c r="AA117" s="1089">
        <f t="shared" si="237"/>
        <v>0</v>
      </c>
      <c r="AB117" s="1089">
        <f t="shared" si="237"/>
        <v>0</v>
      </c>
      <c r="AC117" s="1089">
        <f t="shared" si="237"/>
        <v>0</v>
      </c>
      <c r="AD117" s="1089">
        <f t="shared" si="237"/>
        <v>0</v>
      </c>
      <c r="AE117" s="44">
        <f t="shared" si="237"/>
        <v>0</v>
      </c>
      <c r="AF117" s="44">
        <f t="shared" si="237"/>
        <v>0</v>
      </c>
      <c r="AG117" s="1089">
        <f t="shared" si="237"/>
        <v>0</v>
      </c>
      <c r="AH117" s="1089">
        <f t="shared" si="237"/>
        <v>0</v>
      </c>
      <c r="AI117" s="1326">
        <f t="shared" si="237"/>
        <v>0</v>
      </c>
      <c r="AJ117" s="79"/>
      <c r="AK117" s="79"/>
      <c r="AL117" s="690"/>
      <c r="AM117" s="940"/>
      <c r="AN117" s="277"/>
      <c r="AO117" s="679"/>
      <c r="AP117" s="285"/>
      <c r="AQ117" s="285"/>
      <c r="AR117" s="285"/>
      <c r="AS117" s="285"/>
      <c r="AT117" s="286"/>
      <c r="AU117" s="285"/>
      <c r="AV117" s="287"/>
    </row>
    <row r="118" spans="1:48" s="23" customFormat="1" ht="20.45" hidden="1" customHeight="1">
      <c r="A118" s="312"/>
      <c r="B118" s="312"/>
      <c r="C118" s="308">
        <v>300000</v>
      </c>
      <c r="D118" s="795" t="s">
        <v>112</v>
      </c>
      <c r="E118" s="1117" t="b">
        <f>IF(AND(ISNUMBER(E109)),972379+E115)</f>
        <v>0</v>
      </c>
      <c r="F118" s="1118" t="str">
        <f>IF(AND(ISNUMBER(F109)),E118+F115,"")</f>
        <v/>
      </c>
      <c r="G118" s="1216" t="str">
        <f t="shared" ref="G118" si="238">IF(AND(ISNUMBER(G109)),F118+G115,"")</f>
        <v/>
      </c>
      <c r="H118" s="1118" t="str">
        <f t="shared" ref="H118" si="239">IF(AND(ISNUMBER(H109)),G118+H115,"")</f>
        <v/>
      </c>
      <c r="I118" s="1118" t="str">
        <f>IF(AND(ISNUMBER(I109)),H118+I115,"")</f>
        <v/>
      </c>
      <c r="J118" s="1216" t="str">
        <f>IF(AND(ISNUMBER(J109)),I118+J115,"")</f>
        <v/>
      </c>
      <c r="K118" s="1216" t="str">
        <f>IF(AND(ISNUMBER(K109)),J118+K115,"")</f>
        <v/>
      </c>
      <c r="L118" s="1118" t="str">
        <f t="shared" ref="L118" si="240">IF(AND(ISNUMBER(L109)),K118+L115,"")</f>
        <v/>
      </c>
      <c r="M118" s="1118" t="str">
        <f t="shared" ref="M118" si="241">IF(AND(ISNUMBER(M109)),L118+M115,"")</f>
        <v/>
      </c>
      <c r="N118" s="1118" t="str">
        <f t="shared" ref="N118" si="242">IF(AND(ISNUMBER(N109)),M118+N115,"")</f>
        <v/>
      </c>
      <c r="O118" s="1118" t="str">
        <f t="shared" ref="O118" si="243">IF(AND(ISNUMBER(O109)),N118+O115,"")</f>
        <v/>
      </c>
      <c r="P118" s="1118" t="str">
        <f t="shared" ref="P118" si="244">IF(AND(ISNUMBER(P109)),O118+P115,"")</f>
        <v/>
      </c>
      <c r="Q118" s="1216" t="str">
        <f t="shared" ref="Q118" si="245">IF(AND(ISNUMBER(Q109)),P118+Q115,"")</f>
        <v/>
      </c>
      <c r="R118" s="1216" t="str">
        <f t="shared" ref="R118" si="246">IF(AND(ISNUMBER(R109)),Q118+R115,"")</f>
        <v/>
      </c>
      <c r="S118" s="1118" t="str">
        <f t="shared" ref="S118" si="247">IF(AND(ISNUMBER(S109)),R118+S115,"")</f>
        <v/>
      </c>
      <c r="T118" s="1118" t="str">
        <f t="shared" ref="T118" si="248">IF(AND(ISNUMBER(T109)),S118+T115,"")</f>
        <v/>
      </c>
      <c r="U118" s="1118" t="str">
        <f t="shared" ref="U118" si="249">IF(AND(ISNUMBER(U109)),T118+U115,"")</f>
        <v/>
      </c>
      <c r="V118" s="1118" t="str">
        <f t="shared" ref="V118" si="250">IF(AND(ISNUMBER(V109)),U118+V115,"")</f>
        <v/>
      </c>
      <c r="W118" s="1118" t="str">
        <f t="shared" ref="W118" si="251">IF(AND(ISNUMBER(W109)),V118+W115,"")</f>
        <v/>
      </c>
      <c r="X118" s="1216" t="str">
        <f t="shared" ref="X118" si="252">IF(AND(ISNUMBER(X109)),W118+X115,"")</f>
        <v/>
      </c>
      <c r="Y118" s="1216" t="str">
        <f t="shared" ref="Y118" si="253">IF(AND(ISNUMBER(Y109)),X118+Y115,"")</f>
        <v/>
      </c>
      <c r="Z118" s="1118" t="str">
        <f t="shared" ref="Z118" si="254">IF(AND(ISNUMBER(Z109)),Y118+Z115,"")</f>
        <v/>
      </c>
      <c r="AA118" s="1118" t="str">
        <f t="shared" ref="AA118" si="255">IF(AND(ISNUMBER(AA109)),Z118+AA115,"")</f>
        <v/>
      </c>
      <c r="AB118" s="1118" t="str">
        <f t="shared" ref="AB118" si="256">IF(AND(ISNUMBER(AB109)),AA118+AB115,"")</f>
        <v/>
      </c>
      <c r="AC118" s="1118" t="str">
        <f t="shared" ref="AC118" si="257">IF(AND(ISNUMBER(AC109)),AB118+AC115,"")</f>
        <v/>
      </c>
      <c r="AD118" s="1118" t="str">
        <f t="shared" ref="AD118" si="258">IF(AND(ISNUMBER(AD109)),AC118+AD115,"")</f>
        <v/>
      </c>
      <c r="AE118" s="1216" t="str">
        <f t="shared" ref="AE118" si="259">IF(AND(ISNUMBER(AE109)),AD118+AE115,"")</f>
        <v/>
      </c>
      <c r="AF118" s="1216" t="str">
        <f t="shared" ref="AF118" si="260">IF(AND(ISNUMBER(AF109)),AE118+AF115,"")</f>
        <v/>
      </c>
      <c r="AG118" s="1118" t="str">
        <f t="shared" ref="AG118" si="261">IF(AND(ISNUMBER(AG109)),AF118+AG115,"")</f>
        <v/>
      </c>
      <c r="AH118" s="1118" t="str">
        <f t="shared" ref="AH118" si="262">IF(AND(ISNUMBER(AH109)),AG118+AH115,"")</f>
        <v/>
      </c>
      <c r="AI118" s="1118" t="str">
        <f t="shared" ref="AI118" si="263">IF(AND(ISNUMBER(AI109)),AH118+AI115,"")</f>
        <v/>
      </c>
      <c r="AJ118" s="793"/>
      <c r="AK118" s="793"/>
      <c r="AL118" s="909"/>
      <c r="AM118" s="794"/>
      <c r="AN118" s="429"/>
      <c r="AO118" s="675"/>
      <c r="AP118" s="285"/>
      <c r="AQ118" s="285"/>
      <c r="AR118" s="285"/>
      <c r="AS118" s="285"/>
      <c r="AT118" s="286"/>
      <c r="AU118" s="285"/>
      <c r="AV118" s="287"/>
    </row>
    <row r="119" spans="1:48" s="23" customFormat="1" ht="20.65" hidden="1" customHeight="1">
      <c r="A119" s="302"/>
      <c r="B119" s="288"/>
      <c r="C119" s="80" t="s">
        <v>108</v>
      </c>
      <c r="D119" s="90" t="s">
        <v>104</v>
      </c>
      <c r="E119" s="1108"/>
      <c r="F119" s="1089"/>
      <c r="G119" s="44"/>
      <c r="H119" s="1089"/>
      <c r="I119" s="1089"/>
      <c r="J119" s="44"/>
      <c r="K119" s="44"/>
      <c r="L119" s="1089"/>
      <c r="M119" s="1089"/>
      <c r="N119" s="1089"/>
      <c r="O119" s="1089"/>
      <c r="P119" s="1089"/>
      <c r="Q119" s="44"/>
      <c r="R119" s="44"/>
      <c r="S119" s="1089"/>
      <c r="T119" s="1089"/>
      <c r="U119" s="1089"/>
      <c r="V119" s="1089"/>
      <c r="W119" s="1089"/>
      <c r="X119" s="44"/>
      <c r="Y119" s="44"/>
      <c r="Z119" s="1089"/>
      <c r="AA119" s="1089"/>
      <c r="AB119" s="1089"/>
      <c r="AC119" s="1089"/>
      <c r="AD119" s="1089"/>
      <c r="AE119" s="44"/>
      <c r="AF119" s="1253"/>
      <c r="AG119" s="1089"/>
      <c r="AH119" s="1089"/>
      <c r="AI119" s="1326"/>
      <c r="AJ119" s="79"/>
      <c r="AK119" s="79"/>
      <c r="AL119" s="690"/>
      <c r="AM119" s="940"/>
      <c r="AN119" s="301"/>
      <c r="AO119" s="680"/>
      <c r="AP119" s="285"/>
      <c r="AQ119" s="285"/>
      <c r="AR119" s="285"/>
      <c r="AS119" s="285"/>
      <c r="AT119" s="286"/>
      <c r="AU119" s="285"/>
      <c r="AV119" s="287"/>
    </row>
    <row r="120" spans="1:48" s="23" customFormat="1" ht="20.65" hidden="1" customHeight="1" thickBot="1">
      <c r="A120" s="304"/>
      <c r="B120" s="311"/>
      <c r="C120" s="94">
        <f>+C118*0.8</f>
        <v>240000</v>
      </c>
      <c r="D120" s="88" t="s">
        <v>111</v>
      </c>
      <c r="E120" s="1109">
        <f>IF(E119="O/H",E115,0+E115)</f>
        <v>0</v>
      </c>
      <c r="F120" s="1110">
        <f t="shared" ref="F120:AI120" si="264">IF(F119="O/H",F115,+E120+F115)</f>
        <v>0</v>
      </c>
      <c r="G120" s="1212">
        <f t="shared" si="264"/>
        <v>0</v>
      </c>
      <c r="H120" s="1110">
        <f t="shared" si="264"/>
        <v>0</v>
      </c>
      <c r="I120" s="1110">
        <f t="shared" si="264"/>
        <v>0</v>
      </c>
      <c r="J120" s="1212">
        <f t="shared" si="264"/>
        <v>0</v>
      </c>
      <c r="K120" s="1212">
        <f t="shared" si="264"/>
        <v>0</v>
      </c>
      <c r="L120" s="1110">
        <f t="shared" si="264"/>
        <v>0</v>
      </c>
      <c r="M120" s="1110">
        <f t="shared" si="264"/>
        <v>0</v>
      </c>
      <c r="N120" s="1110">
        <f t="shared" si="264"/>
        <v>0</v>
      </c>
      <c r="O120" s="1110">
        <f t="shared" si="264"/>
        <v>0</v>
      </c>
      <c r="P120" s="1110">
        <f t="shared" si="264"/>
        <v>0</v>
      </c>
      <c r="Q120" s="1212">
        <f t="shared" si="264"/>
        <v>0</v>
      </c>
      <c r="R120" s="1212">
        <f t="shared" si="264"/>
        <v>0</v>
      </c>
      <c r="S120" s="1110">
        <f t="shared" si="264"/>
        <v>0</v>
      </c>
      <c r="T120" s="1110">
        <f t="shared" si="264"/>
        <v>0</v>
      </c>
      <c r="U120" s="1110">
        <f t="shared" si="264"/>
        <v>0</v>
      </c>
      <c r="V120" s="1110">
        <f t="shared" si="264"/>
        <v>0</v>
      </c>
      <c r="W120" s="1110">
        <f t="shared" si="264"/>
        <v>0</v>
      </c>
      <c r="X120" s="1212">
        <f t="shared" si="264"/>
        <v>0</v>
      </c>
      <c r="Y120" s="1212">
        <f t="shared" si="264"/>
        <v>0</v>
      </c>
      <c r="Z120" s="1110">
        <f t="shared" si="264"/>
        <v>0</v>
      </c>
      <c r="AA120" s="1110">
        <f t="shared" si="264"/>
        <v>0</v>
      </c>
      <c r="AB120" s="1110">
        <f t="shared" si="264"/>
        <v>0</v>
      </c>
      <c r="AC120" s="1110">
        <f t="shared" si="264"/>
        <v>0</v>
      </c>
      <c r="AD120" s="1110">
        <f t="shared" si="264"/>
        <v>0</v>
      </c>
      <c r="AE120" s="1212">
        <f t="shared" si="264"/>
        <v>0</v>
      </c>
      <c r="AF120" s="1212">
        <f t="shared" si="264"/>
        <v>0</v>
      </c>
      <c r="AG120" s="1110">
        <f t="shared" si="264"/>
        <v>0</v>
      </c>
      <c r="AH120" s="1110">
        <f t="shared" si="264"/>
        <v>0</v>
      </c>
      <c r="AI120" s="1340">
        <f t="shared" si="264"/>
        <v>0</v>
      </c>
      <c r="AJ120" s="96"/>
      <c r="AK120" s="723"/>
      <c r="AL120" s="695"/>
      <c r="AM120" s="961"/>
      <c r="AN120" s="292"/>
      <c r="AO120" s="681"/>
      <c r="AP120" s="285"/>
      <c r="AQ120" s="285"/>
      <c r="AR120" s="285"/>
      <c r="AS120" s="285"/>
      <c r="AT120" s="286"/>
      <c r="AU120" s="285"/>
      <c r="AV120" s="287"/>
    </row>
    <row r="121" spans="1:48" s="23" customFormat="1" ht="20.65" hidden="1" customHeight="1" thickTop="1">
      <c r="A121" s="298" t="s">
        <v>708</v>
      </c>
      <c r="B121" s="208"/>
      <c r="C121" s="1497" t="str">
        <f>Table2[[#This Row],[M/C No.]]</f>
        <v>H5(50ton)</v>
      </c>
      <c r="D121" s="28" t="s">
        <v>82</v>
      </c>
      <c r="E121" s="1139"/>
      <c r="F121" s="1139"/>
      <c r="G121" s="1231"/>
      <c r="H121" s="1139"/>
      <c r="I121" s="1139"/>
      <c r="J121" s="1231"/>
      <c r="K121" s="1231"/>
      <c r="L121" s="1139"/>
      <c r="M121" s="1139"/>
      <c r="N121" s="1139"/>
      <c r="O121" s="1139"/>
      <c r="P121" s="1139"/>
      <c r="Q121" s="1231"/>
      <c r="R121" s="1231"/>
      <c r="S121" s="1139"/>
      <c r="T121" s="1139"/>
      <c r="U121" s="1139"/>
      <c r="V121" s="1139"/>
      <c r="W121" s="1139"/>
      <c r="X121" s="1231"/>
      <c r="Y121" s="1231"/>
      <c r="Z121" s="1139"/>
      <c r="AA121" s="1139"/>
      <c r="AB121" s="1139"/>
      <c r="AC121" s="1139"/>
      <c r="AD121" s="1139"/>
      <c r="AE121" s="1231"/>
      <c r="AF121" s="1231"/>
      <c r="AG121" s="1139"/>
      <c r="AH121" s="1139"/>
      <c r="AI121" s="1322"/>
      <c r="AJ121" s="29">
        <f>SUM(E121:AI121)</f>
        <v>0</v>
      </c>
      <c r="AK121" s="1020">
        <f>AJ123</f>
        <v>0</v>
      </c>
      <c r="AL121" s="101">
        <f>+AJ121*AN121</f>
        <v>0</v>
      </c>
      <c r="AM121" s="1019">
        <f>AL123</f>
        <v>0</v>
      </c>
      <c r="AN121" s="293">
        <v>4.2064200000000005</v>
      </c>
      <c r="AO121" s="633">
        <f>Table2[[#This Row],[Total]]*B125/1000</f>
        <v>0</v>
      </c>
      <c r="AP121" s="32" t="s">
        <v>391</v>
      </c>
      <c r="AQ121" s="33" t="s">
        <v>84</v>
      </c>
      <c r="AR121" s="33" t="s">
        <v>85</v>
      </c>
      <c r="AS121" s="33" t="s">
        <v>86</v>
      </c>
      <c r="AT121" s="33" t="s">
        <v>87</v>
      </c>
      <c r="AU121" s="33" t="s">
        <v>88</v>
      </c>
      <c r="AV121" s="34" t="s">
        <v>68</v>
      </c>
    </row>
    <row r="122" spans="1:48" s="23" customFormat="1" ht="20.65" hidden="1" customHeight="1">
      <c r="A122" s="274"/>
      <c r="B122" s="208" t="s">
        <v>385</v>
      </c>
      <c r="C122" s="275"/>
      <c r="D122" s="37" t="s">
        <v>90</v>
      </c>
      <c r="E122" s="1323">
        <f>IF(E121="",0,+ E121/E128)</f>
        <v>0</v>
      </c>
      <c r="F122" s="1096">
        <f t="shared" ref="F122:AC122" si="265">IF(F121="",0, E122+F121/F128)</f>
        <v>0</v>
      </c>
      <c r="G122" s="1207">
        <f t="shared" si="265"/>
        <v>0</v>
      </c>
      <c r="H122" s="1096">
        <f t="shared" si="265"/>
        <v>0</v>
      </c>
      <c r="I122" s="1096">
        <f t="shared" si="265"/>
        <v>0</v>
      </c>
      <c r="J122" s="1207">
        <f t="shared" si="265"/>
        <v>0</v>
      </c>
      <c r="K122" s="1207">
        <f t="shared" si="265"/>
        <v>0</v>
      </c>
      <c r="L122" s="1096">
        <f t="shared" si="265"/>
        <v>0</v>
      </c>
      <c r="M122" s="1096">
        <f t="shared" si="265"/>
        <v>0</v>
      </c>
      <c r="N122" s="1096">
        <f t="shared" si="265"/>
        <v>0</v>
      </c>
      <c r="O122" s="1096">
        <f t="shared" si="265"/>
        <v>0</v>
      </c>
      <c r="P122" s="1096">
        <f t="shared" si="265"/>
        <v>0</v>
      </c>
      <c r="Q122" s="1207">
        <f t="shared" si="265"/>
        <v>0</v>
      </c>
      <c r="R122" s="1207">
        <f t="shared" si="265"/>
        <v>0</v>
      </c>
      <c r="S122" s="1096">
        <f t="shared" si="265"/>
        <v>0</v>
      </c>
      <c r="T122" s="1096">
        <f t="shared" si="265"/>
        <v>0</v>
      </c>
      <c r="U122" s="1096">
        <f t="shared" si="265"/>
        <v>0</v>
      </c>
      <c r="V122" s="1096">
        <f t="shared" si="265"/>
        <v>0</v>
      </c>
      <c r="W122" s="1096">
        <f t="shared" si="265"/>
        <v>0</v>
      </c>
      <c r="X122" s="1207">
        <f t="shared" si="265"/>
        <v>0</v>
      </c>
      <c r="Y122" s="1207">
        <f t="shared" si="265"/>
        <v>0</v>
      </c>
      <c r="Z122" s="1096">
        <f t="shared" si="265"/>
        <v>0</v>
      </c>
      <c r="AA122" s="1096">
        <f t="shared" si="265"/>
        <v>0</v>
      </c>
      <c r="AB122" s="1096">
        <f t="shared" si="265"/>
        <v>0</v>
      </c>
      <c r="AC122" s="1096">
        <f t="shared" si="265"/>
        <v>0</v>
      </c>
      <c r="AD122" s="1096">
        <f>IF(AD121="",0, Z122+AD121/AD128)</f>
        <v>0</v>
      </c>
      <c r="AE122" s="1207">
        <f>IF(AE121="",0, AA122+AE121/AE128)</f>
        <v>0</v>
      </c>
      <c r="AF122" s="1207">
        <f>IF(AF121="",0, AB122+AF121/AF128)</f>
        <v>0</v>
      </c>
      <c r="AG122" s="1096">
        <f>IF(AG121="",0, AC122+AG121/AG128)</f>
        <v>0</v>
      </c>
      <c r="AH122" s="1096">
        <f>IF(AH121="",0, AD122+AH121/AH128)</f>
        <v>0</v>
      </c>
      <c r="AI122" s="1324">
        <f>IF(AI121="",0, AH122+AI121/AI128)</f>
        <v>0</v>
      </c>
      <c r="AJ122" s="716"/>
      <c r="AK122" s="716"/>
      <c r="AL122" s="209"/>
      <c r="AM122" s="794"/>
      <c r="AN122" s="91"/>
      <c r="AO122" s="675"/>
      <c r="AP122" s="39" t="s">
        <v>91</v>
      </c>
      <c r="AQ122" s="40">
        <f>SUM(E121:K121)</f>
        <v>0</v>
      </c>
      <c r="AR122" s="41">
        <f>SUM(L121:R121)</f>
        <v>0</v>
      </c>
      <c r="AS122" s="41">
        <f>SUM(S121:Y121)</f>
        <v>0</v>
      </c>
      <c r="AT122" s="41">
        <f>SUM(Z121:AF121)</f>
        <v>0</v>
      </c>
      <c r="AU122" s="41">
        <f>SUM(AG121:AI121)</f>
        <v>0</v>
      </c>
      <c r="AV122" s="34">
        <f t="shared" ref="AV122:AV127" si="266">SUM(AQ122:AU122)</f>
        <v>0</v>
      </c>
    </row>
    <row r="123" spans="1:48" s="23" customFormat="1" ht="20.65" hidden="1" customHeight="1">
      <c r="A123" s="302" t="s">
        <v>392</v>
      </c>
      <c r="B123" s="89" t="s">
        <v>246</v>
      </c>
      <c r="C123" s="42"/>
      <c r="D123" s="43" t="s">
        <v>93</v>
      </c>
      <c r="E123" s="1403"/>
      <c r="F123" s="1119"/>
      <c r="G123" s="1243"/>
      <c r="H123" s="1119"/>
      <c r="I123" s="1119"/>
      <c r="J123" s="1243"/>
      <c r="K123" s="1243"/>
      <c r="L123" s="1119"/>
      <c r="M123" s="1119"/>
      <c r="N123" s="1119"/>
      <c r="O123" s="1119"/>
      <c r="P123" s="1119"/>
      <c r="Q123" s="1243"/>
      <c r="R123" s="1243"/>
      <c r="S123" s="1119"/>
      <c r="T123" s="1119"/>
      <c r="U123" s="1119"/>
      <c r="V123" s="1119"/>
      <c r="W123" s="1119"/>
      <c r="X123" s="1243"/>
      <c r="Y123" s="1243"/>
      <c r="Z123" s="1119"/>
      <c r="AA123" s="1119"/>
      <c r="AB123" s="1119"/>
      <c r="AC123" s="1119"/>
      <c r="AD123" s="1119"/>
      <c r="AE123" s="1243"/>
      <c r="AF123" s="1243"/>
      <c r="AG123" s="1119"/>
      <c r="AH123" s="1119"/>
      <c r="AI123" s="1351"/>
      <c r="AJ123" s="45">
        <f>SUM(E123:AI123)</f>
        <v>0</v>
      </c>
      <c r="AK123" s="45"/>
      <c r="AL123" s="46">
        <f>+AJ123*AN121</f>
        <v>0</v>
      </c>
      <c r="AM123" s="934"/>
      <c r="AN123" s="277"/>
      <c r="AO123" s="632">
        <f>(AJ123+AJ125+AJ126+AJ127)*B125/1000</f>
        <v>0</v>
      </c>
      <c r="AP123" s="47" t="s">
        <v>94</v>
      </c>
      <c r="AQ123" s="48">
        <f>SUM(E123:K123)</f>
        <v>0</v>
      </c>
      <c r="AR123" s="49">
        <f>SUM(L123:R123)</f>
        <v>0</v>
      </c>
      <c r="AS123" s="49">
        <f>SUM(S123:Y123)</f>
        <v>0</v>
      </c>
      <c r="AT123" s="49">
        <f>SUM(Z123:AF123)</f>
        <v>0</v>
      </c>
      <c r="AU123" s="49">
        <f>SUM(AG123:AI123)</f>
        <v>0</v>
      </c>
      <c r="AV123" s="50">
        <f t="shared" si="266"/>
        <v>0</v>
      </c>
    </row>
    <row r="124" spans="1:48" s="23" customFormat="1" ht="20.65" hidden="1" customHeight="1">
      <c r="A124" s="302" t="s">
        <v>392</v>
      </c>
      <c r="B124" s="211" t="s">
        <v>247</v>
      </c>
      <c r="C124" s="280"/>
      <c r="D124" s="53" t="s">
        <v>96</v>
      </c>
      <c r="E124" s="1137">
        <f t="shared" ref="E124:AJ124" si="267">+E123-E121</f>
        <v>0</v>
      </c>
      <c r="F124" s="1097">
        <f t="shared" si="267"/>
        <v>0</v>
      </c>
      <c r="G124" s="1205">
        <f t="shared" si="267"/>
        <v>0</v>
      </c>
      <c r="H124" s="1097">
        <f t="shared" si="267"/>
        <v>0</v>
      </c>
      <c r="I124" s="1097">
        <f t="shared" si="267"/>
        <v>0</v>
      </c>
      <c r="J124" s="1205">
        <f t="shared" si="267"/>
        <v>0</v>
      </c>
      <c r="K124" s="1205">
        <f t="shared" si="267"/>
        <v>0</v>
      </c>
      <c r="L124" s="1097">
        <f t="shared" si="267"/>
        <v>0</v>
      </c>
      <c r="M124" s="1097">
        <f t="shared" si="267"/>
        <v>0</v>
      </c>
      <c r="N124" s="1097">
        <f t="shared" si="267"/>
        <v>0</v>
      </c>
      <c r="O124" s="1097">
        <f t="shared" si="267"/>
        <v>0</v>
      </c>
      <c r="P124" s="1097">
        <f t="shared" si="267"/>
        <v>0</v>
      </c>
      <c r="Q124" s="1205">
        <f t="shared" si="267"/>
        <v>0</v>
      </c>
      <c r="R124" s="1205">
        <f t="shared" si="267"/>
        <v>0</v>
      </c>
      <c r="S124" s="1097">
        <f t="shared" si="267"/>
        <v>0</v>
      </c>
      <c r="T124" s="1097">
        <f t="shared" si="267"/>
        <v>0</v>
      </c>
      <c r="U124" s="1097">
        <f t="shared" si="267"/>
        <v>0</v>
      </c>
      <c r="V124" s="1097">
        <f t="shared" si="267"/>
        <v>0</v>
      </c>
      <c r="W124" s="1097">
        <f t="shared" si="267"/>
        <v>0</v>
      </c>
      <c r="X124" s="1205">
        <f t="shared" si="267"/>
        <v>0</v>
      </c>
      <c r="Y124" s="1205">
        <f t="shared" si="267"/>
        <v>0</v>
      </c>
      <c r="Z124" s="1097">
        <f t="shared" si="267"/>
        <v>0</v>
      </c>
      <c r="AA124" s="1097">
        <f t="shared" si="267"/>
        <v>0</v>
      </c>
      <c r="AB124" s="1097">
        <f t="shared" si="267"/>
        <v>0</v>
      </c>
      <c r="AC124" s="1097">
        <f t="shared" si="267"/>
        <v>0</v>
      </c>
      <c r="AD124" s="1097">
        <f t="shared" si="267"/>
        <v>0</v>
      </c>
      <c r="AE124" s="1205">
        <f t="shared" si="267"/>
        <v>0</v>
      </c>
      <c r="AF124" s="1205">
        <f t="shared" si="267"/>
        <v>0</v>
      </c>
      <c r="AG124" s="1097">
        <f t="shared" si="267"/>
        <v>0</v>
      </c>
      <c r="AH124" s="1097">
        <f t="shared" si="267"/>
        <v>0</v>
      </c>
      <c r="AI124" s="1328">
        <f t="shared" si="267"/>
        <v>0</v>
      </c>
      <c r="AJ124" s="79">
        <f t="shared" si="267"/>
        <v>0</v>
      </c>
      <c r="AK124" s="79"/>
      <c r="AL124" s="55">
        <f>+AJ124*AN121</f>
        <v>0</v>
      </c>
      <c r="AM124" s="935"/>
      <c r="AN124" s="277" t="s">
        <v>97</v>
      </c>
      <c r="AO124" s="622"/>
      <c r="AP124" s="39" t="s">
        <v>98</v>
      </c>
      <c r="AQ124" s="56">
        <f>AQ123-AQ122</f>
        <v>0</v>
      </c>
      <c r="AR124" s="70">
        <f>AR123-AR122</f>
        <v>0</v>
      </c>
      <c r="AS124" s="70">
        <f>AS123-AS122</f>
        <v>0</v>
      </c>
      <c r="AT124" s="70">
        <f>AT123-AT122</f>
        <v>0</v>
      </c>
      <c r="AU124" s="70">
        <f>AU123-AU122</f>
        <v>0</v>
      </c>
      <c r="AV124" s="57">
        <f t="shared" si="266"/>
        <v>0</v>
      </c>
    </row>
    <row r="125" spans="1:48" s="23" customFormat="1" ht="20.65" hidden="1" customHeight="1">
      <c r="A125" s="302" t="s">
        <v>392</v>
      </c>
      <c r="B125" s="658"/>
      <c r="C125" s="305"/>
      <c r="D125" s="61" t="s">
        <v>101</v>
      </c>
      <c r="E125" s="1098"/>
      <c r="F125" s="1099"/>
      <c r="G125" s="1208"/>
      <c r="H125" s="1099"/>
      <c r="I125" s="1099"/>
      <c r="J125" s="1208"/>
      <c r="K125" s="1208"/>
      <c r="L125" s="1099"/>
      <c r="M125" s="1099"/>
      <c r="N125" s="1099"/>
      <c r="O125" s="1099"/>
      <c r="P125" s="1099"/>
      <c r="Q125" s="1208"/>
      <c r="R125" s="1208"/>
      <c r="S125" s="1099"/>
      <c r="T125" s="1099"/>
      <c r="U125" s="1099"/>
      <c r="V125" s="1099"/>
      <c r="W125" s="1099"/>
      <c r="X125" s="1208"/>
      <c r="Y125" s="1208"/>
      <c r="Z125" s="1099"/>
      <c r="AA125" s="1099"/>
      <c r="AB125" s="1099"/>
      <c r="AC125" s="1099"/>
      <c r="AD125" s="1099"/>
      <c r="AE125" s="1208"/>
      <c r="AF125" s="1208"/>
      <c r="AG125" s="1099"/>
      <c r="AH125" s="1099"/>
      <c r="AI125" s="1330"/>
      <c r="AJ125" s="62">
        <f>SUM(E125:AI125)</f>
        <v>0</v>
      </c>
      <c r="AK125" s="62"/>
      <c r="AL125" s="63">
        <f>+AJ125*AN121</f>
        <v>0</v>
      </c>
      <c r="AM125" s="936"/>
      <c r="AN125" s="301" t="e">
        <f>+AJ125/AJ123*100</f>
        <v>#DIV/0!</v>
      </c>
      <c r="AO125" s="635" t="e">
        <f>AO123/AO121</f>
        <v>#DIV/0!</v>
      </c>
      <c r="AP125" s="39" t="s">
        <v>102</v>
      </c>
      <c r="AQ125" s="56">
        <f>SUM(E125:K125)</f>
        <v>0</v>
      </c>
      <c r="AR125" s="70">
        <f>SUM(L125:R125)</f>
        <v>0</v>
      </c>
      <c r="AS125" s="70">
        <f>SUM(S125:Y125)</f>
        <v>0</v>
      </c>
      <c r="AT125" s="70">
        <f>SUM(Z125:AF125)</f>
        <v>0</v>
      </c>
      <c r="AU125" s="70">
        <f>SUM(AG125:AI125)</f>
        <v>0</v>
      </c>
      <c r="AV125" s="57">
        <f t="shared" si="266"/>
        <v>0</v>
      </c>
    </row>
    <row r="126" spans="1:48" s="23" customFormat="1" ht="20.65" hidden="1" customHeight="1">
      <c r="A126" s="302" t="s">
        <v>392</v>
      </c>
      <c r="B126" s="208"/>
      <c r="C126" s="52" t="s">
        <v>95</v>
      </c>
      <c r="D126" s="67" t="s">
        <v>103</v>
      </c>
      <c r="E126" s="1100"/>
      <c r="F126" s="1101"/>
      <c r="G126" s="1209"/>
      <c r="H126" s="1101"/>
      <c r="I126" s="1101"/>
      <c r="J126" s="1209"/>
      <c r="K126" s="1209"/>
      <c r="L126" s="1101"/>
      <c r="M126" s="1101"/>
      <c r="N126" s="1101"/>
      <c r="O126" s="1101"/>
      <c r="P126" s="1101"/>
      <c r="Q126" s="1209"/>
      <c r="R126" s="1209"/>
      <c r="S126" s="1101"/>
      <c r="T126" s="1101"/>
      <c r="U126" s="1101"/>
      <c r="V126" s="1101"/>
      <c r="W126" s="1101"/>
      <c r="X126" s="1209"/>
      <c r="Y126" s="1209"/>
      <c r="Z126" s="1101"/>
      <c r="AA126" s="1101"/>
      <c r="AB126" s="1101"/>
      <c r="AC126" s="1101"/>
      <c r="AD126" s="1101"/>
      <c r="AE126" s="1209"/>
      <c r="AF126" s="1209"/>
      <c r="AG126" s="1101"/>
      <c r="AH126" s="1101"/>
      <c r="AI126" s="1332"/>
      <c r="AJ126" s="68">
        <f>SUM(E126:AI126)</f>
        <v>0</v>
      </c>
      <c r="AK126" s="68"/>
      <c r="AL126" s="69">
        <f>+AJ126*AN121</f>
        <v>0</v>
      </c>
      <c r="AM126" s="937"/>
      <c r="AN126" s="277"/>
      <c r="AO126" s="679"/>
      <c r="AP126" s="39" t="s">
        <v>19</v>
      </c>
      <c r="AQ126" s="56">
        <f>AQ125*AN121</f>
        <v>0</v>
      </c>
      <c r="AR126" s="56">
        <f>AR125*AN121</f>
        <v>0</v>
      </c>
      <c r="AS126" s="56">
        <f>AS125*AN121</f>
        <v>0</v>
      </c>
      <c r="AT126" s="56">
        <f>AT125*AN121</f>
        <v>0</v>
      </c>
      <c r="AU126" s="56">
        <f>AU125*AN121</f>
        <v>0</v>
      </c>
      <c r="AV126" s="57">
        <f t="shared" si="266"/>
        <v>0</v>
      </c>
    </row>
    <row r="127" spans="1:48" s="23" customFormat="1" ht="20.65" hidden="1" customHeight="1">
      <c r="A127" s="298"/>
      <c r="B127" s="208"/>
      <c r="C127" s="306" t="s">
        <v>387</v>
      </c>
      <c r="D127" s="73" t="s">
        <v>105</v>
      </c>
      <c r="E127" s="1102"/>
      <c r="F127" s="1102"/>
      <c r="G127" s="1197"/>
      <c r="H127" s="1102"/>
      <c r="I127" s="1102"/>
      <c r="J127" s="1197"/>
      <c r="K127" s="1197"/>
      <c r="L127" s="1102"/>
      <c r="M127" s="1102"/>
      <c r="N127" s="1102"/>
      <c r="O127" s="1102"/>
      <c r="P127" s="1102"/>
      <c r="Q127" s="1197"/>
      <c r="R127" s="1197"/>
      <c r="S127" s="1102"/>
      <c r="T127" s="1102"/>
      <c r="U127" s="1102"/>
      <c r="V127" s="1102"/>
      <c r="W127" s="1102"/>
      <c r="X127" s="1197"/>
      <c r="Y127" s="1197"/>
      <c r="Z127" s="1102"/>
      <c r="AA127" s="1102"/>
      <c r="AB127" s="1102"/>
      <c r="AC127" s="1102"/>
      <c r="AD127" s="1102"/>
      <c r="AE127" s="1197"/>
      <c r="AF127" s="1197"/>
      <c r="AG127" s="1102"/>
      <c r="AH127" s="1102"/>
      <c r="AI127" s="1352"/>
      <c r="AJ127" s="74">
        <f>SUM(E127:AI127)</f>
        <v>0</v>
      </c>
      <c r="AK127" s="74"/>
      <c r="AL127" s="75">
        <f>+AJ127*AN121</f>
        <v>0</v>
      </c>
      <c r="AM127" s="938"/>
      <c r="AN127" s="91"/>
      <c r="AO127" s="630"/>
      <c r="AP127" s="47" t="s">
        <v>106</v>
      </c>
      <c r="AQ127" s="48">
        <f>AQ123*AN121</f>
        <v>0</v>
      </c>
      <c r="AR127" s="48">
        <f>AR123*AN121</f>
        <v>0</v>
      </c>
      <c r="AS127" s="48">
        <f>AS123*AN121</f>
        <v>0</v>
      </c>
      <c r="AT127" s="48">
        <f>AT123*AN121</f>
        <v>0</v>
      </c>
      <c r="AU127" s="48">
        <f>AU123*AN121</f>
        <v>0</v>
      </c>
      <c r="AV127" s="50">
        <f t="shared" si="266"/>
        <v>0</v>
      </c>
    </row>
    <row r="128" spans="1:48" s="23" customFormat="1" ht="20.65" hidden="1" customHeight="1">
      <c r="A128" s="302" t="s">
        <v>392</v>
      </c>
      <c r="B128" s="208"/>
      <c r="C128" s="307"/>
      <c r="D128" s="78" t="s">
        <v>107</v>
      </c>
      <c r="E128" s="1137">
        <v>4</v>
      </c>
      <c r="F128" s="1097">
        <v>4</v>
      </c>
      <c r="G128" s="1205">
        <v>4</v>
      </c>
      <c r="H128" s="1097">
        <v>4</v>
      </c>
      <c r="I128" s="1097">
        <v>4</v>
      </c>
      <c r="J128" s="1205">
        <v>4</v>
      </c>
      <c r="K128" s="1205">
        <v>4</v>
      </c>
      <c r="L128" s="1097">
        <v>4</v>
      </c>
      <c r="M128" s="1097">
        <v>4</v>
      </c>
      <c r="N128" s="1097">
        <v>4</v>
      </c>
      <c r="O128" s="1097">
        <v>4</v>
      </c>
      <c r="P128" s="1097">
        <v>4</v>
      </c>
      <c r="Q128" s="1205">
        <v>4</v>
      </c>
      <c r="R128" s="1205">
        <v>4</v>
      </c>
      <c r="S128" s="1097">
        <v>4</v>
      </c>
      <c r="T128" s="1097">
        <v>4</v>
      </c>
      <c r="U128" s="1097">
        <v>4</v>
      </c>
      <c r="V128" s="1097">
        <v>4</v>
      </c>
      <c r="W128" s="1097">
        <v>4</v>
      </c>
      <c r="X128" s="1205">
        <v>4</v>
      </c>
      <c r="Y128" s="1205">
        <v>4</v>
      </c>
      <c r="Z128" s="1097">
        <v>4</v>
      </c>
      <c r="AA128" s="1097">
        <v>4</v>
      </c>
      <c r="AB128" s="1097">
        <v>4</v>
      </c>
      <c r="AC128" s="1097">
        <v>4</v>
      </c>
      <c r="AD128" s="1097">
        <v>4</v>
      </c>
      <c r="AE128" s="1205">
        <v>4</v>
      </c>
      <c r="AF128" s="1205">
        <v>4</v>
      </c>
      <c r="AG128" s="1097">
        <v>4</v>
      </c>
      <c r="AH128" s="1097">
        <v>4</v>
      </c>
      <c r="AI128" s="1328">
        <v>4</v>
      </c>
      <c r="AJ128" s="79"/>
      <c r="AK128" s="79"/>
      <c r="AL128" s="692"/>
      <c r="AM128" s="960"/>
      <c r="AN128" s="277"/>
      <c r="AO128" s="679"/>
      <c r="AP128" s="47"/>
      <c r="AQ128" s="48"/>
      <c r="AR128" s="48"/>
      <c r="AS128" s="48"/>
      <c r="AT128" s="48"/>
      <c r="AU128" s="48"/>
      <c r="AV128" s="50"/>
    </row>
    <row r="129" spans="1:48" s="23" customFormat="1" ht="20.65" hidden="1" customHeight="1">
      <c r="A129" s="302" t="s">
        <v>392</v>
      </c>
      <c r="B129" s="208"/>
      <c r="C129" s="305"/>
      <c r="D129" s="81" t="s">
        <v>109</v>
      </c>
      <c r="E129" s="1125">
        <f>SUM(E123+E125+E126+E127)/E128</f>
        <v>0</v>
      </c>
      <c r="F129" s="1125">
        <f t="shared" ref="F129:AH129" si="268">SUM(F123+F125+F126+F127)/F128</f>
        <v>0</v>
      </c>
      <c r="G129" s="1233">
        <f t="shared" si="268"/>
        <v>0</v>
      </c>
      <c r="H129" s="1125">
        <f t="shared" si="268"/>
        <v>0</v>
      </c>
      <c r="I129" s="1125">
        <f t="shared" si="268"/>
        <v>0</v>
      </c>
      <c r="J129" s="1233">
        <f t="shared" si="268"/>
        <v>0</v>
      </c>
      <c r="K129" s="1233">
        <f t="shared" si="268"/>
        <v>0</v>
      </c>
      <c r="L129" s="1125">
        <f t="shared" si="268"/>
        <v>0</v>
      </c>
      <c r="M129" s="1125">
        <f t="shared" si="268"/>
        <v>0</v>
      </c>
      <c r="N129" s="1125">
        <f t="shared" si="268"/>
        <v>0</v>
      </c>
      <c r="O129" s="1125">
        <f t="shared" si="268"/>
        <v>0</v>
      </c>
      <c r="P129" s="1125">
        <f t="shared" si="268"/>
        <v>0</v>
      </c>
      <c r="Q129" s="1233">
        <f t="shared" si="268"/>
        <v>0</v>
      </c>
      <c r="R129" s="1233">
        <f t="shared" si="268"/>
        <v>0</v>
      </c>
      <c r="S129" s="1125">
        <f t="shared" si="268"/>
        <v>0</v>
      </c>
      <c r="T129" s="1125">
        <f t="shared" si="268"/>
        <v>0</v>
      </c>
      <c r="U129" s="1125">
        <f t="shared" si="268"/>
        <v>0</v>
      </c>
      <c r="V129" s="1125">
        <f t="shared" si="268"/>
        <v>0</v>
      </c>
      <c r="W129" s="1125">
        <f t="shared" si="268"/>
        <v>0</v>
      </c>
      <c r="X129" s="1233">
        <f t="shared" si="268"/>
        <v>0</v>
      </c>
      <c r="Y129" s="1233">
        <f t="shared" si="268"/>
        <v>0</v>
      </c>
      <c r="Z129" s="1125">
        <f t="shared" si="268"/>
        <v>0</v>
      </c>
      <c r="AA129" s="1125">
        <f t="shared" si="268"/>
        <v>0</v>
      </c>
      <c r="AB129" s="1125">
        <f t="shared" si="268"/>
        <v>0</v>
      </c>
      <c r="AC129" s="1125">
        <f t="shared" si="268"/>
        <v>0</v>
      </c>
      <c r="AD129" s="1125">
        <f t="shared" si="268"/>
        <v>0</v>
      </c>
      <c r="AE129" s="1233">
        <f t="shared" si="268"/>
        <v>0</v>
      </c>
      <c r="AF129" s="1233">
        <f t="shared" si="268"/>
        <v>0</v>
      </c>
      <c r="AG129" s="1125">
        <f t="shared" si="268"/>
        <v>0</v>
      </c>
      <c r="AH129" s="1125">
        <f t="shared" si="268"/>
        <v>0</v>
      </c>
      <c r="AI129" s="1335">
        <f>SUM(AI123+AI125+AI126)/AI128</f>
        <v>0</v>
      </c>
      <c r="AJ129" s="515">
        <f>SUM(E129:AI129)</f>
        <v>0</v>
      </c>
      <c r="AK129" s="515"/>
      <c r="AL129" s="689"/>
      <c r="AM129" s="940"/>
      <c r="AN129" s="277"/>
      <c r="AO129" s="679"/>
      <c r="AP129" s="285"/>
      <c r="AQ129" s="285"/>
      <c r="AR129" s="285"/>
      <c r="AS129" s="285"/>
      <c r="AT129" s="286"/>
      <c r="AU129" s="285"/>
      <c r="AV129" s="287"/>
    </row>
    <row r="130" spans="1:48" s="23" customFormat="1" ht="20.65" hidden="1" customHeight="1">
      <c r="A130" s="302" t="s">
        <v>392</v>
      </c>
      <c r="B130" s="288"/>
      <c r="C130" s="72"/>
      <c r="D130" s="85" t="s">
        <v>110</v>
      </c>
      <c r="E130" s="1336"/>
      <c r="F130" s="1106"/>
      <c r="G130" s="1211"/>
      <c r="H130" s="1104"/>
      <c r="I130" s="1104"/>
      <c r="J130" s="1211"/>
      <c r="K130" s="1211"/>
      <c r="L130" s="1104"/>
      <c r="M130" s="1104"/>
      <c r="N130" s="1104"/>
      <c r="O130" s="1104"/>
      <c r="P130" s="1104"/>
      <c r="Q130" s="1211"/>
      <c r="R130" s="1211"/>
      <c r="S130" s="1104"/>
      <c r="T130" s="1104"/>
      <c r="U130" s="1104"/>
      <c r="V130" s="1104"/>
      <c r="W130" s="1104"/>
      <c r="X130" s="1211"/>
      <c r="Y130" s="1211"/>
      <c r="Z130" s="1104"/>
      <c r="AA130" s="1104"/>
      <c r="AB130" s="1104"/>
      <c r="AC130" s="1104"/>
      <c r="AD130" s="1104"/>
      <c r="AE130" s="1211"/>
      <c r="AF130" s="1211"/>
      <c r="AG130" s="1104"/>
      <c r="AH130" s="1104"/>
      <c r="AI130" s="1353"/>
      <c r="AJ130" s="86"/>
      <c r="AK130" s="86"/>
      <c r="AL130" s="690"/>
      <c r="AM130" s="940"/>
      <c r="AN130" s="277"/>
      <c r="AO130" s="679"/>
      <c r="AP130" s="285"/>
      <c r="AQ130" s="285"/>
      <c r="AR130" s="285"/>
      <c r="AS130" s="285"/>
      <c r="AT130" s="286"/>
      <c r="AU130" s="285"/>
      <c r="AV130" s="287"/>
    </row>
    <row r="131" spans="1:48" s="23" customFormat="1" ht="20.65" hidden="1" customHeight="1">
      <c r="A131" s="302" t="s">
        <v>392</v>
      </c>
      <c r="B131" s="288" t="s">
        <v>546</v>
      </c>
      <c r="C131" s="72" t="s">
        <v>104</v>
      </c>
      <c r="D131" s="88" t="s">
        <v>111</v>
      </c>
      <c r="E131" s="1108">
        <f>IF(E130="O/H",E129,+E129)</f>
        <v>0</v>
      </c>
      <c r="F131" s="1089">
        <f t="shared" ref="F131:K131" si="269">IF(F130="O/H",F129,+E131+F129)</f>
        <v>0</v>
      </c>
      <c r="G131" s="44">
        <f t="shared" si="269"/>
        <v>0</v>
      </c>
      <c r="H131" s="1089">
        <f t="shared" si="269"/>
        <v>0</v>
      </c>
      <c r="I131" s="1089">
        <f t="shared" si="269"/>
        <v>0</v>
      </c>
      <c r="J131" s="44">
        <f t="shared" si="269"/>
        <v>0</v>
      </c>
      <c r="K131" s="44">
        <f t="shared" si="269"/>
        <v>0</v>
      </c>
      <c r="L131" s="1089">
        <f>IF(L130="O/H",L129,+K131+L129)</f>
        <v>0</v>
      </c>
      <c r="M131" s="1089">
        <f t="shared" ref="M131:AI131" si="270">IF(M130="O/H",M129,+L131+M129)</f>
        <v>0</v>
      </c>
      <c r="N131" s="1089">
        <f t="shared" si="270"/>
        <v>0</v>
      </c>
      <c r="O131" s="1089">
        <f t="shared" si="270"/>
        <v>0</v>
      </c>
      <c r="P131" s="1089">
        <f t="shared" si="270"/>
        <v>0</v>
      </c>
      <c r="Q131" s="44">
        <f t="shared" si="270"/>
        <v>0</v>
      </c>
      <c r="R131" s="44">
        <f t="shared" si="270"/>
        <v>0</v>
      </c>
      <c r="S131" s="1089">
        <f t="shared" si="270"/>
        <v>0</v>
      </c>
      <c r="T131" s="1089">
        <f t="shared" si="270"/>
        <v>0</v>
      </c>
      <c r="U131" s="1089">
        <f t="shared" si="270"/>
        <v>0</v>
      </c>
      <c r="V131" s="1089">
        <f t="shared" si="270"/>
        <v>0</v>
      </c>
      <c r="W131" s="1089">
        <f t="shared" si="270"/>
        <v>0</v>
      </c>
      <c r="X131" s="44">
        <f t="shared" si="270"/>
        <v>0</v>
      </c>
      <c r="Y131" s="44">
        <f t="shared" si="270"/>
        <v>0</v>
      </c>
      <c r="Z131" s="1089">
        <f t="shared" si="270"/>
        <v>0</v>
      </c>
      <c r="AA131" s="1089">
        <f t="shared" si="270"/>
        <v>0</v>
      </c>
      <c r="AB131" s="1089">
        <f t="shared" si="270"/>
        <v>0</v>
      </c>
      <c r="AC131" s="1089">
        <f t="shared" si="270"/>
        <v>0</v>
      </c>
      <c r="AD131" s="1089">
        <f t="shared" si="270"/>
        <v>0</v>
      </c>
      <c r="AE131" s="44">
        <f t="shared" si="270"/>
        <v>0</v>
      </c>
      <c r="AF131" s="44">
        <f t="shared" si="270"/>
        <v>0</v>
      </c>
      <c r="AG131" s="1089">
        <f t="shared" si="270"/>
        <v>0</v>
      </c>
      <c r="AH131" s="1089">
        <f t="shared" si="270"/>
        <v>0</v>
      </c>
      <c r="AI131" s="1326">
        <f t="shared" si="270"/>
        <v>0</v>
      </c>
      <c r="AJ131" s="79"/>
      <c r="AK131" s="79"/>
      <c r="AL131" s="690"/>
      <c r="AM131" s="940"/>
      <c r="AN131" s="277"/>
      <c r="AO131" s="679"/>
      <c r="AP131" s="285"/>
      <c r="AQ131" s="285"/>
      <c r="AR131" s="285"/>
      <c r="AS131" s="285"/>
      <c r="AT131" s="286"/>
      <c r="AU131" s="285"/>
      <c r="AV131" s="287"/>
    </row>
    <row r="132" spans="1:48" s="23" customFormat="1" ht="20.45" hidden="1" customHeight="1">
      <c r="A132" s="312"/>
      <c r="B132" s="312"/>
      <c r="C132" s="308">
        <v>300000</v>
      </c>
      <c r="D132" s="795" t="s">
        <v>112</v>
      </c>
      <c r="E132" s="1117" t="b">
        <f>IF(AND(ISNUMBER(E123)),972379+E129)</f>
        <v>0</v>
      </c>
      <c r="F132" s="1118" t="str">
        <f>IF(AND(ISNUMBER(F123)),E132+F129,"")</f>
        <v/>
      </c>
      <c r="G132" s="1216" t="str">
        <f t="shared" ref="G132" si="271">IF(AND(ISNUMBER(G123)),F132+G129,"")</f>
        <v/>
      </c>
      <c r="H132" s="1118" t="str">
        <f t="shared" ref="H132" si="272">IF(AND(ISNUMBER(H123)),G132+H129,"")</f>
        <v/>
      </c>
      <c r="I132" s="1118" t="str">
        <f>IF(AND(ISNUMBER(I123)),H132+I129,"")</f>
        <v/>
      </c>
      <c r="J132" s="1216" t="str">
        <f>IF(AND(ISNUMBER(J123)),I132+J129,"")</f>
        <v/>
      </c>
      <c r="K132" s="1216" t="str">
        <f>IF(AND(ISNUMBER(K123)),J132+K129,"")</f>
        <v/>
      </c>
      <c r="L132" s="1118" t="str">
        <f t="shared" ref="L132" si="273">IF(AND(ISNUMBER(L123)),K132+L129,"")</f>
        <v/>
      </c>
      <c r="M132" s="1118" t="str">
        <f t="shared" ref="M132" si="274">IF(AND(ISNUMBER(M123)),L132+M129,"")</f>
        <v/>
      </c>
      <c r="N132" s="1118" t="str">
        <f t="shared" ref="N132" si="275">IF(AND(ISNUMBER(N123)),M132+N129,"")</f>
        <v/>
      </c>
      <c r="O132" s="1118" t="str">
        <f t="shared" ref="O132" si="276">IF(AND(ISNUMBER(O123)),N132+O129,"")</f>
        <v/>
      </c>
      <c r="P132" s="1118" t="str">
        <f t="shared" ref="P132" si="277">IF(AND(ISNUMBER(P123)),O132+P129,"")</f>
        <v/>
      </c>
      <c r="Q132" s="1216" t="str">
        <f t="shared" ref="Q132" si="278">IF(AND(ISNUMBER(Q123)),P132+Q129,"")</f>
        <v/>
      </c>
      <c r="R132" s="1216" t="str">
        <f t="shared" ref="R132" si="279">IF(AND(ISNUMBER(R123)),Q132+R129,"")</f>
        <v/>
      </c>
      <c r="S132" s="1118" t="str">
        <f t="shared" ref="S132" si="280">IF(AND(ISNUMBER(S123)),R132+S129,"")</f>
        <v/>
      </c>
      <c r="T132" s="1118" t="str">
        <f t="shared" ref="T132" si="281">IF(AND(ISNUMBER(T123)),S132+T129,"")</f>
        <v/>
      </c>
      <c r="U132" s="1118" t="str">
        <f t="shared" ref="U132" si="282">IF(AND(ISNUMBER(U123)),T132+U129,"")</f>
        <v/>
      </c>
      <c r="V132" s="1118" t="str">
        <f t="shared" ref="V132" si="283">IF(AND(ISNUMBER(V123)),U132+V129,"")</f>
        <v/>
      </c>
      <c r="W132" s="1118" t="str">
        <f t="shared" ref="W132" si="284">IF(AND(ISNUMBER(W123)),V132+W129,"")</f>
        <v/>
      </c>
      <c r="X132" s="1216" t="str">
        <f t="shared" ref="X132" si="285">IF(AND(ISNUMBER(X123)),W132+X129,"")</f>
        <v/>
      </c>
      <c r="Y132" s="1216" t="str">
        <f t="shared" ref="Y132" si="286">IF(AND(ISNUMBER(Y123)),X132+Y129,"")</f>
        <v/>
      </c>
      <c r="Z132" s="1118" t="str">
        <f t="shared" ref="Z132" si="287">IF(AND(ISNUMBER(Z123)),Y132+Z129,"")</f>
        <v/>
      </c>
      <c r="AA132" s="1118" t="str">
        <f t="shared" ref="AA132" si="288">IF(AND(ISNUMBER(AA123)),Z132+AA129,"")</f>
        <v/>
      </c>
      <c r="AB132" s="1118" t="str">
        <f t="shared" ref="AB132" si="289">IF(AND(ISNUMBER(AB123)),AA132+AB129,"")</f>
        <v/>
      </c>
      <c r="AC132" s="1118" t="str">
        <f t="shared" ref="AC132" si="290">IF(AND(ISNUMBER(AC123)),AB132+AC129,"")</f>
        <v/>
      </c>
      <c r="AD132" s="1118" t="str">
        <f t="shared" ref="AD132" si="291">IF(AND(ISNUMBER(AD123)),AC132+AD129,"")</f>
        <v/>
      </c>
      <c r="AE132" s="1216" t="str">
        <f t="shared" ref="AE132" si="292">IF(AND(ISNUMBER(AE123)),AD132+AE129,"")</f>
        <v/>
      </c>
      <c r="AF132" s="1216" t="str">
        <f t="shared" ref="AF132" si="293">IF(AND(ISNUMBER(AF123)),AE132+AF129,"")</f>
        <v/>
      </c>
      <c r="AG132" s="1118" t="str">
        <f t="shared" ref="AG132" si="294">IF(AND(ISNUMBER(AG123)),AF132+AG129,"")</f>
        <v/>
      </c>
      <c r="AH132" s="1118" t="str">
        <f t="shared" ref="AH132" si="295">IF(AND(ISNUMBER(AH123)),AG132+AH129,"")</f>
        <v/>
      </c>
      <c r="AI132" s="1118" t="str">
        <f t="shared" ref="AI132" si="296">IF(AND(ISNUMBER(AI123)),AH132+AI129,"")</f>
        <v/>
      </c>
      <c r="AJ132" s="793"/>
      <c r="AK132" s="793"/>
      <c r="AL132" s="909"/>
      <c r="AM132" s="794"/>
      <c r="AN132" s="429"/>
      <c r="AO132" s="675"/>
      <c r="AP132" s="285"/>
      <c r="AQ132" s="285"/>
      <c r="AR132" s="285"/>
      <c r="AS132" s="285"/>
      <c r="AT132" s="286"/>
      <c r="AU132" s="285"/>
      <c r="AV132" s="287"/>
    </row>
    <row r="133" spans="1:48" s="23" customFormat="1" ht="20.65" hidden="1" customHeight="1">
      <c r="A133" s="302" t="s">
        <v>392</v>
      </c>
      <c r="B133" s="89"/>
      <c r="C133" s="80" t="s">
        <v>108</v>
      </c>
      <c r="D133" s="90" t="s">
        <v>104</v>
      </c>
      <c r="E133" s="1338"/>
      <c r="F133" s="1089"/>
      <c r="G133" s="44"/>
      <c r="H133" s="1089"/>
      <c r="I133" s="1089"/>
      <c r="J133" s="44"/>
      <c r="K133" s="44"/>
      <c r="L133" s="1089"/>
      <c r="M133" s="1089"/>
      <c r="N133" s="1089"/>
      <c r="O133" s="1089"/>
      <c r="P133" s="1089"/>
      <c r="Q133" s="44"/>
      <c r="R133" s="44"/>
      <c r="S133" s="1089"/>
      <c r="T133" s="1089"/>
      <c r="U133" s="1089"/>
      <c r="V133" s="1089"/>
      <c r="W133" s="1089"/>
      <c r="X133" s="44"/>
      <c r="Y133" s="44"/>
      <c r="Z133" s="1089"/>
      <c r="AA133" s="1089"/>
      <c r="AB133" s="1089"/>
      <c r="AC133" s="1089"/>
      <c r="AD133" s="1089"/>
      <c r="AE133" s="44"/>
      <c r="AF133" s="44"/>
      <c r="AG133" s="1089"/>
      <c r="AH133" s="1089"/>
      <c r="AI133" s="1326"/>
      <c r="AJ133" s="79"/>
      <c r="AK133" s="79"/>
      <c r="AL133" s="690"/>
      <c r="AM133" s="940"/>
      <c r="AN133" s="277"/>
      <c r="AO133" s="679"/>
      <c r="AP133" s="285"/>
      <c r="AQ133" s="285"/>
      <c r="AR133" s="285"/>
      <c r="AS133" s="285"/>
      <c r="AT133" s="286"/>
      <c r="AU133" s="285"/>
      <c r="AV133" s="287"/>
    </row>
    <row r="134" spans="1:48" s="23" customFormat="1" ht="20.65" hidden="1" customHeight="1" thickBot="1">
      <c r="A134" s="304" t="s">
        <v>392</v>
      </c>
      <c r="B134" s="311"/>
      <c r="C134" s="94">
        <f>+C132*0.8</f>
        <v>240000</v>
      </c>
      <c r="D134" s="88" t="s">
        <v>111</v>
      </c>
      <c r="E134" s="1109">
        <f>IF(E133="O/H",E129,0+E129)</f>
        <v>0</v>
      </c>
      <c r="F134" s="1110">
        <f t="shared" ref="F134:AI134" si="297">IF(F133="O/H",F129,+E134+F129)</f>
        <v>0</v>
      </c>
      <c r="G134" s="1212">
        <f t="shared" si="297"/>
        <v>0</v>
      </c>
      <c r="H134" s="1110">
        <f t="shared" si="297"/>
        <v>0</v>
      </c>
      <c r="I134" s="1110">
        <f t="shared" si="297"/>
        <v>0</v>
      </c>
      <c r="J134" s="1212">
        <f t="shared" si="297"/>
        <v>0</v>
      </c>
      <c r="K134" s="1212">
        <f t="shared" si="297"/>
        <v>0</v>
      </c>
      <c r="L134" s="1110">
        <f t="shared" si="297"/>
        <v>0</v>
      </c>
      <c r="M134" s="1110">
        <f t="shared" si="297"/>
        <v>0</v>
      </c>
      <c r="N134" s="1110">
        <f t="shared" si="297"/>
        <v>0</v>
      </c>
      <c r="O134" s="1110">
        <f t="shared" si="297"/>
        <v>0</v>
      </c>
      <c r="P134" s="1110">
        <f t="shared" si="297"/>
        <v>0</v>
      </c>
      <c r="Q134" s="1212">
        <f t="shared" si="297"/>
        <v>0</v>
      </c>
      <c r="R134" s="1212">
        <f t="shared" si="297"/>
        <v>0</v>
      </c>
      <c r="S134" s="1110">
        <f t="shared" si="297"/>
        <v>0</v>
      </c>
      <c r="T134" s="1110">
        <f t="shared" si="297"/>
        <v>0</v>
      </c>
      <c r="U134" s="1110">
        <f t="shared" si="297"/>
        <v>0</v>
      </c>
      <c r="V134" s="1110">
        <f t="shared" si="297"/>
        <v>0</v>
      </c>
      <c r="W134" s="1110">
        <f t="shared" si="297"/>
        <v>0</v>
      </c>
      <c r="X134" s="1212">
        <f t="shared" si="297"/>
        <v>0</v>
      </c>
      <c r="Y134" s="1212">
        <f t="shared" si="297"/>
        <v>0</v>
      </c>
      <c r="Z134" s="1110">
        <f t="shared" si="297"/>
        <v>0</v>
      </c>
      <c r="AA134" s="1110">
        <f t="shared" si="297"/>
        <v>0</v>
      </c>
      <c r="AB134" s="1110">
        <f t="shared" si="297"/>
        <v>0</v>
      </c>
      <c r="AC134" s="1110">
        <f t="shared" si="297"/>
        <v>0</v>
      </c>
      <c r="AD134" s="1110">
        <f t="shared" si="297"/>
        <v>0</v>
      </c>
      <c r="AE134" s="1212">
        <f t="shared" si="297"/>
        <v>0</v>
      </c>
      <c r="AF134" s="1212">
        <f t="shared" si="297"/>
        <v>0</v>
      </c>
      <c r="AG134" s="1110">
        <f t="shared" si="297"/>
        <v>0</v>
      </c>
      <c r="AH134" s="1110">
        <f t="shared" si="297"/>
        <v>0</v>
      </c>
      <c r="AI134" s="1340">
        <f t="shared" si="297"/>
        <v>0</v>
      </c>
      <c r="AJ134" s="96"/>
      <c r="AK134" s="723"/>
      <c r="AL134" s="695"/>
      <c r="AM134" s="961"/>
      <c r="AN134" s="292"/>
      <c r="AO134" s="681"/>
      <c r="AP134" s="285"/>
      <c r="AQ134" s="285"/>
      <c r="AR134" s="285"/>
      <c r="AS134" s="285"/>
      <c r="AT134" s="286"/>
      <c r="AU134" s="285"/>
      <c r="AV134" s="287"/>
    </row>
    <row r="135" spans="1:48" s="23" customFormat="1" ht="20.65" customHeight="1" thickTop="1">
      <c r="A135" s="952" t="s">
        <v>707</v>
      </c>
      <c r="B135" s="89" t="s">
        <v>618</v>
      </c>
      <c r="C135" s="1493" t="str">
        <f>Table2[[#This Row],[M/C No.]]</f>
        <v>H6(50ton)</v>
      </c>
      <c r="D135" s="28" t="s">
        <v>82</v>
      </c>
      <c r="E135" s="1124">
        <v>14000</v>
      </c>
      <c r="F135" s="1124">
        <v>14000</v>
      </c>
      <c r="G135" s="1242">
        <v>14000</v>
      </c>
      <c r="H135" s="1124">
        <v>14000</v>
      </c>
      <c r="I135" s="1124">
        <v>14000</v>
      </c>
      <c r="J135" s="1242">
        <v>14000</v>
      </c>
      <c r="K135" s="1242">
        <v>14000</v>
      </c>
      <c r="L135" s="1124">
        <v>14000</v>
      </c>
      <c r="M135" s="1124">
        <v>14000</v>
      </c>
      <c r="N135" s="1124">
        <v>14000</v>
      </c>
      <c r="O135" s="1124">
        <v>14000</v>
      </c>
      <c r="P135" s="1124">
        <v>14000</v>
      </c>
      <c r="Q135" s="1242">
        <v>0</v>
      </c>
      <c r="R135" s="1242">
        <v>0</v>
      </c>
      <c r="S135" s="1124">
        <v>0</v>
      </c>
      <c r="T135" s="1124">
        <v>0</v>
      </c>
      <c r="U135" s="1124">
        <v>6000</v>
      </c>
      <c r="V135" s="1124">
        <v>14000</v>
      </c>
      <c r="W135" s="1124">
        <v>14000</v>
      </c>
      <c r="X135" s="1242">
        <v>0</v>
      </c>
      <c r="Y135" s="1242">
        <v>0</v>
      </c>
      <c r="Z135" s="1124">
        <v>6000</v>
      </c>
      <c r="AA135" s="1124">
        <v>14000</v>
      </c>
      <c r="AB135" s="1124">
        <v>14000</v>
      </c>
      <c r="AC135" s="1124">
        <v>14000</v>
      </c>
      <c r="AD135" s="1124">
        <v>14000</v>
      </c>
      <c r="AE135" s="1242">
        <v>0</v>
      </c>
      <c r="AF135" s="1242">
        <v>0</v>
      </c>
      <c r="AG135" s="1124">
        <v>6000</v>
      </c>
      <c r="AH135" s="1124">
        <v>14000</v>
      </c>
      <c r="AI135" s="1124"/>
      <c r="AJ135" s="100">
        <f>SUM(E135:AI135)</f>
        <v>284000</v>
      </c>
      <c r="AK135" s="1000">
        <f>AJ137</f>
        <v>264264</v>
      </c>
      <c r="AL135" s="101">
        <f>+AJ135*AN135</f>
        <v>1459777.04</v>
      </c>
      <c r="AM135" s="1019">
        <f>AL137</f>
        <v>1358332.8158400001</v>
      </c>
      <c r="AN135" s="273">
        <v>5.1400600000000001</v>
      </c>
      <c r="AO135" s="633">
        <f>Table2[[#This Row],[Total]]*B139/1000</f>
        <v>680.74800000000005</v>
      </c>
      <c r="AP135" s="32" t="s">
        <v>393</v>
      </c>
      <c r="AQ135" s="33" t="s">
        <v>84</v>
      </c>
      <c r="AR135" s="33" t="s">
        <v>85</v>
      </c>
      <c r="AS135" s="33" t="s">
        <v>86</v>
      </c>
      <c r="AT135" s="33" t="s">
        <v>87</v>
      </c>
      <c r="AU135" s="33" t="s">
        <v>88</v>
      </c>
      <c r="AV135" s="34" t="s">
        <v>68</v>
      </c>
    </row>
    <row r="136" spans="1:48" s="23" customFormat="1" ht="20.65" customHeight="1">
      <c r="A136" s="274"/>
      <c r="B136" s="89" t="s">
        <v>388</v>
      </c>
      <c r="C136" s="1244">
        <v>67500</v>
      </c>
      <c r="D136" s="37" t="s">
        <v>90</v>
      </c>
      <c r="E136" s="1323">
        <f>IF(E135="",0,+ E135/E142)</f>
        <v>3500</v>
      </c>
      <c r="F136" s="1096">
        <f t="shared" ref="F136:AC136" si="298">IF(F135="",0, E136+F135/F142)</f>
        <v>7000</v>
      </c>
      <c r="G136" s="1207">
        <f t="shared" si="298"/>
        <v>10500</v>
      </c>
      <c r="H136" s="1096">
        <f t="shared" si="298"/>
        <v>14000</v>
      </c>
      <c r="I136" s="1096">
        <f t="shared" si="298"/>
        <v>17500</v>
      </c>
      <c r="J136" s="1207">
        <f t="shared" si="298"/>
        <v>21000</v>
      </c>
      <c r="K136" s="1207">
        <f t="shared" si="298"/>
        <v>24500</v>
      </c>
      <c r="L136" s="1096">
        <f t="shared" si="298"/>
        <v>28000</v>
      </c>
      <c r="M136" s="1096">
        <f t="shared" si="298"/>
        <v>31500</v>
      </c>
      <c r="N136" s="1096">
        <f t="shared" si="298"/>
        <v>35000</v>
      </c>
      <c r="O136" s="1096">
        <f t="shared" si="298"/>
        <v>38500</v>
      </c>
      <c r="P136" s="1096">
        <f t="shared" si="298"/>
        <v>42000</v>
      </c>
      <c r="Q136" s="1207">
        <f t="shared" si="298"/>
        <v>42000</v>
      </c>
      <c r="R136" s="1207">
        <f t="shared" si="298"/>
        <v>42000</v>
      </c>
      <c r="S136" s="1096">
        <f t="shared" si="298"/>
        <v>42000</v>
      </c>
      <c r="T136" s="1096">
        <f t="shared" si="298"/>
        <v>42000</v>
      </c>
      <c r="U136" s="1096">
        <f t="shared" si="298"/>
        <v>43500</v>
      </c>
      <c r="V136" s="1096">
        <f t="shared" si="298"/>
        <v>47000</v>
      </c>
      <c r="W136" s="1096">
        <f t="shared" si="298"/>
        <v>50500</v>
      </c>
      <c r="X136" s="1207">
        <f t="shared" si="298"/>
        <v>50500</v>
      </c>
      <c r="Y136" s="1207">
        <f t="shared" si="298"/>
        <v>50500</v>
      </c>
      <c r="Z136" s="1096">
        <f t="shared" si="298"/>
        <v>52000</v>
      </c>
      <c r="AA136" s="1096">
        <f t="shared" si="298"/>
        <v>55500</v>
      </c>
      <c r="AB136" s="1096">
        <f t="shared" si="298"/>
        <v>59000</v>
      </c>
      <c r="AC136" s="1096">
        <f t="shared" si="298"/>
        <v>62500</v>
      </c>
      <c r="AD136" s="1096">
        <f>IF(AD135="",0, Z136+AD135/AD142)</f>
        <v>55500</v>
      </c>
      <c r="AE136" s="1207">
        <f>IF(AE135="",0, AA136+AE135/AE142)</f>
        <v>55500</v>
      </c>
      <c r="AF136" s="1207">
        <f>IF(AF135="",0, AB136+AF135/AF142)</f>
        <v>59000</v>
      </c>
      <c r="AG136" s="1096">
        <f>IF(AG135="",0, AC136+AG135/AG142)</f>
        <v>64000</v>
      </c>
      <c r="AH136" s="1096">
        <f>IF(AH135="",0, AD136+AH135/AH142)</f>
        <v>59000</v>
      </c>
      <c r="AI136" s="1324">
        <f>IF(AI135="",0, AH136+AI135/AI142)</f>
        <v>0</v>
      </c>
      <c r="AJ136" s="716"/>
      <c r="AK136" s="716"/>
      <c r="AL136" s="209"/>
      <c r="AM136" s="794"/>
      <c r="AN136" s="91"/>
      <c r="AO136" s="675"/>
      <c r="AP136" s="39" t="s">
        <v>91</v>
      </c>
      <c r="AQ136" s="40">
        <f>SUM(E135:H135)</f>
        <v>56000</v>
      </c>
      <c r="AR136" s="41">
        <f>SUM(I135:O135)</f>
        <v>98000</v>
      </c>
      <c r="AS136" s="41">
        <f>SUM(P135:V135)</f>
        <v>34000</v>
      </c>
      <c r="AT136" s="41">
        <f>SUM(W135:AC135)</f>
        <v>62000</v>
      </c>
      <c r="AU136" s="41">
        <f>SUM(AD135:AI135)</f>
        <v>34000</v>
      </c>
      <c r="AV136" s="34">
        <f t="shared" ref="AV136:AV141" si="299">SUM(AQ136:AU136)</f>
        <v>284000</v>
      </c>
    </row>
    <row r="137" spans="1:48" s="23" customFormat="1" ht="20.65" customHeight="1">
      <c r="A137" s="296" t="s">
        <v>389</v>
      </c>
      <c r="B137" s="89" t="s">
        <v>246</v>
      </c>
      <c r="C137" s="656" t="s">
        <v>108</v>
      </c>
      <c r="D137" s="43" t="s">
        <v>93</v>
      </c>
      <c r="E137" s="1108">
        <v>8064</v>
      </c>
      <c r="F137" s="1108">
        <v>14112</v>
      </c>
      <c r="G137" s="1199">
        <v>14112</v>
      </c>
      <c r="H137" s="1108">
        <v>14112</v>
      </c>
      <c r="I137" s="1108">
        <v>14112</v>
      </c>
      <c r="J137" s="1199">
        <v>14112</v>
      </c>
      <c r="K137" s="1199">
        <v>13104</v>
      </c>
      <c r="L137" s="1108">
        <v>13776</v>
      </c>
      <c r="M137" s="1108">
        <v>14112</v>
      </c>
      <c r="N137" s="1108">
        <v>13104</v>
      </c>
      <c r="O137" s="1108">
        <v>2520</v>
      </c>
      <c r="P137" s="1108">
        <v>10080</v>
      </c>
      <c r="Q137" s="1199">
        <v>13104</v>
      </c>
      <c r="R137" s="1199">
        <v>12096</v>
      </c>
      <c r="S137" s="1108">
        <v>13104</v>
      </c>
      <c r="T137" s="1108">
        <v>12096</v>
      </c>
      <c r="U137" s="1108">
        <v>7056</v>
      </c>
      <c r="V137" s="1108">
        <v>0</v>
      </c>
      <c r="W137" s="1108">
        <v>11088</v>
      </c>
      <c r="X137" s="44">
        <v>13104</v>
      </c>
      <c r="Y137" s="44">
        <v>12096</v>
      </c>
      <c r="Z137" s="1089">
        <v>13104</v>
      </c>
      <c r="AA137" s="1089">
        <v>12096</v>
      </c>
      <c r="AB137" s="1089"/>
      <c r="AC137" s="1089"/>
      <c r="AD137" s="1089"/>
      <c r="AE137" s="44"/>
      <c r="AF137" s="44"/>
      <c r="AG137" s="1089"/>
      <c r="AH137" s="1089"/>
      <c r="AI137" s="1326"/>
      <c r="AJ137" s="45">
        <f>SUM(E137:AI137)</f>
        <v>264264</v>
      </c>
      <c r="AK137" s="45"/>
      <c r="AL137" s="46">
        <f>+AJ137*AN135</f>
        <v>1358332.8158400001</v>
      </c>
      <c r="AM137" s="934"/>
      <c r="AN137" s="293"/>
      <c r="AO137" s="632">
        <f>(AJ137+AJ139+AJ140+AJ141)*B139/1000</f>
        <v>650.53621199999998</v>
      </c>
      <c r="AP137" s="47" t="s">
        <v>94</v>
      </c>
      <c r="AQ137" s="48">
        <f>SUM(E137:H137)</f>
        <v>50400</v>
      </c>
      <c r="AR137" s="49">
        <f>SUM(I137:O137)</f>
        <v>84840</v>
      </c>
      <c r="AS137" s="49">
        <f>SUM(P137:V137)</f>
        <v>67536</v>
      </c>
      <c r="AT137" s="49">
        <f>SUM(W137:AC137)</f>
        <v>61488</v>
      </c>
      <c r="AU137" s="49">
        <f>SUM(AD137:AI137)</f>
        <v>0</v>
      </c>
      <c r="AV137" s="50">
        <f t="shared" si="299"/>
        <v>264264</v>
      </c>
    </row>
    <row r="138" spans="1:48" s="23" customFormat="1" ht="20.65" customHeight="1">
      <c r="A138" s="296" t="s">
        <v>389</v>
      </c>
      <c r="B138" s="638" t="s">
        <v>247</v>
      </c>
      <c r="C138" s="1245">
        <f>+C136*0.8</f>
        <v>54000</v>
      </c>
      <c r="D138" s="53" t="s">
        <v>96</v>
      </c>
      <c r="E138" s="1137">
        <f t="shared" ref="E138:AJ138" si="300">+E137-E135</f>
        <v>-5936</v>
      </c>
      <c r="F138" s="1097">
        <f>+F137-F135</f>
        <v>112</v>
      </c>
      <c r="G138" s="1205">
        <f t="shared" si="300"/>
        <v>112</v>
      </c>
      <c r="H138" s="1097">
        <f t="shared" si="300"/>
        <v>112</v>
      </c>
      <c r="I138" s="1097">
        <f t="shared" si="300"/>
        <v>112</v>
      </c>
      <c r="J138" s="1205">
        <f t="shared" si="300"/>
        <v>112</v>
      </c>
      <c r="K138" s="1205">
        <f t="shared" si="300"/>
        <v>-896</v>
      </c>
      <c r="L138" s="1097">
        <f t="shared" si="300"/>
        <v>-224</v>
      </c>
      <c r="M138" s="1097">
        <f t="shared" si="300"/>
        <v>112</v>
      </c>
      <c r="N138" s="1097">
        <f t="shared" si="300"/>
        <v>-896</v>
      </c>
      <c r="O138" s="1097">
        <f t="shared" si="300"/>
        <v>-11480</v>
      </c>
      <c r="P138" s="1097">
        <f t="shared" si="300"/>
        <v>-3920</v>
      </c>
      <c r="Q138" s="1205">
        <f t="shared" si="300"/>
        <v>13104</v>
      </c>
      <c r="R138" s="1205">
        <f t="shared" si="300"/>
        <v>12096</v>
      </c>
      <c r="S138" s="1097">
        <f>+S137-S135</f>
        <v>13104</v>
      </c>
      <c r="T138" s="1097">
        <f>+T137-T135</f>
        <v>12096</v>
      </c>
      <c r="U138" s="1097">
        <f t="shared" si="300"/>
        <v>1056</v>
      </c>
      <c r="V138" s="1097">
        <f t="shared" si="300"/>
        <v>-14000</v>
      </c>
      <c r="W138" s="1097">
        <f t="shared" si="300"/>
        <v>-2912</v>
      </c>
      <c r="X138" s="1205">
        <f>+X137-X135</f>
        <v>13104</v>
      </c>
      <c r="Y138" s="1205">
        <f t="shared" si="300"/>
        <v>12096</v>
      </c>
      <c r="Z138" s="1097">
        <f t="shared" si="300"/>
        <v>7104</v>
      </c>
      <c r="AA138" s="1097">
        <f t="shared" si="300"/>
        <v>-1904</v>
      </c>
      <c r="AB138" s="1097">
        <f t="shared" si="300"/>
        <v>-14000</v>
      </c>
      <c r="AC138" s="1097">
        <f t="shared" si="300"/>
        <v>-14000</v>
      </c>
      <c r="AD138" s="1097">
        <f t="shared" si="300"/>
        <v>-14000</v>
      </c>
      <c r="AE138" s="1205">
        <f t="shared" si="300"/>
        <v>0</v>
      </c>
      <c r="AF138" s="1205">
        <f t="shared" si="300"/>
        <v>0</v>
      </c>
      <c r="AG138" s="1097">
        <f t="shared" si="300"/>
        <v>-6000</v>
      </c>
      <c r="AH138" s="1097">
        <f t="shared" si="300"/>
        <v>-14000</v>
      </c>
      <c r="AI138" s="1328">
        <f t="shared" si="300"/>
        <v>0</v>
      </c>
      <c r="AJ138" s="79">
        <f t="shared" si="300"/>
        <v>-19736</v>
      </c>
      <c r="AK138" s="79"/>
      <c r="AL138" s="55">
        <f>+AJ138*AN135</f>
        <v>-101444.22416</v>
      </c>
      <c r="AM138" s="935"/>
      <c r="AN138" s="293" t="s">
        <v>97</v>
      </c>
      <c r="AO138" s="622"/>
      <c r="AP138" s="39" t="s">
        <v>98</v>
      </c>
      <c r="AQ138" s="56">
        <f>AQ137-AQ136</f>
        <v>-5600</v>
      </c>
      <c r="AR138" s="70">
        <f>AR137-AR136</f>
        <v>-13160</v>
      </c>
      <c r="AS138" s="70">
        <f>AS137-AS136</f>
        <v>33536</v>
      </c>
      <c r="AT138" s="70">
        <f>AT137-AT136</f>
        <v>-512</v>
      </c>
      <c r="AU138" s="70">
        <f>AU137-AU136</f>
        <v>-34000</v>
      </c>
      <c r="AV138" s="57">
        <f t="shared" si="299"/>
        <v>-19736</v>
      </c>
    </row>
    <row r="139" spans="1:48" s="23" customFormat="1" ht="20.65" customHeight="1">
      <c r="A139" s="296" t="s">
        <v>389</v>
      </c>
      <c r="B139" s="659">
        <v>2.3969999999999998</v>
      </c>
      <c r="C139" s="305"/>
      <c r="D139" s="61" t="s">
        <v>101</v>
      </c>
      <c r="E139" s="1098">
        <v>120</v>
      </c>
      <c r="F139" s="1098">
        <v>0</v>
      </c>
      <c r="G139" s="1195">
        <v>0</v>
      </c>
      <c r="H139" s="1098">
        <v>0</v>
      </c>
      <c r="I139" s="1098">
        <v>0</v>
      </c>
      <c r="J139" s="1195">
        <v>0</v>
      </c>
      <c r="K139" s="1195">
        <v>0</v>
      </c>
      <c r="L139" s="1098">
        <v>80</v>
      </c>
      <c r="M139" s="1098">
        <v>0</v>
      </c>
      <c r="N139" s="1098">
        <v>0</v>
      </c>
      <c r="O139" s="1098">
        <v>1140</v>
      </c>
      <c r="P139" s="1098">
        <v>120</v>
      </c>
      <c r="Q139" s="1195">
        <v>40</v>
      </c>
      <c r="R139" s="1195">
        <v>0</v>
      </c>
      <c r="S139" s="1098">
        <v>0</v>
      </c>
      <c r="T139" s="1098">
        <v>0</v>
      </c>
      <c r="U139" s="1098">
        <v>692</v>
      </c>
      <c r="V139" s="1098">
        <v>240</v>
      </c>
      <c r="W139" s="1098">
        <v>120</v>
      </c>
      <c r="X139" s="1208">
        <v>0</v>
      </c>
      <c r="Y139" s="1208">
        <v>0</v>
      </c>
      <c r="Z139" s="1099">
        <v>0</v>
      </c>
      <c r="AA139" s="1099">
        <v>0</v>
      </c>
      <c r="AB139" s="1099"/>
      <c r="AC139" s="1099"/>
      <c r="AD139" s="1099"/>
      <c r="AE139" s="1208"/>
      <c r="AF139" s="1208"/>
      <c r="AG139" s="1099"/>
      <c r="AH139" s="1099"/>
      <c r="AI139" s="1330"/>
      <c r="AJ139" s="62">
        <f>SUM(E139:AI139)</f>
        <v>2552</v>
      </c>
      <c r="AK139" s="62"/>
      <c r="AL139" s="63">
        <f>+AJ139*AN135</f>
        <v>13117.43312</v>
      </c>
      <c r="AM139" s="936"/>
      <c r="AN139" s="303">
        <f>+AJ139/AJ137</f>
        <v>9.6570096570096579E-3</v>
      </c>
      <c r="AO139" s="635">
        <f>AO137/AO135</f>
        <v>0.95561971830985903</v>
      </c>
      <c r="AP139" s="39" t="s">
        <v>102</v>
      </c>
      <c r="AQ139" s="56">
        <f>SUM(E139:H139)</f>
        <v>120</v>
      </c>
      <c r="AR139" s="70">
        <f>SUM(I139:O139)</f>
        <v>1220</v>
      </c>
      <c r="AS139" s="70">
        <f>SUM(P139:V139)</f>
        <v>1092</v>
      </c>
      <c r="AT139" s="70">
        <f>SUM(W139:AC139)</f>
        <v>120</v>
      </c>
      <c r="AU139" s="70">
        <f>SUM(AD139:AI139)</f>
        <v>0</v>
      </c>
      <c r="AV139" s="57">
        <f t="shared" si="299"/>
        <v>2552</v>
      </c>
    </row>
    <row r="140" spans="1:48" s="23" customFormat="1" ht="20.65" customHeight="1">
      <c r="A140" s="274"/>
      <c r="B140" s="334" t="s">
        <v>390</v>
      </c>
      <c r="C140" s="52" t="s">
        <v>95</v>
      </c>
      <c r="D140" s="67" t="s">
        <v>103</v>
      </c>
      <c r="E140" s="1113">
        <v>84</v>
      </c>
      <c r="F140" s="1113">
        <v>144</v>
      </c>
      <c r="G140" s="1202">
        <v>144</v>
      </c>
      <c r="H140" s="1113">
        <v>144</v>
      </c>
      <c r="I140" s="1113">
        <v>144</v>
      </c>
      <c r="J140" s="1202">
        <v>144</v>
      </c>
      <c r="K140" s="1202">
        <v>144</v>
      </c>
      <c r="L140" s="1113">
        <v>144</v>
      </c>
      <c r="M140" s="1113">
        <v>144</v>
      </c>
      <c r="N140" s="1113">
        <v>144</v>
      </c>
      <c r="O140" s="1113">
        <v>24</v>
      </c>
      <c r="P140" s="1113">
        <v>120</v>
      </c>
      <c r="Q140" s="1202">
        <v>144</v>
      </c>
      <c r="R140" s="1202">
        <v>144</v>
      </c>
      <c r="S140" s="1113">
        <v>144</v>
      </c>
      <c r="T140" s="1113">
        <v>144</v>
      </c>
      <c r="U140" s="1113">
        <v>72</v>
      </c>
      <c r="V140" s="1113">
        <v>0</v>
      </c>
      <c r="W140" s="1113">
        <v>144</v>
      </c>
      <c r="X140" s="1214">
        <v>144</v>
      </c>
      <c r="Y140" s="1214">
        <v>144</v>
      </c>
      <c r="Z140" s="1114">
        <v>144</v>
      </c>
      <c r="AA140" s="1114">
        <v>144</v>
      </c>
      <c r="AB140" s="1114"/>
      <c r="AC140" s="1114"/>
      <c r="AD140" s="1114"/>
      <c r="AE140" s="1214"/>
      <c r="AF140" s="1214"/>
      <c r="AG140" s="1114"/>
      <c r="AH140" s="1114"/>
      <c r="AI140" s="1411"/>
      <c r="AJ140" s="719">
        <f>SUM(E140:AI140)</f>
        <v>2892</v>
      </c>
      <c r="AK140" s="719"/>
      <c r="AL140" s="233">
        <f>+AJ140*AN137</f>
        <v>0</v>
      </c>
      <c r="AM140" s="939"/>
      <c r="AN140" s="294"/>
      <c r="AO140" s="682"/>
      <c r="AP140" s="39" t="s">
        <v>19</v>
      </c>
      <c r="AQ140" s="56">
        <f>AQ139*AN135</f>
        <v>616.80719999999997</v>
      </c>
      <c r="AR140" s="56">
        <f>AR139*AN135</f>
        <v>6270.8732</v>
      </c>
      <c r="AS140" s="56">
        <f>AS139*AN135</f>
        <v>5612.9455200000002</v>
      </c>
      <c r="AT140" s="56">
        <f>AT139*AN135</f>
        <v>616.80719999999997</v>
      </c>
      <c r="AU140" s="56">
        <f>AU139*AN135</f>
        <v>0</v>
      </c>
      <c r="AV140" s="57">
        <f t="shared" si="299"/>
        <v>13117.43312</v>
      </c>
    </row>
    <row r="141" spans="1:48" s="23" customFormat="1" ht="20.65" customHeight="1">
      <c r="A141" s="270"/>
      <c r="B141" s="89"/>
      <c r="C141" s="306" t="s">
        <v>387</v>
      </c>
      <c r="D141" s="73" t="s">
        <v>105</v>
      </c>
      <c r="E141" s="1102">
        <v>32</v>
      </c>
      <c r="F141" s="1102">
        <v>80</v>
      </c>
      <c r="G141" s="1197">
        <v>96</v>
      </c>
      <c r="H141" s="1102">
        <v>96</v>
      </c>
      <c r="I141" s="1102">
        <v>80</v>
      </c>
      <c r="J141" s="1197">
        <v>96</v>
      </c>
      <c r="K141" s="1197">
        <v>96</v>
      </c>
      <c r="L141" s="1102">
        <v>80</v>
      </c>
      <c r="M141" s="1102">
        <v>80</v>
      </c>
      <c r="N141" s="1102">
        <v>96</v>
      </c>
      <c r="O141" s="1102">
        <v>16</v>
      </c>
      <c r="P141" s="1102">
        <v>72</v>
      </c>
      <c r="Q141" s="1197">
        <v>96</v>
      </c>
      <c r="R141" s="1197">
        <v>96</v>
      </c>
      <c r="S141" s="1102">
        <v>80</v>
      </c>
      <c r="T141" s="1102">
        <v>80</v>
      </c>
      <c r="U141" s="1102">
        <v>32</v>
      </c>
      <c r="V141" s="1102">
        <v>0</v>
      </c>
      <c r="W141" s="1102">
        <v>80</v>
      </c>
      <c r="X141" s="1210">
        <v>96</v>
      </c>
      <c r="Y141" s="1210">
        <v>96</v>
      </c>
      <c r="Z141" s="1103">
        <v>32</v>
      </c>
      <c r="AA141" s="1103">
        <v>80</v>
      </c>
      <c r="AB141" s="1103"/>
      <c r="AC141" s="1103"/>
      <c r="AD141" s="1103"/>
      <c r="AE141" s="1210"/>
      <c r="AF141" s="1210"/>
      <c r="AG141" s="1103"/>
      <c r="AH141" s="1103"/>
      <c r="AI141" s="1352"/>
      <c r="AJ141" s="74">
        <f>SUM(E141:AI141)</f>
        <v>1688</v>
      </c>
      <c r="AK141" s="74"/>
      <c r="AL141" s="75">
        <f>+AJ141*AN135</f>
        <v>8676.4212800000005</v>
      </c>
      <c r="AM141" s="938"/>
      <c r="AN141" s="293"/>
      <c r="AO141" s="678"/>
      <c r="AP141" s="47" t="s">
        <v>106</v>
      </c>
      <c r="AQ141" s="48">
        <f>AQ137*AN135</f>
        <v>259059.024</v>
      </c>
      <c r="AR141" s="48">
        <f>AR137*AN135</f>
        <v>436082.69040000002</v>
      </c>
      <c r="AS141" s="48">
        <f>AS137*AN135</f>
        <v>347139.09216</v>
      </c>
      <c r="AT141" s="48">
        <f>AT137*AN135</f>
        <v>316052.00928</v>
      </c>
      <c r="AU141" s="48">
        <f>AU137*AN135</f>
        <v>0</v>
      </c>
      <c r="AV141" s="50">
        <f t="shared" si="299"/>
        <v>1358332.8158400001</v>
      </c>
    </row>
    <row r="142" spans="1:48" s="23" customFormat="1" ht="20.65" customHeight="1">
      <c r="A142" s="296" t="s">
        <v>389</v>
      </c>
      <c r="B142" s="313"/>
      <c r="C142" s="307"/>
      <c r="D142" s="78" t="s">
        <v>107</v>
      </c>
      <c r="E142" s="1137">
        <v>4</v>
      </c>
      <c r="F142" s="1097">
        <v>4</v>
      </c>
      <c r="G142" s="1205">
        <v>4</v>
      </c>
      <c r="H142" s="1097">
        <v>4</v>
      </c>
      <c r="I142" s="1097">
        <v>4</v>
      </c>
      <c r="J142" s="1205">
        <v>4</v>
      </c>
      <c r="K142" s="1205">
        <v>4</v>
      </c>
      <c r="L142" s="1097">
        <v>4</v>
      </c>
      <c r="M142" s="1097">
        <v>4</v>
      </c>
      <c r="N142" s="1097">
        <v>4</v>
      </c>
      <c r="O142" s="1097">
        <v>4</v>
      </c>
      <c r="P142" s="1097">
        <v>4</v>
      </c>
      <c r="Q142" s="1205">
        <v>4</v>
      </c>
      <c r="R142" s="1205">
        <v>4</v>
      </c>
      <c r="S142" s="1097">
        <v>4</v>
      </c>
      <c r="T142" s="1097">
        <v>4</v>
      </c>
      <c r="U142" s="1097">
        <v>4</v>
      </c>
      <c r="V142" s="1097">
        <v>4</v>
      </c>
      <c r="W142" s="1097">
        <v>4</v>
      </c>
      <c r="X142" s="1205">
        <v>4</v>
      </c>
      <c r="Y142" s="1205">
        <v>4</v>
      </c>
      <c r="Z142" s="1097">
        <v>4</v>
      </c>
      <c r="AA142" s="1097">
        <v>4</v>
      </c>
      <c r="AB142" s="1097">
        <v>4</v>
      </c>
      <c r="AC142" s="1097">
        <v>4</v>
      </c>
      <c r="AD142" s="1097">
        <v>4</v>
      </c>
      <c r="AE142" s="1205">
        <v>4</v>
      </c>
      <c r="AF142" s="1205">
        <v>4</v>
      </c>
      <c r="AG142" s="1097">
        <v>4</v>
      </c>
      <c r="AH142" s="1097">
        <v>4</v>
      </c>
      <c r="AI142" s="1328">
        <v>4</v>
      </c>
      <c r="AJ142" s="79"/>
      <c r="AK142" s="79"/>
      <c r="AL142" s="692"/>
      <c r="AM142" s="960"/>
      <c r="AN142" s="293"/>
      <c r="AO142" s="678"/>
      <c r="AP142" s="391"/>
      <c r="AQ142" s="48"/>
      <c r="AR142" s="48"/>
      <c r="AS142" s="48"/>
      <c r="AT142" s="48"/>
      <c r="AU142" s="48"/>
      <c r="AV142" s="4"/>
    </row>
    <row r="143" spans="1:48" s="23" customFormat="1" ht="20.65" customHeight="1">
      <c r="A143" s="296" t="s">
        <v>389</v>
      </c>
      <c r="B143" s="89"/>
      <c r="C143" s="1257"/>
      <c r="D143" s="81" t="s">
        <v>109</v>
      </c>
      <c r="E143" s="1125">
        <f>SUM(E137+E139+E140+E141)/E142</f>
        <v>2075</v>
      </c>
      <c r="F143" s="1126">
        <f>SUM(F137+F139+F140+F141)/F142</f>
        <v>3584</v>
      </c>
      <c r="G143" s="1235">
        <f t="shared" ref="G143:AI143" si="301">SUM(G137+G139+G140+G141)/G142</f>
        <v>3588</v>
      </c>
      <c r="H143" s="1126">
        <f t="shared" si="301"/>
        <v>3588</v>
      </c>
      <c r="I143" s="1126">
        <f t="shared" si="301"/>
        <v>3584</v>
      </c>
      <c r="J143" s="1235">
        <f t="shared" si="301"/>
        <v>3588</v>
      </c>
      <c r="K143" s="1235">
        <f t="shared" si="301"/>
        <v>3336</v>
      </c>
      <c r="L143" s="1126">
        <f t="shared" si="301"/>
        <v>3520</v>
      </c>
      <c r="M143" s="1126">
        <f t="shared" si="301"/>
        <v>3584</v>
      </c>
      <c r="N143" s="1126">
        <f t="shared" si="301"/>
        <v>3336</v>
      </c>
      <c r="O143" s="1126">
        <f t="shared" si="301"/>
        <v>925</v>
      </c>
      <c r="P143" s="1126">
        <f t="shared" si="301"/>
        <v>2598</v>
      </c>
      <c r="Q143" s="1235">
        <f t="shared" si="301"/>
        <v>3346</v>
      </c>
      <c r="R143" s="1235">
        <f t="shared" si="301"/>
        <v>3084</v>
      </c>
      <c r="S143" s="1126">
        <f t="shared" si="301"/>
        <v>3332</v>
      </c>
      <c r="T143" s="1126">
        <f t="shared" si="301"/>
        <v>3080</v>
      </c>
      <c r="U143" s="1126">
        <f t="shared" si="301"/>
        <v>1963</v>
      </c>
      <c r="V143" s="1126">
        <f t="shared" si="301"/>
        <v>60</v>
      </c>
      <c r="W143" s="1126">
        <f t="shared" si="301"/>
        <v>2858</v>
      </c>
      <c r="X143" s="1235">
        <f t="shared" si="301"/>
        <v>3336</v>
      </c>
      <c r="Y143" s="1235">
        <f t="shared" si="301"/>
        <v>3084</v>
      </c>
      <c r="Z143" s="1126">
        <f t="shared" si="301"/>
        <v>3320</v>
      </c>
      <c r="AA143" s="1126">
        <f t="shared" si="301"/>
        <v>3080</v>
      </c>
      <c r="AB143" s="1126">
        <f t="shared" si="301"/>
        <v>0</v>
      </c>
      <c r="AC143" s="1126">
        <f t="shared" si="301"/>
        <v>0</v>
      </c>
      <c r="AD143" s="1126">
        <f t="shared" si="301"/>
        <v>0</v>
      </c>
      <c r="AE143" s="1235">
        <f t="shared" si="301"/>
        <v>0</v>
      </c>
      <c r="AF143" s="1235">
        <f t="shared" si="301"/>
        <v>0</v>
      </c>
      <c r="AG143" s="1126">
        <f t="shared" si="301"/>
        <v>0</v>
      </c>
      <c r="AH143" s="1126">
        <f t="shared" si="301"/>
        <v>0</v>
      </c>
      <c r="AI143" s="1335">
        <f t="shared" si="301"/>
        <v>0</v>
      </c>
      <c r="AJ143" s="515">
        <f>SUM(E143:AI143)</f>
        <v>67849</v>
      </c>
      <c r="AK143" s="515"/>
      <c r="AL143" s="689"/>
      <c r="AM143" s="940"/>
      <c r="AN143" s="293"/>
      <c r="AO143" s="678"/>
      <c r="AP143" s="285"/>
      <c r="AQ143" s="285"/>
      <c r="AR143" s="285"/>
      <c r="AS143" s="285"/>
      <c r="AT143" s="286"/>
      <c r="AU143" s="285"/>
      <c r="AV143" s="287"/>
    </row>
    <row r="144" spans="1:48" s="23" customFormat="1" ht="20.65" customHeight="1">
      <c r="A144" s="296"/>
      <c r="B144" s="89" t="s">
        <v>547</v>
      </c>
      <c r="C144" s="72"/>
      <c r="D144" s="85" t="s">
        <v>110</v>
      </c>
      <c r="E144" s="1336"/>
      <c r="F144" s="1106"/>
      <c r="G144" s="1228"/>
      <c r="H144" s="1107"/>
      <c r="I144" s="1107"/>
      <c r="J144" s="1228"/>
      <c r="K144" s="1228"/>
      <c r="L144" s="1107"/>
      <c r="M144" s="1107"/>
      <c r="N144" s="1107"/>
      <c r="O144" s="1107" t="s">
        <v>534</v>
      </c>
      <c r="P144" s="1107"/>
      <c r="Q144" s="1228"/>
      <c r="R144" s="1228"/>
      <c r="S144" s="1107"/>
      <c r="T144" s="1107"/>
      <c r="U144" s="1107"/>
      <c r="V144" s="1107"/>
      <c r="W144" s="1107"/>
      <c r="X144" s="1228"/>
      <c r="Y144" s="1228"/>
      <c r="Z144" s="1107"/>
      <c r="AA144" s="1107"/>
      <c r="AB144" s="1107"/>
      <c r="AC144" s="1107"/>
      <c r="AD144" s="1107"/>
      <c r="AE144" s="1228"/>
      <c r="AF144" s="1228"/>
      <c r="AG144" s="1107"/>
      <c r="AH144" s="1107"/>
      <c r="AI144" s="1353"/>
      <c r="AJ144" s="86"/>
      <c r="AK144" s="86"/>
      <c r="AL144" s="690"/>
      <c r="AM144" s="940"/>
      <c r="AN144" s="293"/>
      <c r="AO144" s="678"/>
      <c r="AP144" s="285"/>
      <c r="AQ144" s="285"/>
      <c r="AR144" s="285"/>
      <c r="AS144" s="285"/>
      <c r="AT144" s="286"/>
      <c r="AU144" s="285"/>
      <c r="AV144" s="287"/>
    </row>
    <row r="145" spans="1:48" s="23" customFormat="1" ht="20.65" customHeight="1">
      <c r="A145" s="296"/>
      <c r="B145" s="89"/>
      <c r="C145" s="72" t="s">
        <v>104</v>
      </c>
      <c r="D145" s="88" t="s">
        <v>111</v>
      </c>
      <c r="E145" s="1108">
        <f>IF(E144="O/H",E143,0+E143)</f>
        <v>2075</v>
      </c>
      <c r="F145" s="1089">
        <f t="shared" ref="F145:AI145" si="302">IF(F144="O/H",F143,+E145+F143)</f>
        <v>5659</v>
      </c>
      <c r="G145" s="44">
        <f t="shared" si="302"/>
        <v>9247</v>
      </c>
      <c r="H145" s="1089">
        <f t="shared" si="302"/>
        <v>12835</v>
      </c>
      <c r="I145" s="1089">
        <f t="shared" si="302"/>
        <v>16419</v>
      </c>
      <c r="J145" s="44">
        <f t="shared" si="302"/>
        <v>20007</v>
      </c>
      <c r="K145" s="44">
        <f t="shared" si="302"/>
        <v>23343</v>
      </c>
      <c r="L145" s="1089">
        <f t="shared" si="302"/>
        <v>26863</v>
      </c>
      <c r="M145" s="1089">
        <f t="shared" si="302"/>
        <v>30447</v>
      </c>
      <c r="N145" s="1089">
        <f t="shared" si="302"/>
        <v>33783</v>
      </c>
      <c r="O145" s="1089">
        <f t="shared" si="302"/>
        <v>925</v>
      </c>
      <c r="P145" s="1089">
        <f t="shared" si="302"/>
        <v>3523</v>
      </c>
      <c r="Q145" s="44">
        <f t="shared" si="302"/>
        <v>6869</v>
      </c>
      <c r="R145" s="44">
        <f t="shared" si="302"/>
        <v>9953</v>
      </c>
      <c r="S145" s="1089">
        <f t="shared" si="302"/>
        <v>13285</v>
      </c>
      <c r="T145" s="1089">
        <f t="shared" si="302"/>
        <v>16365</v>
      </c>
      <c r="U145" s="1089">
        <f t="shared" si="302"/>
        <v>18328</v>
      </c>
      <c r="V145" s="1089">
        <f t="shared" si="302"/>
        <v>18388</v>
      </c>
      <c r="W145" s="1089">
        <f t="shared" si="302"/>
        <v>21246</v>
      </c>
      <c r="X145" s="44">
        <f t="shared" si="302"/>
        <v>24582</v>
      </c>
      <c r="Y145" s="44">
        <f t="shared" si="302"/>
        <v>27666</v>
      </c>
      <c r="Z145" s="1089">
        <f t="shared" si="302"/>
        <v>30986</v>
      </c>
      <c r="AA145" s="1089">
        <f t="shared" si="302"/>
        <v>34066</v>
      </c>
      <c r="AB145" s="1089">
        <f t="shared" si="302"/>
        <v>34066</v>
      </c>
      <c r="AC145" s="1089">
        <f t="shared" si="302"/>
        <v>34066</v>
      </c>
      <c r="AD145" s="1089">
        <f t="shared" si="302"/>
        <v>34066</v>
      </c>
      <c r="AE145" s="44">
        <f t="shared" si="302"/>
        <v>34066</v>
      </c>
      <c r="AF145" s="44">
        <f t="shared" si="302"/>
        <v>34066</v>
      </c>
      <c r="AG145" s="1089">
        <f t="shared" si="302"/>
        <v>34066</v>
      </c>
      <c r="AH145" s="1089">
        <f t="shared" si="302"/>
        <v>34066</v>
      </c>
      <c r="AI145" s="1326">
        <f t="shared" si="302"/>
        <v>34066</v>
      </c>
      <c r="AJ145" s="79"/>
      <c r="AK145" s="79"/>
      <c r="AL145" s="690"/>
      <c r="AM145" s="940"/>
      <c r="AN145" s="277"/>
      <c r="AO145" s="679"/>
      <c r="AP145" s="285"/>
      <c r="AQ145" s="285"/>
      <c r="AR145" s="285"/>
      <c r="AS145" s="285"/>
      <c r="AT145" s="286"/>
      <c r="AU145" s="285"/>
      <c r="AV145" s="287"/>
    </row>
    <row r="146" spans="1:48" s="23" customFormat="1" ht="20.45" customHeight="1">
      <c r="A146" s="312"/>
      <c r="B146" s="312"/>
      <c r="C146" s="308">
        <v>300000</v>
      </c>
      <c r="D146" s="795" t="s">
        <v>112</v>
      </c>
      <c r="E146" s="1117">
        <f>IF(AND(ISNUMBER(E137)),495011+E143)</f>
        <v>497086</v>
      </c>
      <c r="F146" s="1118">
        <f>IF(AND(ISNUMBER(F137)),E146+F143,"")</f>
        <v>500670</v>
      </c>
      <c r="G146" s="1216">
        <f t="shared" ref="G146" si="303">IF(AND(ISNUMBER(G137)),F146+G143,"")</f>
        <v>504258</v>
      </c>
      <c r="H146" s="1118">
        <f t="shared" ref="H146" si="304">IF(AND(ISNUMBER(H137)),G146+H143,"")</f>
        <v>507846</v>
      </c>
      <c r="I146" s="1118">
        <f>IF(AND(ISNUMBER(I137)),H146+I143,"")</f>
        <v>511430</v>
      </c>
      <c r="J146" s="1216">
        <f>IF(AND(ISNUMBER(J137)),I146+J143,"")</f>
        <v>515018</v>
      </c>
      <c r="K146" s="1216">
        <f>IF(AND(ISNUMBER(K137)),J146+K143,"")</f>
        <v>518354</v>
      </c>
      <c r="L146" s="1118">
        <f t="shared" ref="L146" si="305">IF(AND(ISNUMBER(L137)),K146+L143,"")</f>
        <v>521874</v>
      </c>
      <c r="M146" s="1118">
        <f t="shared" ref="M146" si="306">IF(AND(ISNUMBER(M137)),L146+M143,"")</f>
        <v>525458</v>
      </c>
      <c r="N146" s="1118">
        <f t="shared" ref="N146" si="307">IF(AND(ISNUMBER(N137)),M146+N143,"")</f>
        <v>528794</v>
      </c>
      <c r="O146" s="1118">
        <f t="shared" ref="O146" si="308">IF(AND(ISNUMBER(O137)),N146+O143,"")</f>
        <v>529719</v>
      </c>
      <c r="P146" s="1118">
        <f t="shared" ref="P146" si="309">IF(AND(ISNUMBER(P137)),O146+P143,"")</f>
        <v>532317</v>
      </c>
      <c r="Q146" s="1216">
        <f t="shared" ref="Q146" si="310">IF(AND(ISNUMBER(Q137)),P146+Q143,"")</f>
        <v>535663</v>
      </c>
      <c r="R146" s="1216">
        <f t="shared" ref="R146" si="311">IF(AND(ISNUMBER(R137)),Q146+R143,"")</f>
        <v>538747</v>
      </c>
      <c r="S146" s="1118">
        <f t="shared" ref="S146" si="312">IF(AND(ISNUMBER(S137)),R146+S143,"")</f>
        <v>542079</v>
      </c>
      <c r="T146" s="1118">
        <f t="shared" ref="T146" si="313">IF(AND(ISNUMBER(T137)),S146+T143,"")</f>
        <v>545159</v>
      </c>
      <c r="U146" s="1118">
        <f t="shared" ref="U146" si="314">IF(AND(ISNUMBER(U137)),T146+U143,"")</f>
        <v>547122</v>
      </c>
      <c r="V146" s="1118">
        <f t="shared" ref="V146" si="315">IF(AND(ISNUMBER(V137)),U146+V143,"")</f>
        <v>547182</v>
      </c>
      <c r="W146" s="1118">
        <f t="shared" ref="W146" si="316">IF(AND(ISNUMBER(W137)),V146+W143,"")</f>
        <v>550040</v>
      </c>
      <c r="X146" s="1216">
        <f t="shared" ref="X146" si="317">IF(AND(ISNUMBER(X137)),W146+X143,"")</f>
        <v>553376</v>
      </c>
      <c r="Y146" s="1216">
        <f t="shared" ref="Y146" si="318">IF(AND(ISNUMBER(Y137)),X146+Y143,"")</f>
        <v>556460</v>
      </c>
      <c r="Z146" s="1118">
        <f t="shared" ref="Z146" si="319">IF(AND(ISNUMBER(Z137)),Y146+Z143,"")</f>
        <v>559780</v>
      </c>
      <c r="AA146" s="1118">
        <f t="shared" ref="AA146" si="320">IF(AND(ISNUMBER(AA137)),Z146+AA143,"")</f>
        <v>562860</v>
      </c>
      <c r="AB146" s="1118" t="str">
        <f t="shared" ref="AB146" si="321">IF(AND(ISNUMBER(AB137)),AA146+AB143,"")</f>
        <v/>
      </c>
      <c r="AC146" s="1118" t="str">
        <f t="shared" ref="AC146" si="322">IF(AND(ISNUMBER(AC137)),AB146+AC143,"")</f>
        <v/>
      </c>
      <c r="AD146" s="1118" t="str">
        <f t="shared" ref="AD146" si="323">IF(AND(ISNUMBER(AD137)),AC146+AD143,"")</f>
        <v/>
      </c>
      <c r="AE146" s="1216" t="str">
        <f t="shared" ref="AE146" si="324">IF(AND(ISNUMBER(AE137)),AD146+AE143,"")</f>
        <v/>
      </c>
      <c r="AF146" s="1216" t="str">
        <f t="shared" ref="AF146" si="325">IF(AND(ISNUMBER(AF137)),AE146+AF143,"")</f>
        <v/>
      </c>
      <c r="AG146" s="1118" t="str">
        <f t="shared" ref="AG146" si="326">IF(AND(ISNUMBER(AG137)),AF146+AG143,"")</f>
        <v/>
      </c>
      <c r="AH146" s="1118" t="str">
        <f t="shared" ref="AH146" si="327">IF(AND(ISNUMBER(AH137)),AG146+AH143,"")</f>
        <v/>
      </c>
      <c r="AI146" s="1118" t="str">
        <f t="shared" ref="AI146" si="328">IF(AND(ISNUMBER(AI137)),AH146+AI143,"")</f>
        <v/>
      </c>
      <c r="AJ146" s="793"/>
      <c r="AK146" s="793"/>
      <c r="AL146" s="909"/>
      <c r="AM146" s="794"/>
      <c r="AN146" s="429"/>
      <c r="AO146" s="675"/>
      <c r="AP146" s="285"/>
      <c r="AQ146" s="285"/>
      <c r="AR146" s="285"/>
      <c r="AS146" s="285"/>
      <c r="AT146" s="286"/>
      <c r="AU146" s="285"/>
      <c r="AV146" s="287"/>
    </row>
    <row r="147" spans="1:48" s="23" customFormat="1" ht="20.65" customHeight="1">
      <c r="A147" s="296"/>
      <c r="B147" s="89"/>
      <c r="C147" s="80" t="s">
        <v>108</v>
      </c>
      <c r="D147" s="90" t="s">
        <v>104</v>
      </c>
      <c r="E147" s="1338"/>
      <c r="F147" s="1106"/>
      <c r="G147" s="1253"/>
      <c r="H147" s="1106"/>
      <c r="I147" s="1106"/>
      <c r="J147" s="1253"/>
      <c r="K147" s="1253"/>
      <c r="L147" s="1106"/>
      <c r="M147" s="1106"/>
      <c r="N147" s="1106"/>
      <c r="O147" s="1106"/>
      <c r="P147" s="1106"/>
      <c r="Q147" s="1253"/>
      <c r="R147" s="1253"/>
      <c r="S147" s="1106"/>
      <c r="T147" s="1106"/>
      <c r="U147" s="1106"/>
      <c r="V147" s="1106"/>
      <c r="W147" s="1106"/>
      <c r="X147" s="1253"/>
      <c r="Y147" s="1253"/>
      <c r="Z147" s="1106"/>
      <c r="AA147" s="1106"/>
      <c r="AB147" s="1106"/>
      <c r="AC147" s="1106"/>
      <c r="AD147" s="1106"/>
      <c r="AE147" s="1253"/>
      <c r="AF147" s="1253"/>
      <c r="AG147" s="1106"/>
      <c r="AH147" s="1106"/>
      <c r="AI147" s="1339"/>
      <c r="AJ147" s="79"/>
      <c r="AK147" s="79"/>
      <c r="AL147" s="690"/>
      <c r="AM147" s="940"/>
      <c r="AN147" s="277"/>
      <c r="AO147" s="679"/>
      <c r="AP147" s="285"/>
      <c r="AQ147" s="285"/>
      <c r="AR147" s="285"/>
      <c r="AS147" s="285"/>
      <c r="AT147" s="286"/>
      <c r="AU147" s="285"/>
      <c r="AV147" s="287"/>
    </row>
    <row r="148" spans="1:48" s="23" customFormat="1" ht="20.65" customHeight="1" thickBot="1">
      <c r="A148" s="310"/>
      <c r="B148" s="93"/>
      <c r="C148" s="94">
        <f>+C146*0.8</f>
        <v>240000</v>
      </c>
      <c r="D148" s="88" t="s">
        <v>111</v>
      </c>
      <c r="E148" s="1109">
        <f>IF(E147="O/H",E143,521868+E143)</f>
        <v>523943</v>
      </c>
      <c r="F148" s="1110">
        <f t="shared" ref="F148:AI148" si="329">IF(F147="O/H",F143,+E148+F143)</f>
        <v>527527</v>
      </c>
      <c r="G148" s="1212">
        <f t="shared" si="329"/>
        <v>531115</v>
      </c>
      <c r="H148" s="1110">
        <f t="shared" si="329"/>
        <v>534703</v>
      </c>
      <c r="I148" s="1110">
        <f t="shared" si="329"/>
        <v>538287</v>
      </c>
      <c r="J148" s="1212">
        <f t="shared" si="329"/>
        <v>541875</v>
      </c>
      <c r="K148" s="1212">
        <f t="shared" si="329"/>
        <v>545211</v>
      </c>
      <c r="L148" s="1110">
        <f t="shared" si="329"/>
        <v>548731</v>
      </c>
      <c r="M148" s="1110">
        <f t="shared" si="329"/>
        <v>552315</v>
      </c>
      <c r="N148" s="1110">
        <f t="shared" si="329"/>
        <v>555651</v>
      </c>
      <c r="O148" s="1110">
        <f t="shared" si="329"/>
        <v>556576</v>
      </c>
      <c r="P148" s="1110">
        <f t="shared" si="329"/>
        <v>559174</v>
      </c>
      <c r="Q148" s="1212">
        <f t="shared" si="329"/>
        <v>562520</v>
      </c>
      <c r="R148" s="1212">
        <f t="shared" si="329"/>
        <v>565604</v>
      </c>
      <c r="S148" s="1110">
        <f t="shared" si="329"/>
        <v>568936</v>
      </c>
      <c r="T148" s="1110">
        <f t="shared" si="329"/>
        <v>572016</v>
      </c>
      <c r="U148" s="1110">
        <f t="shared" si="329"/>
        <v>573979</v>
      </c>
      <c r="V148" s="1110">
        <f t="shared" si="329"/>
        <v>574039</v>
      </c>
      <c r="W148" s="1110">
        <f t="shared" si="329"/>
        <v>576897</v>
      </c>
      <c r="X148" s="1212">
        <f t="shared" si="329"/>
        <v>580233</v>
      </c>
      <c r="Y148" s="1212">
        <f t="shared" si="329"/>
        <v>583317</v>
      </c>
      <c r="Z148" s="1110">
        <f t="shared" si="329"/>
        <v>586637</v>
      </c>
      <c r="AA148" s="1110">
        <f t="shared" si="329"/>
        <v>589717</v>
      </c>
      <c r="AB148" s="1110">
        <f t="shared" si="329"/>
        <v>589717</v>
      </c>
      <c r="AC148" s="1110">
        <f t="shared" si="329"/>
        <v>589717</v>
      </c>
      <c r="AD148" s="1110">
        <f t="shared" si="329"/>
        <v>589717</v>
      </c>
      <c r="AE148" s="1212">
        <f t="shared" si="329"/>
        <v>589717</v>
      </c>
      <c r="AF148" s="1212">
        <f t="shared" si="329"/>
        <v>589717</v>
      </c>
      <c r="AG148" s="1110">
        <f t="shared" si="329"/>
        <v>589717</v>
      </c>
      <c r="AH148" s="1110">
        <f t="shared" si="329"/>
        <v>589717</v>
      </c>
      <c r="AI148" s="1110">
        <f t="shared" si="329"/>
        <v>589717</v>
      </c>
      <c r="AJ148" s="96"/>
      <c r="AK148" s="723"/>
      <c r="AL148" s="695"/>
      <c r="AM148" s="961"/>
      <c r="AN148" s="292"/>
      <c r="AO148" s="681"/>
      <c r="AP148" s="285"/>
      <c r="AQ148" s="285"/>
      <c r="AR148" s="285"/>
      <c r="AS148" s="285"/>
      <c r="AT148" s="286"/>
      <c r="AU148" s="285"/>
      <c r="AV148" s="287"/>
    </row>
    <row r="149" spans="1:48" s="23" customFormat="1" ht="20.65" hidden="1" customHeight="1" thickTop="1">
      <c r="A149" s="952" t="s">
        <v>707</v>
      </c>
      <c r="B149" s="314" t="s">
        <v>685</v>
      </c>
      <c r="C149" s="1493" t="str">
        <f>Table2[[#This Row],[M/C No.]]</f>
        <v>H6(50ton)</v>
      </c>
      <c r="D149" s="28" t="s">
        <v>82</v>
      </c>
      <c r="E149" s="1124"/>
      <c r="F149" s="1124"/>
      <c r="G149" s="1242"/>
      <c r="H149" s="1124"/>
      <c r="I149" s="1124"/>
      <c r="J149" s="1242"/>
      <c r="K149" s="1242"/>
      <c r="L149" s="1124"/>
      <c r="M149" s="1124"/>
      <c r="N149" s="1124"/>
      <c r="O149" s="1124"/>
      <c r="P149" s="1124"/>
      <c r="Q149" s="1242"/>
      <c r="R149" s="1242"/>
      <c r="S149" s="1124"/>
      <c r="T149" s="1124"/>
      <c r="U149" s="1124"/>
      <c r="V149" s="1124"/>
      <c r="W149" s="1124"/>
      <c r="X149" s="1242"/>
      <c r="Y149" s="1242"/>
      <c r="Z149" s="1124"/>
      <c r="AA149" s="1124"/>
      <c r="AB149" s="1124"/>
      <c r="AC149" s="1124"/>
      <c r="AD149" s="1124"/>
      <c r="AE149" s="1242"/>
      <c r="AF149" s="1242"/>
      <c r="AG149" s="1124"/>
      <c r="AH149" s="1124"/>
      <c r="AI149" s="1350"/>
      <c r="AJ149" s="100">
        <f>SUM(E149:AI149)</f>
        <v>0</v>
      </c>
      <c r="AK149" s="1000">
        <f>AJ151</f>
        <v>0</v>
      </c>
      <c r="AL149" s="101">
        <f>+AJ149*AN149</f>
        <v>0</v>
      </c>
      <c r="AM149" s="1019">
        <f>AL151</f>
        <v>0</v>
      </c>
      <c r="AN149" s="273">
        <v>4.1147499999999999</v>
      </c>
      <c r="AO149" s="633">
        <f>Table2[[#This Row],[Total]]*B153/1000</f>
        <v>0</v>
      </c>
      <c r="AP149" s="32" t="s">
        <v>393</v>
      </c>
      <c r="AQ149" s="33" t="s">
        <v>84</v>
      </c>
      <c r="AR149" s="33" t="s">
        <v>85</v>
      </c>
      <c r="AS149" s="33" t="s">
        <v>86</v>
      </c>
      <c r="AT149" s="33" t="s">
        <v>87</v>
      </c>
      <c r="AU149" s="33" t="s">
        <v>88</v>
      </c>
      <c r="AV149" s="34" t="s">
        <v>68</v>
      </c>
    </row>
    <row r="150" spans="1:48" s="23" customFormat="1" ht="20.65" hidden="1" customHeight="1">
      <c r="A150" s="274"/>
      <c r="B150" s="89" t="s">
        <v>394</v>
      </c>
      <c r="C150" s="275"/>
      <c r="D150" s="37" t="s">
        <v>90</v>
      </c>
      <c r="E150" s="1323">
        <f>IF(E149="",0,+ E149/E156)</f>
        <v>0</v>
      </c>
      <c r="F150" s="1096">
        <f t="shared" ref="F150:AC150" si="330">IF(F149="",0, E150+F149/F156)</f>
        <v>0</v>
      </c>
      <c r="G150" s="1207">
        <f t="shared" si="330"/>
        <v>0</v>
      </c>
      <c r="H150" s="1096">
        <f t="shared" si="330"/>
        <v>0</v>
      </c>
      <c r="I150" s="1096">
        <f t="shared" si="330"/>
        <v>0</v>
      </c>
      <c r="J150" s="1207">
        <f t="shared" si="330"/>
        <v>0</v>
      </c>
      <c r="K150" s="1207">
        <f t="shared" si="330"/>
        <v>0</v>
      </c>
      <c r="L150" s="1096">
        <f t="shared" si="330"/>
        <v>0</v>
      </c>
      <c r="M150" s="1096">
        <f t="shared" si="330"/>
        <v>0</v>
      </c>
      <c r="N150" s="1096">
        <f t="shared" si="330"/>
        <v>0</v>
      </c>
      <c r="O150" s="1096">
        <f t="shared" si="330"/>
        <v>0</v>
      </c>
      <c r="P150" s="1096">
        <f t="shared" si="330"/>
        <v>0</v>
      </c>
      <c r="Q150" s="1207">
        <f t="shared" si="330"/>
        <v>0</v>
      </c>
      <c r="R150" s="1207">
        <f t="shared" si="330"/>
        <v>0</v>
      </c>
      <c r="S150" s="1096">
        <f t="shared" si="330"/>
        <v>0</v>
      </c>
      <c r="T150" s="1096">
        <f t="shared" si="330"/>
        <v>0</v>
      </c>
      <c r="U150" s="1096">
        <f t="shared" si="330"/>
        <v>0</v>
      </c>
      <c r="V150" s="1096">
        <f t="shared" si="330"/>
        <v>0</v>
      </c>
      <c r="W150" s="1096">
        <f t="shared" si="330"/>
        <v>0</v>
      </c>
      <c r="X150" s="1207">
        <f t="shared" si="330"/>
        <v>0</v>
      </c>
      <c r="Y150" s="1207">
        <f t="shared" si="330"/>
        <v>0</v>
      </c>
      <c r="Z150" s="1096">
        <f t="shared" si="330"/>
        <v>0</v>
      </c>
      <c r="AA150" s="1096">
        <f t="shared" si="330"/>
        <v>0</v>
      </c>
      <c r="AB150" s="1096">
        <f t="shared" si="330"/>
        <v>0</v>
      </c>
      <c r="AC150" s="1096">
        <f t="shared" si="330"/>
        <v>0</v>
      </c>
      <c r="AD150" s="1096">
        <f>IF(AD149="",0, Z150+AD149/AD156)</f>
        <v>0</v>
      </c>
      <c r="AE150" s="1207">
        <f>IF(AE149="",0, AA150+AE149/AE156)</f>
        <v>0</v>
      </c>
      <c r="AF150" s="1207">
        <f>IF(AF149="",0, AB150+AF149/AF156)</f>
        <v>0</v>
      </c>
      <c r="AG150" s="1096">
        <f>IF(AG149="",0, AC150+AG149/AG156)</f>
        <v>0</v>
      </c>
      <c r="AH150" s="1096">
        <f>IF(AH149="",0, AD150+AH149/AH156)</f>
        <v>0</v>
      </c>
      <c r="AI150" s="1324">
        <f>IF(AI149="",0, AH150+AI149/AI156)</f>
        <v>0</v>
      </c>
      <c r="AJ150" s="716"/>
      <c r="AK150" s="716"/>
      <c r="AL150" s="209"/>
      <c r="AM150" s="794"/>
      <c r="AN150" s="91"/>
      <c r="AO150" s="675"/>
      <c r="AP150" s="39" t="s">
        <v>91</v>
      </c>
      <c r="AQ150" s="40">
        <f>SUM(E149:K149)</f>
        <v>0</v>
      </c>
      <c r="AR150" s="41">
        <f>SUM(L149:R149)</f>
        <v>0</v>
      </c>
      <c r="AS150" s="41">
        <f>SUM(S149:Y149)</f>
        <v>0</v>
      </c>
      <c r="AT150" s="41">
        <f>SUM(Z149:AF149)</f>
        <v>0</v>
      </c>
      <c r="AU150" s="41">
        <f>SUM(AG149:AI149)</f>
        <v>0</v>
      </c>
      <c r="AV150" s="34">
        <f t="shared" ref="AV150:AV155" si="331">SUM(AQ150:AU150)</f>
        <v>0</v>
      </c>
    </row>
    <row r="151" spans="1:48" s="23" customFormat="1" ht="20.65" hidden="1" customHeight="1">
      <c r="A151" s="296" t="s">
        <v>389</v>
      </c>
      <c r="B151" s="89" t="s">
        <v>246</v>
      </c>
      <c r="C151" s="42"/>
      <c r="D151" s="43" t="s">
        <v>93</v>
      </c>
      <c r="E151" s="1108"/>
      <c r="F151" s="1089"/>
      <c r="G151" s="44"/>
      <c r="H151" s="1089"/>
      <c r="I151" s="1089"/>
      <c r="J151" s="44"/>
      <c r="K151" s="44"/>
      <c r="L151" s="1089"/>
      <c r="M151" s="1089"/>
      <c r="N151" s="1089"/>
      <c r="O151" s="1089"/>
      <c r="P151" s="1089"/>
      <c r="Q151" s="44"/>
      <c r="R151" s="44"/>
      <c r="S151" s="1089"/>
      <c r="T151" s="1089"/>
      <c r="U151" s="1089"/>
      <c r="V151" s="1089"/>
      <c r="W151" s="1089"/>
      <c r="X151" s="44"/>
      <c r="Y151" s="44"/>
      <c r="Z151" s="1089"/>
      <c r="AA151" s="1089"/>
      <c r="AB151" s="1089"/>
      <c r="AC151" s="1089"/>
      <c r="AD151" s="1089"/>
      <c r="AE151" s="44"/>
      <c r="AF151" s="44"/>
      <c r="AG151" s="1108"/>
      <c r="AH151" s="1108"/>
      <c r="AI151" s="1326"/>
      <c r="AJ151" s="45">
        <f>SUM(E151:AI151)</f>
        <v>0</v>
      </c>
      <c r="AK151" s="45"/>
      <c r="AL151" s="46">
        <f>+AJ151*AN149</f>
        <v>0</v>
      </c>
      <c r="AM151" s="934"/>
      <c r="AN151" s="277"/>
      <c r="AO151" s="632">
        <f>(AJ151+AJ153+AJ154+AJ155)*B153/1000</f>
        <v>0</v>
      </c>
      <c r="AP151" s="47" t="s">
        <v>94</v>
      </c>
      <c r="AQ151" s="48">
        <f>SUM(E151:K151)</f>
        <v>0</v>
      </c>
      <c r="AR151" s="49">
        <f>SUM(L151:R151)</f>
        <v>0</v>
      </c>
      <c r="AS151" s="49">
        <f>SUM(S151:Y151)</f>
        <v>0</v>
      </c>
      <c r="AT151" s="49">
        <f>SUM(Z151:AF151)</f>
        <v>0</v>
      </c>
      <c r="AU151" s="49">
        <f>SUM(AG151:AI151)</f>
        <v>0</v>
      </c>
      <c r="AV151" s="50">
        <f t="shared" si="331"/>
        <v>0</v>
      </c>
    </row>
    <row r="152" spans="1:48" s="23" customFormat="1" ht="20.65" hidden="1" customHeight="1">
      <c r="A152" s="296" t="s">
        <v>389</v>
      </c>
      <c r="B152" s="763" t="s">
        <v>247</v>
      </c>
      <c r="C152" s="280"/>
      <c r="D152" s="53" t="s">
        <v>96</v>
      </c>
      <c r="E152" s="1137">
        <f t="shared" ref="E152:AJ152" si="332">+E151-E149</f>
        <v>0</v>
      </c>
      <c r="F152" s="1097">
        <f t="shared" si="332"/>
        <v>0</v>
      </c>
      <c r="G152" s="1205">
        <f t="shared" si="332"/>
        <v>0</v>
      </c>
      <c r="H152" s="1097">
        <f t="shared" si="332"/>
        <v>0</v>
      </c>
      <c r="I152" s="1097">
        <f t="shared" si="332"/>
        <v>0</v>
      </c>
      <c r="J152" s="1205">
        <f t="shared" si="332"/>
        <v>0</v>
      </c>
      <c r="K152" s="1205">
        <f t="shared" si="332"/>
        <v>0</v>
      </c>
      <c r="L152" s="1097">
        <f t="shared" si="332"/>
        <v>0</v>
      </c>
      <c r="M152" s="1097">
        <f t="shared" si="332"/>
        <v>0</v>
      </c>
      <c r="N152" s="1097">
        <f t="shared" si="332"/>
        <v>0</v>
      </c>
      <c r="O152" s="1097">
        <f t="shared" si="332"/>
        <v>0</v>
      </c>
      <c r="P152" s="1097">
        <f t="shared" si="332"/>
        <v>0</v>
      </c>
      <c r="Q152" s="1205">
        <f t="shared" si="332"/>
        <v>0</v>
      </c>
      <c r="R152" s="1205">
        <f t="shared" si="332"/>
        <v>0</v>
      </c>
      <c r="S152" s="1097">
        <v>0</v>
      </c>
      <c r="T152" s="1097">
        <v>0</v>
      </c>
      <c r="U152" s="1097">
        <f t="shared" si="332"/>
        <v>0</v>
      </c>
      <c r="V152" s="1097">
        <f t="shared" si="332"/>
        <v>0</v>
      </c>
      <c r="W152" s="1097">
        <f t="shared" si="332"/>
        <v>0</v>
      </c>
      <c r="X152" s="1205">
        <f t="shared" si="332"/>
        <v>0</v>
      </c>
      <c r="Y152" s="1205">
        <f t="shared" si="332"/>
        <v>0</v>
      </c>
      <c r="Z152" s="1097">
        <f t="shared" si="332"/>
        <v>0</v>
      </c>
      <c r="AA152" s="1097">
        <f t="shared" si="332"/>
        <v>0</v>
      </c>
      <c r="AB152" s="1097">
        <f t="shared" si="332"/>
        <v>0</v>
      </c>
      <c r="AC152" s="1097">
        <f t="shared" si="332"/>
        <v>0</v>
      </c>
      <c r="AD152" s="1097">
        <f t="shared" si="332"/>
        <v>0</v>
      </c>
      <c r="AE152" s="1205">
        <f t="shared" si="332"/>
        <v>0</v>
      </c>
      <c r="AF152" s="1205">
        <f t="shared" si="332"/>
        <v>0</v>
      </c>
      <c r="AG152" s="1097">
        <f t="shared" si="332"/>
        <v>0</v>
      </c>
      <c r="AH152" s="1097">
        <f t="shared" si="332"/>
        <v>0</v>
      </c>
      <c r="AI152" s="1328">
        <f t="shared" si="332"/>
        <v>0</v>
      </c>
      <c r="AJ152" s="79">
        <f t="shared" si="332"/>
        <v>0</v>
      </c>
      <c r="AK152" s="79"/>
      <c r="AL152" s="55">
        <f>+AJ152*AN149</f>
        <v>0</v>
      </c>
      <c r="AM152" s="935"/>
      <c r="AN152" s="277" t="s">
        <v>97</v>
      </c>
      <c r="AO152" s="622"/>
      <c r="AP152" s="39" t="s">
        <v>98</v>
      </c>
      <c r="AQ152" s="56">
        <f>AQ151-AQ150</f>
        <v>0</v>
      </c>
      <c r="AR152" s="70">
        <f>AR151-AR150</f>
        <v>0</v>
      </c>
      <c r="AS152" s="70">
        <f>AS151-AS150</f>
        <v>0</v>
      </c>
      <c r="AT152" s="70">
        <f>AT151-AT150</f>
        <v>0</v>
      </c>
      <c r="AU152" s="70">
        <f>AU151-AU150</f>
        <v>0</v>
      </c>
      <c r="AV152" s="57">
        <f t="shared" si="331"/>
        <v>0</v>
      </c>
    </row>
    <row r="153" spans="1:48" s="23" customFormat="1" ht="20.65" hidden="1" customHeight="1">
      <c r="A153" s="296" t="s">
        <v>389</v>
      </c>
      <c r="B153" s="765">
        <v>2.0987499999999999</v>
      </c>
      <c r="C153" s="305"/>
      <c r="D153" s="61" t="s">
        <v>101</v>
      </c>
      <c r="E153" s="1098"/>
      <c r="F153" s="1099"/>
      <c r="G153" s="1208"/>
      <c r="H153" s="1099"/>
      <c r="I153" s="1099"/>
      <c r="J153" s="1208"/>
      <c r="K153" s="1208"/>
      <c r="L153" s="1099"/>
      <c r="M153" s="1099"/>
      <c r="N153" s="1099"/>
      <c r="O153" s="1099"/>
      <c r="P153" s="1099"/>
      <c r="Q153" s="1208"/>
      <c r="R153" s="1208"/>
      <c r="S153" s="1099"/>
      <c r="T153" s="1099"/>
      <c r="U153" s="1099"/>
      <c r="V153" s="1099"/>
      <c r="W153" s="1099"/>
      <c r="X153" s="1208"/>
      <c r="Y153" s="1208"/>
      <c r="Z153" s="1099"/>
      <c r="AA153" s="1099"/>
      <c r="AB153" s="1099"/>
      <c r="AC153" s="1099"/>
      <c r="AD153" s="1099"/>
      <c r="AE153" s="1208"/>
      <c r="AF153" s="1208"/>
      <c r="AG153" s="1099"/>
      <c r="AH153" s="1099"/>
      <c r="AI153" s="1330"/>
      <c r="AJ153" s="62">
        <f>SUM(E153:AI153)</f>
        <v>0</v>
      </c>
      <c r="AK153" s="62"/>
      <c r="AL153" s="63">
        <f>+AJ153*AN149</f>
        <v>0</v>
      </c>
      <c r="AM153" s="936"/>
      <c r="AN153" s="301" t="e">
        <f>+AJ153/AJ151*100</f>
        <v>#DIV/0!</v>
      </c>
      <c r="AO153" s="635" t="e">
        <f>AO151/AO149</f>
        <v>#DIV/0!</v>
      </c>
      <c r="AP153" s="39" t="s">
        <v>102</v>
      </c>
      <c r="AQ153" s="56">
        <f>SUM(E153:K153)</f>
        <v>0</v>
      </c>
      <c r="AR153" s="70">
        <f>SUM(L153:R153)</f>
        <v>0</v>
      </c>
      <c r="AS153" s="70">
        <f>SUM(S153:Y153)</f>
        <v>0</v>
      </c>
      <c r="AT153" s="70">
        <f>SUM(Z153:AF153)</f>
        <v>0</v>
      </c>
      <c r="AU153" s="70">
        <f>SUM(AG153:AI153)</f>
        <v>0</v>
      </c>
      <c r="AV153" s="57">
        <f t="shared" si="331"/>
        <v>0</v>
      </c>
    </row>
    <row r="154" spans="1:48" s="23" customFormat="1" ht="20.65" hidden="1" customHeight="1">
      <c r="A154" s="296" t="s">
        <v>389</v>
      </c>
      <c r="B154" s="334" t="s">
        <v>390</v>
      </c>
      <c r="C154" s="52" t="s">
        <v>95</v>
      </c>
      <c r="D154" s="67" t="s">
        <v>103</v>
      </c>
      <c r="E154" s="1100"/>
      <c r="F154" s="1101"/>
      <c r="G154" s="1209"/>
      <c r="H154" s="1101"/>
      <c r="I154" s="1101"/>
      <c r="J154" s="1209"/>
      <c r="K154" s="1209"/>
      <c r="L154" s="1101"/>
      <c r="M154" s="1101"/>
      <c r="N154" s="1101"/>
      <c r="O154" s="1101"/>
      <c r="P154" s="1101"/>
      <c r="Q154" s="1209"/>
      <c r="R154" s="1209"/>
      <c r="S154" s="1101"/>
      <c r="T154" s="1101"/>
      <c r="U154" s="1101"/>
      <c r="V154" s="1101"/>
      <c r="W154" s="1101"/>
      <c r="X154" s="1209"/>
      <c r="Y154" s="1209"/>
      <c r="Z154" s="1101"/>
      <c r="AA154" s="1101"/>
      <c r="AB154" s="1101"/>
      <c r="AC154" s="1101"/>
      <c r="AD154" s="1101"/>
      <c r="AE154" s="1209"/>
      <c r="AF154" s="1209"/>
      <c r="AG154" s="1101"/>
      <c r="AH154" s="1101"/>
      <c r="AI154" s="1332"/>
      <c r="AJ154" s="68">
        <f>SUM(E154:AI154)</f>
        <v>0</v>
      </c>
      <c r="AK154" s="68"/>
      <c r="AL154" s="69">
        <f>+AJ154*AN149</f>
        <v>0</v>
      </c>
      <c r="AM154" s="937"/>
      <c r="AN154" s="277"/>
      <c r="AO154" s="679"/>
      <c r="AP154" s="39" t="s">
        <v>19</v>
      </c>
      <c r="AQ154" s="56">
        <f>AQ153*AN149</f>
        <v>0</v>
      </c>
      <c r="AR154" s="56">
        <f>AR153*AN149</f>
        <v>0</v>
      </c>
      <c r="AS154" s="56">
        <f>AS153*AN149</f>
        <v>0</v>
      </c>
      <c r="AT154" s="56">
        <f>AT153*AN149</f>
        <v>0</v>
      </c>
      <c r="AU154" s="56">
        <f>AU153*AN149</f>
        <v>0</v>
      </c>
      <c r="AV154" s="57">
        <f t="shared" si="331"/>
        <v>0</v>
      </c>
    </row>
    <row r="155" spans="1:48" s="23" customFormat="1" ht="20.65" hidden="1" customHeight="1">
      <c r="A155" s="270"/>
      <c r="B155" s="89"/>
      <c r="C155" s="306" t="s">
        <v>387</v>
      </c>
      <c r="D155" s="73" t="s">
        <v>105</v>
      </c>
      <c r="E155" s="1115"/>
      <c r="F155" s="1115"/>
      <c r="G155" s="1203"/>
      <c r="H155" s="1115"/>
      <c r="I155" s="1115"/>
      <c r="J155" s="1203"/>
      <c r="K155" s="1203"/>
      <c r="L155" s="1115"/>
      <c r="M155" s="1115"/>
      <c r="N155" s="1115"/>
      <c r="O155" s="1115"/>
      <c r="P155" s="1115"/>
      <c r="Q155" s="1203"/>
      <c r="R155" s="1203"/>
      <c r="S155" s="1115"/>
      <c r="T155" s="1115"/>
      <c r="U155" s="1115"/>
      <c r="V155" s="1115"/>
      <c r="W155" s="1115"/>
      <c r="X155" s="1203"/>
      <c r="Y155" s="1203"/>
      <c r="Z155" s="1115"/>
      <c r="AA155" s="1115"/>
      <c r="AB155" s="1115"/>
      <c r="AC155" s="1115"/>
      <c r="AD155" s="1115"/>
      <c r="AE155" s="1203"/>
      <c r="AF155" s="1203"/>
      <c r="AG155" s="1115"/>
      <c r="AH155" s="1115"/>
      <c r="AI155" s="1334"/>
      <c r="AJ155" s="717">
        <f>SUM(E155:AI155)</f>
        <v>0</v>
      </c>
      <c r="AK155" s="717"/>
      <c r="AL155" s="220">
        <f>+AJ155*AN149</f>
        <v>0</v>
      </c>
      <c r="AM155" s="962"/>
      <c r="AN155" s="91"/>
      <c r="AO155" s="630"/>
      <c r="AP155" s="47" t="s">
        <v>106</v>
      </c>
      <c r="AQ155" s="48">
        <f>AQ151*AN149</f>
        <v>0</v>
      </c>
      <c r="AR155" s="48">
        <f>AR151*AN149</f>
        <v>0</v>
      </c>
      <c r="AS155" s="48">
        <f>AS151*AN149</f>
        <v>0</v>
      </c>
      <c r="AT155" s="48">
        <f>AT151*AN149</f>
        <v>0</v>
      </c>
      <c r="AU155" s="48">
        <f>AU151*AN149</f>
        <v>0</v>
      </c>
      <c r="AV155" s="50">
        <f t="shared" si="331"/>
        <v>0</v>
      </c>
    </row>
    <row r="156" spans="1:48" s="23" customFormat="1" ht="20.65" hidden="1" customHeight="1">
      <c r="A156" s="296" t="s">
        <v>389</v>
      </c>
      <c r="B156" s="89"/>
      <c r="C156" s="307"/>
      <c r="D156" s="78" t="s">
        <v>107</v>
      </c>
      <c r="E156" s="1137">
        <v>4</v>
      </c>
      <c r="F156" s="1097">
        <v>4</v>
      </c>
      <c r="G156" s="1205">
        <v>4</v>
      </c>
      <c r="H156" s="1097">
        <v>4</v>
      </c>
      <c r="I156" s="1097">
        <v>4</v>
      </c>
      <c r="J156" s="1205">
        <v>4</v>
      </c>
      <c r="K156" s="1205">
        <v>4</v>
      </c>
      <c r="L156" s="1097">
        <v>4</v>
      </c>
      <c r="M156" s="1097">
        <v>4</v>
      </c>
      <c r="N156" s="1097">
        <v>4</v>
      </c>
      <c r="O156" s="1097">
        <v>4</v>
      </c>
      <c r="P156" s="1097">
        <v>4</v>
      </c>
      <c r="Q156" s="1205">
        <v>4</v>
      </c>
      <c r="R156" s="1205">
        <v>4</v>
      </c>
      <c r="S156" s="1097">
        <v>4</v>
      </c>
      <c r="T156" s="1097">
        <v>4</v>
      </c>
      <c r="U156" s="1097">
        <v>4</v>
      </c>
      <c r="V156" s="1097">
        <v>4</v>
      </c>
      <c r="W156" s="1097">
        <v>4</v>
      </c>
      <c r="X156" s="1205">
        <v>4</v>
      </c>
      <c r="Y156" s="1205">
        <v>4</v>
      </c>
      <c r="Z156" s="1097">
        <v>4</v>
      </c>
      <c r="AA156" s="1097">
        <v>4</v>
      </c>
      <c r="AB156" s="1097">
        <v>4</v>
      </c>
      <c r="AC156" s="1097">
        <v>4</v>
      </c>
      <c r="AD156" s="1097">
        <v>4</v>
      </c>
      <c r="AE156" s="1205">
        <v>4</v>
      </c>
      <c r="AF156" s="1205">
        <v>4</v>
      </c>
      <c r="AG156" s="1097">
        <v>4</v>
      </c>
      <c r="AH156" s="1097">
        <v>4</v>
      </c>
      <c r="AI156" s="1328">
        <v>4</v>
      </c>
      <c r="AJ156" s="79"/>
      <c r="AK156" s="79"/>
      <c r="AL156" s="692"/>
      <c r="AM156" s="960"/>
      <c r="AN156" s="277"/>
      <c r="AO156" s="679"/>
      <c r="AP156" s="47"/>
      <c r="AQ156" s="48"/>
      <c r="AR156" s="48"/>
      <c r="AS156" s="48"/>
      <c r="AT156" s="48"/>
      <c r="AU156" s="48"/>
      <c r="AV156" s="284"/>
    </row>
    <row r="157" spans="1:48" s="23" customFormat="1" ht="20.65" hidden="1" customHeight="1">
      <c r="A157" s="296" t="s">
        <v>389</v>
      </c>
      <c r="B157" s="89"/>
      <c r="C157" s="305"/>
      <c r="D157" s="81" t="s">
        <v>109</v>
      </c>
      <c r="E157" s="1125">
        <f>SUM(E151+E153+E154+E155)/E156</f>
        <v>0</v>
      </c>
      <c r="F157" s="1125">
        <f t="shared" ref="F157:AH157" si="333">SUM(F151+F153+F154+F155)/F156</f>
        <v>0</v>
      </c>
      <c r="G157" s="1233">
        <f t="shared" si="333"/>
        <v>0</v>
      </c>
      <c r="H157" s="1125">
        <f t="shared" si="333"/>
        <v>0</v>
      </c>
      <c r="I157" s="1125">
        <f t="shared" si="333"/>
        <v>0</v>
      </c>
      <c r="J157" s="1233">
        <f t="shared" si="333"/>
        <v>0</v>
      </c>
      <c r="K157" s="1233">
        <f t="shared" si="333"/>
        <v>0</v>
      </c>
      <c r="L157" s="1125">
        <f t="shared" si="333"/>
        <v>0</v>
      </c>
      <c r="M157" s="1125">
        <f>SUM(M151+M153+M154+M155)/M156</f>
        <v>0</v>
      </c>
      <c r="N157" s="1125">
        <f t="shared" si="333"/>
        <v>0</v>
      </c>
      <c r="O157" s="1125">
        <f t="shared" si="333"/>
        <v>0</v>
      </c>
      <c r="P157" s="1125">
        <f t="shared" si="333"/>
        <v>0</v>
      </c>
      <c r="Q157" s="1233">
        <f t="shared" si="333"/>
        <v>0</v>
      </c>
      <c r="R157" s="1233">
        <f t="shared" si="333"/>
        <v>0</v>
      </c>
      <c r="S157" s="1125">
        <f t="shared" si="333"/>
        <v>0</v>
      </c>
      <c r="T157" s="1125">
        <f t="shared" si="333"/>
        <v>0</v>
      </c>
      <c r="U157" s="1125">
        <f t="shared" si="333"/>
        <v>0</v>
      </c>
      <c r="V157" s="1125">
        <f t="shared" si="333"/>
        <v>0</v>
      </c>
      <c r="W157" s="1125">
        <f t="shared" si="333"/>
        <v>0</v>
      </c>
      <c r="X157" s="1233">
        <f t="shared" si="333"/>
        <v>0</v>
      </c>
      <c r="Y157" s="1233">
        <f>SUM(Y151+Y153+Y154+Y155)/Y156</f>
        <v>0</v>
      </c>
      <c r="Z157" s="1125">
        <f t="shared" si="333"/>
        <v>0</v>
      </c>
      <c r="AA157" s="1125">
        <f t="shared" si="333"/>
        <v>0</v>
      </c>
      <c r="AB157" s="1125">
        <f t="shared" si="333"/>
        <v>0</v>
      </c>
      <c r="AC157" s="1125">
        <f t="shared" si="333"/>
        <v>0</v>
      </c>
      <c r="AD157" s="1125">
        <f t="shared" si="333"/>
        <v>0</v>
      </c>
      <c r="AE157" s="1233">
        <f t="shared" si="333"/>
        <v>0</v>
      </c>
      <c r="AF157" s="1233">
        <f t="shared" si="333"/>
        <v>0</v>
      </c>
      <c r="AG157" s="1125">
        <f t="shared" si="333"/>
        <v>0</v>
      </c>
      <c r="AH157" s="1125">
        <f t="shared" si="333"/>
        <v>0</v>
      </c>
      <c r="AI157" s="1335">
        <f>SUM(AI151+AI153+AI154)/AI156</f>
        <v>0</v>
      </c>
      <c r="AJ157" s="515">
        <f>SUM(E157:AI157)</f>
        <v>0</v>
      </c>
      <c r="AK157" s="515"/>
      <c r="AL157" s="689"/>
      <c r="AM157" s="940"/>
      <c r="AN157" s="277"/>
      <c r="AO157" s="679"/>
      <c r="AP157" s="285"/>
      <c r="AQ157" s="285"/>
      <c r="AR157" s="285"/>
      <c r="AS157" s="285"/>
      <c r="AT157" s="286"/>
      <c r="AU157" s="285"/>
      <c r="AV157" s="287"/>
    </row>
    <row r="158" spans="1:48" s="23" customFormat="1" ht="20.65" hidden="1" customHeight="1">
      <c r="A158" s="296"/>
      <c r="B158" s="89" t="s">
        <v>548</v>
      </c>
      <c r="C158" s="72"/>
      <c r="D158" s="85" t="s">
        <v>110</v>
      </c>
      <c r="E158" s="1105"/>
      <c r="F158" s="1106"/>
      <c r="G158" s="1211"/>
      <c r="H158" s="1104"/>
      <c r="I158" s="1104"/>
      <c r="J158" s="1211"/>
      <c r="K158" s="1211"/>
      <c r="L158" s="1104"/>
      <c r="M158" s="1104"/>
      <c r="N158" s="1104"/>
      <c r="O158" s="1104"/>
      <c r="P158" s="1104"/>
      <c r="Q158" s="1211"/>
      <c r="R158" s="1228"/>
      <c r="S158" s="1104"/>
      <c r="T158" s="1104"/>
      <c r="U158" s="1104"/>
      <c r="V158" s="1104"/>
      <c r="W158" s="1104"/>
      <c r="X158" s="1211"/>
      <c r="Y158" s="1211"/>
      <c r="Z158" s="1107"/>
      <c r="AA158" s="1104"/>
      <c r="AB158" s="1104"/>
      <c r="AC158" s="1104"/>
      <c r="AD158" s="1104"/>
      <c r="AE158" s="1211"/>
      <c r="AF158" s="1211"/>
      <c r="AG158" s="1104"/>
      <c r="AH158" s="1104"/>
      <c r="AI158" s="1353"/>
      <c r="AJ158" s="86"/>
      <c r="AK158" s="86"/>
      <c r="AL158" s="690"/>
      <c r="AM158" s="940"/>
      <c r="AN158" s="277"/>
      <c r="AO158" s="679"/>
      <c r="AP158" s="285"/>
      <c r="AQ158" s="285"/>
      <c r="AR158" s="285"/>
      <c r="AS158" s="285"/>
      <c r="AT158" s="286"/>
      <c r="AU158" s="285"/>
      <c r="AV158" s="287"/>
    </row>
    <row r="159" spans="1:48" s="23" customFormat="1" ht="20.65" hidden="1" customHeight="1">
      <c r="A159" s="296"/>
      <c r="B159" s="89"/>
      <c r="C159" s="72" t="s">
        <v>104</v>
      </c>
      <c r="D159" s="88" t="s">
        <v>111</v>
      </c>
      <c r="E159" s="1108">
        <f>IF(E158="O/H",E157,0+E157)</f>
        <v>0</v>
      </c>
      <c r="F159" s="1089">
        <f t="shared" ref="F159:K159" si="334">IF(F158="O/H",F157,+E159+F157)</f>
        <v>0</v>
      </c>
      <c r="G159" s="44">
        <f t="shared" si="334"/>
        <v>0</v>
      </c>
      <c r="H159" s="1089">
        <f t="shared" si="334"/>
        <v>0</v>
      </c>
      <c r="I159" s="1089">
        <f t="shared" si="334"/>
        <v>0</v>
      </c>
      <c r="J159" s="44">
        <f t="shared" si="334"/>
        <v>0</v>
      </c>
      <c r="K159" s="44">
        <f t="shared" si="334"/>
        <v>0</v>
      </c>
      <c r="L159" s="1089">
        <f t="shared" ref="L159:AI159" si="335">IF(L158="O/H",L157,+K159+L157)</f>
        <v>0</v>
      </c>
      <c r="M159" s="1089">
        <f t="shared" si="335"/>
        <v>0</v>
      </c>
      <c r="N159" s="1089">
        <f t="shared" si="335"/>
        <v>0</v>
      </c>
      <c r="O159" s="1089">
        <f t="shared" si="335"/>
        <v>0</v>
      </c>
      <c r="P159" s="1089">
        <f t="shared" si="335"/>
        <v>0</v>
      </c>
      <c r="Q159" s="44">
        <f t="shared" si="335"/>
        <v>0</v>
      </c>
      <c r="R159" s="44">
        <f t="shared" si="335"/>
        <v>0</v>
      </c>
      <c r="S159" s="1089">
        <f t="shared" si="335"/>
        <v>0</v>
      </c>
      <c r="T159" s="1089">
        <f t="shared" si="335"/>
        <v>0</v>
      </c>
      <c r="U159" s="1089">
        <f t="shared" si="335"/>
        <v>0</v>
      </c>
      <c r="V159" s="1089">
        <f t="shared" si="335"/>
        <v>0</v>
      </c>
      <c r="W159" s="1089">
        <f t="shared" si="335"/>
        <v>0</v>
      </c>
      <c r="X159" s="44">
        <f t="shared" si="335"/>
        <v>0</v>
      </c>
      <c r="Y159" s="44">
        <f t="shared" si="335"/>
        <v>0</v>
      </c>
      <c r="Z159" s="1089">
        <f t="shared" si="335"/>
        <v>0</v>
      </c>
      <c r="AA159" s="1089">
        <f t="shared" si="335"/>
        <v>0</v>
      </c>
      <c r="AB159" s="1089">
        <f t="shared" si="335"/>
        <v>0</v>
      </c>
      <c r="AC159" s="1089">
        <f t="shared" si="335"/>
        <v>0</v>
      </c>
      <c r="AD159" s="1089">
        <f t="shared" si="335"/>
        <v>0</v>
      </c>
      <c r="AE159" s="44">
        <f t="shared" si="335"/>
        <v>0</v>
      </c>
      <c r="AF159" s="44">
        <f t="shared" si="335"/>
        <v>0</v>
      </c>
      <c r="AG159" s="1089">
        <f t="shared" si="335"/>
        <v>0</v>
      </c>
      <c r="AH159" s="1089">
        <f t="shared" si="335"/>
        <v>0</v>
      </c>
      <c r="AI159" s="1326">
        <f t="shared" si="335"/>
        <v>0</v>
      </c>
      <c r="AJ159" s="79"/>
      <c r="AK159" s="79"/>
      <c r="AL159" s="690"/>
      <c r="AM159" s="940"/>
      <c r="AN159" s="277"/>
      <c r="AO159" s="679"/>
      <c r="AP159" s="285"/>
      <c r="AQ159" s="285"/>
      <c r="AR159" s="285"/>
      <c r="AS159" s="285"/>
      <c r="AT159" s="286"/>
      <c r="AU159" s="285"/>
      <c r="AV159" s="287"/>
    </row>
    <row r="160" spans="1:48" s="23" customFormat="1" ht="20.45" hidden="1" customHeight="1">
      <c r="A160" s="312"/>
      <c r="B160" s="312"/>
      <c r="C160" s="308">
        <v>300000</v>
      </c>
      <c r="D160" s="795" t="s">
        <v>112</v>
      </c>
      <c r="E160" s="1117" t="b">
        <f>IF(AND(ISNUMBER(E151)),978418.5+E157)</f>
        <v>0</v>
      </c>
      <c r="F160" s="1118" t="str">
        <f>IF(AND(ISNUMBER(F151)),E160+F157,"")</f>
        <v/>
      </c>
      <c r="G160" s="1216" t="str">
        <f t="shared" ref="G160" si="336">IF(AND(ISNUMBER(G151)),F160+G157,"")</f>
        <v/>
      </c>
      <c r="H160" s="1118" t="str">
        <f t="shared" ref="H160" si="337">IF(AND(ISNUMBER(H151)),G160+H157,"")</f>
        <v/>
      </c>
      <c r="I160" s="1118" t="str">
        <f>IF(AND(ISNUMBER(I151)),H160+I157,"")</f>
        <v/>
      </c>
      <c r="J160" s="1216" t="str">
        <f>IF(AND(ISNUMBER(J151)),I160+J157,"")</f>
        <v/>
      </c>
      <c r="K160" s="1216" t="str">
        <f>IF(AND(ISNUMBER(K151)),J160+K157,"")</f>
        <v/>
      </c>
      <c r="L160" s="1118" t="str">
        <f t="shared" ref="L160" si="338">IF(AND(ISNUMBER(L151)),K160+L157,"")</f>
        <v/>
      </c>
      <c r="M160" s="1118" t="str">
        <f t="shared" ref="M160" si="339">IF(AND(ISNUMBER(M151)),L160+M157,"")</f>
        <v/>
      </c>
      <c r="N160" s="1118" t="str">
        <f t="shared" ref="N160" si="340">IF(AND(ISNUMBER(N151)),M160+N157,"")</f>
        <v/>
      </c>
      <c r="O160" s="1118" t="str">
        <f t="shared" ref="O160" si="341">IF(AND(ISNUMBER(O151)),N160+O157,"")</f>
        <v/>
      </c>
      <c r="P160" s="1118" t="str">
        <f t="shared" ref="P160" si="342">IF(AND(ISNUMBER(P151)),O160+P157,"")</f>
        <v/>
      </c>
      <c r="Q160" s="1216" t="str">
        <f t="shared" ref="Q160" si="343">IF(AND(ISNUMBER(Q151)),P160+Q157,"")</f>
        <v/>
      </c>
      <c r="R160" s="1216" t="str">
        <f t="shared" ref="R160" si="344">IF(AND(ISNUMBER(R151)),Q160+R157,"")</f>
        <v/>
      </c>
      <c r="S160" s="1118" t="str">
        <f t="shared" ref="S160" si="345">IF(AND(ISNUMBER(S151)),R160+S157,"")</f>
        <v/>
      </c>
      <c r="T160" s="1118" t="str">
        <f t="shared" ref="T160" si="346">IF(AND(ISNUMBER(T151)),S160+T157,"")</f>
        <v/>
      </c>
      <c r="U160" s="1118" t="str">
        <f t="shared" ref="U160" si="347">IF(AND(ISNUMBER(U151)),T160+U157,"")</f>
        <v/>
      </c>
      <c r="V160" s="1118" t="str">
        <f t="shared" ref="V160" si="348">IF(AND(ISNUMBER(V151)),U160+V157,"")</f>
        <v/>
      </c>
      <c r="W160" s="1118" t="str">
        <f t="shared" ref="W160" si="349">IF(AND(ISNUMBER(W151)),V160+W157,"")</f>
        <v/>
      </c>
      <c r="X160" s="1216" t="str">
        <f t="shared" ref="X160" si="350">IF(AND(ISNUMBER(X151)),W160+X157,"")</f>
        <v/>
      </c>
      <c r="Y160" s="1216" t="str">
        <f t="shared" ref="Y160" si="351">IF(AND(ISNUMBER(Y151)),X160+Y157,"")</f>
        <v/>
      </c>
      <c r="Z160" s="1118" t="str">
        <f t="shared" ref="Z160" si="352">IF(AND(ISNUMBER(Z151)),Y160+Z157,"")</f>
        <v/>
      </c>
      <c r="AA160" s="1118" t="str">
        <f t="shared" ref="AA160" si="353">IF(AND(ISNUMBER(AA151)),Z160+AA157,"")</f>
        <v/>
      </c>
      <c r="AB160" s="1118" t="str">
        <f t="shared" ref="AB160" si="354">IF(AND(ISNUMBER(AB151)),AA160+AB157,"")</f>
        <v/>
      </c>
      <c r="AC160" s="1118" t="str">
        <f t="shared" ref="AC160" si="355">IF(AND(ISNUMBER(AC151)),AB160+AC157,"")</f>
        <v/>
      </c>
      <c r="AD160" s="1118" t="str">
        <f t="shared" ref="AD160" si="356">IF(AND(ISNUMBER(AD151)),AC160+AD157,"")</f>
        <v/>
      </c>
      <c r="AE160" s="1216" t="str">
        <f t="shared" ref="AE160" si="357">IF(AND(ISNUMBER(AE151)),AD160+AE157,"")</f>
        <v/>
      </c>
      <c r="AF160" s="1216" t="str">
        <f t="shared" ref="AF160" si="358">IF(AND(ISNUMBER(AF151)),AE160+AF157,"")</f>
        <v/>
      </c>
      <c r="AG160" s="1118" t="str">
        <f t="shared" ref="AG160" si="359">IF(AND(ISNUMBER(AG151)),AF160+AG157,"")</f>
        <v/>
      </c>
      <c r="AH160" s="1118" t="str">
        <f t="shared" ref="AH160" si="360">IF(AND(ISNUMBER(AH151)),AG160+AH157,"")</f>
        <v/>
      </c>
      <c r="AI160" s="1118" t="str">
        <f t="shared" ref="AI160" si="361">IF(AND(ISNUMBER(AI151)),AH160+AI157,"")</f>
        <v/>
      </c>
      <c r="AJ160" s="793"/>
      <c r="AK160" s="793"/>
      <c r="AL160" s="909"/>
      <c r="AM160" s="794"/>
      <c r="AN160" s="429"/>
      <c r="AO160" s="675"/>
      <c r="AP160" s="285"/>
      <c r="AQ160" s="285"/>
      <c r="AR160" s="285"/>
      <c r="AS160" s="285"/>
      <c r="AT160" s="286"/>
      <c r="AU160" s="285"/>
      <c r="AV160" s="287"/>
    </row>
    <row r="161" spans="1:48" s="23" customFormat="1" ht="20.65" hidden="1" customHeight="1">
      <c r="A161" s="296"/>
      <c r="B161" s="89"/>
      <c r="C161" s="80" t="s">
        <v>108</v>
      </c>
      <c r="D161" s="90" t="s">
        <v>104</v>
      </c>
      <c r="E161" s="1338"/>
      <c r="F161" s="1089"/>
      <c r="G161" s="44"/>
      <c r="H161" s="1089"/>
      <c r="I161" s="1089"/>
      <c r="J161" s="44"/>
      <c r="K161" s="44"/>
      <c r="L161" s="1089"/>
      <c r="M161" s="1089"/>
      <c r="N161" s="1089"/>
      <c r="O161" s="1089"/>
      <c r="P161" s="1089"/>
      <c r="Q161" s="44"/>
      <c r="R161" s="1253"/>
      <c r="S161" s="1089"/>
      <c r="T161" s="1089"/>
      <c r="U161" s="1089"/>
      <c r="V161" s="1089"/>
      <c r="W161" s="1089"/>
      <c r="X161" s="44"/>
      <c r="Y161" s="44"/>
      <c r="Z161" s="1089"/>
      <c r="AA161" s="1089"/>
      <c r="AB161" s="1089"/>
      <c r="AC161" s="1089"/>
      <c r="AD161" s="1089"/>
      <c r="AE161" s="44"/>
      <c r="AF161" s="44"/>
      <c r="AG161" s="1089"/>
      <c r="AH161" s="1089"/>
      <c r="AI161" s="1326"/>
      <c r="AJ161" s="79"/>
      <c r="AK161" s="79"/>
      <c r="AL161" s="690"/>
      <c r="AM161" s="940"/>
      <c r="AN161" s="277"/>
      <c r="AO161" s="679"/>
      <c r="AP161" s="285"/>
      <c r="AQ161" s="285"/>
      <c r="AR161" s="285"/>
      <c r="AS161" s="285"/>
      <c r="AT161" s="286"/>
      <c r="AU161" s="285"/>
      <c r="AV161" s="287"/>
    </row>
    <row r="162" spans="1:48" s="23" customFormat="1" ht="20.65" hidden="1" customHeight="1" thickBot="1">
      <c r="A162" s="310"/>
      <c r="B162" s="93"/>
      <c r="C162" s="291">
        <f>+C160*0.8</f>
        <v>240000</v>
      </c>
      <c r="D162" s="88" t="s">
        <v>111</v>
      </c>
      <c r="E162" s="1109">
        <f>IF(E161="O/H",E157,0+E157)</f>
        <v>0</v>
      </c>
      <c r="F162" s="1110">
        <f t="shared" ref="F162:AI162" si="362">IF(F161="O/H",F157,+E162+F157)</f>
        <v>0</v>
      </c>
      <c r="G162" s="1212">
        <f>IF(G161="O/H",G157,+F162+G157)</f>
        <v>0</v>
      </c>
      <c r="H162" s="1110">
        <f>IF(H161="O/H",H157,+G162+H157)</f>
        <v>0</v>
      </c>
      <c r="I162" s="1110">
        <f t="shared" si="362"/>
        <v>0</v>
      </c>
      <c r="J162" s="1212">
        <f t="shared" si="362"/>
        <v>0</v>
      </c>
      <c r="K162" s="1212">
        <f t="shared" si="362"/>
        <v>0</v>
      </c>
      <c r="L162" s="1110">
        <f t="shared" si="362"/>
        <v>0</v>
      </c>
      <c r="M162" s="1110">
        <f t="shared" si="362"/>
        <v>0</v>
      </c>
      <c r="N162" s="1110">
        <f t="shared" si="362"/>
        <v>0</v>
      </c>
      <c r="O162" s="1110">
        <f t="shared" si="362"/>
        <v>0</v>
      </c>
      <c r="P162" s="1110">
        <f t="shared" si="362"/>
        <v>0</v>
      </c>
      <c r="Q162" s="1212">
        <f t="shared" si="362"/>
        <v>0</v>
      </c>
      <c r="R162" s="1212">
        <f t="shared" si="362"/>
        <v>0</v>
      </c>
      <c r="S162" s="1110">
        <f t="shared" si="362"/>
        <v>0</v>
      </c>
      <c r="T162" s="1110">
        <f t="shared" si="362"/>
        <v>0</v>
      </c>
      <c r="U162" s="1110">
        <f t="shared" si="362"/>
        <v>0</v>
      </c>
      <c r="V162" s="1110">
        <f t="shared" si="362"/>
        <v>0</v>
      </c>
      <c r="W162" s="1110">
        <f t="shared" si="362"/>
        <v>0</v>
      </c>
      <c r="X162" s="1212">
        <f t="shared" si="362"/>
        <v>0</v>
      </c>
      <c r="Y162" s="1212">
        <f t="shared" si="362"/>
        <v>0</v>
      </c>
      <c r="Z162" s="1110">
        <f t="shared" si="362"/>
        <v>0</v>
      </c>
      <c r="AA162" s="1110">
        <f t="shared" si="362"/>
        <v>0</v>
      </c>
      <c r="AB162" s="1110">
        <f t="shared" si="362"/>
        <v>0</v>
      </c>
      <c r="AC162" s="1110">
        <f t="shared" si="362"/>
        <v>0</v>
      </c>
      <c r="AD162" s="1110">
        <f t="shared" si="362"/>
        <v>0</v>
      </c>
      <c r="AE162" s="1212">
        <f t="shared" si="362"/>
        <v>0</v>
      </c>
      <c r="AF162" s="1212">
        <f t="shared" si="362"/>
        <v>0</v>
      </c>
      <c r="AG162" s="1110">
        <f t="shared" si="362"/>
        <v>0</v>
      </c>
      <c r="AH162" s="1110">
        <f t="shared" si="362"/>
        <v>0</v>
      </c>
      <c r="AI162" s="1340">
        <f t="shared" si="362"/>
        <v>0</v>
      </c>
      <c r="AJ162" s="96"/>
      <c r="AK162" s="723"/>
      <c r="AL162" s="695"/>
      <c r="AM162" s="961"/>
      <c r="AN162" s="292"/>
      <c r="AO162" s="681"/>
      <c r="AP162" s="285"/>
      <c r="AQ162" s="285"/>
      <c r="AR162" s="285"/>
      <c r="AS162" s="285"/>
      <c r="AT162" s="286"/>
      <c r="AU162" s="285"/>
      <c r="AV162" s="287"/>
    </row>
    <row r="163" spans="1:48" s="23" customFormat="1" ht="20.65" hidden="1" customHeight="1" thickTop="1">
      <c r="A163" s="270" t="s">
        <v>707</v>
      </c>
      <c r="B163" s="219"/>
      <c r="C163" s="1493" t="str">
        <f>Table2[[#This Row],[M/C No.]]</f>
        <v>H6(50ton)</v>
      </c>
      <c r="D163" s="28" t="s">
        <v>82</v>
      </c>
      <c r="E163" s="1139"/>
      <c r="F163" s="1139"/>
      <c r="G163" s="1231"/>
      <c r="H163" s="1139"/>
      <c r="I163" s="1139"/>
      <c r="J163" s="1231"/>
      <c r="K163" s="1231"/>
      <c r="L163" s="1139"/>
      <c r="M163" s="1139"/>
      <c r="N163" s="1139"/>
      <c r="O163" s="1139"/>
      <c r="P163" s="1139"/>
      <c r="Q163" s="1231"/>
      <c r="R163" s="1231"/>
      <c r="S163" s="1139"/>
      <c r="T163" s="1139"/>
      <c r="U163" s="1139"/>
      <c r="V163" s="1139"/>
      <c r="W163" s="1139"/>
      <c r="X163" s="1231"/>
      <c r="Y163" s="1231"/>
      <c r="Z163" s="1139"/>
      <c r="AA163" s="1139"/>
      <c r="AB163" s="1139"/>
      <c r="AC163" s="1139"/>
      <c r="AD163" s="1139"/>
      <c r="AE163" s="1231"/>
      <c r="AF163" s="1231"/>
      <c r="AG163" s="1139"/>
      <c r="AH163" s="1139"/>
      <c r="AI163" s="1322"/>
      <c r="AJ163" s="100">
        <f>SUM(E163:AI163)</f>
        <v>0</v>
      </c>
      <c r="AK163" s="1020">
        <f>AJ165</f>
        <v>0</v>
      </c>
      <c r="AL163" s="101">
        <f>+AJ163*AN163</f>
        <v>0</v>
      </c>
      <c r="AM163" s="1019">
        <f>AL165</f>
        <v>0</v>
      </c>
      <c r="AN163" s="293">
        <v>5.8483900000000002</v>
      </c>
      <c r="AO163" s="633">
        <f>Table2[[#This Row],[Total]]*B167/1000</f>
        <v>0</v>
      </c>
      <c r="AP163" s="32" t="s">
        <v>393</v>
      </c>
      <c r="AQ163" s="33" t="s">
        <v>84</v>
      </c>
      <c r="AR163" s="33" t="s">
        <v>85</v>
      </c>
      <c r="AS163" s="33" t="s">
        <v>86</v>
      </c>
      <c r="AT163" s="33" t="s">
        <v>87</v>
      </c>
      <c r="AU163" s="33" t="s">
        <v>88</v>
      </c>
      <c r="AV163" s="34" t="s">
        <v>68</v>
      </c>
    </row>
    <row r="164" spans="1:48" s="23" customFormat="1" ht="20.65" hidden="1" customHeight="1">
      <c r="A164" s="274"/>
      <c r="B164" s="219" t="s">
        <v>395</v>
      </c>
      <c r="C164" s="275"/>
      <c r="D164" s="37" t="s">
        <v>90</v>
      </c>
      <c r="E164" s="1323">
        <f>IF(E163="",0,+ E163/E170)</f>
        <v>0</v>
      </c>
      <c r="F164" s="1096">
        <f t="shared" ref="F164:AC164" si="363">IF(F163="",0, E164+F163/F170)</f>
        <v>0</v>
      </c>
      <c r="G164" s="1207">
        <f t="shared" si="363"/>
        <v>0</v>
      </c>
      <c r="H164" s="1096">
        <f t="shared" si="363"/>
        <v>0</v>
      </c>
      <c r="I164" s="1096">
        <f t="shared" si="363"/>
        <v>0</v>
      </c>
      <c r="J164" s="1207">
        <f t="shared" si="363"/>
        <v>0</v>
      </c>
      <c r="K164" s="1207">
        <f t="shared" si="363"/>
        <v>0</v>
      </c>
      <c r="L164" s="1096">
        <f t="shared" si="363"/>
        <v>0</v>
      </c>
      <c r="M164" s="1096">
        <f t="shared" si="363"/>
        <v>0</v>
      </c>
      <c r="N164" s="1096">
        <f t="shared" si="363"/>
        <v>0</v>
      </c>
      <c r="O164" s="1096">
        <f t="shared" si="363"/>
        <v>0</v>
      </c>
      <c r="P164" s="1096">
        <f t="shared" si="363"/>
        <v>0</v>
      </c>
      <c r="Q164" s="1207">
        <f t="shared" si="363"/>
        <v>0</v>
      </c>
      <c r="R164" s="1207">
        <f t="shared" si="363"/>
        <v>0</v>
      </c>
      <c r="S164" s="1096">
        <f t="shared" si="363"/>
        <v>0</v>
      </c>
      <c r="T164" s="1096">
        <f t="shared" si="363"/>
        <v>0</v>
      </c>
      <c r="U164" s="1096">
        <f t="shared" si="363"/>
        <v>0</v>
      </c>
      <c r="V164" s="1096">
        <f t="shared" si="363"/>
        <v>0</v>
      </c>
      <c r="W164" s="1096">
        <f t="shared" si="363"/>
        <v>0</v>
      </c>
      <c r="X164" s="1207">
        <f t="shared" si="363"/>
        <v>0</v>
      </c>
      <c r="Y164" s="1207">
        <f t="shared" si="363"/>
        <v>0</v>
      </c>
      <c r="Z164" s="1096">
        <f t="shared" si="363"/>
        <v>0</v>
      </c>
      <c r="AA164" s="1096">
        <f t="shared" si="363"/>
        <v>0</v>
      </c>
      <c r="AB164" s="1096">
        <f t="shared" si="363"/>
        <v>0</v>
      </c>
      <c r="AC164" s="1096">
        <f t="shared" si="363"/>
        <v>0</v>
      </c>
      <c r="AD164" s="1096">
        <f>IF(AD163="",0, Z164+AD163/AD170)</f>
        <v>0</v>
      </c>
      <c r="AE164" s="1207">
        <f>IF(AE163="",0, AA164+AE163/AE170)</f>
        <v>0</v>
      </c>
      <c r="AF164" s="1207">
        <f>IF(AF163="",0, AB164+AF163/AF170)</f>
        <v>0</v>
      </c>
      <c r="AG164" s="1096">
        <f>IF(AG163="",0, AC164+AG163/AG170)</f>
        <v>0</v>
      </c>
      <c r="AH164" s="1096">
        <f>IF(AH163="",0, AD164+AH163/AH170)</f>
        <v>0</v>
      </c>
      <c r="AI164" s="1324">
        <f>IF(AI163="",0, AH164+AI163/AI170)</f>
        <v>0</v>
      </c>
      <c r="AJ164" s="716"/>
      <c r="AK164" s="716"/>
      <c r="AL164" s="209"/>
      <c r="AM164" s="794"/>
      <c r="AN164" s="91"/>
      <c r="AO164" s="675"/>
      <c r="AP164" s="39" t="s">
        <v>91</v>
      </c>
      <c r="AQ164" s="40">
        <f>SUM(E163:K163)</f>
        <v>0</v>
      </c>
      <c r="AR164" s="41">
        <f>SUM(L163:R163)</f>
        <v>0</v>
      </c>
      <c r="AS164" s="41">
        <f>SUM(S163:Y163)</f>
        <v>0</v>
      </c>
      <c r="AT164" s="41">
        <f>SUM(Z163:AF163)</f>
        <v>0</v>
      </c>
      <c r="AU164" s="41">
        <f>SUM(AG163:AI163)</f>
        <v>0</v>
      </c>
      <c r="AV164" s="34">
        <f t="shared" ref="AV164:AV169" si="364">SUM(AQ164:AU164)</f>
        <v>0</v>
      </c>
    </row>
    <row r="165" spans="1:48" s="23" customFormat="1" ht="20.65" hidden="1" customHeight="1">
      <c r="A165" s="296" t="s">
        <v>389</v>
      </c>
      <c r="B165" s="89" t="s">
        <v>246</v>
      </c>
      <c r="C165" s="42"/>
      <c r="D165" s="43" t="s">
        <v>93</v>
      </c>
      <c r="E165" s="1108"/>
      <c r="F165" s="1089"/>
      <c r="G165" s="44"/>
      <c r="H165" s="1089"/>
      <c r="I165" s="1089"/>
      <c r="J165" s="44"/>
      <c r="K165" s="44"/>
      <c r="L165" s="1089"/>
      <c r="M165" s="1089"/>
      <c r="N165" s="1089"/>
      <c r="O165" s="1089"/>
      <c r="P165" s="1089"/>
      <c r="Q165" s="44"/>
      <c r="R165" s="44"/>
      <c r="S165" s="1089"/>
      <c r="T165" s="1089"/>
      <c r="U165" s="1089"/>
      <c r="V165" s="1089"/>
      <c r="W165" s="1089"/>
      <c r="X165" s="44"/>
      <c r="Y165" s="44"/>
      <c r="Z165" s="1089"/>
      <c r="AA165" s="1089"/>
      <c r="AB165" s="1089"/>
      <c r="AC165" s="1089"/>
      <c r="AD165" s="1089"/>
      <c r="AE165" s="44"/>
      <c r="AF165" s="44"/>
      <c r="AG165" s="1089"/>
      <c r="AH165" s="1089"/>
      <c r="AI165" s="1326"/>
      <c r="AJ165" s="45">
        <f>SUM(E165:AI165)</f>
        <v>0</v>
      </c>
      <c r="AK165" s="45"/>
      <c r="AL165" s="46">
        <f>+AJ165*AN163</f>
        <v>0</v>
      </c>
      <c r="AM165" s="934"/>
      <c r="AN165" s="277"/>
      <c r="AO165" s="632">
        <f>(AJ165+AJ167+AJ168+AJ169)*B167/1000</f>
        <v>0</v>
      </c>
      <c r="AP165" s="47" t="s">
        <v>94</v>
      </c>
      <c r="AQ165" s="48">
        <f>SUM(E165:K165)</f>
        <v>0</v>
      </c>
      <c r="AR165" s="49">
        <f>SUM(L165:R165)</f>
        <v>0</v>
      </c>
      <c r="AS165" s="49">
        <f>SUM(S165:Y165)</f>
        <v>0</v>
      </c>
      <c r="AT165" s="49">
        <f>SUM(Z165:AF165)</f>
        <v>0</v>
      </c>
      <c r="AU165" s="49">
        <f>SUM(AG165:AI165)</f>
        <v>0</v>
      </c>
      <c r="AV165" s="50">
        <f t="shared" si="364"/>
        <v>0</v>
      </c>
    </row>
    <row r="166" spans="1:48" s="23" customFormat="1" ht="20.65" hidden="1" customHeight="1">
      <c r="A166" s="296" t="s">
        <v>389</v>
      </c>
      <c r="B166" s="638" t="s">
        <v>247</v>
      </c>
      <c r="C166" s="280"/>
      <c r="D166" s="53" t="s">
        <v>96</v>
      </c>
      <c r="E166" s="1137">
        <f t="shared" ref="E166:AJ166" si="365">+E165-E163</f>
        <v>0</v>
      </c>
      <c r="F166" s="1097">
        <f t="shared" si="365"/>
        <v>0</v>
      </c>
      <c r="G166" s="1205">
        <f t="shared" si="365"/>
        <v>0</v>
      </c>
      <c r="H166" s="1097">
        <f t="shared" si="365"/>
        <v>0</v>
      </c>
      <c r="I166" s="1097">
        <f t="shared" si="365"/>
        <v>0</v>
      </c>
      <c r="J166" s="1205">
        <f t="shared" si="365"/>
        <v>0</v>
      </c>
      <c r="K166" s="1205">
        <f t="shared" si="365"/>
        <v>0</v>
      </c>
      <c r="L166" s="1097">
        <f t="shared" si="365"/>
        <v>0</v>
      </c>
      <c r="M166" s="1097">
        <f t="shared" si="365"/>
        <v>0</v>
      </c>
      <c r="N166" s="1097">
        <f t="shared" si="365"/>
        <v>0</v>
      </c>
      <c r="O166" s="1097">
        <f t="shared" si="365"/>
        <v>0</v>
      </c>
      <c r="P166" s="1097">
        <f t="shared" si="365"/>
        <v>0</v>
      </c>
      <c r="Q166" s="1205">
        <f t="shared" si="365"/>
        <v>0</v>
      </c>
      <c r="R166" s="1205">
        <f t="shared" si="365"/>
        <v>0</v>
      </c>
      <c r="S166" s="1097">
        <f t="shared" si="365"/>
        <v>0</v>
      </c>
      <c r="T166" s="1097">
        <f t="shared" si="365"/>
        <v>0</v>
      </c>
      <c r="U166" s="1097">
        <f t="shared" si="365"/>
        <v>0</v>
      </c>
      <c r="V166" s="1097">
        <f t="shared" si="365"/>
        <v>0</v>
      </c>
      <c r="W166" s="1097">
        <f t="shared" si="365"/>
        <v>0</v>
      </c>
      <c r="X166" s="1205">
        <f t="shared" si="365"/>
        <v>0</v>
      </c>
      <c r="Y166" s="1205">
        <f t="shared" si="365"/>
        <v>0</v>
      </c>
      <c r="Z166" s="1097">
        <f t="shared" si="365"/>
        <v>0</v>
      </c>
      <c r="AA166" s="1097">
        <f t="shared" si="365"/>
        <v>0</v>
      </c>
      <c r="AB166" s="1097">
        <f t="shared" si="365"/>
        <v>0</v>
      </c>
      <c r="AC166" s="1097">
        <f t="shared" si="365"/>
        <v>0</v>
      </c>
      <c r="AD166" s="1097">
        <f t="shared" si="365"/>
        <v>0</v>
      </c>
      <c r="AE166" s="1205">
        <f t="shared" si="365"/>
        <v>0</v>
      </c>
      <c r="AF166" s="1205">
        <f t="shared" si="365"/>
        <v>0</v>
      </c>
      <c r="AG166" s="1097">
        <f t="shared" si="365"/>
        <v>0</v>
      </c>
      <c r="AH166" s="1097">
        <f t="shared" si="365"/>
        <v>0</v>
      </c>
      <c r="AI166" s="1328">
        <f t="shared" si="365"/>
        <v>0</v>
      </c>
      <c r="AJ166" s="79">
        <f t="shared" si="365"/>
        <v>0</v>
      </c>
      <c r="AK166" s="79"/>
      <c r="AL166" s="55">
        <f>+AJ166*AN163</f>
        <v>0</v>
      </c>
      <c r="AM166" s="935"/>
      <c r="AN166" s="277" t="s">
        <v>97</v>
      </c>
      <c r="AO166" s="622"/>
      <c r="AP166" s="39" t="s">
        <v>98</v>
      </c>
      <c r="AQ166" s="56">
        <f>AQ165-AQ164</f>
        <v>0</v>
      </c>
      <c r="AR166" s="70">
        <f>AR165-AR164</f>
        <v>0</v>
      </c>
      <c r="AS166" s="70">
        <f>AS165-AS164</f>
        <v>0</v>
      </c>
      <c r="AT166" s="70">
        <f>AT165-AT164</f>
        <v>0</v>
      </c>
      <c r="AU166" s="70">
        <f>AU165-AU164</f>
        <v>0</v>
      </c>
      <c r="AV166" s="57">
        <f t="shared" si="364"/>
        <v>0</v>
      </c>
    </row>
    <row r="167" spans="1:48" s="23" customFormat="1" ht="20.65" hidden="1" customHeight="1">
      <c r="A167" s="296" t="s">
        <v>389</v>
      </c>
      <c r="B167" s="796">
        <v>2.9820000000000002</v>
      </c>
      <c r="C167" s="305"/>
      <c r="D167" s="61" t="s">
        <v>101</v>
      </c>
      <c r="E167" s="1098"/>
      <c r="F167" s="1099"/>
      <c r="G167" s="1208"/>
      <c r="H167" s="1099"/>
      <c r="I167" s="1099"/>
      <c r="J167" s="1208"/>
      <c r="K167" s="1208"/>
      <c r="L167" s="1099"/>
      <c r="M167" s="1099"/>
      <c r="N167" s="1099"/>
      <c r="O167" s="1099"/>
      <c r="P167" s="1099"/>
      <c r="Q167" s="1208"/>
      <c r="R167" s="1208"/>
      <c r="S167" s="1099"/>
      <c r="T167" s="1099"/>
      <c r="U167" s="1099"/>
      <c r="V167" s="1099"/>
      <c r="W167" s="1099"/>
      <c r="X167" s="1208"/>
      <c r="Y167" s="1208"/>
      <c r="Z167" s="1099"/>
      <c r="AA167" s="1099"/>
      <c r="AB167" s="1099"/>
      <c r="AC167" s="1099"/>
      <c r="AD167" s="1099"/>
      <c r="AE167" s="1208"/>
      <c r="AF167" s="1208"/>
      <c r="AG167" s="1099"/>
      <c r="AH167" s="1099"/>
      <c r="AI167" s="1330"/>
      <c r="AJ167" s="62">
        <f>SUM(E167:AI167)</f>
        <v>0</v>
      </c>
      <c r="AK167" s="62"/>
      <c r="AL167" s="63">
        <f>+AJ167*AN163</f>
        <v>0</v>
      </c>
      <c r="AM167" s="936"/>
      <c r="AN167" s="301" t="e">
        <f>+AJ167/AJ165*100</f>
        <v>#DIV/0!</v>
      </c>
      <c r="AO167" s="635" t="e">
        <f>AO165/AO163</f>
        <v>#DIV/0!</v>
      </c>
      <c r="AP167" s="39" t="s">
        <v>102</v>
      </c>
      <c r="AQ167" s="56">
        <f>SUM(E167:K167)</f>
        <v>0</v>
      </c>
      <c r="AR167" s="70">
        <f>SUM(L167:R167)</f>
        <v>0</v>
      </c>
      <c r="AS167" s="70">
        <f>SUM(S167:Y167)</f>
        <v>0</v>
      </c>
      <c r="AT167" s="70">
        <f>SUM(Z167:AF167)</f>
        <v>0</v>
      </c>
      <c r="AU167" s="70">
        <f>SUM(AG167:AI167)</f>
        <v>0</v>
      </c>
      <c r="AV167" s="57">
        <f t="shared" si="364"/>
        <v>0</v>
      </c>
    </row>
    <row r="168" spans="1:48" s="23" customFormat="1" ht="20.65" hidden="1" customHeight="1">
      <c r="A168" s="296" t="s">
        <v>389</v>
      </c>
      <c r="B168" s="89"/>
      <c r="C168" s="52" t="s">
        <v>95</v>
      </c>
      <c r="D168" s="67" t="s">
        <v>103</v>
      </c>
      <c r="E168" s="1100"/>
      <c r="F168" s="1101"/>
      <c r="G168" s="1209"/>
      <c r="H168" s="1101"/>
      <c r="I168" s="1101"/>
      <c r="J168" s="1209"/>
      <c r="K168" s="1209"/>
      <c r="L168" s="1101"/>
      <c r="M168" s="1101"/>
      <c r="N168" s="1101"/>
      <c r="O168" s="1101"/>
      <c r="P168" s="1101"/>
      <c r="Q168" s="1209"/>
      <c r="R168" s="1209"/>
      <c r="S168" s="1101"/>
      <c r="T168" s="1101"/>
      <c r="U168" s="1101"/>
      <c r="V168" s="1101"/>
      <c r="W168" s="1101"/>
      <c r="X168" s="1209"/>
      <c r="Y168" s="1209"/>
      <c r="Z168" s="1101"/>
      <c r="AA168" s="1101"/>
      <c r="AB168" s="1101"/>
      <c r="AC168" s="1101"/>
      <c r="AD168" s="1101"/>
      <c r="AE168" s="1209"/>
      <c r="AF168" s="1209"/>
      <c r="AG168" s="1101"/>
      <c r="AH168" s="1101"/>
      <c r="AI168" s="1332"/>
      <c r="AJ168" s="68">
        <f>SUM(E168:AI168)</f>
        <v>0</v>
      </c>
      <c r="AK168" s="68"/>
      <c r="AL168" s="69">
        <f>+AJ168*AN163</f>
        <v>0</v>
      </c>
      <c r="AM168" s="937"/>
      <c r="AN168" s="277"/>
      <c r="AO168" s="679"/>
      <c r="AP168" s="39" t="s">
        <v>19</v>
      </c>
      <c r="AQ168" s="56">
        <f>AQ167*AN163</f>
        <v>0</v>
      </c>
      <c r="AR168" s="56">
        <f>AR167*AN163</f>
        <v>0</v>
      </c>
      <c r="AS168" s="56">
        <f>AS167*AN163</f>
        <v>0</v>
      </c>
      <c r="AT168" s="56">
        <f>AT167*AN163</f>
        <v>0</v>
      </c>
      <c r="AU168" s="56">
        <f>AU167*AN163</f>
        <v>0</v>
      </c>
      <c r="AV168" s="57">
        <f t="shared" si="364"/>
        <v>0</v>
      </c>
    </row>
    <row r="169" spans="1:48" s="23" customFormat="1" ht="20.65" hidden="1" customHeight="1">
      <c r="A169" s="270"/>
      <c r="B169" s="89"/>
      <c r="C169" s="306" t="s">
        <v>387</v>
      </c>
      <c r="D169" s="73" t="s">
        <v>105</v>
      </c>
      <c r="E169" s="1102"/>
      <c r="F169" s="1102"/>
      <c r="G169" s="1197"/>
      <c r="H169" s="1102"/>
      <c r="I169" s="1102"/>
      <c r="J169" s="1197"/>
      <c r="K169" s="1197"/>
      <c r="L169" s="1102"/>
      <c r="M169" s="1102"/>
      <c r="N169" s="1102"/>
      <c r="O169" s="1102"/>
      <c r="P169" s="1102"/>
      <c r="Q169" s="1197"/>
      <c r="R169" s="1197"/>
      <c r="S169" s="1102"/>
      <c r="T169" s="1102"/>
      <c r="U169" s="1102"/>
      <c r="V169" s="1102"/>
      <c r="W169" s="1102"/>
      <c r="X169" s="1197"/>
      <c r="Y169" s="1197"/>
      <c r="Z169" s="1102"/>
      <c r="AA169" s="1102"/>
      <c r="AB169" s="1102"/>
      <c r="AC169" s="1102"/>
      <c r="AD169" s="1102"/>
      <c r="AE169" s="1197"/>
      <c r="AF169" s="1197"/>
      <c r="AG169" s="1102"/>
      <c r="AH169" s="1102"/>
      <c r="AI169" s="1410"/>
      <c r="AJ169" s="74">
        <f>SUM(E169:AI169)</f>
        <v>0</v>
      </c>
      <c r="AK169" s="74"/>
      <c r="AL169" s="75">
        <f>+AJ169*AN163</f>
        <v>0</v>
      </c>
      <c r="AM169" s="938"/>
      <c r="AN169" s="91"/>
      <c r="AO169" s="630"/>
      <c r="AP169" s="47" t="s">
        <v>106</v>
      </c>
      <c r="AQ169" s="48">
        <f>AQ165*AN163</f>
        <v>0</v>
      </c>
      <c r="AR169" s="48">
        <f>AR165*AN163</f>
        <v>0</v>
      </c>
      <c r="AS169" s="48">
        <f>AS165*AN163</f>
        <v>0</v>
      </c>
      <c r="AT169" s="48">
        <f>AT165*AN163</f>
        <v>0</v>
      </c>
      <c r="AU169" s="48">
        <f>AU165*AN163</f>
        <v>0</v>
      </c>
      <c r="AV169" s="50">
        <f t="shared" si="364"/>
        <v>0</v>
      </c>
    </row>
    <row r="170" spans="1:48" s="23" customFormat="1" ht="20.65" hidden="1" customHeight="1">
      <c r="A170" s="296" t="s">
        <v>389</v>
      </c>
      <c r="B170" s="89"/>
      <c r="C170" s="307"/>
      <c r="D170" s="78" t="s">
        <v>107</v>
      </c>
      <c r="E170" s="1137">
        <v>4</v>
      </c>
      <c r="F170" s="1097">
        <v>4</v>
      </c>
      <c r="G170" s="1205">
        <v>4</v>
      </c>
      <c r="H170" s="1097">
        <v>4</v>
      </c>
      <c r="I170" s="1097">
        <v>4</v>
      </c>
      <c r="J170" s="1205">
        <v>4</v>
      </c>
      <c r="K170" s="1205">
        <v>4</v>
      </c>
      <c r="L170" s="1097">
        <v>4</v>
      </c>
      <c r="M170" s="1097">
        <v>4</v>
      </c>
      <c r="N170" s="1097">
        <v>4</v>
      </c>
      <c r="O170" s="1097">
        <v>4</v>
      </c>
      <c r="P170" s="1097">
        <v>4</v>
      </c>
      <c r="Q170" s="1205">
        <v>4</v>
      </c>
      <c r="R170" s="1205">
        <v>4</v>
      </c>
      <c r="S170" s="1097">
        <v>4</v>
      </c>
      <c r="T170" s="1097">
        <v>4</v>
      </c>
      <c r="U170" s="1097">
        <v>4</v>
      </c>
      <c r="V170" s="1097">
        <v>4</v>
      </c>
      <c r="W170" s="1097">
        <v>4</v>
      </c>
      <c r="X170" s="1205">
        <v>4</v>
      </c>
      <c r="Y170" s="1205">
        <v>4</v>
      </c>
      <c r="Z170" s="1097">
        <v>4</v>
      </c>
      <c r="AA170" s="1097">
        <v>4</v>
      </c>
      <c r="AB170" s="1097">
        <v>4</v>
      </c>
      <c r="AC170" s="1097">
        <v>4</v>
      </c>
      <c r="AD170" s="1097">
        <v>4</v>
      </c>
      <c r="AE170" s="1205">
        <v>4</v>
      </c>
      <c r="AF170" s="1205">
        <v>4</v>
      </c>
      <c r="AG170" s="1097">
        <v>4</v>
      </c>
      <c r="AH170" s="1097">
        <v>4</v>
      </c>
      <c r="AI170" s="1328">
        <v>4</v>
      </c>
      <c r="AJ170" s="79"/>
      <c r="AK170" s="79"/>
      <c r="AL170" s="692"/>
      <c r="AM170" s="960"/>
      <c r="AN170" s="277"/>
      <c r="AO170" s="679"/>
      <c r="AP170" s="47"/>
      <c r="AQ170" s="48"/>
      <c r="AR170" s="48"/>
      <c r="AS170" s="48"/>
      <c r="AT170" s="48"/>
      <c r="AU170" s="48"/>
      <c r="AV170" s="284"/>
    </row>
    <row r="171" spans="1:48" s="23" customFormat="1" ht="20.65" hidden="1" customHeight="1">
      <c r="A171" s="296" t="s">
        <v>389</v>
      </c>
      <c r="B171" s="89"/>
      <c r="C171" s="305"/>
      <c r="D171" s="81" t="s">
        <v>109</v>
      </c>
      <c r="E171" s="1125">
        <f>SUM(E165+E167+E168+E169)/E170</f>
        <v>0</v>
      </c>
      <c r="F171" s="1125">
        <f t="shared" ref="F171:AI171" si="366">SUM(F165+F167+F168+F169)/F170</f>
        <v>0</v>
      </c>
      <c r="G171" s="1233">
        <f t="shared" si="366"/>
        <v>0</v>
      </c>
      <c r="H171" s="1125">
        <f t="shared" si="366"/>
        <v>0</v>
      </c>
      <c r="I171" s="1125">
        <f t="shared" si="366"/>
        <v>0</v>
      </c>
      <c r="J171" s="1233">
        <f t="shared" si="366"/>
        <v>0</v>
      </c>
      <c r="K171" s="1233">
        <f t="shared" si="366"/>
        <v>0</v>
      </c>
      <c r="L171" s="1125">
        <f t="shared" si="366"/>
        <v>0</v>
      </c>
      <c r="M171" s="1125">
        <f t="shared" si="366"/>
        <v>0</v>
      </c>
      <c r="N171" s="1125">
        <f t="shared" si="366"/>
        <v>0</v>
      </c>
      <c r="O171" s="1125">
        <f t="shared" si="366"/>
        <v>0</v>
      </c>
      <c r="P171" s="1125">
        <f t="shared" si="366"/>
        <v>0</v>
      </c>
      <c r="Q171" s="1233">
        <f t="shared" si="366"/>
        <v>0</v>
      </c>
      <c r="R171" s="1233">
        <f t="shared" si="366"/>
        <v>0</v>
      </c>
      <c r="S171" s="1125">
        <f t="shared" si="366"/>
        <v>0</v>
      </c>
      <c r="T171" s="1125">
        <f t="shared" si="366"/>
        <v>0</v>
      </c>
      <c r="U171" s="1125">
        <f t="shared" si="366"/>
        <v>0</v>
      </c>
      <c r="V171" s="1125">
        <f t="shared" si="366"/>
        <v>0</v>
      </c>
      <c r="W171" s="1125">
        <f t="shared" si="366"/>
        <v>0</v>
      </c>
      <c r="X171" s="1233">
        <f t="shared" si="366"/>
        <v>0</v>
      </c>
      <c r="Y171" s="1233">
        <f t="shared" si="366"/>
        <v>0</v>
      </c>
      <c r="Z171" s="1125">
        <f t="shared" si="366"/>
        <v>0</v>
      </c>
      <c r="AA171" s="1125">
        <f t="shared" si="366"/>
        <v>0</v>
      </c>
      <c r="AB171" s="1125">
        <f t="shared" si="366"/>
        <v>0</v>
      </c>
      <c r="AC171" s="1125">
        <f t="shared" si="366"/>
        <v>0</v>
      </c>
      <c r="AD171" s="1125">
        <f t="shared" si="366"/>
        <v>0</v>
      </c>
      <c r="AE171" s="1233">
        <f t="shared" si="366"/>
        <v>0</v>
      </c>
      <c r="AF171" s="1233">
        <f t="shared" si="366"/>
        <v>0</v>
      </c>
      <c r="AG171" s="1125">
        <f t="shared" si="366"/>
        <v>0</v>
      </c>
      <c r="AH171" s="1125">
        <f t="shared" si="366"/>
        <v>0</v>
      </c>
      <c r="AI171" s="1409">
        <f t="shared" si="366"/>
        <v>0</v>
      </c>
      <c r="AJ171" s="515">
        <f>SUM(E171:AI171)</f>
        <v>0</v>
      </c>
      <c r="AK171" s="515"/>
      <c r="AL171" s="689"/>
      <c r="AM171" s="940"/>
      <c r="AN171" s="277"/>
      <c r="AO171" s="679"/>
      <c r="AP171" s="285"/>
      <c r="AQ171" s="285"/>
      <c r="AR171" s="285"/>
      <c r="AS171" s="285"/>
      <c r="AT171" s="286"/>
      <c r="AU171" s="285"/>
      <c r="AV171" s="287"/>
    </row>
    <row r="172" spans="1:48" s="23" customFormat="1" ht="20.65" hidden="1" customHeight="1">
      <c r="A172" s="296" t="s">
        <v>389</v>
      </c>
      <c r="B172" s="89"/>
      <c r="C172" s="72"/>
      <c r="D172" s="85" t="s">
        <v>110</v>
      </c>
      <c r="E172" s="1105"/>
      <c r="F172" s="1106"/>
      <c r="G172" s="1211"/>
      <c r="H172" s="1104"/>
      <c r="I172" s="1104"/>
      <c r="J172" s="1211"/>
      <c r="K172" s="1228"/>
      <c r="L172" s="1104"/>
      <c r="M172" s="1104"/>
      <c r="N172" s="1104"/>
      <c r="O172" s="1104"/>
      <c r="P172" s="1104"/>
      <c r="Q172" s="1211"/>
      <c r="R172" s="1211"/>
      <c r="S172" s="1104"/>
      <c r="T172" s="1104"/>
      <c r="U172" s="1104"/>
      <c r="V172" s="1104"/>
      <c r="W172" s="1104"/>
      <c r="X172" s="1211"/>
      <c r="Y172" s="1211"/>
      <c r="Z172" s="1104"/>
      <c r="AA172" s="1104"/>
      <c r="AB172" s="1104"/>
      <c r="AC172" s="1104"/>
      <c r="AD172" s="1104"/>
      <c r="AE172" s="1211"/>
      <c r="AF172" s="1211"/>
      <c r="AG172" s="1104"/>
      <c r="AH172" s="1104"/>
      <c r="AI172" s="1353"/>
      <c r="AJ172" s="86"/>
      <c r="AK172" s="86"/>
      <c r="AL172" s="690"/>
      <c r="AM172" s="940"/>
      <c r="AN172" s="277"/>
      <c r="AO172" s="679"/>
      <c r="AP172" s="285"/>
      <c r="AQ172" s="285"/>
      <c r="AR172" s="285"/>
      <c r="AS172" s="285"/>
      <c r="AT172" s="286"/>
      <c r="AU172" s="285"/>
      <c r="AV172" s="287"/>
    </row>
    <row r="173" spans="1:48" s="23" customFormat="1" ht="20.65" hidden="1" customHeight="1">
      <c r="A173" s="296" t="s">
        <v>389</v>
      </c>
      <c r="B173" s="89" t="s">
        <v>549</v>
      </c>
      <c r="C173" s="72" t="s">
        <v>104</v>
      </c>
      <c r="D173" s="88" t="s">
        <v>111</v>
      </c>
      <c r="E173" s="1108">
        <f>IF(E172="O/H",E171,+E171)</f>
        <v>0</v>
      </c>
      <c r="F173" s="1089">
        <f t="shared" ref="F173:AI173" si="367">IF(F172="O/H",F171,+E173+F171)</f>
        <v>0</v>
      </c>
      <c r="G173" s="44">
        <f t="shared" si="367"/>
        <v>0</v>
      </c>
      <c r="H173" s="1089">
        <f t="shared" si="367"/>
        <v>0</v>
      </c>
      <c r="I173" s="1089">
        <f t="shared" si="367"/>
        <v>0</v>
      </c>
      <c r="J173" s="44">
        <f t="shared" si="367"/>
        <v>0</v>
      </c>
      <c r="K173" s="44">
        <f t="shared" si="367"/>
        <v>0</v>
      </c>
      <c r="L173" s="1089">
        <f t="shared" si="367"/>
        <v>0</v>
      </c>
      <c r="M173" s="1089">
        <f t="shared" si="367"/>
        <v>0</v>
      </c>
      <c r="N173" s="1089">
        <f t="shared" si="367"/>
        <v>0</v>
      </c>
      <c r="O173" s="1089">
        <f t="shared" si="367"/>
        <v>0</v>
      </c>
      <c r="P173" s="1089">
        <f t="shared" si="367"/>
        <v>0</v>
      </c>
      <c r="Q173" s="44">
        <f t="shared" si="367"/>
        <v>0</v>
      </c>
      <c r="R173" s="44">
        <f t="shared" si="367"/>
        <v>0</v>
      </c>
      <c r="S173" s="1089">
        <f t="shared" si="367"/>
        <v>0</v>
      </c>
      <c r="T173" s="1089">
        <f t="shared" si="367"/>
        <v>0</v>
      </c>
      <c r="U173" s="1089">
        <f t="shared" si="367"/>
        <v>0</v>
      </c>
      <c r="V173" s="1089">
        <f t="shared" si="367"/>
        <v>0</v>
      </c>
      <c r="W173" s="1089">
        <f t="shared" si="367"/>
        <v>0</v>
      </c>
      <c r="X173" s="44">
        <f t="shared" si="367"/>
        <v>0</v>
      </c>
      <c r="Y173" s="44">
        <f t="shared" si="367"/>
        <v>0</v>
      </c>
      <c r="Z173" s="1089">
        <f t="shared" si="367"/>
        <v>0</v>
      </c>
      <c r="AA173" s="1089">
        <f t="shared" si="367"/>
        <v>0</v>
      </c>
      <c r="AB173" s="1089">
        <f t="shared" si="367"/>
        <v>0</v>
      </c>
      <c r="AC173" s="1089">
        <f t="shared" si="367"/>
        <v>0</v>
      </c>
      <c r="AD173" s="1089">
        <f t="shared" si="367"/>
        <v>0</v>
      </c>
      <c r="AE173" s="44">
        <f t="shared" si="367"/>
        <v>0</v>
      </c>
      <c r="AF173" s="44">
        <f t="shared" si="367"/>
        <v>0</v>
      </c>
      <c r="AG173" s="1089">
        <f t="shared" si="367"/>
        <v>0</v>
      </c>
      <c r="AH173" s="1089">
        <f t="shared" si="367"/>
        <v>0</v>
      </c>
      <c r="AI173" s="1326">
        <f t="shared" si="367"/>
        <v>0</v>
      </c>
      <c r="AJ173" s="79"/>
      <c r="AK173" s="79"/>
      <c r="AL173" s="690"/>
      <c r="AM173" s="940"/>
      <c r="AN173" s="277"/>
      <c r="AO173" s="679"/>
      <c r="AP173" s="285"/>
      <c r="AQ173" s="285"/>
      <c r="AR173" s="285"/>
      <c r="AS173" s="285"/>
      <c r="AT173" s="286"/>
      <c r="AU173" s="285"/>
      <c r="AV173" s="287"/>
    </row>
    <row r="174" spans="1:48" s="23" customFormat="1" ht="20.45" hidden="1" customHeight="1">
      <c r="A174" s="312"/>
      <c r="B174" s="312"/>
      <c r="C174" s="308">
        <v>300000</v>
      </c>
      <c r="D174" s="795" t="s">
        <v>112</v>
      </c>
      <c r="E174" s="1117" t="b">
        <f>IF(AND(ISNUMBER(E165)),972379+E171)</f>
        <v>0</v>
      </c>
      <c r="F174" s="1118" t="str">
        <f>IF(AND(ISNUMBER(F165)),E174+F171,"")</f>
        <v/>
      </c>
      <c r="G174" s="1216" t="str">
        <f t="shared" ref="G174" si="368">IF(AND(ISNUMBER(G165)),F174+G171,"")</f>
        <v/>
      </c>
      <c r="H174" s="1118" t="str">
        <f t="shared" ref="H174" si="369">IF(AND(ISNUMBER(H165)),G174+H171,"")</f>
        <v/>
      </c>
      <c r="I174" s="1118" t="str">
        <f>IF(AND(ISNUMBER(I165)),H174+I171,"")</f>
        <v/>
      </c>
      <c r="J174" s="1216" t="str">
        <f>IF(AND(ISNUMBER(J165)),I174+J171,"")</f>
        <v/>
      </c>
      <c r="K174" s="1216" t="str">
        <f>IF(AND(ISNUMBER(K165)),J174+K171,"")</f>
        <v/>
      </c>
      <c r="L174" s="1118" t="str">
        <f t="shared" ref="L174" si="370">IF(AND(ISNUMBER(L165)),K174+L171,"")</f>
        <v/>
      </c>
      <c r="M174" s="1118" t="str">
        <f t="shared" ref="M174" si="371">IF(AND(ISNUMBER(M165)),L174+M171,"")</f>
        <v/>
      </c>
      <c r="N174" s="1118" t="str">
        <f t="shared" ref="N174" si="372">IF(AND(ISNUMBER(N165)),M174+N171,"")</f>
        <v/>
      </c>
      <c r="O174" s="1118" t="str">
        <f t="shared" ref="O174" si="373">IF(AND(ISNUMBER(O165)),N174+O171,"")</f>
        <v/>
      </c>
      <c r="P174" s="1118" t="str">
        <f t="shared" ref="P174" si="374">IF(AND(ISNUMBER(P165)),O174+P171,"")</f>
        <v/>
      </c>
      <c r="Q174" s="1216" t="str">
        <f t="shared" ref="Q174" si="375">IF(AND(ISNUMBER(Q165)),P174+Q171,"")</f>
        <v/>
      </c>
      <c r="R174" s="1216" t="str">
        <f t="shared" ref="R174" si="376">IF(AND(ISNUMBER(R165)),Q174+R171,"")</f>
        <v/>
      </c>
      <c r="S174" s="1118" t="str">
        <f t="shared" ref="S174" si="377">IF(AND(ISNUMBER(S165)),R174+S171,"")</f>
        <v/>
      </c>
      <c r="T174" s="1118" t="str">
        <f t="shared" ref="T174" si="378">IF(AND(ISNUMBER(T165)),S174+T171,"")</f>
        <v/>
      </c>
      <c r="U174" s="1118" t="str">
        <f t="shared" ref="U174" si="379">IF(AND(ISNUMBER(U165)),T174+U171,"")</f>
        <v/>
      </c>
      <c r="V174" s="1118" t="str">
        <f t="shared" ref="V174" si="380">IF(AND(ISNUMBER(V165)),U174+V171,"")</f>
        <v/>
      </c>
      <c r="W174" s="1118" t="str">
        <f t="shared" ref="W174" si="381">IF(AND(ISNUMBER(W165)),V174+W171,"")</f>
        <v/>
      </c>
      <c r="X174" s="1216" t="str">
        <f t="shared" ref="X174" si="382">IF(AND(ISNUMBER(X165)),W174+X171,"")</f>
        <v/>
      </c>
      <c r="Y174" s="1216" t="str">
        <f t="shared" ref="Y174" si="383">IF(AND(ISNUMBER(Y165)),X174+Y171,"")</f>
        <v/>
      </c>
      <c r="Z174" s="1118" t="str">
        <f t="shared" ref="Z174" si="384">IF(AND(ISNUMBER(Z165)),Y174+Z171,"")</f>
        <v/>
      </c>
      <c r="AA174" s="1118" t="str">
        <f t="shared" ref="AA174" si="385">IF(AND(ISNUMBER(AA165)),Z174+AA171,"")</f>
        <v/>
      </c>
      <c r="AB174" s="1118" t="str">
        <f t="shared" ref="AB174" si="386">IF(AND(ISNUMBER(AB165)),AA174+AB171,"")</f>
        <v/>
      </c>
      <c r="AC174" s="1118" t="str">
        <f t="shared" ref="AC174" si="387">IF(AND(ISNUMBER(AC165)),AB174+AC171,"")</f>
        <v/>
      </c>
      <c r="AD174" s="1118" t="str">
        <f t="shared" ref="AD174" si="388">IF(AND(ISNUMBER(AD165)),AC174+AD171,"")</f>
        <v/>
      </c>
      <c r="AE174" s="1216" t="str">
        <f t="shared" ref="AE174" si="389">IF(AND(ISNUMBER(AE165)),AD174+AE171,"")</f>
        <v/>
      </c>
      <c r="AF174" s="1216" t="str">
        <f t="shared" ref="AF174" si="390">IF(AND(ISNUMBER(AF165)),AE174+AF171,"")</f>
        <v/>
      </c>
      <c r="AG174" s="1118" t="str">
        <f t="shared" ref="AG174" si="391">IF(AND(ISNUMBER(AG165)),AF174+AG171,"")</f>
        <v/>
      </c>
      <c r="AH174" s="1118" t="str">
        <f t="shared" ref="AH174" si="392">IF(AND(ISNUMBER(AH165)),AG174+AH171,"")</f>
        <v/>
      </c>
      <c r="AI174" s="1118" t="str">
        <f t="shared" ref="AI174" si="393">IF(AND(ISNUMBER(AI165)),AH174+AI171,"")</f>
        <v/>
      </c>
      <c r="AJ174" s="793"/>
      <c r="AK174" s="793"/>
      <c r="AL174" s="909"/>
      <c r="AM174" s="794"/>
      <c r="AN174" s="429"/>
      <c r="AO174" s="675"/>
      <c r="AP174" s="285"/>
      <c r="AQ174" s="285"/>
      <c r="AR174" s="285"/>
      <c r="AS174" s="285"/>
      <c r="AT174" s="286"/>
      <c r="AU174" s="285"/>
      <c r="AV174" s="287"/>
    </row>
    <row r="175" spans="1:48" s="23" customFormat="1" ht="20.65" hidden="1" customHeight="1">
      <c r="A175" s="296" t="s">
        <v>389</v>
      </c>
      <c r="B175" s="89"/>
      <c r="C175" s="80" t="s">
        <v>108</v>
      </c>
      <c r="D175" s="90" t="s">
        <v>104</v>
      </c>
      <c r="E175" s="1108"/>
      <c r="F175" s="1089"/>
      <c r="G175" s="44"/>
      <c r="H175" s="1089"/>
      <c r="I175" s="1089"/>
      <c r="J175" s="44"/>
      <c r="K175" s="44"/>
      <c r="L175" s="1089"/>
      <c r="M175" s="1089"/>
      <c r="N175" s="1089"/>
      <c r="O175" s="1089"/>
      <c r="P175" s="1089"/>
      <c r="Q175" s="44"/>
      <c r="R175" s="44"/>
      <c r="S175" s="1089"/>
      <c r="T175" s="1089"/>
      <c r="U175" s="1089"/>
      <c r="V175" s="1089"/>
      <c r="W175" s="1089"/>
      <c r="X175" s="44"/>
      <c r="Y175" s="44"/>
      <c r="Z175" s="1089"/>
      <c r="AA175" s="1089"/>
      <c r="AB175" s="1089"/>
      <c r="AC175" s="1089"/>
      <c r="AD175" s="1089"/>
      <c r="AE175" s="44"/>
      <c r="AF175" s="44"/>
      <c r="AG175" s="1089"/>
      <c r="AH175" s="1089"/>
      <c r="AI175" s="1326"/>
      <c r="AJ175" s="79"/>
      <c r="AK175" s="79"/>
      <c r="AL175" s="690"/>
      <c r="AM175" s="940"/>
      <c r="AN175" s="277"/>
      <c r="AO175" s="679"/>
      <c r="AP175" s="285"/>
      <c r="AQ175" s="285"/>
      <c r="AR175" s="285"/>
      <c r="AS175" s="285"/>
      <c r="AT175" s="286"/>
      <c r="AU175" s="285"/>
      <c r="AV175" s="287"/>
    </row>
    <row r="176" spans="1:48" s="23" customFormat="1" ht="20.65" hidden="1" customHeight="1" thickBot="1">
      <c r="A176" s="310" t="s">
        <v>389</v>
      </c>
      <c r="B176" s="93"/>
      <c r="C176" s="291">
        <f>+C174*0.8</f>
        <v>240000</v>
      </c>
      <c r="D176" s="88" t="s">
        <v>111</v>
      </c>
      <c r="E176" s="1109">
        <f>IF(E175="O/H",E171,+E171)</f>
        <v>0</v>
      </c>
      <c r="F176" s="1110">
        <f t="shared" ref="F176:AI176" si="394">IF(F175="O/H",F171,+E176+F171)</f>
        <v>0</v>
      </c>
      <c r="G176" s="1212">
        <f t="shared" si="394"/>
        <v>0</v>
      </c>
      <c r="H176" s="1110">
        <f t="shared" si="394"/>
        <v>0</v>
      </c>
      <c r="I176" s="1110">
        <f t="shared" si="394"/>
        <v>0</v>
      </c>
      <c r="J176" s="1212">
        <f t="shared" si="394"/>
        <v>0</v>
      </c>
      <c r="K176" s="1212">
        <f t="shared" si="394"/>
        <v>0</v>
      </c>
      <c r="L176" s="1110">
        <f t="shared" si="394"/>
        <v>0</v>
      </c>
      <c r="M176" s="1110">
        <f t="shared" si="394"/>
        <v>0</v>
      </c>
      <c r="N176" s="1110">
        <f t="shared" si="394"/>
        <v>0</v>
      </c>
      <c r="O176" s="1110">
        <f t="shared" si="394"/>
        <v>0</v>
      </c>
      <c r="P176" s="1110">
        <f t="shared" si="394"/>
        <v>0</v>
      </c>
      <c r="Q176" s="1212">
        <f t="shared" si="394"/>
        <v>0</v>
      </c>
      <c r="R176" s="1212">
        <f t="shared" si="394"/>
        <v>0</v>
      </c>
      <c r="S176" s="1110">
        <f t="shared" si="394"/>
        <v>0</v>
      </c>
      <c r="T176" s="1110">
        <f t="shared" si="394"/>
        <v>0</v>
      </c>
      <c r="U176" s="1110">
        <f t="shared" si="394"/>
        <v>0</v>
      </c>
      <c r="V176" s="1110">
        <f t="shared" si="394"/>
        <v>0</v>
      </c>
      <c r="W176" s="1110">
        <f t="shared" si="394"/>
        <v>0</v>
      </c>
      <c r="X176" s="1212">
        <f t="shared" si="394"/>
        <v>0</v>
      </c>
      <c r="Y176" s="1212">
        <f t="shared" si="394"/>
        <v>0</v>
      </c>
      <c r="Z176" s="1110">
        <f t="shared" si="394"/>
        <v>0</v>
      </c>
      <c r="AA176" s="1110">
        <f t="shared" si="394"/>
        <v>0</v>
      </c>
      <c r="AB176" s="1110">
        <f t="shared" si="394"/>
        <v>0</v>
      </c>
      <c r="AC176" s="1110">
        <f t="shared" si="394"/>
        <v>0</v>
      </c>
      <c r="AD176" s="1110">
        <f t="shared" si="394"/>
        <v>0</v>
      </c>
      <c r="AE176" s="1212">
        <f t="shared" si="394"/>
        <v>0</v>
      </c>
      <c r="AF176" s="1212">
        <f t="shared" si="394"/>
        <v>0</v>
      </c>
      <c r="AG176" s="1110">
        <f t="shared" si="394"/>
        <v>0</v>
      </c>
      <c r="AH176" s="1110">
        <f t="shared" si="394"/>
        <v>0</v>
      </c>
      <c r="AI176" s="1340">
        <f t="shared" si="394"/>
        <v>0</v>
      </c>
      <c r="AJ176" s="96"/>
      <c r="AK176" s="723"/>
      <c r="AL176" s="695"/>
      <c r="AM176" s="961"/>
      <c r="AN176" s="292"/>
      <c r="AO176" s="681"/>
      <c r="AP176" s="285"/>
      <c r="AQ176" s="285"/>
      <c r="AR176" s="285"/>
      <c r="AS176" s="285"/>
      <c r="AT176" s="286"/>
      <c r="AU176" s="285"/>
      <c r="AV176" s="287"/>
    </row>
    <row r="177" spans="1:48" s="23" customFormat="1" ht="20.65" hidden="1" customHeight="1" thickTop="1">
      <c r="A177" s="270" t="s">
        <v>707</v>
      </c>
      <c r="B177" s="219"/>
      <c r="C177" s="42" t="str">
        <f>Table2[[#This Row],[M/C No.]]</f>
        <v>H6(50ton)</v>
      </c>
      <c r="D177" s="28" t="s">
        <v>82</v>
      </c>
      <c r="E177" s="1139"/>
      <c r="F177" s="1139"/>
      <c r="G177" s="1231"/>
      <c r="H177" s="1139"/>
      <c r="I177" s="1139"/>
      <c r="J177" s="1231"/>
      <c r="K177" s="1231"/>
      <c r="L177" s="1139"/>
      <c r="M177" s="1139"/>
      <c r="N177" s="1139"/>
      <c r="O177" s="1139"/>
      <c r="P177" s="1139"/>
      <c r="Q177" s="1231"/>
      <c r="R177" s="1231"/>
      <c r="S177" s="1139"/>
      <c r="T177" s="1139"/>
      <c r="U177" s="1139"/>
      <c r="V177" s="1139"/>
      <c r="W177" s="1139"/>
      <c r="X177" s="1231"/>
      <c r="Y177" s="1231"/>
      <c r="Z177" s="1139"/>
      <c r="AA177" s="1139"/>
      <c r="AB177" s="1139"/>
      <c r="AC177" s="1139"/>
      <c r="AD177" s="1139"/>
      <c r="AE177" s="1231"/>
      <c r="AF177" s="1231"/>
      <c r="AG177" s="1139"/>
      <c r="AH177" s="1139"/>
      <c r="AI177" s="1322"/>
      <c r="AJ177" s="100">
        <f>SUM(E177:AI177)</f>
        <v>0</v>
      </c>
      <c r="AK177" s="1020">
        <f>AJ179</f>
        <v>0</v>
      </c>
      <c r="AL177" s="101">
        <f>+AJ177*AN177</f>
        <v>0</v>
      </c>
      <c r="AM177" s="1019">
        <f>AL179</f>
        <v>0</v>
      </c>
      <c r="AN177" s="293">
        <v>5.8483900000000002</v>
      </c>
      <c r="AO177" s="633">
        <f>Table2[[#This Row],[Total]]*B181/1000</f>
        <v>0</v>
      </c>
      <c r="AP177" s="32" t="s">
        <v>393</v>
      </c>
      <c r="AQ177" s="33" t="s">
        <v>84</v>
      </c>
      <c r="AR177" s="33" t="s">
        <v>85</v>
      </c>
      <c r="AS177" s="33" t="s">
        <v>86</v>
      </c>
      <c r="AT177" s="33" t="s">
        <v>87</v>
      </c>
      <c r="AU177" s="33" t="s">
        <v>88</v>
      </c>
      <c r="AV177" s="34" t="s">
        <v>68</v>
      </c>
    </row>
    <row r="178" spans="1:48" s="23" customFormat="1" ht="20.65" hidden="1" customHeight="1">
      <c r="A178" s="274"/>
      <c r="B178" s="219" t="s">
        <v>396</v>
      </c>
      <c r="C178" s="275"/>
      <c r="D178" s="37" t="s">
        <v>90</v>
      </c>
      <c r="E178" s="1323">
        <f>IF(E177="",0,+ E177/E184)</f>
        <v>0</v>
      </c>
      <c r="F178" s="1096">
        <f t="shared" ref="F178:AC178" si="395">IF(F177="",0, E178+F177/F184)</f>
        <v>0</v>
      </c>
      <c r="G178" s="1207">
        <f t="shared" si="395"/>
        <v>0</v>
      </c>
      <c r="H178" s="1096">
        <f t="shared" si="395"/>
        <v>0</v>
      </c>
      <c r="I178" s="1096">
        <f t="shared" si="395"/>
        <v>0</v>
      </c>
      <c r="J178" s="1207">
        <f t="shared" si="395"/>
        <v>0</v>
      </c>
      <c r="K178" s="1207">
        <f t="shared" si="395"/>
        <v>0</v>
      </c>
      <c r="L178" s="1096">
        <f t="shared" si="395"/>
        <v>0</v>
      </c>
      <c r="M178" s="1096">
        <f t="shared" si="395"/>
        <v>0</v>
      </c>
      <c r="N178" s="1096">
        <f t="shared" si="395"/>
        <v>0</v>
      </c>
      <c r="O178" s="1096">
        <f t="shared" si="395"/>
        <v>0</v>
      </c>
      <c r="P178" s="1096">
        <f t="shared" si="395"/>
        <v>0</v>
      </c>
      <c r="Q178" s="1207">
        <f t="shared" si="395"/>
        <v>0</v>
      </c>
      <c r="R178" s="1207">
        <f t="shared" si="395"/>
        <v>0</v>
      </c>
      <c r="S178" s="1096">
        <f t="shared" si="395"/>
        <v>0</v>
      </c>
      <c r="T178" s="1096">
        <f t="shared" si="395"/>
        <v>0</v>
      </c>
      <c r="U178" s="1096">
        <f t="shared" si="395"/>
        <v>0</v>
      </c>
      <c r="V178" s="1096">
        <f t="shared" si="395"/>
        <v>0</v>
      </c>
      <c r="W178" s="1096">
        <f t="shared" si="395"/>
        <v>0</v>
      </c>
      <c r="X178" s="1207">
        <f t="shared" si="395"/>
        <v>0</v>
      </c>
      <c r="Y178" s="1207">
        <f t="shared" si="395"/>
        <v>0</v>
      </c>
      <c r="Z178" s="1096">
        <f t="shared" si="395"/>
        <v>0</v>
      </c>
      <c r="AA178" s="1096">
        <f t="shared" si="395"/>
        <v>0</v>
      </c>
      <c r="AB178" s="1096">
        <f t="shared" si="395"/>
        <v>0</v>
      </c>
      <c r="AC178" s="1096">
        <f t="shared" si="395"/>
        <v>0</v>
      </c>
      <c r="AD178" s="1096">
        <f>IF(AD177="",0, Z178+AD177/AD184)</f>
        <v>0</v>
      </c>
      <c r="AE178" s="1207">
        <f>IF(AE177="",0, AA178+AE177/AE184)</f>
        <v>0</v>
      </c>
      <c r="AF178" s="1207">
        <f>IF(AF177="",0, AB178+AF177/AF184)</f>
        <v>0</v>
      </c>
      <c r="AG178" s="1096">
        <f>IF(AG177="",0, AC178+AG177/AG184)</f>
        <v>0</v>
      </c>
      <c r="AH178" s="1096">
        <f>IF(AH177="",0, AD178+AH177/AH184)</f>
        <v>0</v>
      </c>
      <c r="AI178" s="1324">
        <f>IF(AI177="",0, AH178+AI177/AI184)</f>
        <v>0</v>
      </c>
      <c r="AJ178" s="716"/>
      <c r="AK178" s="716"/>
      <c r="AL178" s="209"/>
      <c r="AM178" s="794"/>
      <c r="AN178" s="91"/>
      <c r="AO178" s="675"/>
      <c r="AP178" s="39" t="s">
        <v>91</v>
      </c>
      <c r="AQ178" s="40">
        <f>SUM(E177:K177)</f>
        <v>0</v>
      </c>
      <c r="AR178" s="41">
        <f>SUM(L177:R177)</f>
        <v>0</v>
      </c>
      <c r="AS178" s="41">
        <f>SUM(S177:Y177)</f>
        <v>0</v>
      </c>
      <c r="AT178" s="41">
        <f>SUM(Z177:AF177)</f>
        <v>0</v>
      </c>
      <c r="AU178" s="41">
        <f>SUM(AG177:AI177)</f>
        <v>0</v>
      </c>
      <c r="AV178" s="34">
        <f t="shared" ref="AV178:AV183" si="396">SUM(AQ178:AU178)</f>
        <v>0</v>
      </c>
    </row>
    <row r="179" spans="1:48" s="23" customFormat="1" ht="20.65" hidden="1" customHeight="1">
      <c r="A179" s="296" t="s">
        <v>389</v>
      </c>
      <c r="B179" s="89" t="s">
        <v>246</v>
      </c>
      <c r="C179" s="42"/>
      <c r="D179" s="43" t="s">
        <v>93</v>
      </c>
      <c r="E179" s="1108"/>
      <c r="F179" s="1089"/>
      <c r="G179" s="44"/>
      <c r="H179" s="1089"/>
      <c r="I179" s="1089"/>
      <c r="J179" s="44"/>
      <c r="K179" s="44"/>
      <c r="L179" s="1089"/>
      <c r="M179" s="1089"/>
      <c r="N179" s="1089"/>
      <c r="O179" s="1089"/>
      <c r="P179" s="1089"/>
      <c r="Q179" s="44"/>
      <c r="R179" s="44"/>
      <c r="S179" s="1089"/>
      <c r="T179" s="1089"/>
      <c r="U179" s="1089"/>
      <c r="V179" s="1089"/>
      <c r="W179" s="1089"/>
      <c r="X179" s="44"/>
      <c r="Y179" s="44"/>
      <c r="Z179" s="1089"/>
      <c r="AA179" s="1089"/>
      <c r="AB179" s="1089"/>
      <c r="AC179" s="1089"/>
      <c r="AD179" s="1089"/>
      <c r="AE179" s="44"/>
      <c r="AF179" s="44"/>
      <c r="AG179" s="1089"/>
      <c r="AH179" s="1089"/>
      <c r="AI179" s="1326"/>
      <c r="AJ179" s="45">
        <f>SUM(E179:AI179)</f>
        <v>0</v>
      </c>
      <c r="AK179" s="45"/>
      <c r="AL179" s="46">
        <f>+AJ179*AN177</f>
        <v>0</v>
      </c>
      <c r="AM179" s="934"/>
      <c r="AN179" s="277"/>
      <c r="AO179" s="632">
        <f>(AJ179+AJ181+AJ182+AJ183)*B181/1000</f>
        <v>0</v>
      </c>
      <c r="AP179" s="47" t="s">
        <v>94</v>
      </c>
      <c r="AQ179" s="48">
        <f>SUM(E179:K179)</f>
        <v>0</v>
      </c>
      <c r="AR179" s="49">
        <f>SUM(L179:R179)</f>
        <v>0</v>
      </c>
      <c r="AS179" s="49">
        <f>SUM(S179:Y179)</f>
        <v>0</v>
      </c>
      <c r="AT179" s="49">
        <f>SUM(Z179:AF179)</f>
        <v>0</v>
      </c>
      <c r="AU179" s="49">
        <f>SUM(AG179:AI179)</f>
        <v>0</v>
      </c>
      <c r="AV179" s="50">
        <f t="shared" si="396"/>
        <v>0</v>
      </c>
    </row>
    <row r="180" spans="1:48" s="23" customFormat="1" ht="20.65" hidden="1" customHeight="1">
      <c r="A180" s="296" t="s">
        <v>389</v>
      </c>
      <c r="B180" s="211" t="s">
        <v>247</v>
      </c>
      <c r="C180" s="280"/>
      <c r="D180" s="53" t="s">
        <v>96</v>
      </c>
      <c r="E180" s="1137">
        <f t="shared" ref="E180:AJ180" si="397">+E179-E177</f>
        <v>0</v>
      </c>
      <c r="F180" s="1097">
        <f t="shared" si="397"/>
        <v>0</v>
      </c>
      <c r="G180" s="1205">
        <f t="shared" si="397"/>
        <v>0</v>
      </c>
      <c r="H180" s="1097">
        <f t="shared" si="397"/>
        <v>0</v>
      </c>
      <c r="I180" s="1097">
        <f t="shared" si="397"/>
        <v>0</v>
      </c>
      <c r="J180" s="1205">
        <f t="shared" si="397"/>
        <v>0</v>
      </c>
      <c r="K180" s="1205">
        <f t="shared" si="397"/>
        <v>0</v>
      </c>
      <c r="L180" s="1097">
        <f t="shared" si="397"/>
        <v>0</v>
      </c>
      <c r="M180" s="1097">
        <f t="shared" si="397"/>
        <v>0</v>
      </c>
      <c r="N180" s="1097">
        <f t="shared" si="397"/>
        <v>0</v>
      </c>
      <c r="O180" s="1097">
        <f t="shared" si="397"/>
        <v>0</v>
      </c>
      <c r="P180" s="1097">
        <f t="shared" si="397"/>
        <v>0</v>
      </c>
      <c r="Q180" s="1205">
        <f t="shared" si="397"/>
        <v>0</v>
      </c>
      <c r="R180" s="1205">
        <f t="shared" si="397"/>
        <v>0</v>
      </c>
      <c r="S180" s="1097">
        <f t="shared" si="397"/>
        <v>0</v>
      </c>
      <c r="T180" s="1097">
        <f t="shared" si="397"/>
        <v>0</v>
      </c>
      <c r="U180" s="1097">
        <f t="shared" si="397"/>
        <v>0</v>
      </c>
      <c r="V180" s="1097">
        <f t="shared" si="397"/>
        <v>0</v>
      </c>
      <c r="W180" s="1097">
        <f t="shared" si="397"/>
        <v>0</v>
      </c>
      <c r="X180" s="1205">
        <f t="shared" si="397"/>
        <v>0</v>
      </c>
      <c r="Y180" s="1205">
        <f t="shared" si="397"/>
        <v>0</v>
      </c>
      <c r="Z180" s="1097">
        <f t="shared" si="397"/>
        <v>0</v>
      </c>
      <c r="AA180" s="1097">
        <f t="shared" si="397"/>
        <v>0</v>
      </c>
      <c r="AB180" s="1097">
        <f t="shared" si="397"/>
        <v>0</v>
      </c>
      <c r="AC180" s="1097">
        <f t="shared" si="397"/>
        <v>0</v>
      </c>
      <c r="AD180" s="1097">
        <f t="shared" si="397"/>
        <v>0</v>
      </c>
      <c r="AE180" s="1205">
        <f t="shared" si="397"/>
        <v>0</v>
      </c>
      <c r="AF180" s="1205">
        <f t="shared" si="397"/>
        <v>0</v>
      </c>
      <c r="AG180" s="1097">
        <f t="shared" si="397"/>
        <v>0</v>
      </c>
      <c r="AH180" s="1097">
        <f t="shared" si="397"/>
        <v>0</v>
      </c>
      <c r="AI180" s="1328">
        <f t="shared" si="397"/>
        <v>0</v>
      </c>
      <c r="AJ180" s="79">
        <f t="shared" si="397"/>
        <v>0</v>
      </c>
      <c r="AK180" s="79"/>
      <c r="AL180" s="55">
        <f>+AJ180*AN177</f>
        <v>0</v>
      </c>
      <c r="AM180" s="935"/>
      <c r="AN180" s="277" t="s">
        <v>97</v>
      </c>
      <c r="AO180" s="622"/>
      <c r="AP180" s="39" t="s">
        <v>98</v>
      </c>
      <c r="AQ180" s="56">
        <f>AQ179-AQ178</f>
        <v>0</v>
      </c>
      <c r="AR180" s="70">
        <f>AR179-AR178</f>
        <v>0</v>
      </c>
      <c r="AS180" s="70">
        <f>AS179-AS178</f>
        <v>0</v>
      </c>
      <c r="AT180" s="70">
        <f>AT179-AT178</f>
        <v>0</v>
      </c>
      <c r="AU180" s="70">
        <f>AU179-AU178</f>
        <v>0</v>
      </c>
      <c r="AV180" s="57">
        <f t="shared" si="396"/>
        <v>0</v>
      </c>
    </row>
    <row r="181" spans="1:48" s="23" customFormat="1" ht="20.65" hidden="1" customHeight="1">
      <c r="A181" s="296" t="s">
        <v>389</v>
      </c>
      <c r="B181" s="658">
        <v>2.9820000000000002</v>
      </c>
      <c r="C181" s="305"/>
      <c r="D181" s="61" t="s">
        <v>101</v>
      </c>
      <c r="E181" s="1098"/>
      <c r="F181" s="1099"/>
      <c r="G181" s="1208"/>
      <c r="H181" s="1099"/>
      <c r="I181" s="1099"/>
      <c r="J181" s="1208"/>
      <c r="K181" s="1208"/>
      <c r="L181" s="1099"/>
      <c r="M181" s="1099"/>
      <c r="N181" s="1099"/>
      <c r="O181" s="1099"/>
      <c r="P181" s="1099"/>
      <c r="Q181" s="1208"/>
      <c r="R181" s="1208"/>
      <c r="S181" s="1099"/>
      <c r="T181" s="1099"/>
      <c r="U181" s="1099"/>
      <c r="V181" s="1099"/>
      <c r="W181" s="1099"/>
      <c r="X181" s="1208"/>
      <c r="Y181" s="1208"/>
      <c r="Z181" s="1099"/>
      <c r="AA181" s="1099"/>
      <c r="AB181" s="1099"/>
      <c r="AC181" s="1099"/>
      <c r="AD181" s="1099"/>
      <c r="AE181" s="1208"/>
      <c r="AF181" s="1208"/>
      <c r="AG181" s="1099"/>
      <c r="AH181" s="1099"/>
      <c r="AI181" s="1330"/>
      <c r="AJ181" s="62">
        <f>SUM(E181:AI181)</f>
        <v>0</v>
      </c>
      <c r="AK181" s="62"/>
      <c r="AL181" s="63">
        <f>+AJ181*AN177</f>
        <v>0</v>
      </c>
      <c r="AM181" s="936"/>
      <c r="AN181" s="301" t="e">
        <f>+AJ181/AJ179*100</f>
        <v>#DIV/0!</v>
      </c>
      <c r="AO181" s="635" t="e">
        <f>AO179/AO177</f>
        <v>#DIV/0!</v>
      </c>
      <c r="AP181" s="39" t="s">
        <v>102</v>
      </c>
      <c r="AQ181" s="56">
        <f>SUM(E181:K181)</f>
        <v>0</v>
      </c>
      <c r="AR181" s="70">
        <f>SUM(L181:R181)</f>
        <v>0</v>
      </c>
      <c r="AS181" s="70">
        <f>SUM(S181:Y181)</f>
        <v>0</v>
      </c>
      <c r="AT181" s="70">
        <f>SUM(Z181:AF181)</f>
        <v>0</v>
      </c>
      <c r="AU181" s="70">
        <f>SUM(AG181:AI181)</f>
        <v>0</v>
      </c>
      <c r="AV181" s="57">
        <f t="shared" si="396"/>
        <v>0</v>
      </c>
    </row>
    <row r="182" spans="1:48" s="23" customFormat="1" ht="20.65" hidden="1" customHeight="1">
      <c r="A182" s="296" t="s">
        <v>389</v>
      </c>
      <c r="B182" s="89"/>
      <c r="C182" s="52" t="s">
        <v>95</v>
      </c>
      <c r="D182" s="67" t="s">
        <v>103</v>
      </c>
      <c r="E182" s="1100"/>
      <c r="F182" s="1101"/>
      <c r="G182" s="1209"/>
      <c r="H182" s="1101"/>
      <c r="I182" s="1101"/>
      <c r="J182" s="1209"/>
      <c r="K182" s="1209"/>
      <c r="L182" s="1101"/>
      <c r="M182" s="1101"/>
      <c r="N182" s="1101"/>
      <c r="O182" s="1101"/>
      <c r="P182" s="1101"/>
      <c r="Q182" s="1209"/>
      <c r="R182" s="1209"/>
      <c r="S182" s="1101"/>
      <c r="T182" s="1101"/>
      <c r="U182" s="1101"/>
      <c r="V182" s="1101"/>
      <c r="W182" s="1101"/>
      <c r="X182" s="1209"/>
      <c r="Y182" s="1209"/>
      <c r="Z182" s="1101"/>
      <c r="AA182" s="1101"/>
      <c r="AB182" s="1101"/>
      <c r="AC182" s="1101"/>
      <c r="AD182" s="1101"/>
      <c r="AE182" s="1209"/>
      <c r="AF182" s="1209"/>
      <c r="AG182" s="1101"/>
      <c r="AH182" s="1101"/>
      <c r="AI182" s="1332"/>
      <c r="AJ182" s="68">
        <f>SUM(E182:AI182)</f>
        <v>0</v>
      </c>
      <c r="AK182" s="68"/>
      <c r="AL182" s="69">
        <f>+AJ182*AN177</f>
        <v>0</v>
      </c>
      <c r="AM182" s="937"/>
      <c r="AN182" s="277"/>
      <c r="AO182" s="679"/>
      <c r="AP182" s="39" t="s">
        <v>19</v>
      </c>
      <c r="AQ182" s="56">
        <f>AQ181*AN177</f>
        <v>0</v>
      </c>
      <c r="AR182" s="56">
        <f>AR181*AN177</f>
        <v>0</v>
      </c>
      <c r="AS182" s="56">
        <f>AS181*AN177</f>
        <v>0</v>
      </c>
      <c r="AT182" s="56">
        <f>AT181*AN177</f>
        <v>0</v>
      </c>
      <c r="AU182" s="56">
        <f>AU181*AN177</f>
        <v>0</v>
      </c>
      <c r="AV182" s="57">
        <f t="shared" si="396"/>
        <v>0</v>
      </c>
    </row>
    <row r="183" spans="1:48" s="23" customFormat="1" ht="20.65" hidden="1" customHeight="1">
      <c r="A183" s="270"/>
      <c r="B183" s="89"/>
      <c r="C183" s="306" t="s">
        <v>387</v>
      </c>
      <c r="D183" s="73" t="s">
        <v>105</v>
      </c>
      <c r="E183" s="1102"/>
      <c r="F183" s="1103"/>
      <c r="G183" s="1210"/>
      <c r="H183" s="1103"/>
      <c r="I183" s="1103"/>
      <c r="J183" s="1210"/>
      <c r="K183" s="1210"/>
      <c r="L183" s="1103"/>
      <c r="M183" s="1103"/>
      <c r="N183" s="1103"/>
      <c r="O183" s="1103"/>
      <c r="P183" s="1103"/>
      <c r="Q183" s="1210"/>
      <c r="R183" s="1210"/>
      <c r="S183" s="1103"/>
      <c r="T183" s="1103"/>
      <c r="U183" s="1103"/>
      <c r="V183" s="1103"/>
      <c r="W183" s="1103"/>
      <c r="X183" s="1210"/>
      <c r="Y183" s="1210"/>
      <c r="Z183" s="1103"/>
      <c r="AA183" s="1103"/>
      <c r="AB183" s="1103"/>
      <c r="AC183" s="1103"/>
      <c r="AD183" s="1103"/>
      <c r="AE183" s="1210"/>
      <c r="AF183" s="1210"/>
      <c r="AG183" s="1103"/>
      <c r="AH183" s="1103"/>
      <c r="AI183" s="1352"/>
      <c r="AJ183" s="74">
        <f>SUM(E183:AI183)</f>
        <v>0</v>
      </c>
      <c r="AK183" s="74"/>
      <c r="AL183" s="75">
        <f>+AJ183*AN177</f>
        <v>0</v>
      </c>
      <c r="AM183" s="938"/>
      <c r="AN183" s="91"/>
      <c r="AO183" s="630"/>
      <c r="AP183" s="47" t="s">
        <v>106</v>
      </c>
      <c r="AQ183" s="48">
        <f>AQ179*AN177</f>
        <v>0</v>
      </c>
      <c r="AR183" s="48">
        <f>AR179*AN177</f>
        <v>0</v>
      </c>
      <c r="AS183" s="48">
        <f>AS179*AN177</f>
        <v>0</v>
      </c>
      <c r="AT183" s="48">
        <f>AT179*AN177</f>
        <v>0</v>
      </c>
      <c r="AU183" s="48">
        <f>AU179*AN177</f>
        <v>0</v>
      </c>
      <c r="AV183" s="50">
        <f t="shared" si="396"/>
        <v>0</v>
      </c>
    </row>
    <row r="184" spans="1:48" s="23" customFormat="1" ht="20.65" hidden="1" customHeight="1">
      <c r="A184" s="296" t="s">
        <v>389</v>
      </c>
      <c r="B184" s="89"/>
      <c r="C184" s="307"/>
      <c r="D184" s="78" t="s">
        <v>107</v>
      </c>
      <c r="E184" s="1137">
        <v>4</v>
      </c>
      <c r="F184" s="1097">
        <v>4</v>
      </c>
      <c r="G184" s="1205">
        <v>4</v>
      </c>
      <c r="H184" s="1097">
        <v>4</v>
      </c>
      <c r="I184" s="1097">
        <v>4</v>
      </c>
      <c r="J184" s="1205">
        <v>4</v>
      </c>
      <c r="K184" s="1205">
        <v>4</v>
      </c>
      <c r="L184" s="1097">
        <v>4</v>
      </c>
      <c r="M184" s="1097">
        <v>4</v>
      </c>
      <c r="N184" s="1097">
        <v>4</v>
      </c>
      <c r="O184" s="1097">
        <v>4</v>
      </c>
      <c r="P184" s="1097">
        <v>4</v>
      </c>
      <c r="Q184" s="1205">
        <v>4</v>
      </c>
      <c r="R184" s="1205">
        <v>4</v>
      </c>
      <c r="S184" s="1097">
        <v>4</v>
      </c>
      <c r="T184" s="1097">
        <v>4</v>
      </c>
      <c r="U184" s="1097">
        <v>4</v>
      </c>
      <c r="V184" s="1097">
        <v>4</v>
      </c>
      <c r="W184" s="1097">
        <v>4</v>
      </c>
      <c r="X184" s="1205">
        <v>4</v>
      </c>
      <c r="Y184" s="1205">
        <v>4</v>
      </c>
      <c r="Z184" s="1097">
        <v>4</v>
      </c>
      <c r="AA184" s="1097">
        <v>4</v>
      </c>
      <c r="AB184" s="1097">
        <v>4</v>
      </c>
      <c r="AC184" s="1097">
        <v>4</v>
      </c>
      <c r="AD184" s="1097">
        <v>4</v>
      </c>
      <c r="AE184" s="1205">
        <v>4</v>
      </c>
      <c r="AF184" s="1205">
        <v>4</v>
      </c>
      <c r="AG184" s="1097">
        <v>4</v>
      </c>
      <c r="AH184" s="1097">
        <v>4</v>
      </c>
      <c r="AI184" s="1328">
        <v>4</v>
      </c>
      <c r="AJ184" s="79"/>
      <c r="AK184" s="79"/>
      <c r="AL184" s="692"/>
      <c r="AM184" s="960"/>
      <c r="AN184" s="277"/>
      <c r="AO184" s="679"/>
      <c r="AP184" s="47"/>
      <c r="AQ184" s="48"/>
      <c r="AR184" s="48"/>
      <c r="AS184" s="48"/>
      <c r="AT184" s="48"/>
      <c r="AU184" s="48"/>
      <c r="AV184" s="284"/>
    </row>
    <row r="185" spans="1:48" s="23" customFormat="1" ht="20.65" hidden="1" customHeight="1">
      <c r="A185" s="296" t="s">
        <v>389</v>
      </c>
      <c r="B185" s="89"/>
      <c r="C185" s="305"/>
      <c r="D185" s="81" t="s">
        <v>109</v>
      </c>
      <c r="E185" s="1125">
        <f>SUM(E179+E181+E182+E183)/E184</f>
        <v>0</v>
      </c>
      <c r="F185" s="1125">
        <f>SUM(F179+F181+F182+F183)/F184</f>
        <v>0</v>
      </c>
      <c r="G185" s="1233">
        <f>SUM(G179+G181+G182+G183)/G184</f>
        <v>0</v>
      </c>
      <c r="H185" s="1125">
        <f t="shared" ref="H185:AH185" si="398">SUM(H179+H181+H182+H183)/H184</f>
        <v>0</v>
      </c>
      <c r="I185" s="1125">
        <f t="shared" si="398"/>
        <v>0</v>
      </c>
      <c r="J185" s="1233">
        <f t="shared" si="398"/>
        <v>0</v>
      </c>
      <c r="K185" s="1233">
        <f t="shared" si="398"/>
        <v>0</v>
      </c>
      <c r="L185" s="1125">
        <f t="shared" si="398"/>
        <v>0</v>
      </c>
      <c r="M185" s="1125">
        <f t="shared" si="398"/>
        <v>0</v>
      </c>
      <c r="N185" s="1125">
        <f t="shared" si="398"/>
        <v>0</v>
      </c>
      <c r="O185" s="1125">
        <f t="shared" si="398"/>
        <v>0</v>
      </c>
      <c r="P185" s="1125">
        <f t="shared" si="398"/>
        <v>0</v>
      </c>
      <c r="Q185" s="1233">
        <f t="shared" si="398"/>
        <v>0</v>
      </c>
      <c r="R185" s="1233">
        <f t="shared" si="398"/>
        <v>0</v>
      </c>
      <c r="S185" s="1125">
        <f t="shared" si="398"/>
        <v>0</v>
      </c>
      <c r="T185" s="1125">
        <f t="shared" si="398"/>
        <v>0</v>
      </c>
      <c r="U185" s="1125">
        <f t="shared" si="398"/>
        <v>0</v>
      </c>
      <c r="V185" s="1125">
        <f t="shared" si="398"/>
        <v>0</v>
      </c>
      <c r="W185" s="1125">
        <f t="shared" si="398"/>
        <v>0</v>
      </c>
      <c r="X185" s="1233">
        <f t="shared" si="398"/>
        <v>0</v>
      </c>
      <c r="Y185" s="1233">
        <f t="shared" si="398"/>
        <v>0</v>
      </c>
      <c r="Z185" s="1125">
        <f t="shared" si="398"/>
        <v>0</v>
      </c>
      <c r="AA185" s="1125">
        <f t="shared" si="398"/>
        <v>0</v>
      </c>
      <c r="AB185" s="1125">
        <f t="shared" si="398"/>
        <v>0</v>
      </c>
      <c r="AC185" s="1125">
        <f t="shared" si="398"/>
        <v>0</v>
      </c>
      <c r="AD185" s="1125">
        <f t="shared" si="398"/>
        <v>0</v>
      </c>
      <c r="AE185" s="1233">
        <f t="shared" si="398"/>
        <v>0</v>
      </c>
      <c r="AF185" s="1233">
        <f t="shared" si="398"/>
        <v>0</v>
      </c>
      <c r="AG185" s="1125">
        <f t="shared" si="398"/>
        <v>0</v>
      </c>
      <c r="AH185" s="1125">
        <f t="shared" si="398"/>
        <v>0</v>
      </c>
      <c r="AI185" s="1335">
        <f>SUM(AI179+AI181+AI182)/AI184</f>
        <v>0</v>
      </c>
      <c r="AJ185" s="515">
        <f>SUM(E185:AI185)</f>
        <v>0</v>
      </c>
      <c r="AK185" s="515"/>
      <c r="AL185" s="689"/>
      <c r="AM185" s="940"/>
      <c r="AN185" s="277"/>
      <c r="AO185" s="679"/>
      <c r="AP185" s="285"/>
      <c r="AQ185" s="285"/>
      <c r="AR185" s="285"/>
      <c r="AS185" s="285"/>
      <c r="AT185" s="286"/>
      <c r="AU185" s="285"/>
      <c r="AV185" s="287"/>
    </row>
    <row r="186" spans="1:48" s="23" customFormat="1" ht="20.65" hidden="1" customHeight="1">
      <c r="A186" s="296" t="s">
        <v>389</v>
      </c>
      <c r="B186" s="89"/>
      <c r="C186" s="72"/>
      <c r="D186" s="85" t="s">
        <v>110</v>
      </c>
      <c r="E186" s="1105"/>
      <c r="F186" s="1106"/>
      <c r="G186" s="1211"/>
      <c r="H186" s="1104"/>
      <c r="I186" s="1104"/>
      <c r="J186" s="1211"/>
      <c r="K186" s="1211"/>
      <c r="L186" s="1104"/>
      <c r="M186" s="1104"/>
      <c r="N186" s="1104"/>
      <c r="O186" s="1104"/>
      <c r="P186" s="1104"/>
      <c r="Q186" s="1211"/>
      <c r="R186" s="1211"/>
      <c r="S186" s="1104"/>
      <c r="T186" s="1104"/>
      <c r="U186" s="1104"/>
      <c r="V186" s="1104"/>
      <c r="W186" s="1104"/>
      <c r="X186" s="1211"/>
      <c r="Y186" s="1211"/>
      <c r="Z186" s="1104"/>
      <c r="AA186" s="1104"/>
      <c r="AB186" s="1104"/>
      <c r="AC186" s="1104"/>
      <c r="AD186" s="1104"/>
      <c r="AE186" s="1211"/>
      <c r="AF186" s="1211"/>
      <c r="AG186" s="1104"/>
      <c r="AH186" s="1104"/>
      <c r="AI186" s="1353"/>
      <c r="AJ186" s="86"/>
      <c r="AK186" s="86"/>
      <c r="AL186" s="690"/>
      <c r="AM186" s="940"/>
      <c r="AN186" s="277"/>
      <c r="AO186" s="679"/>
      <c r="AP186" s="285"/>
      <c r="AQ186" s="285"/>
      <c r="AR186" s="285"/>
      <c r="AS186" s="285"/>
      <c r="AT186" s="286"/>
      <c r="AU186" s="285"/>
      <c r="AV186" s="287"/>
    </row>
    <row r="187" spans="1:48" s="23" customFormat="1" ht="20.65" hidden="1" customHeight="1">
      <c r="A187" s="296" t="s">
        <v>389</v>
      </c>
      <c r="B187" s="89" t="s">
        <v>549</v>
      </c>
      <c r="C187" s="72" t="s">
        <v>104</v>
      </c>
      <c r="D187" s="88" t="s">
        <v>111</v>
      </c>
      <c r="E187" s="1108">
        <f>IF(E186="O/H",E185,+E185)</f>
        <v>0</v>
      </c>
      <c r="F187" s="1089">
        <f t="shared" ref="F187:AI187" si="399">IF(F186="O/H",F185,+E187+F185)</f>
        <v>0</v>
      </c>
      <c r="G187" s="44">
        <f t="shared" si="399"/>
        <v>0</v>
      </c>
      <c r="H187" s="1089">
        <f t="shared" si="399"/>
        <v>0</v>
      </c>
      <c r="I187" s="1089">
        <f t="shared" si="399"/>
        <v>0</v>
      </c>
      <c r="J187" s="44">
        <f t="shared" si="399"/>
        <v>0</v>
      </c>
      <c r="K187" s="44">
        <f t="shared" si="399"/>
        <v>0</v>
      </c>
      <c r="L187" s="1089">
        <f t="shared" si="399"/>
        <v>0</v>
      </c>
      <c r="M187" s="1089">
        <f t="shared" si="399"/>
        <v>0</v>
      </c>
      <c r="N187" s="1089">
        <f t="shared" si="399"/>
        <v>0</v>
      </c>
      <c r="O187" s="1089">
        <f t="shared" si="399"/>
        <v>0</v>
      </c>
      <c r="P187" s="1089">
        <f t="shared" si="399"/>
        <v>0</v>
      </c>
      <c r="Q187" s="44">
        <f t="shared" si="399"/>
        <v>0</v>
      </c>
      <c r="R187" s="44">
        <f t="shared" si="399"/>
        <v>0</v>
      </c>
      <c r="S187" s="1089">
        <f t="shared" si="399"/>
        <v>0</v>
      </c>
      <c r="T187" s="1089">
        <f t="shared" si="399"/>
        <v>0</v>
      </c>
      <c r="U187" s="1089">
        <f t="shared" si="399"/>
        <v>0</v>
      </c>
      <c r="V187" s="1089">
        <f t="shared" si="399"/>
        <v>0</v>
      </c>
      <c r="W187" s="1089">
        <f t="shared" si="399"/>
        <v>0</v>
      </c>
      <c r="X187" s="44">
        <f t="shared" si="399"/>
        <v>0</v>
      </c>
      <c r="Y187" s="44">
        <f t="shared" si="399"/>
        <v>0</v>
      </c>
      <c r="Z187" s="1089">
        <f t="shared" si="399"/>
        <v>0</v>
      </c>
      <c r="AA187" s="1089">
        <f t="shared" si="399"/>
        <v>0</v>
      </c>
      <c r="AB187" s="1089">
        <f t="shared" si="399"/>
        <v>0</v>
      </c>
      <c r="AC187" s="1089">
        <f t="shared" si="399"/>
        <v>0</v>
      </c>
      <c r="AD187" s="1089">
        <f t="shared" si="399"/>
        <v>0</v>
      </c>
      <c r="AE187" s="44">
        <f t="shared" si="399"/>
        <v>0</v>
      </c>
      <c r="AF187" s="44">
        <f t="shared" si="399"/>
        <v>0</v>
      </c>
      <c r="AG187" s="1089">
        <f t="shared" si="399"/>
        <v>0</v>
      </c>
      <c r="AH187" s="1089">
        <f t="shared" si="399"/>
        <v>0</v>
      </c>
      <c r="AI187" s="1326">
        <f t="shared" si="399"/>
        <v>0</v>
      </c>
      <c r="AJ187" s="79"/>
      <c r="AK187" s="79"/>
      <c r="AL187" s="690"/>
      <c r="AM187" s="940"/>
      <c r="AN187" s="277"/>
      <c r="AO187" s="679"/>
      <c r="AP187" s="285"/>
      <c r="AQ187" s="285"/>
      <c r="AR187" s="285"/>
      <c r="AS187" s="285"/>
      <c r="AT187" s="286"/>
      <c r="AU187" s="285"/>
      <c r="AV187" s="287"/>
    </row>
    <row r="188" spans="1:48" s="23" customFormat="1" ht="20.45" hidden="1" customHeight="1">
      <c r="A188" s="312"/>
      <c r="B188" s="312"/>
      <c r="C188" s="308">
        <v>300000</v>
      </c>
      <c r="D188" s="795" t="s">
        <v>112</v>
      </c>
      <c r="E188" s="1117" t="b">
        <f>IF(AND(ISNUMBER(E179)),972379+E185)</f>
        <v>0</v>
      </c>
      <c r="F188" s="1118" t="str">
        <f>IF(AND(ISNUMBER(F179)),E188+F185,"")</f>
        <v/>
      </c>
      <c r="G188" s="1216" t="str">
        <f t="shared" ref="G188" si="400">IF(AND(ISNUMBER(G179)),F188+G185,"")</f>
        <v/>
      </c>
      <c r="H188" s="1118" t="str">
        <f t="shared" ref="H188" si="401">IF(AND(ISNUMBER(H179)),G188+H185,"")</f>
        <v/>
      </c>
      <c r="I188" s="1118" t="str">
        <f>IF(AND(ISNUMBER(I179)),H188+I185,"")</f>
        <v/>
      </c>
      <c r="J188" s="1216" t="str">
        <f>IF(AND(ISNUMBER(J179)),I188+J185,"")</f>
        <v/>
      </c>
      <c r="K188" s="1216" t="str">
        <f>IF(AND(ISNUMBER(K179)),J188+K185,"")</f>
        <v/>
      </c>
      <c r="L188" s="1118" t="str">
        <f t="shared" ref="L188" si="402">IF(AND(ISNUMBER(L179)),K188+L185,"")</f>
        <v/>
      </c>
      <c r="M188" s="1118" t="str">
        <f t="shared" ref="M188" si="403">IF(AND(ISNUMBER(M179)),L188+M185,"")</f>
        <v/>
      </c>
      <c r="N188" s="1118" t="str">
        <f t="shared" ref="N188" si="404">IF(AND(ISNUMBER(N179)),M188+N185,"")</f>
        <v/>
      </c>
      <c r="O188" s="1118" t="str">
        <f t="shared" ref="O188" si="405">IF(AND(ISNUMBER(O179)),N188+O185,"")</f>
        <v/>
      </c>
      <c r="P188" s="1118" t="str">
        <f t="shared" ref="P188" si="406">IF(AND(ISNUMBER(P179)),O188+P185,"")</f>
        <v/>
      </c>
      <c r="Q188" s="1216" t="str">
        <f t="shared" ref="Q188" si="407">IF(AND(ISNUMBER(Q179)),P188+Q185,"")</f>
        <v/>
      </c>
      <c r="R188" s="1216" t="str">
        <f t="shared" ref="R188" si="408">IF(AND(ISNUMBER(R179)),Q188+R185,"")</f>
        <v/>
      </c>
      <c r="S188" s="1118" t="str">
        <f t="shared" ref="S188" si="409">IF(AND(ISNUMBER(S179)),R188+S185,"")</f>
        <v/>
      </c>
      <c r="T188" s="1118" t="str">
        <f t="shared" ref="T188" si="410">IF(AND(ISNUMBER(T179)),S188+T185,"")</f>
        <v/>
      </c>
      <c r="U188" s="1118" t="str">
        <f t="shared" ref="U188" si="411">IF(AND(ISNUMBER(U179)),T188+U185,"")</f>
        <v/>
      </c>
      <c r="V188" s="1118" t="str">
        <f t="shared" ref="V188" si="412">IF(AND(ISNUMBER(V179)),U188+V185,"")</f>
        <v/>
      </c>
      <c r="W188" s="1118" t="str">
        <f t="shared" ref="W188" si="413">IF(AND(ISNUMBER(W179)),V188+W185,"")</f>
        <v/>
      </c>
      <c r="X188" s="1216" t="str">
        <f t="shared" ref="X188" si="414">IF(AND(ISNUMBER(X179)),W188+X185,"")</f>
        <v/>
      </c>
      <c r="Y188" s="1216" t="str">
        <f t="shared" ref="Y188" si="415">IF(AND(ISNUMBER(Y179)),X188+Y185,"")</f>
        <v/>
      </c>
      <c r="Z188" s="1118" t="str">
        <f t="shared" ref="Z188" si="416">IF(AND(ISNUMBER(Z179)),Y188+Z185,"")</f>
        <v/>
      </c>
      <c r="AA188" s="1118" t="str">
        <f t="shared" ref="AA188" si="417">IF(AND(ISNUMBER(AA179)),Z188+AA185,"")</f>
        <v/>
      </c>
      <c r="AB188" s="1118" t="str">
        <f t="shared" ref="AB188" si="418">IF(AND(ISNUMBER(AB179)),AA188+AB185,"")</f>
        <v/>
      </c>
      <c r="AC188" s="1118" t="str">
        <f t="shared" ref="AC188" si="419">IF(AND(ISNUMBER(AC179)),AB188+AC185,"")</f>
        <v/>
      </c>
      <c r="AD188" s="1118" t="str">
        <f t="shared" ref="AD188" si="420">IF(AND(ISNUMBER(AD179)),AC188+AD185,"")</f>
        <v/>
      </c>
      <c r="AE188" s="1216" t="str">
        <f t="shared" ref="AE188" si="421">IF(AND(ISNUMBER(AE179)),AD188+AE185,"")</f>
        <v/>
      </c>
      <c r="AF188" s="1216" t="str">
        <f t="shared" ref="AF188" si="422">IF(AND(ISNUMBER(AF179)),AE188+AF185,"")</f>
        <v/>
      </c>
      <c r="AG188" s="1118" t="str">
        <f t="shared" ref="AG188" si="423">IF(AND(ISNUMBER(AG179)),AF188+AG185,"")</f>
        <v/>
      </c>
      <c r="AH188" s="1118" t="str">
        <f t="shared" ref="AH188" si="424">IF(AND(ISNUMBER(AH179)),AG188+AH185,"")</f>
        <v/>
      </c>
      <c r="AI188" s="1118" t="str">
        <f t="shared" ref="AI188" si="425">IF(AND(ISNUMBER(AI179)),AH188+AI185,"")</f>
        <v/>
      </c>
      <c r="AJ188" s="793"/>
      <c r="AK188" s="793"/>
      <c r="AL188" s="909"/>
      <c r="AM188" s="794"/>
      <c r="AN188" s="429"/>
      <c r="AO188" s="675"/>
      <c r="AP188" s="285"/>
      <c r="AQ188" s="285"/>
      <c r="AR188" s="285"/>
      <c r="AS188" s="285"/>
      <c r="AT188" s="286"/>
      <c r="AU188" s="285"/>
      <c r="AV188" s="287"/>
    </row>
    <row r="189" spans="1:48" s="23" customFormat="1" ht="20.65" hidden="1" customHeight="1">
      <c r="A189" s="296" t="s">
        <v>389</v>
      </c>
      <c r="B189" s="89"/>
      <c r="C189" s="80" t="s">
        <v>108</v>
      </c>
      <c r="D189" s="90" t="s">
        <v>104</v>
      </c>
      <c r="E189" s="1108"/>
      <c r="F189" s="1089"/>
      <c r="G189" s="44"/>
      <c r="H189" s="1089"/>
      <c r="I189" s="1089"/>
      <c r="J189" s="44"/>
      <c r="K189" s="44"/>
      <c r="L189" s="1089"/>
      <c r="M189" s="1089"/>
      <c r="N189" s="1089"/>
      <c r="O189" s="1089"/>
      <c r="P189" s="1089"/>
      <c r="Q189" s="44"/>
      <c r="R189" s="44"/>
      <c r="S189" s="1089"/>
      <c r="T189" s="1089"/>
      <c r="U189" s="1089"/>
      <c r="V189" s="1089"/>
      <c r="W189" s="1089"/>
      <c r="X189" s="44"/>
      <c r="Y189" s="44"/>
      <c r="Z189" s="1089"/>
      <c r="AA189" s="1089"/>
      <c r="AB189" s="1089"/>
      <c r="AC189" s="1089"/>
      <c r="AD189" s="1089"/>
      <c r="AE189" s="44"/>
      <c r="AF189" s="44"/>
      <c r="AG189" s="1089"/>
      <c r="AH189" s="1089"/>
      <c r="AI189" s="1326"/>
      <c r="AJ189" s="79"/>
      <c r="AK189" s="79"/>
      <c r="AL189" s="690"/>
      <c r="AM189" s="940"/>
      <c r="AN189" s="277"/>
      <c r="AO189" s="679"/>
      <c r="AP189" s="285"/>
      <c r="AQ189" s="285"/>
      <c r="AR189" s="285"/>
      <c r="AS189" s="285"/>
      <c r="AT189" s="286"/>
      <c r="AU189" s="285"/>
      <c r="AV189" s="287"/>
    </row>
    <row r="190" spans="1:48" s="23" customFormat="1" ht="20.65" hidden="1" customHeight="1" thickBot="1">
      <c r="A190" s="310" t="s">
        <v>389</v>
      </c>
      <c r="B190" s="93"/>
      <c r="C190" s="291">
        <f>+C188*0.8</f>
        <v>240000</v>
      </c>
      <c r="D190" s="88" t="s">
        <v>111</v>
      </c>
      <c r="E190" s="1109">
        <f>IF(E189="O/H",E185,+E185)</f>
        <v>0</v>
      </c>
      <c r="F190" s="1110">
        <f t="shared" ref="F190:AI190" si="426">IF(F189="O/H",F185,+E190+F185)</f>
        <v>0</v>
      </c>
      <c r="G190" s="1212">
        <f t="shared" si="426"/>
        <v>0</v>
      </c>
      <c r="H190" s="1110">
        <f t="shared" si="426"/>
        <v>0</v>
      </c>
      <c r="I190" s="1110">
        <f t="shared" si="426"/>
        <v>0</v>
      </c>
      <c r="J190" s="1212">
        <f t="shared" si="426"/>
        <v>0</v>
      </c>
      <c r="K190" s="1212">
        <f t="shared" si="426"/>
        <v>0</v>
      </c>
      <c r="L190" s="1110">
        <f t="shared" si="426"/>
        <v>0</v>
      </c>
      <c r="M190" s="1110">
        <f t="shared" si="426"/>
        <v>0</v>
      </c>
      <c r="N190" s="1110">
        <f t="shared" si="426"/>
        <v>0</v>
      </c>
      <c r="O190" s="1110">
        <f t="shared" si="426"/>
        <v>0</v>
      </c>
      <c r="P190" s="1110">
        <f t="shared" si="426"/>
        <v>0</v>
      </c>
      <c r="Q190" s="1212">
        <f t="shared" si="426"/>
        <v>0</v>
      </c>
      <c r="R190" s="1212">
        <f t="shared" si="426"/>
        <v>0</v>
      </c>
      <c r="S190" s="1110">
        <f t="shared" si="426"/>
        <v>0</v>
      </c>
      <c r="T190" s="1110">
        <f t="shared" si="426"/>
        <v>0</v>
      </c>
      <c r="U190" s="1110">
        <f t="shared" si="426"/>
        <v>0</v>
      </c>
      <c r="V190" s="1110">
        <f t="shared" si="426"/>
        <v>0</v>
      </c>
      <c r="W190" s="1110">
        <f t="shared" si="426"/>
        <v>0</v>
      </c>
      <c r="X190" s="1212">
        <f t="shared" si="426"/>
        <v>0</v>
      </c>
      <c r="Y190" s="1212">
        <f t="shared" si="426"/>
        <v>0</v>
      </c>
      <c r="Z190" s="1110">
        <f t="shared" si="426"/>
        <v>0</v>
      </c>
      <c r="AA190" s="1110">
        <f t="shared" si="426"/>
        <v>0</v>
      </c>
      <c r="AB190" s="1110">
        <f t="shared" si="426"/>
        <v>0</v>
      </c>
      <c r="AC190" s="1110">
        <f t="shared" si="426"/>
        <v>0</v>
      </c>
      <c r="AD190" s="1110">
        <f t="shared" si="426"/>
        <v>0</v>
      </c>
      <c r="AE190" s="1212">
        <f t="shared" si="426"/>
        <v>0</v>
      </c>
      <c r="AF190" s="1212">
        <f t="shared" si="426"/>
        <v>0</v>
      </c>
      <c r="AG190" s="1110">
        <f t="shared" si="426"/>
        <v>0</v>
      </c>
      <c r="AH190" s="1110">
        <f t="shared" si="426"/>
        <v>0</v>
      </c>
      <c r="AI190" s="1340">
        <f t="shared" si="426"/>
        <v>0</v>
      </c>
      <c r="AJ190" s="96"/>
      <c r="AK190" s="723"/>
      <c r="AL190" s="695"/>
      <c r="AM190" s="961"/>
      <c r="AN190" s="292"/>
      <c r="AO190" s="681"/>
      <c r="AP190" s="285"/>
      <c r="AQ190" s="285"/>
      <c r="AR190" s="285"/>
      <c r="AS190" s="285"/>
      <c r="AT190" s="286"/>
      <c r="AU190" s="285"/>
      <c r="AV190" s="287"/>
    </row>
    <row r="191" spans="1:48" s="23" customFormat="1" ht="20.65" hidden="1" customHeight="1" thickTop="1">
      <c r="A191" s="270" t="s">
        <v>707</v>
      </c>
      <c r="B191" s="89" t="s">
        <v>678</v>
      </c>
      <c r="C191" s="42" t="str">
        <f>Table2[[#This Row],[M/C No.]]</f>
        <v>H6(50ton)</v>
      </c>
      <c r="D191" s="28" t="s">
        <v>82</v>
      </c>
      <c r="E191" s="1124"/>
      <c r="F191" s="1124"/>
      <c r="G191" s="1242"/>
      <c r="H191" s="1124"/>
      <c r="I191" s="1124"/>
      <c r="J191" s="1242"/>
      <c r="K191" s="1242"/>
      <c r="L191" s="1124"/>
      <c r="M191" s="1124"/>
      <c r="N191" s="1124"/>
      <c r="O191" s="1124"/>
      <c r="P191" s="1124"/>
      <c r="Q191" s="1242"/>
      <c r="R191" s="1242"/>
      <c r="S191" s="1124"/>
      <c r="T191" s="1124"/>
      <c r="U191" s="1124"/>
      <c r="V191" s="1124"/>
      <c r="W191" s="1124"/>
      <c r="X191" s="1242"/>
      <c r="Y191" s="1242"/>
      <c r="Z191" s="1124"/>
      <c r="AA191" s="1124"/>
      <c r="AB191" s="1124"/>
      <c r="AC191" s="1124"/>
      <c r="AD191" s="1124"/>
      <c r="AE191" s="1242"/>
      <c r="AF191" s="1242"/>
      <c r="AG191" s="1124"/>
      <c r="AH191" s="1124"/>
      <c r="AI191" s="1350"/>
      <c r="AJ191" s="100">
        <f>SUM(E191:AI191)</f>
        <v>0</v>
      </c>
      <c r="AK191" s="1000">
        <f>AJ193</f>
        <v>0</v>
      </c>
      <c r="AL191" s="101">
        <f>+AJ191*AN191</f>
        <v>0</v>
      </c>
      <c r="AM191" s="1019">
        <f>AL193</f>
        <v>0</v>
      </c>
      <c r="AN191" s="293">
        <v>7.2884200000000003</v>
      </c>
      <c r="AO191" s="633">
        <f>Table2[[#This Row],[Total]]*B195/1000</f>
        <v>0</v>
      </c>
      <c r="AP191" s="32" t="s">
        <v>393</v>
      </c>
      <c r="AQ191" s="33" t="s">
        <v>84</v>
      </c>
      <c r="AR191" s="33" t="s">
        <v>85</v>
      </c>
      <c r="AS191" s="33" t="s">
        <v>86</v>
      </c>
      <c r="AT191" s="33" t="s">
        <v>87</v>
      </c>
      <c r="AU191" s="33" t="s">
        <v>88</v>
      </c>
      <c r="AV191" s="34" t="s">
        <v>68</v>
      </c>
    </row>
    <row r="192" spans="1:48" s="23" customFormat="1" ht="20.65" hidden="1" customHeight="1">
      <c r="A192" s="274"/>
      <c r="B192" s="89" t="s">
        <v>397</v>
      </c>
      <c r="C192" s="275"/>
      <c r="D192" s="37" t="s">
        <v>90</v>
      </c>
      <c r="E192" s="1323">
        <f>IF(E191="",0,+ E191/E198)</f>
        <v>0</v>
      </c>
      <c r="F192" s="1096">
        <f t="shared" ref="F192:AC192" si="427">IF(F191="",0, E192+F191/F198)</f>
        <v>0</v>
      </c>
      <c r="G192" s="1207">
        <f t="shared" si="427"/>
        <v>0</v>
      </c>
      <c r="H192" s="1096">
        <f t="shared" si="427"/>
        <v>0</v>
      </c>
      <c r="I192" s="1096">
        <f t="shared" si="427"/>
        <v>0</v>
      </c>
      <c r="J192" s="1207">
        <f t="shared" si="427"/>
        <v>0</v>
      </c>
      <c r="K192" s="1207">
        <f t="shared" si="427"/>
        <v>0</v>
      </c>
      <c r="L192" s="1096">
        <f t="shared" si="427"/>
        <v>0</v>
      </c>
      <c r="M192" s="1096">
        <f t="shared" si="427"/>
        <v>0</v>
      </c>
      <c r="N192" s="1096">
        <f t="shared" si="427"/>
        <v>0</v>
      </c>
      <c r="O192" s="1096">
        <f t="shared" si="427"/>
        <v>0</v>
      </c>
      <c r="P192" s="1096">
        <f t="shared" si="427"/>
        <v>0</v>
      </c>
      <c r="Q192" s="1207">
        <f t="shared" si="427"/>
        <v>0</v>
      </c>
      <c r="R192" s="1207">
        <f t="shared" si="427"/>
        <v>0</v>
      </c>
      <c r="S192" s="1096">
        <f t="shared" si="427"/>
        <v>0</v>
      </c>
      <c r="T192" s="1096">
        <f t="shared" si="427"/>
        <v>0</v>
      </c>
      <c r="U192" s="1096">
        <f t="shared" si="427"/>
        <v>0</v>
      </c>
      <c r="V192" s="1096">
        <f t="shared" si="427"/>
        <v>0</v>
      </c>
      <c r="W192" s="1096">
        <f t="shared" si="427"/>
        <v>0</v>
      </c>
      <c r="X192" s="1207">
        <f t="shared" si="427"/>
        <v>0</v>
      </c>
      <c r="Y192" s="1207">
        <f t="shared" si="427"/>
        <v>0</v>
      </c>
      <c r="Z192" s="1096">
        <f t="shared" si="427"/>
        <v>0</v>
      </c>
      <c r="AA192" s="1096">
        <f t="shared" si="427"/>
        <v>0</v>
      </c>
      <c r="AB192" s="1096">
        <f t="shared" si="427"/>
        <v>0</v>
      </c>
      <c r="AC192" s="1096">
        <f t="shared" si="427"/>
        <v>0</v>
      </c>
      <c r="AD192" s="1096">
        <f>IF(AD191="",0, Z192+AD191/AD198)</f>
        <v>0</v>
      </c>
      <c r="AE192" s="1207">
        <f>IF(AE191="",0, AA192+AE191/AE198)</f>
        <v>0</v>
      </c>
      <c r="AF192" s="1207">
        <f>IF(AF191="",0, AB192+AF191/AF198)</f>
        <v>0</v>
      </c>
      <c r="AG192" s="1096">
        <f>IF(AG191="",0, AC192+AG191/AG198)</f>
        <v>0</v>
      </c>
      <c r="AH192" s="1096">
        <f>IF(AH191="",0, AD192+AH191/AH198)</f>
        <v>0</v>
      </c>
      <c r="AI192" s="1324">
        <f>IF(AI191="",0, AH192+AI191/AI198)</f>
        <v>0</v>
      </c>
      <c r="AJ192" s="716"/>
      <c r="AK192" s="716"/>
      <c r="AL192" s="209"/>
      <c r="AM192" s="794"/>
      <c r="AN192" s="91"/>
      <c r="AO192" s="675"/>
      <c r="AP192" s="39" t="s">
        <v>91</v>
      </c>
      <c r="AQ192" s="40">
        <f>SUM(E191:K191)</f>
        <v>0</v>
      </c>
      <c r="AR192" s="41">
        <f>SUM(L191:R191)</f>
        <v>0</v>
      </c>
      <c r="AS192" s="41">
        <f>SUM(S191:Y191)</f>
        <v>0</v>
      </c>
      <c r="AT192" s="41">
        <f>SUM(Z191:AF191)</f>
        <v>0</v>
      </c>
      <c r="AU192" s="41">
        <f>SUM(AG191:AI191)</f>
        <v>0</v>
      </c>
      <c r="AV192" s="34">
        <f t="shared" ref="AV192:AV197" si="428">SUM(AQ192:AU192)</f>
        <v>0</v>
      </c>
    </row>
    <row r="193" spans="1:48" s="23" customFormat="1" ht="20.65" hidden="1" customHeight="1">
      <c r="A193" s="296"/>
      <c r="B193" s="89" t="s">
        <v>246</v>
      </c>
      <c r="C193" s="42"/>
      <c r="D193" s="43" t="s">
        <v>93</v>
      </c>
      <c r="E193" s="1108"/>
      <c r="F193" s="1089"/>
      <c r="G193" s="44"/>
      <c r="H193" s="1089"/>
      <c r="I193" s="1089"/>
      <c r="J193" s="44"/>
      <c r="K193" s="44"/>
      <c r="L193" s="1089"/>
      <c r="M193" s="1089"/>
      <c r="N193" s="1089"/>
      <c r="O193" s="1089"/>
      <c r="P193" s="1089"/>
      <c r="Q193" s="44"/>
      <c r="R193" s="44"/>
      <c r="S193" s="1089"/>
      <c r="T193" s="1089"/>
      <c r="U193" s="1089"/>
      <c r="V193" s="1089"/>
      <c r="W193" s="1089"/>
      <c r="X193" s="44"/>
      <c r="Y193" s="44"/>
      <c r="Z193" s="1089"/>
      <c r="AA193" s="1089"/>
      <c r="AB193" s="1089"/>
      <c r="AC193" s="1089"/>
      <c r="AD193" s="1089"/>
      <c r="AE193" s="44"/>
      <c r="AF193" s="44"/>
      <c r="AG193" s="1089"/>
      <c r="AH193" s="1089"/>
      <c r="AI193" s="1326"/>
      <c r="AJ193" s="45">
        <f>SUM(E193:AI193)</f>
        <v>0</v>
      </c>
      <c r="AK193" s="45"/>
      <c r="AL193" s="46">
        <f>+AJ193*AN191</f>
        <v>0</v>
      </c>
      <c r="AM193" s="934"/>
      <c r="AN193" s="277"/>
      <c r="AO193" s="632">
        <f>(AJ193+AJ195+AJ196+AJ197)*B195/1000</f>
        <v>0</v>
      </c>
      <c r="AP193" s="47" t="s">
        <v>94</v>
      </c>
      <c r="AQ193" s="48">
        <f>SUM(E193:K193)</f>
        <v>0</v>
      </c>
      <c r="AR193" s="49">
        <f>SUM(L193:R193)</f>
        <v>0</v>
      </c>
      <c r="AS193" s="49">
        <f>SUM(S193:Y193)</f>
        <v>0</v>
      </c>
      <c r="AT193" s="49">
        <f>SUM(Z193:AF193)</f>
        <v>0</v>
      </c>
      <c r="AU193" s="49">
        <f>SUM(AG193:AI193)</f>
        <v>0</v>
      </c>
      <c r="AV193" s="50">
        <f t="shared" si="428"/>
        <v>0</v>
      </c>
    </row>
    <row r="194" spans="1:48" s="23" customFormat="1" ht="20.65" hidden="1" customHeight="1">
      <c r="A194" s="296"/>
      <c r="B194" s="211" t="s">
        <v>247</v>
      </c>
      <c r="C194" s="280"/>
      <c r="D194" s="53" t="s">
        <v>96</v>
      </c>
      <c r="E194" s="1137">
        <f t="shared" ref="E194:AJ194" si="429">+E193-E191</f>
        <v>0</v>
      </c>
      <c r="F194" s="1097">
        <f t="shared" si="429"/>
        <v>0</v>
      </c>
      <c r="G194" s="1205">
        <f t="shared" si="429"/>
        <v>0</v>
      </c>
      <c r="H194" s="1097">
        <f t="shared" si="429"/>
        <v>0</v>
      </c>
      <c r="I194" s="1097">
        <f t="shared" si="429"/>
        <v>0</v>
      </c>
      <c r="J194" s="1205">
        <f t="shared" si="429"/>
        <v>0</v>
      </c>
      <c r="K194" s="1205">
        <f t="shared" si="429"/>
        <v>0</v>
      </c>
      <c r="L194" s="1097">
        <f t="shared" si="429"/>
        <v>0</v>
      </c>
      <c r="M194" s="1097">
        <f t="shared" si="429"/>
        <v>0</v>
      </c>
      <c r="N194" s="1097">
        <f t="shared" si="429"/>
        <v>0</v>
      </c>
      <c r="O194" s="1097">
        <f t="shared" si="429"/>
        <v>0</v>
      </c>
      <c r="P194" s="1097">
        <f t="shared" si="429"/>
        <v>0</v>
      </c>
      <c r="Q194" s="1205">
        <f t="shared" si="429"/>
        <v>0</v>
      </c>
      <c r="R194" s="1205">
        <f t="shared" si="429"/>
        <v>0</v>
      </c>
      <c r="S194" s="1097">
        <f t="shared" si="429"/>
        <v>0</v>
      </c>
      <c r="T194" s="1097">
        <f t="shared" si="429"/>
        <v>0</v>
      </c>
      <c r="U194" s="1097">
        <f t="shared" si="429"/>
        <v>0</v>
      </c>
      <c r="V194" s="1097">
        <f t="shared" si="429"/>
        <v>0</v>
      </c>
      <c r="W194" s="1097">
        <f t="shared" si="429"/>
        <v>0</v>
      </c>
      <c r="X194" s="1205">
        <f t="shared" si="429"/>
        <v>0</v>
      </c>
      <c r="Y194" s="1205">
        <f t="shared" si="429"/>
        <v>0</v>
      </c>
      <c r="Z194" s="1097">
        <f t="shared" si="429"/>
        <v>0</v>
      </c>
      <c r="AA194" s="1097">
        <f t="shared" si="429"/>
        <v>0</v>
      </c>
      <c r="AB194" s="1097">
        <f t="shared" si="429"/>
        <v>0</v>
      </c>
      <c r="AC194" s="1097">
        <f t="shared" si="429"/>
        <v>0</v>
      </c>
      <c r="AD194" s="1097">
        <f t="shared" si="429"/>
        <v>0</v>
      </c>
      <c r="AE194" s="1205">
        <f t="shared" si="429"/>
        <v>0</v>
      </c>
      <c r="AF194" s="1205">
        <f t="shared" si="429"/>
        <v>0</v>
      </c>
      <c r="AG194" s="1097">
        <f t="shared" si="429"/>
        <v>0</v>
      </c>
      <c r="AH194" s="1097">
        <f t="shared" si="429"/>
        <v>0</v>
      </c>
      <c r="AI194" s="1328">
        <f t="shared" si="429"/>
        <v>0</v>
      </c>
      <c r="AJ194" s="79">
        <f t="shared" si="429"/>
        <v>0</v>
      </c>
      <c r="AK194" s="79"/>
      <c r="AL194" s="55">
        <f>+AJ194*AN191</f>
        <v>0</v>
      </c>
      <c r="AM194" s="935"/>
      <c r="AN194" s="277" t="s">
        <v>97</v>
      </c>
      <c r="AO194" s="622"/>
      <c r="AP194" s="39" t="s">
        <v>98</v>
      </c>
      <c r="AQ194" s="56">
        <f>AQ193-AQ192</f>
        <v>0</v>
      </c>
      <c r="AR194" s="70">
        <f>AR193-AR192</f>
        <v>0</v>
      </c>
      <c r="AS194" s="70">
        <f>AS193-AS192</f>
        <v>0</v>
      </c>
      <c r="AT194" s="70">
        <f>AT193-AT192</f>
        <v>0</v>
      </c>
      <c r="AU194" s="70">
        <f>AU193-AU192</f>
        <v>0</v>
      </c>
      <c r="AV194" s="57">
        <f t="shared" si="428"/>
        <v>0</v>
      </c>
    </row>
    <row r="195" spans="1:48" s="23" customFormat="1" ht="20.65" hidden="1" customHeight="1">
      <c r="A195" s="296"/>
      <c r="B195" s="658"/>
      <c r="C195" s="305"/>
      <c r="D195" s="61" t="s">
        <v>101</v>
      </c>
      <c r="E195" s="1098"/>
      <c r="F195" s="1099"/>
      <c r="G195" s="1208"/>
      <c r="H195" s="1099"/>
      <c r="I195" s="1099"/>
      <c r="J195" s="1208"/>
      <c r="K195" s="1208"/>
      <c r="L195" s="1099"/>
      <c r="M195" s="1099"/>
      <c r="N195" s="1099"/>
      <c r="O195" s="1099"/>
      <c r="P195" s="1099"/>
      <c r="Q195" s="1208"/>
      <c r="R195" s="1208"/>
      <c r="S195" s="1099"/>
      <c r="T195" s="1099"/>
      <c r="U195" s="1099"/>
      <c r="V195" s="1099"/>
      <c r="W195" s="1099"/>
      <c r="X195" s="1208"/>
      <c r="Y195" s="1208"/>
      <c r="Z195" s="1099"/>
      <c r="AA195" s="1099"/>
      <c r="AB195" s="1099"/>
      <c r="AC195" s="1099"/>
      <c r="AD195" s="1099"/>
      <c r="AE195" s="1208"/>
      <c r="AF195" s="1208"/>
      <c r="AG195" s="1099"/>
      <c r="AH195" s="1099"/>
      <c r="AI195" s="1330"/>
      <c r="AJ195" s="62">
        <f>SUM(E195:AI195)</f>
        <v>0</v>
      </c>
      <c r="AK195" s="62"/>
      <c r="AL195" s="63">
        <f>+AJ195*AN191</f>
        <v>0</v>
      </c>
      <c r="AM195" s="936"/>
      <c r="AN195" s="301" t="e">
        <f>+AJ195/AJ193*100</f>
        <v>#DIV/0!</v>
      </c>
      <c r="AO195" s="635" t="e">
        <f>AO193/AO191</f>
        <v>#DIV/0!</v>
      </c>
      <c r="AP195" s="39" t="s">
        <v>102</v>
      </c>
      <c r="AQ195" s="56">
        <f>SUM(E195:K195)</f>
        <v>0</v>
      </c>
      <c r="AR195" s="70">
        <f>SUM(L195:R195)</f>
        <v>0</v>
      </c>
      <c r="AS195" s="70">
        <f>SUM(S195:Y195)</f>
        <v>0</v>
      </c>
      <c r="AT195" s="70">
        <f>SUM(Z195:AF195)</f>
        <v>0</v>
      </c>
      <c r="AU195" s="70">
        <f>SUM(AG195:AI195)</f>
        <v>0</v>
      </c>
      <c r="AV195" s="57">
        <f t="shared" si="428"/>
        <v>0</v>
      </c>
    </row>
    <row r="196" spans="1:48" s="23" customFormat="1" ht="20.65" hidden="1" customHeight="1">
      <c r="A196" s="296"/>
      <c r="B196" s="89"/>
      <c r="C196" s="52" t="s">
        <v>95</v>
      </c>
      <c r="D196" s="67" t="s">
        <v>103</v>
      </c>
      <c r="E196" s="1100"/>
      <c r="F196" s="1101"/>
      <c r="G196" s="1209"/>
      <c r="H196" s="1101"/>
      <c r="I196" s="1101"/>
      <c r="J196" s="1209"/>
      <c r="K196" s="1209"/>
      <c r="L196" s="1101"/>
      <c r="M196" s="1101"/>
      <c r="N196" s="1101"/>
      <c r="O196" s="1101"/>
      <c r="P196" s="1101"/>
      <c r="Q196" s="1209"/>
      <c r="R196" s="1209"/>
      <c r="S196" s="1101"/>
      <c r="T196" s="1101"/>
      <c r="U196" s="1101"/>
      <c r="V196" s="1101"/>
      <c r="W196" s="1101"/>
      <c r="X196" s="1209"/>
      <c r="Y196" s="1209"/>
      <c r="Z196" s="1101"/>
      <c r="AA196" s="1101"/>
      <c r="AB196" s="1101"/>
      <c r="AC196" s="1101"/>
      <c r="AD196" s="1101"/>
      <c r="AE196" s="1209"/>
      <c r="AF196" s="1209"/>
      <c r="AG196" s="1101"/>
      <c r="AH196" s="1101"/>
      <c r="AI196" s="1332"/>
      <c r="AJ196" s="68">
        <f>SUM(E196:AI196)</f>
        <v>0</v>
      </c>
      <c r="AK196" s="68"/>
      <c r="AL196" s="69">
        <f>+AJ196*AN191</f>
        <v>0</v>
      </c>
      <c r="AM196" s="937"/>
      <c r="AN196" s="277"/>
      <c r="AO196" s="679"/>
      <c r="AP196" s="39" t="s">
        <v>19</v>
      </c>
      <c r="AQ196" s="56">
        <f>AQ195*AN191</f>
        <v>0</v>
      </c>
      <c r="AR196" s="56">
        <f>AR195*AN191</f>
        <v>0</v>
      </c>
      <c r="AS196" s="56">
        <f>AS195*AN191</f>
        <v>0</v>
      </c>
      <c r="AT196" s="56">
        <f>AT195*AN191</f>
        <v>0</v>
      </c>
      <c r="AU196" s="56">
        <f>AU195*AN191</f>
        <v>0</v>
      </c>
      <c r="AV196" s="57">
        <f t="shared" si="428"/>
        <v>0</v>
      </c>
    </row>
    <row r="197" spans="1:48" s="23" customFormat="1" ht="20.65" hidden="1" customHeight="1">
      <c r="A197" s="270"/>
      <c r="B197" s="89"/>
      <c r="C197" s="306" t="s">
        <v>387</v>
      </c>
      <c r="D197" s="73" t="s">
        <v>105</v>
      </c>
      <c r="E197" s="1102"/>
      <c r="F197" s="1103"/>
      <c r="G197" s="1210"/>
      <c r="H197" s="1103"/>
      <c r="I197" s="1103"/>
      <c r="J197" s="1210"/>
      <c r="K197" s="1210"/>
      <c r="L197" s="1103"/>
      <c r="M197" s="1103"/>
      <c r="N197" s="1103"/>
      <c r="O197" s="1103"/>
      <c r="P197" s="1103"/>
      <c r="Q197" s="1210"/>
      <c r="R197" s="1210"/>
      <c r="S197" s="1103"/>
      <c r="T197" s="1103"/>
      <c r="U197" s="1103"/>
      <c r="V197" s="1103"/>
      <c r="W197" s="1103"/>
      <c r="X197" s="1210"/>
      <c r="Y197" s="1210"/>
      <c r="Z197" s="1103"/>
      <c r="AA197" s="1103"/>
      <c r="AB197" s="1103"/>
      <c r="AC197" s="1103"/>
      <c r="AD197" s="1103"/>
      <c r="AE197" s="1210"/>
      <c r="AF197" s="1210"/>
      <c r="AG197" s="1103"/>
      <c r="AH197" s="1103"/>
      <c r="AI197" s="1352"/>
      <c r="AJ197" s="74">
        <f>SUM(E197:AI197)</f>
        <v>0</v>
      </c>
      <c r="AK197" s="74"/>
      <c r="AL197" s="75">
        <f>+AJ197*AN191</f>
        <v>0</v>
      </c>
      <c r="AM197" s="938"/>
      <c r="AN197" s="91"/>
      <c r="AO197" s="630"/>
      <c r="AP197" s="47" t="s">
        <v>106</v>
      </c>
      <c r="AQ197" s="48">
        <f>AQ193*AN191</f>
        <v>0</v>
      </c>
      <c r="AR197" s="48">
        <f>AR193*AN191</f>
        <v>0</v>
      </c>
      <c r="AS197" s="48">
        <f>AS193*AN191</f>
        <v>0</v>
      </c>
      <c r="AT197" s="48">
        <f>AT193*AN191</f>
        <v>0</v>
      </c>
      <c r="AU197" s="48">
        <f>AU193*AN191</f>
        <v>0</v>
      </c>
      <c r="AV197" s="50">
        <f t="shared" si="428"/>
        <v>0</v>
      </c>
    </row>
    <row r="198" spans="1:48" s="23" customFormat="1" ht="20.65" hidden="1" customHeight="1">
      <c r="A198" s="296"/>
      <c r="B198" s="89"/>
      <c r="C198" s="307"/>
      <c r="D198" s="78" t="s">
        <v>107</v>
      </c>
      <c r="E198" s="1137">
        <v>4</v>
      </c>
      <c r="F198" s="1097">
        <v>4</v>
      </c>
      <c r="G198" s="1205">
        <v>4</v>
      </c>
      <c r="H198" s="1097">
        <v>4</v>
      </c>
      <c r="I198" s="1097">
        <v>4</v>
      </c>
      <c r="J198" s="1205">
        <v>4</v>
      </c>
      <c r="K198" s="1205">
        <v>4</v>
      </c>
      <c r="L198" s="1097">
        <v>4</v>
      </c>
      <c r="M198" s="1097">
        <v>4</v>
      </c>
      <c r="N198" s="1097">
        <v>4</v>
      </c>
      <c r="O198" s="1097">
        <v>4</v>
      </c>
      <c r="P198" s="1097">
        <v>4</v>
      </c>
      <c r="Q198" s="1205">
        <v>4</v>
      </c>
      <c r="R198" s="1205">
        <v>4</v>
      </c>
      <c r="S198" s="1097">
        <v>4</v>
      </c>
      <c r="T198" s="1097">
        <v>4</v>
      </c>
      <c r="U198" s="1097">
        <v>4</v>
      </c>
      <c r="V198" s="1097">
        <v>4</v>
      </c>
      <c r="W198" s="1097">
        <v>4</v>
      </c>
      <c r="X198" s="1205">
        <v>4</v>
      </c>
      <c r="Y198" s="1205">
        <v>4</v>
      </c>
      <c r="Z198" s="1097">
        <v>4</v>
      </c>
      <c r="AA198" s="1097">
        <v>4</v>
      </c>
      <c r="AB198" s="1097">
        <v>4</v>
      </c>
      <c r="AC198" s="1097">
        <v>4</v>
      </c>
      <c r="AD198" s="1097">
        <v>4</v>
      </c>
      <c r="AE198" s="1205">
        <v>4</v>
      </c>
      <c r="AF198" s="1205">
        <v>4</v>
      </c>
      <c r="AG198" s="1097">
        <v>4</v>
      </c>
      <c r="AH198" s="1097">
        <v>4</v>
      </c>
      <c r="AI198" s="1328">
        <v>4</v>
      </c>
      <c r="AJ198" s="79"/>
      <c r="AK198" s="79"/>
      <c r="AL198" s="692"/>
      <c r="AM198" s="960"/>
      <c r="AN198" s="277"/>
      <c r="AO198" s="679"/>
      <c r="AP198" s="47"/>
      <c r="AQ198" s="48"/>
      <c r="AR198" s="48"/>
      <c r="AS198" s="48"/>
      <c r="AT198" s="48"/>
      <c r="AU198" s="48"/>
      <c r="AV198" s="284"/>
    </row>
    <row r="199" spans="1:48" s="23" customFormat="1" ht="20.65" hidden="1" customHeight="1">
      <c r="A199" s="296"/>
      <c r="B199" s="89"/>
      <c r="C199" s="305"/>
      <c r="D199" s="81" t="s">
        <v>109</v>
      </c>
      <c r="E199" s="1125">
        <f t="shared" ref="E199:AI199" si="430">SUM(E193+E195+E196)/E198</f>
        <v>0</v>
      </c>
      <c r="F199" s="1126">
        <f t="shared" si="430"/>
        <v>0</v>
      </c>
      <c r="G199" s="1235">
        <f t="shared" si="430"/>
        <v>0</v>
      </c>
      <c r="H199" s="1126">
        <f t="shared" si="430"/>
        <v>0</v>
      </c>
      <c r="I199" s="1126">
        <f t="shared" si="430"/>
        <v>0</v>
      </c>
      <c r="J199" s="1235">
        <f t="shared" si="430"/>
        <v>0</v>
      </c>
      <c r="K199" s="1235">
        <f t="shared" si="430"/>
        <v>0</v>
      </c>
      <c r="L199" s="1126">
        <f t="shared" si="430"/>
        <v>0</v>
      </c>
      <c r="M199" s="1126">
        <f t="shared" si="430"/>
        <v>0</v>
      </c>
      <c r="N199" s="1126">
        <f t="shared" si="430"/>
        <v>0</v>
      </c>
      <c r="O199" s="1126">
        <f t="shared" si="430"/>
        <v>0</v>
      </c>
      <c r="P199" s="1126">
        <f t="shared" si="430"/>
        <v>0</v>
      </c>
      <c r="Q199" s="1235">
        <f t="shared" si="430"/>
        <v>0</v>
      </c>
      <c r="R199" s="1235">
        <f t="shared" si="430"/>
        <v>0</v>
      </c>
      <c r="S199" s="1126">
        <f t="shared" si="430"/>
        <v>0</v>
      </c>
      <c r="T199" s="1126">
        <f t="shared" si="430"/>
        <v>0</v>
      </c>
      <c r="U199" s="1126">
        <f t="shared" si="430"/>
        <v>0</v>
      </c>
      <c r="V199" s="1126">
        <f t="shared" si="430"/>
        <v>0</v>
      </c>
      <c r="W199" s="1126">
        <f t="shared" si="430"/>
        <v>0</v>
      </c>
      <c r="X199" s="1235">
        <f t="shared" si="430"/>
        <v>0</v>
      </c>
      <c r="Y199" s="1235">
        <f t="shared" si="430"/>
        <v>0</v>
      </c>
      <c r="Z199" s="1126">
        <f t="shared" si="430"/>
        <v>0</v>
      </c>
      <c r="AA199" s="1126">
        <f t="shared" si="430"/>
        <v>0</v>
      </c>
      <c r="AB199" s="1126">
        <f t="shared" si="430"/>
        <v>0</v>
      </c>
      <c r="AC199" s="1126">
        <f t="shared" si="430"/>
        <v>0</v>
      </c>
      <c r="AD199" s="1126">
        <f>SUM(AD193+AD195+AD196)/AD198</f>
        <v>0</v>
      </c>
      <c r="AE199" s="1235">
        <f>SUM(AE193+AE195+AE196)/AE198</f>
        <v>0</v>
      </c>
      <c r="AF199" s="1235">
        <f>SUM(AF193+AF195+AF196)/AF198</f>
        <v>0</v>
      </c>
      <c r="AG199" s="1126">
        <f t="shared" si="430"/>
        <v>0</v>
      </c>
      <c r="AH199" s="1126">
        <f t="shared" si="430"/>
        <v>0</v>
      </c>
      <c r="AI199" s="1335">
        <f t="shared" si="430"/>
        <v>0</v>
      </c>
      <c r="AJ199" s="515">
        <f>SUM(E199:AI199)</f>
        <v>0</v>
      </c>
      <c r="AK199" s="515"/>
      <c r="AL199" s="689"/>
      <c r="AM199" s="940"/>
      <c r="AN199" s="277"/>
      <c r="AO199" s="679"/>
      <c r="AP199" s="285"/>
      <c r="AQ199" s="285"/>
      <c r="AR199" s="285"/>
      <c r="AS199" s="285"/>
      <c r="AT199" s="286"/>
      <c r="AU199" s="285"/>
      <c r="AV199" s="287"/>
    </row>
    <row r="200" spans="1:48" s="23" customFormat="1" ht="20.65" hidden="1" customHeight="1">
      <c r="A200" s="296"/>
      <c r="B200" s="89"/>
      <c r="C200" s="72"/>
      <c r="D200" s="85" t="s">
        <v>110</v>
      </c>
      <c r="E200" s="1105"/>
      <c r="F200" s="1106"/>
      <c r="G200" s="1211"/>
      <c r="H200" s="1104"/>
      <c r="I200" s="1104"/>
      <c r="J200" s="1211"/>
      <c r="K200" s="1211"/>
      <c r="L200" s="1104"/>
      <c r="M200" s="1104"/>
      <c r="N200" s="1104"/>
      <c r="O200" s="1104"/>
      <c r="P200" s="1104"/>
      <c r="Q200" s="1211"/>
      <c r="R200" s="1211"/>
      <c r="S200" s="1104"/>
      <c r="T200" s="1104"/>
      <c r="U200" s="1104"/>
      <c r="V200" s="1104"/>
      <c r="W200" s="1104"/>
      <c r="X200" s="1211"/>
      <c r="Y200" s="1211"/>
      <c r="Z200" s="1104"/>
      <c r="AA200" s="1104"/>
      <c r="AB200" s="1104"/>
      <c r="AC200" s="1104"/>
      <c r="AD200" s="1104"/>
      <c r="AE200" s="1211"/>
      <c r="AF200" s="1211"/>
      <c r="AG200" s="1104"/>
      <c r="AH200" s="1104"/>
      <c r="AI200" s="1353"/>
      <c r="AJ200" s="86"/>
      <c r="AK200" s="86"/>
      <c r="AL200" s="690"/>
      <c r="AM200" s="940"/>
      <c r="AN200" s="277"/>
      <c r="AO200" s="679"/>
      <c r="AP200" s="285"/>
      <c r="AQ200" s="285"/>
      <c r="AR200" s="285"/>
      <c r="AS200" s="285"/>
      <c r="AT200" s="286"/>
      <c r="AU200" s="285"/>
      <c r="AV200" s="287"/>
    </row>
    <row r="201" spans="1:48" s="23" customFormat="1" ht="20.65" hidden="1" customHeight="1">
      <c r="A201" s="296"/>
      <c r="B201" s="89"/>
      <c r="C201" s="72" t="s">
        <v>104</v>
      </c>
      <c r="D201" s="88" t="s">
        <v>111</v>
      </c>
      <c r="E201" s="1108">
        <f>IF(E200="O/H",E199,0+E199)</f>
        <v>0</v>
      </c>
      <c r="F201" s="1089">
        <f t="shared" ref="F201:AI201" si="431">IF(F200="O/H",F199,+E201+F199)</f>
        <v>0</v>
      </c>
      <c r="G201" s="44">
        <f t="shared" si="431"/>
        <v>0</v>
      </c>
      <c r="H201" s="1089">
        <f t="shared" si="431"/>
        <v>0</v>
      </c>
      <c r="I201" s="1089">
        <f t="shared" si="431"/>
        <v>0</v>
      </c>
      <c r="J201" s="44">
        <f t="shared" si="431"/>
        <v>0</v>
      </c>
      <c r="K201" s="44">
        <f t="shared" si="431"/>
        <v>0</v>
      </c>
      <c r="L201" s="1089">
        <f t="shared" si="431"/>
        <v>0</v>
      </c>
      <c r="M201" s="1089">
        <f t="shared" si="431"/>
        <v>0</v>
      </c>
      <c r="N201" s="1089">
        <f t="shared" si="431"/>
        <v>0</v>
      </c>
      <c r="O201" s="1089">
        <f t="shared" si="431"/>
        <v>0</v>
      </c>
      <c r="P201" s="1089">
        <f t="shared" si="431"/>
        <v>0</v>
      </c>
      <c r="Q201" s="44">
        <f t="shared" si="431"/>
        <v>0</v>
      </c>
      <c r="R201" s="44">
        <f t="shared" si="431"/>
        <v>0</v>
      </c>
      <c r="S201" s="1089">
        <f t="shared" si="431"/>
        <v>0</v>
      </c>
      <c r="T201" s="1089">
        <f t="shared" si="431"/>
        <v>0</v>
      </c>
      <c r="U201" s="1089">
        <f t="shared" si="431"/>
        <v>0</v>
      </c>
      <c r="V201" s="1089">
        <f t="shared" si="431"/>
        <v>0</v>
      </c>
      <c r="W201" s="1089">
        <f t="shared" si="431"/>
        <v>0</v>
      </c>
      <c r="X201" s="44">
        <f t="shared" si="431"/>
        <v>0</v>
      </c>
      <c r="Y201" s="44">
        <f t="shared" si="431"/>
        <v>0</v>
      </c>
      <c r="Z201" s="1089">
        <f t="shared" si="431"/>
        <v>0</v>
      </c>
      <c r="AA201" s="1089">
        <f t="shared" si="431"/>
        <v>0</v>
      </c>
      <c r="AB201" s="1089">
        <f t="shared" si="431"/>
        <v>0</v>
      </c>
      <c r="AC201" s="1089">
        <f t="shared" si="431"/>
        <v>0</v>
      </c>
      <c r="AD201" s="1089">
        <f t="shared" si="431"/>
        <v>0</v>
      </c>
      <c r="AE201" s="44">
        <f t="shared" si="431"/>
        <v>0</v>
      </c>
      <c r="AF201" s="44">
        <f t="shared" si="431"/>
        <v>0</v>
      </c>
      <c r="AG201" s="1089">
        <f t="shared" si="431"/>
        <v>0</v>
      </c>
      <c r="AH201" s="1089">
        <f t="shared" si="431"/>
        <v>0</v>
      </c>
      <c r="AI201" s="1326">
        <f t="shared" si="431"/>
        <v>0</v>
      </c>
      <c r="AJ201" s="79"/>
      <c r="AK201" s="79"/>
      <c r="AL201" s="690"/>
      <c r="AM201" s="940"/>
      <c r="AN201" s="277"/>
      <c r="AO201" s="679"/>
      <c r="AP201" s="285"/>
      <c r="AQ201" s="285"/>
      <c r="AR201" s="285"/>
      <c r="AS201" s="285"/>
      <c r="AT201" s="286"/>
      <c r="AU201" s="285"/>
      <c r="AV201" s="287"/>
    </row>
    <row r="202" spans="1:48" s="23" customFormat="1" ht="20.45" hidden="1" customHeight="1">
      <c r="A202" s="312"/>
      <c r="B202" s="312"/>
      <c r="C202" s="308">
        <v>300000</v>
      </c>
      <c r="D202" s="795" t="s">
        <v>112</v>
      </c>
      <c r="E202" s="1117" t="b">
        <f>IF(AND(ISNUMBER(E193)),972379+E199)</f>
        <v>0</v>
      </c>
      <c r="F202" s="1118" t="str">
        <f>IF(AND(ISNUMBER(F193)),E202+F199,"")</f>
        <v/>
      </c>
      <c r="G202" s="1216" t="str">
        <f t="shared" ref="G202" si="432">IF(AND(ISNUMBER(G193)),F202+G199,"")</f>
        <v/>
      </c>
      <c r="H202" s="1118" t="str">
        <f t="shared" ref="H202" si="433">IF(AND(ISNUMBER(H193)),G202+H199,"")</f>
        <v/>
      </c>
      <c r="I202" s="1118" t="str">
        <f>IF(AND(ISNUMBER(I193)),H202+I199,"")</f>
        <v/>
      </c>
      <c r="J202" s="1216" t="str">
        <f>IF(AND(ISNUMBER(J193)),I202+J199,"")</f>
        <v/>
      </c>
      <c r="K202" s="1216" t="str">
        <f>IF(AND(ISNUMBER(K193)),J202+K199,"")</f>
        <v/>
      </c>
      <c r="L202" s="1118" t="str">
        <f t="shared" ref="L202" si="434">IF(AND(ISNUMBER(L193)),K202+L199,"")</f>
        <v/>
      </c>
      <c r="M202" s="1118" t="str">
        <f t="shared" ref="M202" si="435">IF(AND(ISNUMBER(M193)),L202+M199,"")</f>
        <v/>
      </c>
      <c r="N202" s="1118" t="str">
        <f t="shared" ref="N202" si="436">IF(AND(ISNUMBER(N193)),M202+N199,"")</f>
        <v/>
      </c>
      <c r="O202" s="1118" t="str">
        <f t="shared" ref="O202" si="437">IF(AND(ISNUMBER(O193)),N202+O199,"")</f>
        <v/>
      </c>
      <c r="P202" s="1118" t="str">
        <f t="shared" ref="P202" si="438">IF(AND(ISNUMBER(P193)),O202+P199,"")</f>
        <v/>
      </c>
      <c r="Q202" s="1216" t="str">
        <f t="shared" ref="Q202" si="439">IF(AND(ISNUMBER(Q193)),P202+Q199,"")</f>
        <v/>
      </c>
      <c r="R202" s="1216" t="str">
        <f t="shared" ref="R202" si="440">IF(AND(ISNUMBER(R193)),Q202+R199,"")</f>
        <v/>
      </c>
      <c r="S202" s="1118" t="str">
        <f t="shared" ref="S202" si="441">IF(AND(ISNUMBER(S193)),R202+S199,"")</f>
        <v/>
      </c>
      <c r="T202" s="1118" t="str">
        <f t="shared" ref="T202" si="442">IF(AND(ISNUMBER(T193)),S202+T199,"")</f>
        <v/>
      </c>
      <c r="U202" s="1118" t="str">
        <f t="shared" ref="U202" si="443">IF(AND(ISNUMBER(U193)),T202+U199,"")</f>
        <v/>
      </c>
      <c r="V202" s="1118" t="str">
        <f t="shared" ref="V202" si="444">IF(AND(ISNUMBER(V193)),U202+V199,"")</f>
        <v/>
      </c>
      <c r="W202" s="1118" t="str">
        <f t="shared" ref="W202" si="445">IF(AND(ISNUMBER(W193)),V202+W199,"")</f>
        <v/>
      </c>
      <c r="X202" s="1216" t="str">
        <f t="shared" ref="X202" si="446">IF(AND(ISNUMBER(X193)),W202+X199,"")</f>
        <v/>
      </c>
      <c r="Y202" s="1216" t="str">
        <f t="shared" ref="Y202" si="447">IF(AND(ISNUMBER(Y193)),X202+Y199,"")</f>
        <v/>
      </c>
      <c r="Z202" s="1118" t="str">
        <f t="shared" ref="Z202" si="448">IF(AND(ISNUMBER(Z193)),Y202+Z199,"")</f>
        <v/>
      </c>
      <c r="AA202" s="1118" t="str">
        <f t="shared" ref="AA202" si="449">IF(AND(ISNUMBER(AA193)),Z202+AA199,"")</f>
        <v/>
      </c>
      <c r="AB202" s="1118" t="str">
        <f t="shared" ref="AB202" si="450">IF(AND(ISNUMBER(AB193)),AA202+AB199,"")</f>
        <v/>
      </c>
      <c r="AC202" s="1118" t="str">
        <f t="shared" ref="AC202" si="451">IF(AND(ISNUMBER(AC193)),AB202+AC199,"")</f>
        <v/>
      </c>
      <c r="AD202" s="1118" t="str">
        <f t="shared" ref="AD202" si="452">IF(AND(ISNUMBER(AD193)),AC202+AD199,"")</f>
        <v/>
      </c>
      <c r="AE202" s="1216" t="str">
        <f t="shared" ref="AE202" si="453">IF(AND(ISNUMBER(AE193)),AD202+AE199,"")</f>
        <v/>
      </c>
      <c r="AF202" s="1216" t="str">
        <f t="shared" ref="AF202" si="454">IF(AND(ISNUMBER(AF193)),AE202+AF199,"")</f>
        <v/>
      </c>
      <c r="AG202" s="1118" t="str">
        <f t="shared" ref="AG202" si="455">IF(AND(ISNUMBER(AG193)),AF202+AG199,"")</f>
        <v/>
      </c>
      <c r="AH202" s="1118" t="str">
        <f t="shared" ref="AH202" si="456">IF(AND(ISNUMBER(AH193)),AG202+AH199,"")</f>
        <v/>
      </c>
      <c r="AI202" s="1118" t="str">
        <f t="shared" ref="AI202" si="457">IF(AND(ISNUMBER(AI193)),AH202+AI199,"")</f>
        <v/>
      </c>
      <c r="AJ202" s="793"/>
      <c r="AK202" s="793"/>
      <c r="AL202" s="909"/>
      <c r="AM202" s="794"/>
      <c r="AN202" s="429"/>
      <c r="AO202" s="675"/>
      <c r="AP202" s="285"/>
      <c r="AQ202" s="285"/>
      <c r="AR202" s="285"/>
      <c r="AS202" s="285"/>
      <c r="AT202" s="286"/>
      <c r="AU202" s="285"/>
      <c r="AV202" s="287"/>
    </row>
    <row r="203" spans="1:48" s="23" customFormat="1" ht="20.65" hidden="1" customHeight="1">
      <c r="A203" s="296"/>
      <c r="B203" s="89"/>
      <c r="C203" s="80" t="s">
        <v>108</v>
      </c>
      <c r="D203" s="90" t="s">
        <v>104</v>
      </c>
      <c r="E203" s="1108"/>
      <c r="F203" s="1089"/>
      <c r="G203" s="44"/>
      <c r="H203" s="1089"/>
      <c r="I203" s="1089"/>
      <c r="J203" s="44"/>
      <c r="K203" s="44"/>
      <c r="L203" s="1089"/>
      <c r="M203" s="1089"/>
      <c r="N203" s="1089"/>
      <c r="O203" s="1089"/>
      <c r="P203" s="1089"/>
      <c r="Q203" s="44"/>
      <c r="R203" s="44"/>
      <c r="S203" s="1089"/>
      <c r="T203" s="1089"/>
      <c r="U203" s="1089"/>
      <c r="V203" s="1089"/>
      <c r="W203" s="1089"/>
      <c r="X203" s="44"/>
      <c r="Y203" s="44"/>
      <c r="Z203" s="1089"/>
      <c r="AA203" s="1089"/>
      <c r="AB203" s="1089"/>
      <c r="AC203" s="1089"/>
      <c r="AD203" s="1089"/>
      <c r="AE203" s="44"/>
      <c r="AF203" s="44"/>
      <c r="AG203" s="1089"/>
      <c r="AH203" s="1089"/>
      <c r="AI203" s="1326"/>
      <c r="AJ203" s="79"/>
      <c r="AK203" s="79"/>
      <c r="AL203" s="690"/>
      <c r="AM203" s="940"/>
      <c r="AN203" s="277"/>
      <c r="AO203" s="679"/>
      <c r="AP203" s="285"/>
      <c r="AQ203" s="285"/>
      <c r="AR203" s="285"/>
      <c r="AS203" s="285"/>
      <c r="AT203" s="286"/>
      <c r="AU203" s="285"/>
      <c r="AV203" s="287"/>
    </row>
    <row r="204" spans="1:48" s="23" customFormat="1" ht="20.65" hidden="1" customHeight="1" thickBot="1">
      <c r="A204" s="310"/>
      <c r="B204" s="93"/>
      <c r="C204" s="291">
        <f>+C202*0.8</f>
        <v>240000</v>
      </c>
      <c r="D204" s="88" t="s">
        <v>111</v>
      </c>
      <c r="E204" s="1109">
        <f>IF(E203="O/H",E199,0+E199)</f>
        <v>0</v>
      </c>
      <c r="F204" s="1110">
        <f t="shared" ref="F204:AI204" si="458">IF(F203="O/H",F199,+E204+F199)</f>
        <v>0</v>
      </c>
      <c r="G204" s="1212">
        <f t="shared" si="458"/>
        <v>0</v>
      </c>
      <c r="H204" s="1110">
        <f t="shared" si="458"/>
        <v>0</v>
      </c>
      <c r="I204" s="1110">
        <f t="shared" si="458"/>
        <v>0</v>
      </c>
      <c r="J204" s="1212">
        <f t="shared" si="458"/>
        <v>0</v>
      </c>
      <c r="K204" s="1212">
        <f t="shared" si="458"/>
        <v>0</v>
      </c>
      <c r="L204" s="1110">
        <f t="shared" si="458"/>
        <v>0</v>
      </c>
      <c r="M204" s="1110">
        <f t="shared" si="458"/>
        <v>0</v>
      </c>
      <c r="N204" s="1110">
        <f t="shared" si="458"/>
        <v>0</v>
      </c>
      <c r="O204" s="1110">
        <f t="shared" si="458"/>
        <v>0</v>
      </c>
      <c r="P204" s="1110">
        <f t="shared" si="458"/>
        <v>0</v>
      </c>
      <c r="Q204" s="1212">
        <f t="shared" si="458"/>
        <v>0</v>
      </c>
      <c r="R204" s="1212">
        <f t="shared" si="458"/>
        <v>0</v>
      </c>
      <c r="S204" s="1110">
        <f t="shared" si="458"/>
        <v>0</v>
      </c>
      <c r="T204" s="1110">
        <f t="shared" si="458"/>
        <v>0</v>
      </c>
      <c r="U204" s="1110">
        <f t="shared" si="458"/>
        <v>0</v>
      </c>
      <c r="V204" s="1110">
        <f t="shared" si="458"/>
        <v>0</v>
      </c>
      <c r="W204" s="1110">
        <f t="shared" si="458"/>
        <v>0</v>
      </c>
      <c r="X204" s="1212">
        <f t="shared" si="458"/>
        <v>0</v>
      </c>
      <c r="Y204" s="1212">
        <f t="shared" si="458"/>
        <v>0</v>
      </c>
      <c r="Z204" s="1110">
        <f t="shared" si="458"/>
        <v>0</v>
      </c>
      <c r="AA204" s="1110">
        <f t="shared" si="458"/>
        <v>0</v>
      </c>
      <c r="AB204" s="1110">
        <f t="shared" si="458"/>
        <v>0</v>
      </c>
      <c r="AC204" s="1110">
        <f t="shared" si="458"/>
        <v>0</v>
      </c>
      <c r="AD204" s="1110">
        <f t="shared" si="458"/>
        <v>0</v>
      </c>
      <c r="AE204" s="1212">
        <f t="shared" si="458"/>
        <v>0</v>
      </c>
      <c r="AF204" s="1212">
        <f t="shared" si="458"/>
        <v>0</v>
      </c>
      <c r="AG204" s="1110">
        <f t="shared" si="458"/>
        <v>0</v>
      </c>
      <c r="AH204" s="1110">
        <f t="shared" si="458"/>
        <v>0</v>
      </c>
      <c r="AI204" s="1340">
        <f t="shared" si="458"/>
        <v>0</v>
      </c>
      <c r="AJ204" s="96"/>
      <c r="AK204" s="723"/>
      <c r="AL204" s="695"/>
      <c r="AM204" s="961"/>
      <c r="AN204" s="292"/>
      <c r="AO204" s="681"/>
      <c r="AP204" s="285"/>
      <c r="AQ204" s="285"/>
      <c r="AR204" s="285"/>
      <c r="AS204" s="285"/>
      <c r="AT204" s="286"/>
      <c r="AU204" s="285"/>
      <c r="AV204" s="287"/>
    </row>
    <row r="205" spans="1:48" s="23" customFormat="1" ht="20.65" customHeight="1" thickTop="1">
      <c r="A205" s="270" t="s">
        <v>606</v>
      </c>
      <c r="B205" s="89" t="s">
        <v>688</v>
      </c>
      <c r="C205" s="1493" t="str">
        <f>Table2[[#This Row],[M/C No.]]</f>
        <v>H7(50ton)</v>
      </c>
      <c r="D205" s="28" t="s">
        <v>82</v>
      </c>
      <c r="E205" s="1111">
        <v>12000</v>
      </c>
      <c r="F205" s="1111">
        <v>12000</v>
      </c>
      <c r="G205" s="1201">
        <v>12000</v>
      </c>
      <c r="H205" s="1111">
        <v>12000</v>
      </c>
      <c r="I205" s="1111">
        <v>12000</v>
      </c>
      <c r="J205" s="1201">
        <v>12000</v>
      </c>
      <c r="K205" s="1201">
        <v>12000</v>
      </c>
      <c r="L205" s="1111">
        <v>12000</v>
      </c>
      <c r="M205" s="1111">
        <v>12000</v>
      </c>
      <c r="N205" s="1111">
        <v>12000</v>
      </c>
      <c r="O205" s="1111">
        <v>12000</v>
      </c>
      <c r="P205" s="1111">
        <v>12000</v>
      </c>
      <c r="Q205" s="1201">
        <v>0</v>
      </c>
      <c r="R205" s="1201">
        <v>0</v>
      </c>
      <c r="S205" s="1111">
        <v>6000</v>
      </c>
      <c r="T205" s="1111">
        <v>12000</v>
      </c>
      <c r="U205" s="1111">
        <v>12000</v>
      </c>
      <c r="V205" s="1111">
        <v>12000</v>
      </c>
      <c r="W205" s="1111">
        <v>12000</v>
      </c>
      <c r="X205" s="1201">
        <v>0</v>
      </c>
      <c r="Y205" s="1201">
        <v>0</v>
      </c>
      <c r="Z205" s="1111">
        <v>6000</v>
      </c>
      <c r="AA205" s="1111">
        <v>12000</v>
      </c>
      <c r="AB205" s="1111">
        <v>12000</v>
      </c>
      <c r="AC205" s="1111">
        <v>12000</v>
      </c>
      <c r="AD205" s="1111">
        <v>12000</v>
      </c>
      <c r="AE205" s="1201">
        <v>0</v>
      </c>
      <c r="AF205" s="1201">
        <v>0</v>
      </c>
      <c r="AG205" s="1111">
        <v>6000</v>
      </c>
      <c r="AH205" s="1111">
        <v>12000</v>
      </c>
      <c r="AI205" s="1412"/>
      <c r="AJ205" s="100">
        <f>SUM(E205:AI205)</f>
        <v>270000</v>
      </c>
      <c r="AK205" s="1000">
        <f>AJ207</f>
        <v>215208</v>
      </c>
      <c r="AL205" s="101">
        <f>+AJ205*AN205</f>
        <v>1110982.5</v>
      </c>
      <c r="AM205" s="1019">
        <f>AL207</f>
        <v>885527.11800000002</v>
      </c>
      <c r="AN205" s="273">
        <v>4.1147499999999999</v>
      </c>
      <c r="AO205" s="633">
        <f>Table2[[#This Row],[Total]]*B209/1000</f>
        <v>565.85249999999985</v>
      </c>
      <c r="AP205" s="32" t="s">
        <v>398</v>
      </c>
      <c r="AQ205" s="33" t="s">
        <v>84</v>
      </c>
      <c r="AR205" s="33" t="s">
        <v>85</v>
      </c>
      <c r="AS205" s="33" t="s">
        <v>86</v>
      </c>
      <c r="AT205" s="33" t="s">
        <v>87</v>
      </c>
      <c r="AU205" s="33" t="s">
        <v>88</v>
      </c>
      <c r="AV205" s="34" t="s">
        <v>68</v>
      </c>
    </row>
    <row r="206" spans="1:48" s="23" customFormat="1" ht="20.65" customHeight="1">
      <c r="A206" s="274"/>
      <c r="B206" s="89" t="s">
        <v>394</v>
      </c>
      <c r="C206" s="1244">
        <v>67500</v>
      </c>
      <c r="D206" s="37" t="s">
        <v>90</v>
      </c>
      <c r="E206" s="1323">
        <f>IF(E205="",0,+ E205/E212)</f>
        <v>3000</v>
      </c>
      <c r="F206" s="1096">
        <f t="shared" ref="F206:AC206" si="459">IF(F205="",0, E206+F205/F212)</f>
        <v>6000</v>
      </c>
      <c r="G206" s="1207">
        <f t="shared" si="459"/>
        <v>9000</v>
      </c>
      <c r="H206" s="1096">
        <f t="shared" si="459"/>
        <v>12000</v>
      </c>
      <c r="I206" s="1096">
        <f t="shared" si="459"/>
        <v>15000</v>
      </c>
      <c r="J206" s="1207">
        <f t="shared" si="459"/>
        <v>18000</v>
      </c>
      <c r="K206" s="1207">
        <f t="shared" si="459"/>
        <v>21000</v>
      </c>
      <c r="L206" s="1096">
        <f t="shared" si="459"/>
        <v>24000</v>
      </c>
      <c r="M206" s="1096">
        <f t="shared" si="459"/>
        <v>27000</v>
      </c>
      <c r="N206" s="1096">
        <f t="shared" si="459"/>
        <v>30000</v>
      </c>
      <c r="O206" s="1096">
        <f t="shared" si="459"/>
        <v>33000</v>
      </c>
      <c r="P206" s="1096">
        <f t="shared" si="459"/>
        <v>36000</v>
      </c>
      <c r="Q206" s="1207">
        <f t="shared" si="459"/>
        <v>36000</v>
      </c>
      <c r="R206" s="1207">
        <f t="shared" si="459"/>
        <v>36000</v>
      </c>
      <c r="S206" s="1096">
        <f t="shared" si="459"/>
        <v>37500</v>
      </c>
      <c r="T206" s="1096">
        <f t="shared" si="459"/>
        <v>40500</v>
      </c>
      <c r="U206" s="1096">
        <f t="shared" si="459"/>
        <v>43500</v>
      </c>
      <c r="V206" s="1096">
        <f t="shared" si="459"/>
        <v>46500</v>
      </c>
      <c r="W206" s="1096">
        <f t="shared" si="459"/>
        <v>49500</v>
      </c>
      <c r="X206" s="1207">
        <f t="shared" si="459"/>
        <v>49500</v>
      </c>
      <c r="Y206" s="1207">
        <f t="shared" si="459"/>
        <v>49500</v>
      </c>
      <c r="Z206" s="1096">
        <f t="shared" si="459"/>
        <v>51000</v>
      </c>
      <c r="AA206" s="1096">
        <f t="shared" si="459"/>
        <v>54000</v>
      </c>
      <c r="AB206" s="1096">
        <f t="shared" si="459"/>
        <v>57000</v>
      </c>
      <c r="AC206" s="1096">
        <f t="shared" si="459"/>
        <v>60000</v>
      </c>
      <c r="AD206" s="1096">
        <f>IF(AD205="",0, Z206+AD205/AD212)</f>
        <v>54000</v>
      </c>
      <c r="AE206" s="1207">
        <f>IF(AE205="",0, AA206+AE205/AE212)</f>
        <v>54000</v>
      </c>
      <c r="AF206" s="1207">
        <f>IF(AF205="",0, AB206+AF205/AF212)</f>
        <v>57000</v>
      </c>
      <c r="AG206" s="1096">
        <f>IF(AG205="",0, AC206+AG205/AG212)</f>
        <v>61500</v>
      </c>
      <c r="AH206" s="1096">
        <f>IF(AH205="",0, AD206+AH205/AH212)</f>
        <v>57000</v>
      </c>
      <c r="AI206" s="1324">
        <f>IF(AI205="",0, AH206+AI205/AI212)</f>
        <v>0</v>
      </c>
      <c r="AJ206" s="716"/>
      <c r="AK206" s="716"/>
      <c r="AL206" s="209"/>
      <c r="AM206" s="794"/>
      <c r="AN206" s="91"/>
      <c r="AO206" s="675"/>
      <c r="AP206" s="39" t="s">
        <v>91</v>
      </c>
      <c r="AQ206" s="40">
        <f>SUM(E205:H205)</f>
        <v>48000</v>
      </c>
      <c r="AR206" s="41">
        <f>SUM(I205:O205)</f>
        <v>84000</v>
      </c>
      <c r="AS206" s="41">
        <f>SUM(P205:V205)</f>
        <v>54000</v>
      </c>
      <c r="AT206" s="41">
        <f>SUM(W205:AC205)</f>
        <v>54000</v>
      </c>
      <c r="AU206" s="41">
        <f>SUM(AD205:AI205)</f>
        <v>30000</v>
      </c>
      <c r="AV206" s="34">
        <f t="shared" ref="AV206:AV211" si="460">SUM(AQ206:AU206)</f>
        <v>270000</v>
      </c>
    </row>
    <row r="207" spans="1:48" s="23" customFormat="1" ht="20.65" customHeight="1">
      <c r="A207" s="296"/>
      <c r="B207" s="89" t="s">
        <v>246</v>
      </c>
      <c r="C207" s="656" t="s">
        <v>108</v>
      </c>
      <c r="D207" s="43" t="s">
        <v>93</v>
      </c>
      <c r="E207" s="1108">
        <v>7056</v>
      </c>
      <c r="F207" s="1089">
        <v>13104</v>
      </c>
      <c r="G207" s="44">
        <v>12096</v>
      </c>
      <c r="H207" s="1089">
        <v>12096</v>
      </c>
      <c r="I207" s="1089">
        <v>13104</v>
      </c>
      <c r="J207" s="44">
        <v>13104</v>
      </c>
      <c r="K207" s="44">
        <v>12096</v>
      </c>
      <c r="L207" s="1089">
        <v>13104</v>
      </c>
      <c r="M207" s="1089">
        <v>13104</v>
      </c>
      <c r="N207" s="1089">
        <v>13104</v>
      </c>
      <c r="O207" s="1089">
        <v>13104</v>
      </c>
      <c r="P207" s="1089">
        <v>10416</v>
      </c>
      <c r="Q207" s="44">
        <v>13104</v>
      </c>
      <c r="R207" s="44">
        <v>12096</v>
      </c>
      <c r="S207" s="1089">
        <v>13104</v>
      </c>
      <c r="T207" s="1089">
        <v>12096</v>
      </c>
      <c r="U207" s="1089">
        <v>13776</v>
      </c>
      <c r="V207" s="1089">
        <v>5544</v>
      </c>
      <c r="W207" s="1089">
        <v>0</v>
      </c>
      <c r="X207" s="44">
        <v>0</v>
      </c>
      <c r="Y207" s="44">
        <v>0</v>
      </c>
      <c r="Z207" s="1089">
        <v>0</v>
      </c>
      <c r="AA207" s="1089">
        <v>0</v>
      </c>
      <c r="AB207" s="1089"/>
      <c r="AC207" s="1089"/>
      <c r="AD207" s="1089"/>
      <c r="AE207" s="44"/>
      <c r="AF207" s="44"/>
      <c r="AG207" s="1089"/>
      <c r="AH207" s="1089"/>
      <c r="AI207" s="1326"/>
      <c r="AJ207" s="45">
        <f>SUM(E207:AI207)</f>
        <v>215208</v>
      </c>
      <c r="AK207" s="45"/>
      <c r="AL207" s="46">
        <f>+AJ207*AN205</f>
        <v>885527.11800000002</v>
      </c>
      <c r="AM207" s="934"/>
      <c r="AN207" s="277"/>
      <c r="AO207" s="632">
        <f>(AJ207+AJ209+AJ210+AJ211)*B209/1000</f>
        <v>464.54394499999995</v>
      </c>
      <c r="AP207" s="47" t="s">
        <v>94</v>
      </c>
      <c r="AQ207" s="48">
        <f>SUM(E207:H207)</f>
        <v>44352</v>
      </c>
      <c r="AR207" s="49">
        <f>SUM(I207:O207)</f>
        <v>90720</v>
      </c>
      <c r="AS207" s="49">
        <f>SUM(P207:V207)</f>
        <v>80136</v>
      </c>
      <c r="AT207" s="49">
        <f>SUM(W207:AC207)</f>
        <v>0</v>
      </c>
      <c r="AU207" s="49">
        <f>SUM(AD207:AI207)</f>
        <v>0</v>
      </c>
      <c r="AV207" s="50">
        <f t="shared" si="460"/>
        <v>215208</v>
      </c>
    </row>
    <row r="208" spans="1:48" s="23" customFormat="1" ht="20.65" customHeight="1">
      <c r="A208" s="296"/>
      <c r="B208" s="638" t="s">
        <v>247</v>
      </c>
      <c r="C208" s="1245">
        <f>+C206*0.8</f>
        <v>54000</v>
      </c>
      <c r="D208" s="53" t="s">
        <v>96</v>
      </c>
      <c r="E208" s="1137">
        <f>+E207-E205</f>
        <v>-4944</v>
      </c>
      <c r="F208" s="1137">
        <f t="shared" ref="F208:AJ208" si="461">+F207-F205</f>
        <v>1104</v>
      </c>
      <c r="G208" s="1232">
        <f t="shared" si="461"/>
        <v>96</v>
      </c>
      <c r="H208" s="1137">
        <f t="shared" si="461"/>
        <v>96</v>
      </c>
      <c r="I208" s="1137">
        <f t="shared" si="461"/>
        <v>1104</v>
      </c>
      <c r="J208" s="1232">
        <f t="shared" si="461"/>
        <v>1104</v>
      </c>
      <c r="K208" s="1232">
        <f t="shared" si="461"/>
        <v>96</v>
      </c>
      <c r="L208" s="1137">
        <f t="shared" si="461"/>
        <v>1104</v>
      </c>
      <c r="M208" s="1137">
        <f t="shared" si="461"/>
        <v>1104</v>
      </c>
      <c r="N208" s="1137">
        <f t="shared" si="461"/>
        <v>1104</v>
      </c>
      <c r="O208" s="1137">
        <f t="shared" si="461"/>
        <v>1104</v>
      </c>
      <c r="P208" s="1137">
        <f t="shared" si="461"/>
        <v>-1584</v>
      </c>
      <c r="Q208" s="1232">
        <f t="shared" si="461"/>
        <v>13104</v>
      </c>
      <c r="R208" s="1232">
        <f t="shared" si="461"/>
        <v>12096</v>
      </c>
      <c r="S208" s="1137">
        <f t="shared" si="461"/>
        <v>7104</v>
      </c>
      <c r="T208" s="1137">
        <f t="shared" si="461"/>
        <v>96</v>
      </c>
      <c r="U208" s="1137">
        <f t="shared" si="461"/>
        <v>1776</v>
      </c>
      <c r="V208" s="1137">
        <f t="shared" si="461"/>
        <v>-6456</v>
      </c>
      <c r="W208" s="1137">
        <f t="shared" si="461"/>
        <v>-12000</v>
      </c>
      <c r="X208" s="1232">
        <f>+X207-X205</f>
        <v>0</v>
      </c>
      <c r="Y208" s="1232">
        <f t="shared" si="461"/>
        <v>0</v>
      </c>
      <c r="Z208" s="1137">
        <f t="shared" si="461"/>
        <v>-6000</v>
      </c>
      <c r="AA208" s="1137">
        <f t="shared" si="461"/>
        <v>-12000</v>
      </c>
      <c r="AB208" s="1137">
        <f t="shared" si="461"/>
        <v>-12000</v>
      </c>
      <c r="AC208" s="1137">
        <f t="shared" si="461"/>
        <v>-12000</v>
      </c>
      <c r="AD208" s="1137">
        <f t="shared" si="461"/>
        <v>-12000</v>
      </c>
      <c r="AE208" s="1232">
        <f t="shared" si="461"/>
        <v>0</v>
      </c>
      <c r="AF208" s="1232">
        <f t="shared" si="461"/>
        <v>0</v>
      </c>
      <c r="AG208" s="1137">
        <f t="shared" si="461"/>
        <v>-6000</v>
      </c>
      <c r="AH208" s="1137">
        <f t="shared" si="461"/>
        <v>-12000</v>
      </c>
      <c r="AI208" s="1413">
        <f t="shared" si="461"/>
        <v>0</v>
      </c>
      <c r="AJ208" s="79">
        <f t="shared" si="461"/>
        <v>-54792</v>
      </c>
      <c r="AK208" s="79"/>
      <c r="AL208" s="55">
        <f>+AJ208*AN205</f>
        <v>-225455.38199999998</v>
      </c>
      <c r="AM208" s="935"/>
      <c r="AN208" s="277" t="s">
        <v>97</v>
      </c>
      <c r="AO208" s="622"/>
      <c r="AP208" s="39" t="s">
        <v>98</v>
      </c>
      <c r="AQ208" s="56">
        <f>AQ207-AQ206</f>
        <v>-3648</v>
      </c>
      <c r="AR208" s="70">
        <f>AR207-AR206</f>
        <v>6720</v>
      </c>
      <c r="AS208" s="70">
        <f>AS207-AS206</f>
        <v>26136</v>
      </c>
      <c r="AT208" s="70">
        <f>AT207-AT206</f>
        <v>-54000</v>
      </c>
      <c r="AU208" s="70">
        <f>AU207-AU206</f>
        <v>-30000</v>
      </c>
      <c r="AV208" s="57">
        <f t="shared" si="460"/>
        <v>-54792</v>
      </c>
    </row>
    <row r="209" spans="1:48" s="23" customFormat="1" ht="20.65" customHeight="1">
      <c r="A209" s="296"/>
      <c r="B209" s="659">
        <v>2.0957499999999998</v>
      </c>
      <c r="C209" s="305"/>
      <c r="D209" s="61" t="s">
        <v>101</v>
      </c>
      <c r="E209" s="1098">
        <v>120</v>
      </c>
      <c r="F209" s="1099">
        <v>0</v>
      </c>
      <c r="G209" s="1208">
        <v>0</v>
      </c>
      <c r="H209" s="1099">
        <v>0</v>
      </c>
      <c r="I209" s="1099">
        <v>0</v>
      </c>
      <c r="J209" s="1208">
        <v>0</v>
      </c>
      <c r="K209" s="1208">
        <v>0</v>
      </c>
      <c r="L209" s="1099">
        <v>0</v>
      </c>
      <c r="M209" s="1099">
        <v>0</v>
      </c>
      <c r="N209" s="1099">
        <v>0</v>
      </c>
      <c r="O209" s="1099">
        <v>0</v>
      </c>
      <c r="P209" s="1099">
        <v>120</v>
      </c>
      <c r="Q209" s="1208">
        <v>0</v>
      </c>
      <c r="R209" s="1208">
        <v>120</v>
      </c>
      <c r="S209" s="1099">
        <v>0</v>
      </c>
      <c r="T209" s="1099">
        <v>240</v>
      </c>
      <c r="U209" s="1099">
        <v>0</v>
      </c>
      <c r="V209" s="1099">
        <f>456+120</f>
        <v>576</v>
      </c>
      <c r="W209" s="1099">
        <v>280</v>
      </c>
      <c r="X209" s="1208">
        <v>0</v>
      </c>
      <c r="Y209" s="1208">
        <v>0</v>
      </c>
      <c r="Z209" s="1099">
        <v>260</v>
      </c>
      <c r="AA209" s="1099">
        <v>808</v>
      </c>
      <c r="AB209" s="1099"/>
      <c r="AC209" s="1099"/>
      <c r="AD209" s="1099"/>
      <c r="AE209" s="1208"/>
      <c r="AF209" s="1208"/>
      <c r="AG209" s="1099"/>
      <c r="AH209" s="1099"/>
      <c r="AI209" s="1330"/>
      <c r="AJ209" s="62">
        <f>SUM(E209:AI209)</f>
        <v>2524</v>
      </c>
      <c r="AK209" s="62"/>
      <c r="AL209" s="63">
        <f>+AJ209*AN205</f>
        <v>10385.628999999999</v>
      </c>
      <c r="AM209" s="936"/>
      <c r="AN209" s="301">
        <f>+AJ209/AJ207*100</f>
        <v>1.1728188543176834</v>
      </c>
      <c r="AO209" s="635">
        <f>AO207/AO205</f>
        <v>0.82096296296296312</v>
      </c>
      <c r="AP209" s="39" t="s">
        <v>102</v>
      </c>
      <c r="AQ209" s="56">
        <f>SUM(E209:H209)</f>
        <v>120</v>
      </c>
      <c r="AR209" s="70">
        <f>SUM(I209:O209)</f>
        <v>0</v>
      </c>
      <c r="AS209" s="70">
        <f>SUM(P209:V209)</f>
        <v>1056</v>
      </c>
      <c r="AT209" s="70">
        <f>SUM(W209:AC209)</f>
        <v>1348</v>
      </c>
      <c r="AU209" s="70">
        <f>SUM(AD209:AI209)</f>
        <v>0</v>
      </c>
      <c r="AV209" s="57">
        <f t="shared" si="460"/>
        <v>2524</v>
      </c>
    </row>
    <row r="210" spans="1:48" s="23" customFormat="1" ht="20.65" customHeight="1">
      <c r="A210" s="296"/>
      <c r="B210" s="89"/>
      <c r="C210" s="52" t="s">
        <v>95</v>
      </c>
      <c r="D210" s="67" t="s">
        <v>103</v>
      </c>
      <c r="E210" s="1100">
        <v>72</v>
      </c>
      <c r="F210" s="1101">
        <v>144</v>
      </c>
      <c r="G210" s="1209">
        <v>144</v>
      </c>
      <c r="H210" s="1101">
        <v>144</v>
      </c>
      <c r="I210" s="1101">
        <v>144</v>
      </c>
      <c r="J210" s="1209">
        <v>144</v>
      </c>
      <c r="K210" s="1209">
        <v>144</v>
      </c>
      <c r="L210" s="1101">
        <v>144</v>
      </c>
      <c r="M210" s="1101">
        <v>144</v>
      </c>
      <c r="N210" s="1101">
        <v>144</v>
      </c>
      <c r="O210" s="1101">
        <v>144</v>
      </c>
      <c r="P210" s="1101">
        <v>144</v>
      </c>
      <c r="Q210" s="1209">
        <v>144</v>
      </c>
      <c r="R210" s="1209">
        <v>144</v>
      </c>
      <c r="S210" s="1101">
        <v>144</v>
      </c>
      <c r="T210" s="1101">
        <v>144</v>
      </c>
      <c r="U210" s="1101">
        <v>144</v>
      </c>
      <c r="V210" s="1101">
        <v>72</v>
      </c>
      <c r="W210" s="1101">
        <v>0</v>
      </c>
      <c r="X210" s="1209">
        <v>0</v>
      </c>
      <c r="Y210" s="1209">
        <v>0</v>
      </c>
      <c r="Z210" s="1101">
        <v>0</v>
      </c>
      <c r="AA210" s="1101">
        <v>0</v>
      </c>
      <c r="AB210" s="1101"/>
      <c r="AC210" s="1101"/>
      <c r="AD210" s="1101"/>
      <c r="AE210" s="1209"/>
      <c r="AF210" s="1209"/>
      <c r="AG210" s="1101"/>
      <c r="AH210" s="1101"/>
      <c r="AI210" s="1332"/>
      <c r="AJ210" s="68">
        <f>SUM(E210:AI210)</f>
        <v>2448</v>
      </c>
      <c r="AK210" s="68"/>
      <c r="AL210" s="69">
        <f>+AJ210*AN205</f>
        <v>10072.907999999999</v>
      </c>
      <c r="AM210" s="937"/>
      <c r="AN210" s="277"/>
      <c r="AO210" s="679"/>
      <c r="AP210" s="39" t="s">
        <v>19</v>
      </c>
      <c r="AQ210" s="56">
        <f>AQ209*AN205</f>
        <v>493.77</v>
      </c>
      <c r="AR210" s="56">
        <f>AR209*AN205</f>
        <v>0</v>
      </c>
      <c r="AS210" s="56">
        <f>AS209*AN205</f>
        <v>4345.1759999999995</v>
      </c>
      <c r="AT210" s="56">
        <f>AT209*AN205</f>
        <v>5546.683</v>
      </c>
      <c r="AU210" s="56">
        <f>AU209*AN205</f>
        <v>0</v>
      </c>
      <c r="AV210" s="57">
        <f t="shared" si="460"/>
        <v>10385.629000000001</v>
      </c>
    </row>
    <row r="211" spans="1:48" s="23" customFormat="1" ht="20.65" customHeight="1">
      <c r="A211" s="270"/>
      <c r="B211" s="89"/>
      <c r="C211" s="306" t="s">
        <v>387</v>
      </c>
      <c r="D211" s="73" t="s">
        <v>105</v>
      </c>
      <c r="E211" s="1102">
        <v>32</v>
      </c>
      <c r="F211" s="1103">
        <v>80</v>
      </c>
      <c r="G211" s="1210">
        <v>96</v>
      </c>
      <c r="H211" s="1103">
        <v>96</v>
      </c>
      <c r="I211" s="1103">
        <v>80</v>
      </c>
      <c r="J211" s="1210">
        <v>96</v>
      </c>
      <c r="K211" s="1210">
        <v>96</v>
      </c>
      <c r="L211" s="1103">
        <v>80</v>
      </c>
      <c r="M211" s="1103">
        <v>80</v>
      </c>
      <c r="N211" s="1103">
        <v>96</v>
      </c>
      <c r="O211" s="1103">
        <v>96</v>
      </c>
      <c r="P211" s="1103">
        <v>88</v>
      </c>
      <c r="Q211" s="1210">
        <v>96</v>
      </c>
      <c r="R211" s="1210">
        <v>96</v>
      </c>
      <c r="S211" s="1103">
        <v>80</v>
      </c>
      <c r="T211" s="1103">
        <v>80</v>
      </c>
      <c r="U211" s="1103">
        <v>80</v>
      </c>
      <c r="V211" s="1103">
        <v>32</v>
      </c>
      <c r="W211" s="1103">
        <v>0</v>
      </c>
      <c r="X211" s="1210">
        <v>0</v>
      </c>
      <c r="Y211" s="1210">
        <v>0</v>
      </c>
      <c r="Z211" s="1103">
        <v>0</v>
      </c>
      <c r="AA211" s="1103">
        <v>0</v>
      </c>
      <c r="AB211" s="1103"/>
      <c r="AC211" s="1103"/>
      <c r="AD211" s="1103"/>
      <c r="AE211" s="1210"/>
      <c r="AF211" s="1210"/>
      <c r="AG211" s="1103"/>
      <c r="AH211" s="1103"/>
      <c r="AI211" s="1352"/>
      <c r="AJ211" s="74">
        <f>SUM(E211:AI211)</f>
        <v>1480</v>
      </c>
      <c r="AK211" s="74"/>
      <c r="AL211" s="75">
        <f>+AJ211*AN205</f>
        <v>6089.83</v>
      </c>
      <c r="AM211" s="938"/>
      <c r="AN211" s="91"/>
      <c r="AO211" s="630"/>
      <c r="AP211" s="47" t="s">
        <v>106</v>
      </c>
      <c r="AQ211" s="48">
        <f>AQ207*AN205</f>
        <v>182497.39199999999</v>
      </c>
      <c r="AR211" s="48">
        <f>AR207*AN205</f>
        <v>373290.12</v>
      </c>
      <c r="AS211" s="48">
        <f>AS207*AN205</f>
        <v>329739.60599999997</v>
      </c>
      <c r="AT211" s="48">
        <f>AT207*AN205</f>
        <v>0</v>
      </c>
      <c r="AU211" s="48">
        <f>AU207*AN205</f>
        <v>0</v>
      </c>
      <c r="AV211" s="50">
        <f t="shared" si="460"/>
        <v>885527.11800000002</v>
      </c>
    </row>
    <row r="212" spans="1:48" s="23" customFormat="1" ht="20.65" customHeight="1">
      <c r="A212" s="296"/>
      <c r="B212" s="89"/>
      <c r="C212" s="307"/>
      <c r="D212" s="78" t="s">
        <v>107</v>
      </c>
      <c r="E212" s="1137">
        <v>4</v>
      </c>
      <c r="F212" s="1097">
        <v>4</v>
      </c>
      <c r="G212" s="1205">
        <v>4</v>
      </c>
      <c r="H212" s="1097">
        <v>4</v>
      </c>
      <c r="I212" s="1097">
        <v>4</v>
      </c>
      <c r="J212" s="1205">
        <v>4</v>
      </c>
      <c r="K212" s="1205">
        <v>4</v>
      </c>
      <c r="L212" s="1097">
        <v>4</v>
      </c>
      <c r="M212" s="1097">
        <v>4</v>
      </c>
      <c r="N212" s="1097">
        <v>4</v>
      </c>
      <c r="O212" s="1097">
        <v>4</v>
      </c>
      <c r="P212" s="1097">
        <v>4</v>
      </c>
      <c r="Q212" s="1205">
        <v>4</v>
      </c>
      <c r="R212" s="1205">
        <v>4</v>
      </c>
      <c r="S212" s="1097">
        <v>4</v>
      </c>
      <c r="T212" s="1097">
        <v>4</v>
      </c>
      <c r="U212" s="1097">
        <v>4</v>
      </c>
      <c r="V212" s="1097">
        <v>4</v>
      </c>
      <c r="W212" s="1097">
        <v>4</v>
      </c>
      <c r="X212" s="1205">
        <v>4</v>
      </c>
      <c r="Y212" s="1205">
        <v>4</v>
      </c>
      <c r="Z212" s="1097">
        <v>4</v>
      </c>
      <c r="AA212" s="1097">
        <v>4</v>
      </c>
      <c r="AB212" s="1097">
        <v>4</v>
      </c>
      <c r="AC212" s="1097">
        <v>4</v>
      </c>
      <c r="AD212" s="1097">
        <v>4</v>
      </c>
      <c r="AE212" s="1205">
        <v>4</v>
      </c>
      <c r="AF212" s="1205">
        <v>4</v>
      </c>
      <c r="AG212" s="1097">
        <v>4</v>
      </c>
      <c r="AH212" s="1097">
        <v>4</v>
      </c>
      <c r="AI212" s="1328">
        <v>4</v>
      </c>
      <c r="AJ212" s="79"/>
      <c r="AK212" s="79"/>
      <c r="AL212" s="69"/>
      <c r="AM212" s="937"/>
      <c r="AN212" s="277"/>
      <c r="AO212" s="679"/>
      <c r="AP212" s="391"/>
      <c r="AQ212" s="48"/>
      <c r="AR212" s="48"/>
      <c r="AS212" s="48"/>
      <c r="AT212" s="48"/>
      <c r="AU212" s="48"/>
      <c r="AV212" s="4"/>
    </row>
    <row r="213" spans="1:48" s="23" customFormat="1" ht="20.65" customHeight="1">
      <c r="A213" s="296"/>
      <c r="B213" s="89"/>
      <c r="C213" s="305"/>
      <c r="D213" s="81" t="s">
        <v>109</v>
      </c>
      <c r="E213" s="1125">
        <f>SUM(E207+E209+E210+E211)/E212</f>
        <v>1820</v>
      </c>
      <c r="F213" s="1126">
        <f>SUM(F207+F209+F210+F211)/F212</f>
        <v>3332</v>
      </c>
      <c r="G213" s="1235">
        <f>SUM(G207+G209+G210+G211)/G212</f>
        <v>3084</v>
      </c>
      <c r="H213" s="1126">
        <f t="shared" ref="H213:AH213" si="462">SUM(H207+H209+H210+H211)/H212</f>
        <v>3084</v>
      </c>
      <c r="I213" s="1126">
        <f t="shared" si="462"/>
        <v>3332</v>
      </c>
      <c r="J213" s="1235">
        <f t="shared" si="462"/>
        <v>3336</v>
      </c>
      <c r="K213" s="1235">
        <f t="shared" si="462"/>
        <v>3084</v>
      </c>
      <c r="L213" s="1126">
        <f t="shared" si="462"/>
        <v>3332</v>
      </c>
      <c r="M213" s="1126">
        <f t="shared" si="462"/>
        <v>3332</v>
      </c>
      <c r="N213" s="1126">
        <f t="shared" si="462"/>
        <v>3336</v>
      </c>
      <c r="O213" s="1126">
        <f t="shared" si="462"/>
        <v>3336</v>
      </c>
      <c r="P213" s="1126">
        <f t="shared" si="462"/>
        <v>2692</v>
      </c>
      <c r="Q213" s="1235">
        <f t="shared" si="462"/>
        <v>3336</v>
      </c>
      <c r="R213" s="1235">
        <f t="shared" si="462"/>
        <v>3114</v>
      </c>
      <c r="S213" s="1126">
        <f t="shared" si="462"/>
        <v>3332</v>
      </c>
      <c r="T213" s="1126">
        <f t="shared" si="462"/>
        <v>3140</v>
      </c>
      <c r="U213" s="1126">
        <f t="shared" si="462"/>
        <v>3500</v>
      </c>
      <c r="V213" s="1126">
        <f t="shared" si="462"/>
        <v>1556</v>
      </c>
      <c r="W213" s="1126">
        <f t="shared" si="462"/>
        <v>70</v>
      </c>
      <c r="X213" s="1235">
        <f t="shared" si="462"/>
        <v>0</v>
      </c>
      <c r="Y213" s="1235">
        <f t="shared" si="462"/>
        <v>0</v>
      </c>
      <c r="Z213" s="1126">
        <f t="shared" si="462"/>
        <v>65</v>
      </c>
      <c r="AA213" s="1126">
        <f t="shared" si="462"/>
        <v>202</v>
      </c>
      <c r="AB213" s="1126">
        <f t="shared" si="462"/>
        <v>0</v>
      </c>
      <c r="AC213" s="1126">
        <f t="shared" si="462"/>
        <v>0</v>
      </c>
      <c r="AD213" s="1126">
        <f t="shared" si="462"/>
        <v>0</v>
      </c>
      <c r="AE213" s="1235">
        <f t="shared" si="462"/>
        <v>0</v>
      </c>
      <c r="AF213" s="1235">
        <f t="shared" si="462"/>
        <v>0</v>
      </c>
      <c r="AG213" s="1126">
        <f t="shared" si="462"/>
        <v>0</v>
      </c>
      <c r="AH213" s="1126">
        <f t="shared" si="462"/>
        <v>0</v>
      </c>
      <c r="AI213" s="1335">
        <f>SUM(AI207+AI209+AI210+AI211)/AI212</f>
        <v>0</v>
      </c>
      <c r="AJ213" s="515">
        <f>SUM(E213:AI213)</f>
        <v>55415</v>
      </c>
      <c r="AK213" s="515"/>
      <c r="AL213" s="689"/>
      <c r="AM213" s="940"/>
      <c r="AN213" s="277"/>
      <c r="AO213" s="679"/>
      <c r="AP213" s="285"/>
      <c r="AQ213" s="285"/>
      <c r="AR213" s="285"/>
      <c r="AS213" s="285"/>
      <c r="AT213" s="286"/>
      <c r="AU213" s="285"/>
      <c r="AV213" s="287"/>
    </row>
    <row r="214" spans="1:48" s="23" customFormat="1" ht="20.65" customHeight="1">
      <c r="A214" s="296"/>
      <c r="B214" s="89" t="s">
        <v>548</v>
      </c>
      <c r="C214" s="72"/>
      <c r="D214" s="85" t="s">
        <v>110</v>
      </c>
      <c r="E214" s="1336"/>
      <c r="F214" s="1106"/>
      <c r="G214" s="1211"/>
      <c r="H214" s="1104"/>
      <c r="I214" s="1104"/>
      <c r="J214" s="1211"/>
      <c r="K214" s="1211"/>
      <c r="L214" s="1104"/>
      <c r="M214" s="1104"/>
      <c r="N214" s="1104"/>
      <c r="O214" s="1104"/>
      <c r="P214" s="1104"/>
      <c r="Q214" s="1228"/>
      <c r="R214" s="1211"/>
      <c r="S214" s="1107"/>
      <c r="T214" s="1104"/>
      <c r="U214" s="1104"/>
      <c r="V214" s="1107"/>
      <c r="W214" s="1104" t="s">
        <v>534</v>
      </c>
      <c r="X214" s="1211"/>
      <c r="Y214" s="1211"/>
      <c r="Z214" s="1104"/>
      <c r="AA214" s="1104"/>
      <c r="AB214" s="1107"/>
      <c r="AC214" s="1107"/>
      <c r="AD214" s="1104"/>
      <c r="AE214" s="1211"/>
      <c r="AF214" s="1228"/>
      <c r="AG214" s="1104"/>
      <c r="AH214" s="1104"/>
      <c r="AI214" s="1353"/>
      <c r="AJ214" s="86"/>
      <c r="AK214" s="86"/>
      <c r="AL214" s="690"/>
      <c r="AM214" s="940"/>
      <c r="AN214" s="277"/>
      <c r="AO214" s="679"/>
      <c r="AP214" s="285"/>
      <c r="AQ214" s="285"/>
      <c r="AR214" s="285"/>
      <c r="AS214" s="285"/>
      <c r="AT214" s="286"/>
      <c r="AU214" s="285"/>
      <c r="AV214" s="287"/>
    </row>
    <row r="215" spans="1:48" s="23" customFormat="1" ht="20.65" customHeight="1">
      <c r="A215" s="296"/>
      <c r="B215" s="89"/>
      <c r="C215" s="72" t="s">
        <v>104</v>
      </c>
      <c r="D215" s="88" t="s">
        <v>111</v>
      </c>
      <c r="E215" s="1108">
        <f>IF(E214="O/H",E213,12955+E213)</f>
        <v>14775</v>
      </c>
      <c r="F215" s="1089">
        <f t="shared" ref="F215:AI215" si="463">IF(F214="O/H",F213,+E215+F213)</f>
        <v>18107</v>
      </c>
      <c r="G215" s="44">
        <f t="shared" si="463"/>
        <v>21191</v>
      </c>
      <c r="H215" s="1089">
        <f t="shared" ref="H215" si="464">IF(H214="O/H",H213,+G215+H213)</f>
        <v>24275</v>
      </c>
      <c r="I215" s="1089">
        <f t="shared" ref="I215" si="465">IF(I214="O/H",I213,+H215+I213)</f>
        <v>27607</v>
      </c>
      <c r="J215" s="44">
        <f t="shared" ref="J215" si="466">IF(J214="O/H",J213,+I215+J213)</f>
        <v>30943</v>
      </c>
      <c r="K215" s="44">
        <f t="shared" ref="K215" si="467">IF(K214="O/H",K213,+J215+K213)</f>
        <v>34027</v>
      </c>
      <c r="L215" s="1089">
        <f t="shared" ref="L215" si="468">IF(L214="O/H",L213,+K215+L213)</f>
        <v>37359</v>
      </c>
      <c r="M215" s="1089">
        <f t="shared" si="463"/>
        <v>40691</v>
      </c>
      <c r="N215" s="1089">
        <f t="shared" si="463"/>
        <v>44027</v>
      </c>
      <c r="O215" s="1089">
        <f t="shared" si="463"/>
        <v>47363</v>
      </c>
      <c r="P215" s="1089">
        <f t="shared" si="463"/>
        <v>50055</v>
      </c>
      <c r="Q215" s="44">
        <f t="shared" si="463"/>
        <v>53391</v>
      </c>
      <c r="R215" s="44">
        <f t="shared" si="463"/>
        <v>56505</v>
      </c>
      <c r="S215" s="1089">
        <f t="shared" si="463"/>
        <v>59837</v>
      </c>
      <c r="T215" s="1089">
        <f t="shared" si="463"/>
        <v>62977</v>
      </c>
      <c r="U215" s="1089">
        <f t="shared" si="463"/>
        <v>66477</v>
      </c>
      <c r="V215" s="1089">
        <f t="shared" si="463"/>
        <v>68033</v>
      </c>
      <c r="W215" s="1089">
        <f t="shared" si="463"/>
        <v>70</v>
      </c>
      <c r="X215" s="44">
        <f t="shared" si="463"/>
        <v>70</v>
      </c>
      <c r="Y215" s="44">
        <f t="shared" si="463"/>
        <v>70</v>
      </c>
      <c r="Z215" s="1089">
        <f t="shared" si="463"/>
        <v>135</v>
      </c>
      <c r="AA215" s="1089">
        <f t="shared" si="463"/>
        <v>337</v>
      </c>
      <c r="AB215" s="1089">
        <f t="shared" si="463"/>
        <v>337</v>
      </c>
      <c r="AC215" s="1089">
        <f t="shared" si="463"/>
        <v>337</v>
      </c>
      <c r="AD215" s="1089">
        <f t="shared" si="463"/>
        <v>337</v>
      </c>
      <c r="AE215" s="44">
        <f t="shared" si="463"/>
        <v>337</v>
      </c>
      <c r="AF215" s="44">
        <f t="shared" si="463"/>
        <v>337</v>
      </c>
      <c r="AG215" s="1089">
        <f t="shared" si="463"/>
        <v>337</v>
      </c>
      <c r="AH215" s="1089">
        <f t="shared" si="463"/>
        <v>337</v>
      </c>
      <c r="AI215" s="1326">
        <f t="shared" si="463"/>
        <v>337</v>
      </c>
      <c r="AJ215" s="79"/>
      <c r="AK215" s="79"/>
      <c r="AL215" s="690"/>
      <c r="AM215" s="940"/>
      <c r="AN215" s="277"/>
      <c r="AO215" s="679"/>
      <c r="AP215" s="285"/>
      <c r="AQ215" s="285"/>
      <c r="AR215" s="285"/>
      <c r="AS215" s="285"/>
      <c r="AT215" s="286"/>
      <c r="AU215" s="285"/>
      <c r="AV215" s="287"/>
    </row>
    <row r="216" spans="1:48" s="23" customFormat="1" ht="20.45" customHeight="1">
      <c r="A216" s="312"/>
      <c r="B216" s="312"/>
      <c r="C216" s="308">
        <v>300000</v>
      </c>
      <c r="D216" s="795" t="s">
        <v>112</v>
      </c>
      <c r="E216" s="1117">
        <f>IF(AND(ISNUMBER(E207)),1907975+E213)</f>
        <v>1909795</v>
      </c>
      <c r="F216" s="1118">
        <f>IF(AND(ISNUMBER(F207)),E216+F213,"")</f>
        <v>1913127</v>
      </c>
      <c r="G216" s="1216">
        <f t="shared" ref="G216" si="469">IF(AND(ISNUMBER(G207)),F216+G213,"")</f>
        <v>1916211</v>
      </c>
      <c r="H216" s="1118">
        <f t="shared" ref="H216" si="470">IF(AND(ISNUMBER(H207)),G216+H213,"")</f>
        <v>1919295</v>
      </c>
      <c r="I216" s="1118">
        <f>IF(AND(ISNUMBER(I207)),H216+I213,"")</f>
        <v>1922627</v>
      </c>
      <c r="J216" s="1216">
        <f>IF(AND(ISNUMBER(J207)),I216+J213,"")</f>
        <v>1925963</v>
      </c>
      <c r="K216" s="1216">
        <f>IF(AND(ISNUMBER(K207)),J216+K213,"")</f>
        <v>1929047</v>
      </c>
      <c r="L216" s="1118">
        <f t="shared" ref="L216" si="471">IF(AND(ISNUMBER(L207)),K216+L213,"")</f>
        <v>1932379</v>
      </c>
      <c r="M216" s="1118">
        <f t="shared" ref="M216" si="472">IF(AND(ISNUMBER(M207)),L216+M213,"")</f>
        <v>1935711</v>
      </c>
      <c r="N216" s="1118">
        <f t="shared" ref="N216" si="473">IF(AND(ISNUMBER(N207)),M216+N213,"")</f>
        <v>1939047</v>
      </c>
      <c r="O216" s="1118">
        <f t="shared" ref="O216" si="474">IF(AND(ISNUMBER(O207)),N216+O213,"")</f>
        <v>1942383</v>
      </c>
      <c r="P216" s="1118">
        <f t="shared" ref="P216" si="475">IF(AND(ISNUMBER(P207)),O216+P213,"")</f>
        <v>1945075</v>
      </c>
      <c r="Q216" s="1216">
        <f t="shared" ref="Q216" si="476">IF(AND(ISNUMBER(Q207)),P216+Q213,"")</f>
        <v>1948411</v>
      </c>
      <c r="R216" s="1216">
        <f t="shared" ref="R216" si="477">IF(AND(ISNUMBER(R207)),Q216+R213,"")</f>
        <v>1951525</v>
      </c>
      <c r="S216" s="1118">
        <f t="shared" ref="S216" si="478">IF(AND(ISNUMBER(S207)),R216+S213,"")</f>
        <v>1954857</v>
      </c>
      <c r="T216" s="1118">
        <f t="shared" ref="T216" si="479">IF(AND(ISNUMBER(T207)),S216+T213,"")</f>
        <v>1957997</v>
      </c>
      <c r="U216" s="1118">
        <f t="shared" ref="U216" si="480">IF(AND(ISNUMBER(U207)),T216+U213,"")</f>
        <v>1961497</v>
      </c>
      <c r="V216" s="1118">
        <f t="shared" ref="V216" si="481">IF(AND(ISNUMBER(V207)),U216+V213,"")</f>
        <v>1963053</v>
      </c>
      <c r="W216" s="1118">
        <f t="shared" ref="W216" si="482">IF(AND(ISNUMBER(W207)),V216+W213,"")</f>
        <v>1963123</v>
      </c>
      <c r="X216" s="1216">
        <f t="shared" ref="X216" si="483">IF(AND(ISNUMBER(X207)),W216+X213,"")</f>
        <v>1963123</v>
      </c>
      <c r="Y216" s="1216">
        <f t="shared" ref="Y216" si="484">IF(AND(ISNUMBER(Y207)),X216+Y213,"")</f>
        <v>1963123</v>
      </c>
      <c r="Z216" s="1118">
        <f t="shared" ref="Z216" si="485">IF(AND(ISNUMBER(Z207)),Y216+Z213,"")</f>
        <v>1963188</v>
      </c>
      <c r="AA216" s="1118">
        <f t="shared" ref="AA216" si="486">IF(AND(ISNUMBER(AA207)),Z216+AA213,"")</f>
        <v>1963390</v>
      </c>
      <c r="AB216" s="1118" t="str">
        <f t="shared" ref="AB216" si="487">IF(AND(ISNUMBER(AB207)),AA216+AB213,"")</f>
        <v/>
      </c>
      <c r="AC216" s="1118" t="str">
        <f t="shared" ref="AC216" si="488">IF(AND(ISNUMBER(AC207)),AB216+AC213,"")</f>
        <v/>
      </c>
      <c r="AD216" s="1118" t="str">
        <f t="shared" ref="AD216" si="489">IF(AND(ISNUMBER(AD207)),AC216+AD213,"")</f>
        <v/>
      </c>
      <c r="AE216" s="1216" t="str">
        <f t="shared" ref="AE216" si="490">IF(AND(ISNUMBER(AE207)),AD216+AE213,"")</f>
        <v/>
      </c>
      <c r="AF216" s="1216" t="str">
        <f t="shared" ref="AF216" si="491">IF(AND(ISNUMBER(AF207)),AE216+AF213,"")</f>
        <v/>
      </c>
      <c r="AG216" s="1118" t="str">
        <f t="shared" ref="AG216" si="492">IF(AND(ISNUMBER(AG207)),AF216+AG213,"")</f>
        <v/>
      </c>
      <c r="AH216" s="1118" t="str">
        <f t="shared" ref="AH216" si="493">IF(AND(ISNUMBER(AH207)),AG216+AH213,"")</f>
        <v/>
      </c>
      <c r="AI216" s="1089" t="str">
        <f t="shared" ref="AI216" si="494">IF(AND(ISNUMBER(AI207)),AH216+AI213,"")</f>
        <v/>
      </c>
      <c r="AJ216" s="793"/>
      <c r="AK216" s="793"/>
      <c r="AL216" s="909"/>
      <c r="AM216" s="794"/>
      <c r="AN216" s="429"/>
      <c r="AO216" s="675"/>
      <c r="AP216" s="285"/>
      <c r="AQ216" s="285"/>
      <c r="AR216" s="285"/>
      <c r="AS216" s="285"/>
      <c r="AT216" s="286"/>
      <c r="AU216" s="285"/>
      <c r="AV216" s="287"/>
    </row>
    <row r="217" spans="1:48" s="23" customFormat="1" ht="20.45" customHeight="1">
      <c r="A217" s="296"/>
      <c r="B217" s="89"/>
      <c r="C217" s="80" t="s">
        <v>108</v>
      </c>
      <c r="D217" s="90" t="s">
        <v>104</v>
      </c>
      <c r="E217" s="1338"/>
      <c r="F217" s="1106"/>
      <c r="G217" s="1253"/>
      <c r="H217" s="1106"/>
      <c r="I217" s="1106"/>
      <c r="J217" s="1253"/>
      <c r="K217" s="1253"/>
      <c r="L217" s="1106"/>
      <c r="M217" s="1106"/>
      <c r="N217" s="1106"/>
      <c r="O217" s="1106"/>
      <c r="P217" s="1106"/>
      <c r="Q217" s="1253"/>
      <c r="R217" s="1253"/>
      <c r="S217" s="1106"/>
      <c r="T217" s="1106"/>
      <c r="U217" s="1106"/>
      <c r="V217" s="1106"/>
      <c r="W217" s="1106"/>
      <c r="X217" s="1253"/>
      <c r="Y217" s="1253"/>
      <c r="Z217" s="1106"/>
      <c r="AA217" s="1106"/>
      <c r="AB217" s="1106"/>
      <c r="AC217" s="1106"/>
      <c r="AD217" s="1106"/>
      <c r="AE217" s="1253"/>
      <c r="AF217" s="1253"/>
      <c r="AG217" s="1106"/>
      <c r="AH217" s="1106"/>
      <c r="AI217" s="1339"/>
      <c r="AJ217" s="79"/>
      <c r="AK217" s="79"/>
      <c r="AL217" s="690"/>
      <c r="AM217" s="940"/>
      <c r="AN217" s="301"/>
      <c r="AO217" s="680"/>
      <c r="AP217" s="285"/>
      <c r="AQ217" s="285"/>
      <c r="AR217" s="285"/>
      <c r="AS217" s="285"/>
      <c r="AT217" s="286"/>
      <c r="AU217" s="285"/>
      <c r="AV217" s="287"/>
    </row>
    <row r="218" spans="1:48" s="23" customFormat="1" ht="20.45" customHeight="1" thickBot="1">
      <c r="A218" s="310"/>
      <c r="B218" s="93"/>
      <c r="C218" s="94">
        <f>+C216*0.8</f>
        <v>240000</v>
      </c>
      <c r="D218" s="88" t="s">
        <v>111</v>
      </c>
      <c r="E218" s="1109">
        <f>IF(E217="O/H",E213,311241+E213)</f>
        <v>313061</v>
      </c>
      <c r="F218" s="1110">
        <f t="shared" ref="F218:AF218" si="495">IF(F217="O/H",F213,+E218+F213)</f>
        <v>316393</v>
      </c>
      <c r="G218" s="1212">
        <f t="shared" si="495"/>
        <v>319477</v>
      </c>
      <c r="H218" s="1110">
        <f t="shared" si="495"/>
        <v>322561</v>
      </c>
      <c r="I218" s="1110">
        <f t="shared" si="495"/>
        <v>325893</v>
      </c>
      <c r="J218" s="1212">
        <f t="shared" si="495"/>
        <v>329229</v>
      </c>
      <c r="K218" s="1212">
        <f t="shared" si="495"/>
        <v>332313</v>
      </c>
      <c r="L218" s="1110">
        <f t="shared" si="495"/>
        <v>335645</v>
      </c>
      <c r="M218" s="1110">
        <f t="shared" si="495"/>
        <v>338977</v>
      </c>
      <c r="N218" s="1110">
        <f t="shared" si="495"/>
        <v>342313</v>
      </c>
      <c r="O218" s="1110">
        <f t="shared" si="495"/>
        <v>345649</v>
      </c>
      <c r="P218" s="1110">
        <f t="shared" si="495"/>
        <v>348341</v>
      </c>
      <c r="Q218" s="1212">
        <f t="shared" si="495"/>
        <v>351677</v>
      </c>
      <c r="R218" s="1212">
        <f t="shared" si="495"/>
        <v>354791</v>
      </c>
      <c r="S218" s="1110">
        <f t="shared" si="495"/>
        <v>358123</v>
      </c>
      <c r="T218" s="1110">
        <f t="shared" si="495"/>
        <v>361263</v>
      </c>
      <c r="U218" s="1110">
        <f t="shared" si="495"/>
        <v>364763</v>
      </c>
      <c r="V218" s="1110">
        <f t="shared" si="495"/>
        <v>366319</v>
      </c>
      <c r="W218" s="1110">
        <f t="shared" si="495"/>
        <v>366389</v>
      </c>
      <c r="X218" s="1212">
        <f t="shared" si="495"/>
        <v>366389</v>
      </c>
      <c r="Y218" s="1212">
        <f t="shared" si="495"/>
        <v>366389</v>
      </c>
      <c r="Z218" s="1110">
        <f t="shared" si="495"/>
        <v>366454</v>
      </c>
      <c r="AA218" s="1110">
        <f t="shared" si="495"/>
        <v>366656</v>
      </c>
      <c r="AB218" s="1110">
        <f t="shared" si="495"/>
        <v>366656</v>
      </c>
      <c r="AC218" s="1110">
        <f t="shared" si="495"/>
        <v>366656</v>
      </c>
      <c r="AD218" s="1110">
        <f t="shared" si="495"/>
        <v>366656</v>
      </c>
      <c r="AE218" s="1212">
        <f t="shared" si="495"/>
        <v>366656</v>
      </c>
      <c r="AF218" s="1212">
        <f t="shared" si="495"/>
        <v>366656</v>
      </c>
      <c r="AG218" s="1110">
        <f t="shared" ref="AG218" si="496">IF(AG217="O/H",AG213,+AF218+AG213)</f>
        <v>366656</v>
      </c>
      <c r="AH218" s="1110">
        <f t="shared" ref="AH218" si="497">IF(AH217="O/H",AH213,+AG218+AH213)</f>
        <v>366656</v>
      </c>
      <c r="AI218" s="1110">
        <f t="shared" ref="AI218" si="498">IF(AI217="O/H",AI213,+AH218+AI213)</f>
        <v>366656</v>
      </c>
      <c r="AJ218" s="96"/>
      <c r="AK218" s="723"/>
      <c r="AL218" s="695"/>
      <c r="AM218" s="961"/>
      <c r="AN218" s="292"/>
      <c r="AO218" s="681"/>
      <c r="AP218" s="285"/>
      <c r="AQ218" s="285"/>
      <c r="AR218" s="285"/>
      <c r="AS218" s="285"/>
      <c r="AT218" s="286"/>
      <c r="AU218" s="285"/>
      <c r="AV218" s="287"/>
    </row>
    <row r="219" spans="1:48" s="23" customFormat="1" ht="20.65" hidden="1" customHeight="1" thickTop="1">
      <c r="A219" s="556" t="s">
        <v>706</v>
      </c>
      <c r="B219" s="219" t="s">
        <v>679</v>
      </c>
      <c r="C219" s="1493" t="str">
        <f>Table2[[#This Row],[M/C No.]]</f>
        <v>H8(50ton)</v>
      </c>
      <c r="D219" s="28" t="s">
        <v>82</v>
      </c>
      <c r="E219" s="1124"/>
      <c r="F219" s="1124"/>
      <c r="G219" s="1242"/>
      <c r="H219" s="1124"/>
      <c r="I219" s="1124"/>
      <c r="J219" s="1242"/>
      <c r="K219" s="1242"/>
      <c r="L219" s="1124"/>
      <c r="M219" s="1124"/>
      <c r="N219" s="1124"/>
      <c r="O219" s="1124"/>
      <c r="P219" s="1124"/>
      <c r="Q219" s="1242"/>
      <c r="R219" s="1242"/>
      <c r="S219" s="1124"/>
      <c r="T219" s="1124"/>
      <c r="U219" s="1124"/>
      <c r="V219" s="1124"/>
      <c r="W219" s="1124"/>
      <c r="X219" s="1242"/>
      <c r="Y219" s="1242"/>
      <c r="Z219" s="1124"/>
      <c r="AA219" s="1124"/>
      <c r="AB219" s="1124"/>
      <c r="AC219" s="1124"/>
      <c r="AD219" s="1124"/>
      <c r="AE219" s="1242"/>
      <c r="AF219" s="1242"/>
      <c r="AG219" s="1124"/>
      <c r="AH219" s="1124"/>
      <c r="AI219" s="1350"/>
      <c r="AJ219" s="100">
        <f>SUM(E219:AI219)</f>
        <v>0</v>
      </c>
      <c r="AK219" s="1000">
        <f>AJ221</f>
        <v>0</v>
      </c>
      <c r="AL219" s="101">
        <f>+AJ219*AN219</f>
        <v>0</v>
      </c>
      <c r="AM219" s="1019">
        <f>AL221</f>
        <v>0</v>
      </c>
      <c r="AN219" s="273">
        <v>3.6148899999999999</v>
      </c>
      <c r="AO219" s="633">
        <f>Table2[[#This Row],[Total]]*B223/1000</f>
        <v>0</v>
      </c>
      <c r="AP219" s="32" t="s">
        <v>399</v>
      </c>
      <c r="AQ219" s="33" t="s">
        <v>84</v>
      </c>
      <c r="AR219" s="33" t="s">
        <v>85</v>
      </c>
      <c r="AS219" s="33" t="s">
        <v>86</v>
      </c>
      <c r="AT219" s="33" t="s">
        <v>87</v>
      </c>
      <c r="AU219" s="33" t="s">
        <v>88</v>
      </c>
      <c r="AV219" s="34" t="s">
        <v>68</v>
      </c>
    </row>
    <row r="220" spans="1:48" s="23" customFormat="1" ht="20.25" hidden="1" customHeight="1">
      <c r="A220" s="555"/>
      <c r="B220" s="219" t="s">
        <v>400</v>
      </c>
      <c r="C220" s="275"/>
      <c r="D220" s="37" t="s">
        <v>90</v>
      </c>
      <c r="E220" s="1323">
        <f>IF(E219="",0,+ E219/E226)</f>
        <v>0</v>
      </c>
      <c r="F220" s="1096">
        <f t="shared" ref="F220:AC220" si="499">IF(F219="",0, E220+F219/F226)</f>
        <v>0</v>
      </c>
      <c r="G220" s="1207">
        <f t="shared" si="499"/>
        <v>0</v>
      </c>
      <c r="H220" s="1096">
        <f t="shared" si="499"/>
        <v>0</v>
      </c>
      <c r="I220" s="1096">
        <f t="shared" si="499"/>
        <v>0</v>
      </c>
      <c r="J220" s="1207">
        <f t="shared" si="499"/>
        <v>0</v>
      </c>
      <c r="K220" s="1207">
        <f t="shared" si="499"/>
        <v>0</v>
      </c>
      <c r="L220" s="1096">
        <f t="shared" si="499"/>
        <v>0</v>
      </c>
      <c r="M220" s="1096">
        <f t="shared" si="499"/>
        <v>0</v>
      </c>
      <c r="N220" s="1096">
        <f t="shared" si="499"/>
        <v>0</v>
      </c>
      <c r="O220" s="1096">
        <f t="shared" si="499"/>
        <v>0</v>
      </c>
      <c r="P220" s="1096">
        <f t="shared" si="499"/>
        <v>0</v>
      </c>
      <c r="Q220" s="1207">
        <f t="shared" si="499"/>
        <v>0</v>
      </c>
      <c r="R220" s="1207">
        <f t="shared" si="499"/>
        <v>0</v>
      </c>
      <c r="S220" s="1096">
        <f t="shared" si="499"/>
        <v>0</v>
      </c>
      <c r="T220" s="1096">
        <f t="shared" si="499"/>
        <v>0</v>
      </c>
      <c r="U220" s="1096">
        <f t="shared" si="499"/>
        <v>0</v>
      </c>
      <c r="V220" s="1096">
        <f t="shared" si="499"/>
        <v>0</v>
      </c>
      <c r="W220" s="1096">
        <f t="shared" si="499"/>
        <v>0</v>
      </c>
      <c r="X220" s="1207">
        <f t="shared" si="499"/>
        <v>0</v>
      </c>
      <c r="Y220" s="1207">
        <f t="shared" si="499"/>
        <v>0</v>
      </c>
      <c r="Z220" s="1096">
        <f t="shared" si="499"/>
        <v>0</v>
      </c>
      <c r="AA220" s="1096">
        <f t="shared" si="499"/>
        <v>0</v>
      </c>
      <c r="AB220" s="1096">
        <f t="shared" si="499"/>
        <v>0</v>
      </c>
      <c r="AC220" s="1096">
        <f t="shared" si="499"/>
        <v>0</v>
      </c>
      <c r="AD220" s="1096">
        <f>IF(AD219="",0, Z220+AD219/AD226)</f>
        <v>0</v>
      </c>
      <c r="AE220" s="1207">
        <f>IF(AE219="",0, AA220+AE219/AE226)</f>
        <v>0</v>
      </c>
      <c r="AF220" s="1207">
        <f>IF(AF219="",0, AB220+AF219/AF226)</f>
        <v>0</v>
      </c>
      <c r="AG220" s="1096">
        <f>IF(AG219="",0, AC220+AG219/AG226)</f>
        <v>0</v>
      </c>
      <c r="AH220" s="1096">
        <f>IF(AH219="",0, AD220+AH219/AH226)</f>
        <v>0</v>
      </c>
      <c r="AI220" s="1324">
        <f>IF(AI219="",0, AH220+AI219/AI226)</f>
        <v>0</v>
      </c>
      <c r="AJ220" s="716"/>
      <c r="AK220" s="716"/>
      <c r="AL220" s="209"/>
      <c r="AM220" s="794"/>
      <c r="AN220" s="91"/>
      <c r="AO220" s="675"/>
      <c r="AP220" s="39" t="s">
        <v>91</v>
      </c>
      <c r="AQ220" s="40">
        <f>SUM(E219:K219)</f>
        <v>0</v>
      </c>
      <c r="AR220" s="41">
        <f>SUM(L219:R219)</f>
        <v>0</v>
      </c>
      <c r="AS220" s="41">
        <f>SUM(S219:Y219)</f>
        <v>0</v>
      </c>
      <c r="AT220" s="41">
        <f>SUM(Z219:AF219)</f>
        <v>0</v>
      </c>
      <c r="AU220" s="41">
        <f>SUM(AG219:AI219)</f>
        <v>0</v>
      </c>
      <c r="AV220" s="34">
        <f t="shared" ref="AV220:AV225" si="500">SUM(AQ220:AU220)</f>
        <v>0</v>
      </c>
    </row>
    <row r="221" spans="1:48" s="23" customFormat="1" ht="20.65" hidden="1" customHeight="1">
      <c r="A221" s="554" t="s">
        <v>401</v>
      </c>
      <c r="B221" s="89" t="s">
        <v>246</v>
      </c>
      <c r="C221" s="42"/>
      <c r="D221" s="43" t="s">
        <v>93</v>
      </c>
      <c r="E221" s="1325"/>
      <c r="F221" s="1089"/>
      <c r="G221" s="1243"/>
      <c r="H221" s="1119"/>
      <c r="I221" s="1119"/>
      <c r="J221" s="1243"/>
      <c r="K221" s="1243"/>
      <c r="L221" s="1119"/>
      <c r="M221" s="1119"/>
      <c r="N221" s="1119"/>
      <c r="O221" s="1119"/>
      <c r="P221" s="1119"/>
      <c r="Q221" s="1243"/>
      <c r="R221" s="1243"/>
      <c r="S221" s="1119"/>
      <c r="T221" s="1119"/>
      <c r="U221" s="1119"/>
      <c r="V221" s="1089"/>
      <c r="W221" s="1119"/>
      <c r="X221" s="1243"/>
      <c r="Y221" s="1243"/>
      <c r="Z221" s="1119"/>
      <c r="AA221" s="1119"/>
      <c r="AB221" s="1119"/>
      <c r="AC221" s="1119"/>
      <c r="AD221" s="1119"/>
      <c r="AE221" s="1243"/>
      <c r="AF221" s="1243"/>
      <c r="AG221" s="1119"/>
      <c r="AH221" s="1119"/>
      <c r="AI221" s="1351"/>
      <c r="AJ221" s="45">
        <f>SUM(E221:AI221)</f>
        <v>0</v>
      </c>
      <c r="AK221" s="45"/>
      <c r="AL221" s="46">
        <f>+AJ221*AN219</f>
        <v>0</v>
      </c>
      <c r="AM221" s="934"/>
      <c r="AN221" s="277"/>
      <c r="AO221" s="632">
        <f>(AJ221+AJ223+AJ224+AJ225)*B223/1000</f>
        <v>0</v>
      </c>
      <c r="AP221" s="47" t="s">
        <v>94</v>
      </c>
      <c r="AQ221" s="48">
        <f>SUM(E221:K221)</f>
        <v>0</v>
      </c>
      <c r="AR221" s="49">
        <f>SUM(L221:R221)</f>
        <v>0</v>
      </c>
      <c r="AS221" s="49">
        <f>SUM(S221:Y221)</f>
        <v>0</v>
      </c>
      <c r="AT221" s="49">
        <f>SUM(Z221:AF221)</f>
        <v>0</v>
      </c>
      <c r="AU221" s="49">
        <f>SUM(AG221:AI221)</f>
        <v>0</v>
      </c>
      <c r="AV221" s="50">
        <f t="shared" si="500"/>
        <v>0</v>
      </c>
    </row>
    <row r="222" spans="1:48" s="23" customFormat="1" ht="20.65" hidden="1" customHeight="1">
      <c r="A222" s="554" t="s">
        <v>401</v>
      </c>
      <c r="B222" s="638" t="s">
        <v>247</v>
      </c>
      <c r="C222" s="280"/>
      <c r="D222" s="53" t="s">
        <v>96</v>
      </c>
      <c r="E222" s="1327">
        <f t="shared" ref="E222" si="501">+E221-E219</f>
        <v>0</v>
      </c>
      <c r="F222" s="1137">
        <f t="shared" ref="F222:AH222" si="502">+F221-F219</f>
        <v>0</v>
      </c>
      <c r="G222" s="1232">
        <f t="shared" si="502"/>
        <v>0</v>
      </c>
      <c r="H222" s="1137">
        <f t="shared" si="502"/>
        <v>0</v>
      </c>
      <c r="I222" s="1137">
        <f t="shared" si="502"/>
        <v>0</v>
      </c>
      <c r="J222" s="1232">
        <f t="shared" si="502"/>
        <v>0</v>
      </c>
      <c r="K222" s="1232">
        <f t="shared" si="502"/>
        <v>0</v>
      </c>
      <c r="L222" s="1137">
        <f t="shared" si="502"/>
        <v>0</v>
      </c>
      <c r="M222" s="1137">
        <f t="shared" si="502"/>
        <v>0</v>
      </c>
      <c r="N222" s="1137">
        <f t="shared" si="502"/>
        <v>0</v>
      </c>
      <c r="O222" s="1137">
        <f t="shared" si="502"/>
        <v>0</v>
      </c>
      <c r="P222" s="1137">
        <f t="shared" si="502"/>
        <v>0</v>
      </c>
      <c r="Q222" s="1232">
        <f t="shared" si="502"/>
        <v>0</v>
      </c>
      <c r="R222" s="1232">
        <f t="shared" si="502"/>
        <v>0</v>
      </c>
      <c r="S222" s="1137">
        <f t="shared" si="502"/>
        <v>0</v>
      </c>
      <c r="T222" s="1137">
        <f t="shared" si="502"/>
        <v>0</v>
      </c>
      <c r="U222" s="1137">
        <f t="shared" si="502"/>
        <v>0</v>
      </c>
      <c r="V222" s="1097">
        <f t="shared" si="502"/>
        <v>0</v>
      </c>
      <c r="W222" s="1137">
        <f t="shared" si="502"/>
        <v>0</v>
      </c>
      <c r="X222" s="1232">
        <f t="shared" si="502"/>
        <v>0</v>
      </c>
      <c r="Y222" s="1232">
        <f t="shared" si="502"/>
        <v>0</v>
      </c>
      <c r="Z222" s="1137">
        <f t="shared" si="502"/>
        <v>0</v>
      </c>
      <c r="AA222" s="1137">
        <f t="shared" si="502"/>
        <v>0</v>
      </c>
      <c r="AB222" s="1137">
        <f t="shared" si="502"/>
        <v>0</v>
      </c>
      <c r="AC222" s="1137">
        <f t="shared" si="502"/>
        <v>0</v>
      </c>
      <c r="AD222" s="1137">
        <f t="shared" si="502"/>
        <v>0</v>
      </c>
      <c r="AE222" s="1232">
        <f t="shared" si="502"/>
        <v>0</v>
      </c>
      <c r="AF222" s="1232">
        <f t="shared" si="502"/>
        <v>0</v>
      </c>
      <c r="AG222" s="1137">
        <f t="shared" si="502"/>
        <v>0</v>
      </c>
      <c r="AH222" s="1137">
        <f t="shared" si="502"/>
        <v>0</v>
      </c>
      <c r="AI222" s="1328"/>
      <c r="AJ222" s="79">
        <f>+AJ221-AJ219</f>
        <v>0</v>
      </c>
      <c r="AK222" s="79"/>
      <c r="AL222" s="55">
        <f>+AJ222*AN219</f>
        <v>0</v>
      </c>
      <c r="AM222" s="935"/>
      <c r="AN222" s="277" t="s">
        <v>97</v>
      </c>
      <c r="AO222" s="622"/>
      <c r="AP222" s="39" t="s">
        <v>98</v>
      </c>
      <c r="AQ222" s="56">
        <f>AQ221-AQ220</f>
        <v>0</v>
      </c>
      <c r="AR222" s="70">
        <f>AR221-AR220</f>
        <v>0</v>
      </c>
      <c r="AS222" s="70">
        <f>AS221-AS220</f>
        <v>0</v>
      </c>
      <c r="AT222" s="70">
        <f>AT221-AT220</f>
        <v>0</v>
      </c>
      <c r="AU222" s="70">
        <f>AU221-AU220</f>
        <v>0</v>
      </c>
      <c r="AV222" s="57">
        <f t="shared" si="500"/>
        <v>0</v>
      </c>
    </row>
    <row r="223" spans="1:48" s="23" customFormat="1" ht="20.65" hidden="1" customHeight="1">
      <c r="A223" s="554" t="s">
        <v>401</v>
      </c>
      <c r="B223" s="659">
        <v>1.8774999999999999</v>
      </c>
      <c r="C223" s="305"/>
      <c r="D223" s="61" t="s">
        <v>101</v>
      </c>
      <c r="E223" s="1367"/>
      <c r="F223" s="1099"/>
      <c r="G223" s="1208"/>
      <c r="H223" s="1099"/>
      <c r="I223" s="1099"/>
      <c r="J223" s="1208"/>
      <c r="K223" s="1208"/>
      <c r="L223" s="1099"/>
      <c r="M223" s="1099"/>
      <c r="N223" s="1099"/>
      <c r="O223" s="1099"/>
      <c r="P223" s="1099"/>
      <c r="Q223" s="1208"/>
      <c r="R223" s="1208"/>
      <c r="S223" s="1099"/>
      <c r="T223" s="1099"/>
      <c r="U223" s="1099"/>
      <c r="V223" s="1099"/>
      <c r="W223" s="1099"/>
      <c r="X223" s="1208"/>
      <c r="Y223" s="1208"/>
      <c r="Z223" s="1099"/>
      <c r="AA223" s="1099"/>
      <c r="AB223" s="1099"/>
      <c r="AC223" s="1099"/>
      <c r="AD223" s="1099"/>
      <c r="AE223" s="1208"/>
      <c r="AF223" s="1208"/>
      <c r="AG223" s="1099"/>
      <c r="AH223" s="1099"/>
      <c r="AI223" s="1330"/>
      <c r="AJ223" s="62">
        <f>SUM(E223:AI223)</f>
        <v>0</v>
      </c>
      <c r="AK223" s="62"/>
      <c r="AL223" s="63">
        <f>+AJ223*AN219</f>
        <v>0</v>
      </c>
      <c r="AM223" s="936"/>
      <c r="AN223" s="301" t="e">
        <f>+AJ223/AJ221*100</f>
        <v>#DIV/0!</v>
      </c>
      <c r="AO223" s="635" t="e">
        <f>AO221/AO219</f>
        <v>#DIV/0!</v>
      </c>
      <c r="AP223" s="39" t="s">
        <v>102</v>
      </c>
      <c r="AQ223" s="56">
        <f>SUM(E223:K223)</f>
        <v>0</v>
      </c>
      <c r="AR223" s="70">
        <f>SUM(L223:R223)</f>
        <v>0</v>
      </c>
      <c r="AS223" s="70">
        <f>SUM(S223:Y223)</f>
        <v>0</v>
      </c>
      <c r="AT223" s="70">
        <f>SUM(Z223:AF223)</f>
        <v>0</v>
      </c>
      <c r="AU223" s="70">
        <f>SUM(AG223:AI223)</f>
        <v>0</v>
      </c>
      <c r="AV223" s="57">
        <f t="shared" si="500"/>
        <v>0</v>
      </c>
    </row>
    <row r="224" spans="1:48" s="23" customFormat="1" ht="20.65" hidden="1" customHeight="1">
      <c r="A224" s="556"/>
      <c r="B224" s="89"/>
      <c r="C224" s="52" t="s">
        <v>95</v>
      </c>
      <c r="D224" s="67" t="s">
        <v>103</v>
      </c>
      <c r="E224" s="1113"/>
      <c r="F224" s="1101"/>
      <c r="G224" s="1209"/>
      <c r="H224" s="1101"/>
      <c r="I224" s="1101"/>
      <c r="J224" s="1209"/>
      <c r="K224" s="1209"/>
      <c r="L224" s="1101"/>
      <c r="M224" s="1101"/>
      <c r="N224" s="1101"/>
      <c r="O224" s="1101"/>
      <c r="P224" s="1101"/>
      <c r="Q224" s="1209"/>
      <c r="R224" s="1209"/>
      <c r="S224" s="1101"/>
      <c r="T224" s="1101"/>
      <c r="U224" s="1101"/>
      <c r="V224" s="1101"/>
      <c r="W224" s="1101"/>
      <c r="X224" s="1209"/>
      <c r="Y224" s="1209"/>
      <c r="Z224" s="1101"/>
      <c r="AA224" s="1101"/>
      <c r="AB224" s="1101"/>
      <c r="AC224" s="1101"/>
      <c r="AD224" s="1101"/>
      <c r="AE224" s="1209"/>
      <c r="AF224" s="1209"/>
      <c r="AG224" s="1101"/>
      <c r="AH224" s="1101"/>
      <c r="AI224" s="1332"/>
      <c r="AJ224" s="68">
        <f>SUM(E224:AI224)</f>
        <v>0</v>
      </c>
      <c r="AK224" s="68"/>
      <c r="AL224" s="69">
        <f>+AJ224*AN219</f>
        <v>0</v>
      </c>
      <c r="AM224" s="937"/>
      <c r="AN224" s="277"/>
      <c r="AO224" s="679"/>
      <c r="AP224" s="39" t="s">
        <v>19</v>
      </c>
      <c r="AQ224" s="56">
        <f>AQ223*AN219</f>
        <v>0</v>
      </c>
      <c r="AR224" s="56">
        <f>AR223*AN219</f>
        <v>0</v>
      </c>
      <c r="AS224" s="56">
        <f>AS223*AN219</f>
        <v>0</v>
      </c>
      <c r="AT224" s="56">
        <f>AT223*AN219</f>
        <v>0</v>
      </c>
      <c r="AU224" s="56">
        <f>AU223*AN219</f>
        <v>0</v>
      </c>
      <c r="AV224" s="57">
        <f t="shared" si="500"/>
        <v>0</v>
      </c>
    </row>
    <row r="225" spans="1:48" s="23" customFormat="1" ht="20.65" hidden="1" customHeight="1">
      <c r="A225" s="556"/>
      <c r="B225" s="89"/>
      <c r="C225" s="306" t="s">
        <v>387</v>
      </c>
      <c r="D225" s="73" t="s">
        <v>105</v>
      </c>
      <c r="E225" s="1115"/>
      <c r="F225" s="1103"/>
      <c r="G225" s="1210"/>
      <c r="H225" s="1103"/>
      <c r="I225" s="1103"/>
      <c r="J225" s="1210"/>
      <c r="K225" s="1210"/>
      <c r="L225" s="1103"/>
      <c r="M225" s="1103"/>
      <c r="N225" s="1103"/>
      <c r="O225" s="1103"/>
      <c r="P225" s="1103"/>
      <c r="Q225" s="1210"/>
      <c r="R225" s="1210"/>
      <c r="S225" s="1103"/>
      <c r="T225" s="1103"/>
      <c r="U225" s="1103"/>
      <c r="V225" s="1103"/>
      <c r="W225" s="1103"/>
      <c r="X225" s="1210"/>
      <c r="Y225" s="1210"/>
      <c r="Z225" s="1103"/>
      <c r="AA225" s="1103"/>
      <c r="AB225" s="1103"/>
      <c r="AC225" s="1103"/>
      <c r="AD225" s="1103"/>
      <c r="AE225" s="1210"/>
      <c r="AF225" s="1210"/>
      <c r="AG225" s="1103"/>
      <c r="AH225" s="1103"/>
      <c r="AI225" s="1352"/>
      <c r="AJ225" s="74">
        <f>SUM(E225:AI225)</f>
        <v>0</v>
      </c>
      <c r="AK225" s="74"/>
      <c r="AL225" s="75">
        <f>+AJ225*AN219</f>
        <v>0</v>
      </c>
      <c r="AM225" s="938"/>
      <c r="AN225" s="91"/>
      <c r="AO225" s="630"/>
      <c r="AP225" s="47" t="s">
        <v>106</v>
      </c>
      <c r="AQ225" s="48">
        <f>AQ221*AN219</f>
        <v>0</v>
      </c>
      <c r="AR225" s="48">
        <f>AR221*AN219</f>
        <v>0</v>
      </c>
      <c r="AS225" s="48">
        <f>AS221*AN219</f>
        <v>0</v>
      </c>
      <c r="AT225" s="48">
        <f>AT221*AN219</f>
        <v>0</v>
      </c>
      <c r="AU225" s="48">
        <f>AU221*AN219</f>
        <v>0</v>
      </c>
      <c r="AV225" s="50">
        <f t="shared" si="500"/>
        <v>0</v>
      </c>
    </row>
    <row r="226" spans="1:48" s="23" customFormat="1" ht="20.65" hidden="1" customHeight="1">
      <c r="A226" s="554"/>
      <c r="B226" s="89"/>
      <c r="C226" s="307"/>
      <c r="D226" s="78" t="s">
        <v>107</v>
      </c>
      <c r="E226" s="1342">
        <v>4</v>
      </c>
      <c r="F226" s="1160">
        <v>4</v>
      </c>
      <c r="G226" s="1256">
        <v>4</v>
      </c>
      <c r="H226" s="1160">
        <v>4</v>
      </c>
      <c r="I226" s="1160">
        <v>4</v>
      </c>
      <c r="J226" s="1256">
        <v>4</v>
      </c>
      <c r="K226" s="1256">
        <v>4</v>
      </c>
      <c r="L226" s="1160">
        <v>4</v>
      </c>
      <c r="M226" s="1160">
        <v>4</v>
      </c>
      <c r="N226" s="1160">
        <v>4</v>
      </c>
      <c r="O226" s="1160">
        <v>4</v>
      </c>
      <c r="P226" s="1160">
        <v>4</v>
      </c>
      <c r="Q226" s="1256">
        <v>4</v>
      </c>
      <c r="R226" s="1256">
        <v>4</v>
      </c>
      <c r="S226" s="1160">
        <v>4</v>
      </c>
      <c r="T226" s="1160">
        <v>4</v>
      </c>
      <c r="U226" s="1160">
        <v>4</v>
      </c>
      <c r="V226" s="1160">
        <v>4</v>
      </c>
      <c r="W226" s="1160">
        <v>4</v>
      </c>
      <c r="X226" s="1256">
        <v>4</v>
      </c>
      <c r="Y226" s="1256">
        <v>4</v>
      </c>
      <c r="Z226" s="1160">
        <v>4</v>
      </c>
      <c r="AA226" s="1160">
        <v>4</v>
      </c>
      <c r="AB226" s="1160">
        <v>4</v>
      </c>
      <c r="AC226" s="1160">
        <v>4</v>
      </c>
      <c r="AD226" s="1160">
        <v>4</v>
      </c>
      <c r="AE226" s="1256">
        <v>4</v>
      </c>
      <c r="AF226" s="1256">
        <v>4</v>
      </c>
      <c r="AG226" s="1160">
        <v>4</v>
      </c>
      <c r="AH226" s="1160">
        <v>4</v>
      </c>
      <c r="AI226" s="1414">
        <v>4</v>
      </c>
      <c r="AJ226" s="79"/>
      <c r="AK226" s="79"/>
      <c r="AL226" s="692"/>
      <c r="AM226" s="960"/>
      <c r="AN226" s="277"/>
      <c r="AO226" s="679"/>
      <c r="AP226" s="47"/>
      <c r="AQ226" s="48"/>
      <c r="AR226" s="48"/>
      <c r="AS226" s="48"/>
      <c r="AT226" s="48"/>
      <c r="AU226" s="48"/>
      <c r="AV226" s="284"/>
    </row>
    <row r="227" spans="1:48" s="23" customFormat="1" ht="20.65" hidden="1" customHeight="1">
      <c r="A227" s="554" t="s">
        <v>401</v>
      </c>
      <c r="B227" s="315"/>
      <c r="C227" s="305"/>
      <c r="D227" s="81" t="s">
        <v>109</v>
      </c>
      <c r="E227" s="1125">
        <f>SUM(E221+E223+E224+E225)/E226</f>
        <v>0</v>
      </c>
      <c r="F227" s="1126">
        <f>SUM(F221+F223+F224+F225)/F226</f>
        <v>0</v>
      </c>
      <c r="G227" s="1235">
        <f t="shared" ref="G227:AH227" si="503">SUM(G221+G223+G224+G225)/G226</f>
        <v>0</v>
      </c>
      <c r="H227" s="1126">
        <f t="shared" si="503"/>
        <v>0</v>
      </c>
      <c r="I227" s="1126">
        <f t="shared" si="503"/>
        <v>0</v>
      </c>
      <c r="J227" s="1235">
        <f t="shared" si="503"/>
        <v>0</v>
      </c>
      <c r="K227" s="1235">
        <f t="shared" si="503"/>
        <v>0</v>
      </c>
      <c r="L227" s="1126">
        <f t="shared" si="503"/>
        <v>0</v>
      </c>
      <c r="M227" s="1126">
        <f t="shared" si="503"/>
        <v>0</v>
      </c>
      <c r="N227" s="1126">
        <f t="shared" si="503"/>
        <v>0</v>
      </c>
      <c r="O227" s="1126">
        <f t="shared" si="503"/>
        <v>0</v>
      </c>
      <c r="P227" s="1126">
        <f t="shared" si="503"/>
        <v>0</v>
      </c>
      <c r="Q227" s="1235">
        <f t="shared" si="503"/>
        <v>0</v>
      </c>
      <c r="R227" s="1235">
        <f t="shared" si="503"/>
        <v>0</v>
      </c>
      <c r="S227" s="1126">
        <f t="shared" si="503"/>
        <v>0</v>
      </c>
      <c r="T227" s="1126">
        <f t="shared" si="503"/>
        <v>0</v>
      </c>
      <c r="U227" s="1126">
        <f t="shared" si="503"/>
        <v>0</v>
      </c>
      <c r="V227" s="1126">
        <f t="shared" si="503"/>
        <v>0</v>
      </c>
      <c r="W227" s="1126">
        <f t="shared" si="503"/>
        <v>0</v>
      </c>
      <c r="X227" s="1235">
        <f t="shared" si="503"/>
        <v>0</v>
      </c>
      <c r="Y227" s="1235">
        <f t="shared" si="503"/>
        <v>0</v>
      </c>
      <c r="Z227" s="1126">
        <f t="shared" si="503"/>
        <v>0</v>
      </c>
      <c r="AA227" s="1126">
        <f t="shared" si="503"/>
        <v>0</v>
      </c>
      <c r="AB227" s="1126">
        <f t="shared" si="503"/>
        <v>0</v>
      </c>
      <c r="AC227" s="1126">
        <f t="shared" si="503"/>
        <v>0</v>
      </c>
      <c r="AD227" s="1126">
        <f t="shared" si="503"/>
        <v>0</v>
      </c>
      <c r="AE227" s="1235">
        <f t="shared" si="503"/>
        <v>0</v>
      </c>
      <c r="AF227" s="1235">
        <f t="shared" si="503"/>
        <v>0</v>
      </c>
      <c r="AG227" s="1126">
        <f t="shared" si="503"/>
        <v>0</v>
      </c>
      <c r="AH227" s="1126">
        <f t="shared" si="503"/>
        <v>0</v>
      </c>
      <c r="AI227" s="1335">
        <f>SUM(AI221+AI223+AI224)/AI226</f>
        <v>0</v>
      </c>
      <c r="AJ227" s="515">
        <f>SUM(E227:AI227)</f>
        <v>0</v>
      </c>
      <c r="AK227" s="515"/>
      <c r="AL227" s="689"/>
      <c r="AM227" s="940"/>
      <c r="AN227" s="277"/>
      <c r="AO227" s="679"/>
      <c r="AP227" s="285"/>
      <c r="AQ227" s="285"/>
      <c r="AR227" s="285"/>
      <c r="AS227" s="285"/>
      <c r="AT227" s="286"/>
      <c r="AU227" s="285"/>
      <c r="AV227" s="287"/>
    </row>
    <row r="228" spans="1:48" s="23" customFormat="1" ht="20.65" hidden="1" customHeight="1">
      <c r="A228" s="554" t="s">
        <v>401</v>
      </c>
      <c r="B228" s="315" t="s">
        <v>404</v>
      </c>
      <c r="C228" s="72"/>
      <c r="D228" s="85" t="s">
        <v>110</v>
      </c>
      <c r="E228" s="1105"/>
      <c r="F228" s="1106"/>
      <c r="G228" s="1211"/>
      <c r="H228" s="1104"/>
      <c r="I228" s="1104"/>
      <c r="J228" s="1211"/>
      <c r="K228" s="1211"/>
      <c r="L228" s="1104"/>
      <c r="M228" s="1104"/>
      <c r="N228" s="1107"/>
      <c r="O228" s="1104"/>
      <c r="P228" s="1104"/>
      <c r="Q228" s="1211"/>
      <c r="R228" s="1211"/>
      <c r="S228" s="1104"/>
      <c r="T228" s="1104"/>
      <c r="U228" s="1104"/>
      <c r="V228" s="1104"/>
      <c r="W228" s="1104"/>
      <c r="X228" s="1211"/>
      <c r="Y228" s="1211"/>
      <c r="Z228" s="1104"/>
      <c r="AA228" s="1104"/>
      <c r="AB228" s="1104"/>
      <c r="AC228" s="1104"/>
      <c r="AD228" s="1104"/>
      <c r="AE228" s="1228"/>
      <c r="AF228" s="1211"/>
      <c r="AG228" s="1104"/>
      <c r="AH228" s="1104"/>
      <c r="AI228" s="1353"/>
      <c r="AJ228" s="86"/>
      <c r="AK228" s="86"/>
      <c r="AL228" s="690"/>
      <c r="AM228" s="940"/>
      <c r="AN228" s="277"/>
      <c r="AO228" s="679"/>
      <c r="AP228" s="285"/>
      <c r="AQ228" s="285"/>
      <c r="AR228" s="285"/>
      <c r="AS228" s="285"/>
      <c r="AT228" s="286"/>
      <c r="AU228" s="285"/>
      <c r="AV228" s="287"/>
    </row>
    <row r="229" spans="1:48" s="23" customFormat="1" ht="20.65" hidden="1" customHeight="1">
      <c r="A229" s="554" t="s">
        <v>401</v>
      </c>
      <c r="B229" s="315"/>
      <c r="C229" s="72" t="s">
        <v>104</v>
      </c>
      <c r="D229" s="88" t="s">
        <v>111</v>
      </c>
      <c r="E229" s="1156">
        <f>IF(E228="O/H",E227,0+E227)</f>
        <v>0</v>
      </c>
      <c r="F229" s="1157">
        <f t="shared" ref="F229:AI229" si="504">IF(F228="O/H",F227,+E229+F227)</f>
        <v>0</v>
      </c>
      <c r="G229" s="1264">
        <f t="shared" si="504"/>
        <v>0</v>
      </c>
      <c r="H229" s="1157">
        <f t="shared" si="504"/>
        <v>0</v>
      </c>
      <c r="I229" s="1157">
        <f t="shared" si="504"/>
        <v>0</v>
      </c>
      <c r="J229" s="1264">
        <f t="shared" si="504"/>
        <v>0</v>
      </c>
      <c r="K229" s="1264">
        <f t="shared" si="504"/>
        <v>0</v>
      </c>
      <c r="L229" s="1157">
        <f t="shared" si="504"/>
        <v>0</v>
      </c>
      <c r="M229" s="1157">
        <f t="shared" si="504"/>
        <v>0</v>
      </c>
      <c r="N229" s="1157">
        <f t="shared" si="504"/>
        <v>0</v>
      </c>
      <c r="O229" s="1157">
        <f t="shared" si="504"/>
        <v>0</v>
      </c>
      <c r="P229" s="1157">
        <f t="shared" si="504"/>
        <v>0</v>
      </c>
      <c r="Q229" s="1264">
        <f t="shared" si="504"/>
        <v>0</v>
      </c>
      <c r="R229" s="1264">
        <f t="shared" si="504"/>
        <v>0</v>
      </c>
      <c r="S229" s="1157">
        <f t="shared" si="504"/>
        <v>0</v>
      </c>
      <c r="T229" s="1157">
        <f t="shared" si="504"/>
        <v>0</v>
      </c>
      <c r="U229" s="1157">
        <f t="shared" si="504"/>
        <v>0</v>
      </c>
      <c r="V229" s="1157">
        <f t="shared" si="504"/>
        <v>0</v>
      </c>
      <c r="W229" s="1157">
        <f t="shared" si="504"/>
        <v>0</v>
      </c>
      <c r="X229" s="1264">
        <f t="shared" si="504"/>
        <v>0</v>
      </c>
      <c r="Y229" s="1264">
        <f t="shared" si="504"/>
        <v>0</v>
      </c>
      <c r="Z229" s="1157">
        <f t="shared" si="504"/>
        <v>0</v>
      </c>
      <c r="AA229" s="1157">
        <f t="shared" si="504"/>
        <v>0</v>
      </c>
      <c r="AB229" s="1157">
        <f t="shared" si="504"/>
        <v>0</v>
      </c>
      <c r="AC229" s="1157">
        <f t="shared" si="504"/>
        <v>0</v>
      </c>
      <c r="AD229" s="1157">
        <f t="shared" si="504"/>
        <v>0</v>
      </c>
      <c r="AE229" s="1264">
        <f t="shared" si="504"/>
        <v>0</v>
      </c>
      <c r="AF229" s="1264">
        <f t="shared" si="504"/>
        <v>0</v>
      </c>
      <c r="AG229" s="1157">
        <f t="shared" si="504"/>
        <v>0</v>
      </c>
      <c r="AH229" s="1157">
        <f t="shared" si="504"/>
        <v>0</v>
      </c>
      <c r="AI229" s="1402">
        <f t="shared" si="504"/>
        <v>0</v>
      </c>
      <c r="AJ229" s="86"/>
      <c r="AK229" s="86"/>
      <c r="AL229" s="689"/>
      <c r="AM229" s="940"/>
      <c r="AN229" s="277"/>
      <c r="AO229" s="679"/>
      <c r="AP229" s="285"/>
      <c r="AQ229" s="285"/>
      <c r="AR229" s="285"/>
      <c r="AS229" s="285"/>
      <c r="AT229" s="286"/>
      <c r="AU229" s="285"/>
      <c r="AV229" s="287"/>
    </row>
    <row r="230" spans="1:48" s="23" customFormat="1" ht="20.45" hidden="1" customHeight="1">
      <c r="A230" s="312"/>
      <c r="B230" s="312"/>
      <c r="C230" s="308">
        <v>300000</v>
      </c>
      <c r="D230" s="795" t="s">
        <v>112</v>
      </c>
      <c r="E230" s="1108" t="b">
        <f>IF(AND(ISNUMBER(E221)),2179842+E227)</f>
        <v>0</v>
      </c>
      <c r="F230" s="1089" t="str">
        <f>IF(AND(ISNUMBER(F221)),E230+F227,"")</f>
        <v/>
      </c>
      <c r="G230" s="44" t="str">
        <f t="shared" ref="G230" si="505">IF(AND(ISNUMBER(G221)),F230+G227,"")</f>
        <v/>
      </c>
      <c r="H230" s="1089" t="str">
        <f t="shared" ref="H230" si="506">IF(AND(ISNUMBER(H221)),G230+H227,"")</f>
        <v/>
      </c>
      <c r="I230" s="1089" t="str">
        <f>IF(AND(ISNUMBER(I221)),H230+I227,"")</f>
        <v/>
      </c>
      <c r="J230" s="44" t="str">
        <f>IF(AND(ISNUMBER(J221)),I230+J227,"")</f>
        <v/>
      </c>
      <c r="K230" s="44" t="str">
        <f>IF(AND(ISNUMBER(K221)),J230+K227,"")</f>
        <v/>
      </c>
      <c r="L230" s="1089" t="str">
        <f t="shared" ref="L230" si="507">IF(AND(ISNUMBER(L221)),K230+L227,"")</f>
        <v/>
      </c>
      <c r="M230" s="1089" t="str">
        <f t="shared" ref="M230" si="508">IF(AND(ISNUMBER(M221)),L230+M227,"")</f>
        <v/>
      </c>
      <c r="N230" s="1089" t="str">
        <f t="shared" ref="N230" si="509">IF(AND(ISNUMBER(N221)),M230+N227,"")</f>
        <v/>
      </c>
      <c r="O230" s="1089" t="str">
        <f t="shared" ref="O230" si="510">IF(AND(ISNUMBER(O221)),N230+O227,"")</f>
        <v/>
      </c>
      <c r="P230" s="1089" t="str">
        <f t="shared" ref="P230" si="511">IF(AND(ISNUMBER(P221)),O230+P227,"")</f>
        <v/>
      </c>
      <c r="Q230" s="44" t="str">
        <f t="shared" ref="Q230" si="512">IF(AND(ISNUMBER(Q221)),P230+Q227,"")</f>
        <v/>
      </c>
      <c r="R230" s="44" t="str">
        <f t="shared" ref="R230" si="513">IF(AND(ISNUMBER(R221)),Q230+R227,"")</f>
        <v/>
      </c>
      <c r="S230" s="1089" t="str">
        <f t="shared" ref="S230" si="514">IF(AND(ISNUMBER(S221)),R230+S227,"")</f>
        <v/>
      </c>
      <c r="T230" s="1089" t="str">
        <f t="shared" ref="T230" si="515">IF(AND(ISNUMBER(T221)),S230+T227,"")</f>
        <v/>
      </c>
      <c r="U230" s="1089" t="str">
        <f t="shared" ref="U230" si="516">IF(AND(ISNUMBER(U221)),T230+U227,"")</f>
        <v/>
      </c>
      <c r="V230" s="1089" t="str">
        <f t="shared" ref="V230" si="517">IF(AND(ISNUMBER(V221)),U230+V227,"")</f>
        <v/>
      </c>
      <c r="W230" s="1089" t="str">
        <f t="shared" ref="W230" si="518">IF(AND(ISNUMBER(W221)),V230+W227,"")</f>
        <v/>
      </c>
      <c r="X230" s="44" t="str">
        <f t="shared" ref="X230" si="519">IF(AND(ISNUMBER(X221)),W230+X227,"")</f>
        <v/>
      </c>
      <c r="Y230" s="44" t="str">
        <f t="shared" ref="Y230" si="520">IF(AND(ISNUMBER(Y221)),X230+Y227,"")</f>
        <v/>
      </c>
      <c r="Z230" s="1089" t="str">
        <f t="shared" ref="Z230" si="521">IF(AND(ISNUMBER(Z221)),Y230+Z227,"")</f>
        <v/>
      </c>
      <c r="AA230" s="1089" t="str">
        <f t="shared" ref="AA230" si="522">IF(AND(ISNUMBER(AA221)),Z230+AA227,"")</f>
        <v/>
      </c>
      <c r="AB230" s="1089" t="str">
        <f t="shared" ref="AB230" si="523">IF(AND(ISNUMBER(AB221)),AA230+AB227,"")</f>
        <v/>
      </c>
      <c r="AC230" s="1089" t="str">
        <f t="shared" ref="AC230" si="524">IF(AND(ISNUMBER(AC221)),AB230+AC227,"")</f>
        <v/>
      </c>
      <c r="AD230" s="1089" t="str">
        <f t="shared" ref="AD230" si="525">IF(AND(ISNUMBER(AD221)),AC230+AD227,"")</f>
        <v/>
      </c>
      <c r="AE230" s="44" t="str">
        <f t="shared" ref="AE230" si="526">IF(AND(ISNUMBER(AE221)),AD230+AE227,"")</f>
        <v/>
      </c>
      <c r="AF230" s="44" t="str">
        <f t="shared" ref="AF230" si="527">IF(AND(ISNUMBER(AF221)),AE230+AF227,"")</f>
        <v/>
      </c>
      <c r="AG230" s="1089" t="str">
        <f t="shared" ref="AG230" si="528">IF(AND(ISNUMBER(AG221)),AF230+AG227,"")</f>
        <v/>
      </c>
      <c r="AH230" s="1089" t="str">
        <f t="shared" ref="AH230" si="529">IF(AND(ISNUMBER(AH221)),AG230+AH227,"")</f>
        <v/>
      </c>
      <c r="AI230" s="1089" t="str">
        <f t="shared" ref="AI230" si="530">IF(AND(ISNUMBER(AI221)),AH230+AI227,"")</f>
        <v/>
      </c>
      <c r="AJ230" s="793"/>
      <c r="AK230" s="793"/>
      <c r="AL230" s="909"/>
      <c r="AM230" s="794"/>
      <c r="AN230" s="429"/>
      <c r="AO230" s="675"/>
      <c r="AP230" s="285"/>
      <c r="AQ230" s="285"/>
      <c r="AR230" s="285"/>
      <c r="AS230" s="285"/>
      <c r="AT230" s="286"/>
      <c r="AU230" s="285"/>
      <c r="AV230" s="287"/>
    </row>
    <row r="231" spans="1:48" s="23" customFormat="1" ht="20.65" hidden="1" customHeight="1">
      <c r="A231" s="554"/>
      <c r="B231" s="315"/>
      <c r="C231" s="80" t="s">
        <v>108</v>
      </c>
      <c r="D231" s="90" t="s">
        <v>104</v>
      </c>
      <c r="E231" s="1108"/>
      <c r="F231" s="1089"/>
      <c r="G231" s="44"/>
      <c r="H231" s="1089"/>
      <c r="I231" s="1089"/>
      <c r="J231" s="44"/>
      <c r="K231" s="44"/>
      <c r="L231" s="1089"/>
      <c r="M231" s="1089"/>
      <c r="N231" s="1089"/>
      <c r="O231" s="1089"/>
      <c r="P231" s="1089"/>
      <c r="Q231" s="44"/>
      <c r="R231" s="44"/>
      <c r="S231" s="1089"/>
      <c r="T231" s="1089"/>
      <c r="U231" s="1089"/>
      <c r="V231" s="1089"/>
      <c r="W231" s="1089"/>
      <c r="X231" s="44"/>
      <c r="Y231" s="44"/>
      <c r="Z231" s="1089"/>
      <c r="AA231" s="1089"/>
      <c r="AB231" s="1089"/>
      <c r="AC231" s="1089"/>
      <c r="AD231" s="1089"/>
      <c r="AE231" s="44"/>
      <c r="AF231" s="44"/>
      <c r="AG231" s="1089"/>
      <c r="AH231" s="1089"/>
      <c r="AI231" s="1326"/>
      <c r="AJ231" s="79"/>
      <c r="AK231" s="79"/>
      <c r="AL231" s="690"/>
      <c r="AM231" s="940"/>
      <c r="AN231" s="277"/>
      <c r="AO231" s="679"/>
      <c r="AP231" s="285"/>
      <c r="AQ231" s="285"/>
      <c r="AR231" s="285"/>
      <c r="AS231" s="285"/>
      <c r="AT231" s="286"/>
      <c r="AU231" s="285"/>
      <c r="AV231" s="287"/>
    </row>
    <row r="232" spans="1:48" s="23" customFormat="1" ht="20.65" hidden="1" customHeight="1" thickBot="1">
      <c r="A232" s="557"/>
      <c r="B232" s="316"/>
      <c r="C232" s="291">
        <f>+C230*0.8</f>
        <v>240000</v>
      </c>
      <c r="D232" s="88" t="s">
        <v>111</v>
      </c>
      <c r="E232" s="1109">
        <f>IF(E231="O/H",E227,0+E227)</f>
        <v>0</v>
      </c>
      <c r="F232" s="1110">
        <f t="shared" ref="F232:AI232" si="531">IF(F231="O/H",F227,+E232+F227)</f>
        <v>0</v>
      </c>
      <c r="G232" s="1212">
        <f t="shared" si="531"/>
        <v>0</v>
      </c>
      <c r="H232" s="1110">
        <f t="shared" si="531"/>
        <v>0</v>
      </c>
      <c r="I232" s="1110">
        <f t="shared" si="531"/>
        <v>0</v>
      </c>
      <c r="J232" s="1212">
        <f t="shared" si="531"/>
        <v>0</v>
      </c>
      <c r="K232" s="1212">
        <f t="shared" si="531"/>
        <v>0</v>
      </c>
      <c r="L232" s="1110">
        <f t="shared" si="531"/>
        <v>0</v>
      </c>
      <c r="M232" s="1110">
        <f t="shared" si="531"/>
        <v>0</v>
      </c>
      <c r="N232" s="1110">
        <f t="shared" si="531"/>
        <v>0</v>
      </c>
      <c r="O232" s="1110">
        <f t="shared" si="531"/>
        <v>0</v>
      </c>
      <c r="P232" s="1110">
        <f t="shared" si="531"/>
        <v>0</v>
      </c>
      <c r="Q232" s="1212">
        <f t="shared" si="531"/>
        <v>0</v>
      </c>
      <c r="R232" s="1212">
        <f t="shared" si="531"/>
        <v>0</v>
      </c>
      <c r="S232" s="1110">
        <f t="shared" si="531"/>
        <v>0</v>
      </c>
      <c r="T232" s="1110">
        <f t="shared" si="531"/>
        <v>0</v>
      </c>
      <c r="U232" s="1110">
        <f t="shared" si="531"/>
        <v>0</v>
      </c>
      <c r="V232" s="1110">
        <f t="shared" si="531"/>
        <v>0</v>
      </c>
      <c r="W232" s="1110">
        <f t="shared" si="531"/>
        <v>0</v>
      </c>
      <c r="X232" s="1212">
        <f t="shared" si="531"/>
        <v>0</v>
      </c>
      <c r="Y232" s="1212">
        <f t="shared" si="531"/>
        <v>0</v>
      </c>
      <c r="Z232" s="1110">
        <f t="shared" si="531"/>
        <v>0</v>
      </c>
      <c r="AA232" s="1110">
        <f t="shared" si="531"/>
        <v>0</v>
      </c>
      <c r="AB232" s="1110">
        <f t="shared" si="531"/>
        <v>0</v>
      </c>
      <c r="AC232" s="1110">
        <f t="shared" si="531"/>
        <v>0</v>
      </c>
      <c r="AD232" s="1110">
        <f t="shared" si="531"/>
        <v>0</v>
      </c>
      <c r="AE232" s="1212">
        <f t="shared" si="531"/>
        <v>0</v>
      </c>
      <c r="AF232" s="1212">
        <f t="shared" si="531"/>
        <v>0</v>
      </c>
      <c r="AG232" s="1110">
        <f t="shared" si="531"/>
        <v>0</v>
      </c>
      <c r="AH232" s="1110">
        <f t="shared" si="531"/>
        <v>0</v>
      </c>
      <c r="AI232" s="1340">
        <f t="shared" si="531"/>
        <v>0</v>
      </c>
      <c r="AJ232" s="96"/>
      <c r="AK232" s="723"/>
      <c r="AL232" s="695"/>
      <c r="AM232" s="961"/>
      <c r="AN232" s="292"/>
      <c r="AO232" s="681"/>
      <c r="AP232" s="285"/>
      <c r="AQ232" s="285"/>
      <c r="AR232" s="285"/>
      <c r="AS232" s="285"/>
      <c r="AT232" s="286"/>
      <c r="AU232" s="285"/>
      <c r="AV232" s="287"/>
    </row>
    <row r="233" spans="1:48" s="23" customFormat="1" ht="20.65" customHeight="1" thickTop="1">
      <c r="A233" s="283" t="s">
        <v>706</v>
      </c>
      <c r="B233" s="219" t="s">
        <v>619</v>
      </c>
      <c r="C233" s="1493" t="str">
        <f>Table2[[#This Row],[M/C No.]]</f>
        <v>H8(50ton)</v>
      </c>
      <c r="D233" s="28" t="s">
        <v>82</v>
      </c>
      <c r="E233" s="1124">
        <v>12000</v>
      </c>
      <c r="F233" s="1124">
        <v>12000</v>
      </c>
      <c r="G233" s="1242">
        <v>12000</v>
      </c>
      <c r="H233" s="1124">
        <v>12000</v>
      </c>
      <c r="I233" s="1124">
        <v>12000</v>
      </c>
      <c r="J233" s="1242">
        <v>0</v>
      </c>
      <c r="K233" s="1242">
        <v>0</v>
      </c>
      <c r="L233" s="1124">
        <v>6000</v>
      </c>
      <c r="M233" s="1124">
        <v>12000</v>
      </c>
      <c r="N233" s="1124">
        <v>12000</v>
      </c>
      <c r="O233" s="1124">
        <v>12000</v>
      </c>
      <c r="P233" s="1124">
        <v>12000</v>
      </c>
      <c r="Q233" s="1242">
        <v>0</v>
      </c>
      <c r="R233" s="1242">
        <v>0</v>
      </c>
      <c r="S233" s="1124">
        <v>6000</v>
      </c>
      <c r="T233" s="1124">
        <v>12000</v>
      </c>
      <c r="U233" s="1124">
        <v>12000</v>
      </c>
      <c r="V233" s="1124">
        <v>12000</v>
      </c>
      <c r="W233" s="1124">
        <v>12000</v>
      </c>
      <c r="X233" s="1242">
        <v>0</v>
      </c>
      <c r="Y233" s="1242">
        <v>0</v>
      </c>
      <c r="Z233" s="1124">
        <v>6000</v>
      </c>
      <c r="AA233" s="1124">
        <v>12000</v>
      </c>
      <c r="AB233" s="1124">
        <v>12000</v>
      </c>
      <c r="AC233" s="1124">
        <v>12000</v>
      </c>
      <c r="AD233" s="1124">
        <v>12000</v>
      </c>
      <c r="AE233" s="1242">
        <v>0</v>
      </c>
      <c r="AF233" s="1242">
        <v>0</v>
      </c>
      <c r="AG233" s="1124">
        <v>6000</v>
      </c>
      <c r="AH233" s="1124">
        <v>12000</v>
      </c>
      <c r="AI233" s="1124"/>
      <c r="AJ233" s="100">
        <f>SUM(E233:AI233)</f>
        <v>240000</v>
      </c>
      <c r="AK233" s="1020">
        <f>AJ235</f>
        <v>182400</v>
      </c>
      <c r="AL233" s="101">
        <f>+AJ233*AN233</f>
        <v>1403613.6</v>
      </c>
      <c r="AM233" s="1019">
        <f>AL235</f>
        <v>1066746.3360000001</v>
      </c>
      <c r="AN233" s="273">
        <v>5.8483900000000002</v>
      </c>
      <c r="AO233" s="633">
        <f>Table2[[#This Row],[Total]]*B237/1000</f>
        <v>715.68</v>
      </c>
      <c r="AP233" s="32" t="s">
        <v>399</v>
      </c>
      <c r="AQ233" s="33" t="s">
        <v>84</v>
      </c>
      <c r="AR233" s="33" t="s">
        <v>85</v>
      </c>
      <c r="AS233" s="33" t="s">
        <v>86</v>
      </c>
      <c r="AT233" s="33" t="s">
        <v>87</v>
      </c>
      <c r="AU233" s="33" t="s">
        <v>88</v>
      </c>
      <c r="AV233" s="34" t="s">
        <v>68</v>
      </c>
    </row>
    <row r="234" spans="1:48" s="23" customFormat="1" ht="20.65" customHeight="1">
      <c r="A234" s="274"/>
      <c r="B234" s="219" t="s">
        <v>396</v>
      </c>
      <c r="C234" s="1244">
        <v>67500</v>
      </c>
      <c r="D234" s="37" t="s">
        <v>90</v>
      </c>
      <c r="E234" s="1323">
        <f>IF(E233="",0,+ E233/E240)</f>
        <v>3000</v>
      </c>
      <c r="F234" s="1096">
        <f t="shared" ref="F234:AC234" si="532">IF(F233="",0, E234+F233/F240)</f>
        <v>6000</v>
      </c>
      <c r="G234" s="1207">
        <f t="shared" si="532"/>
        <v>9000</v>
      </c>
      <c r="H234" s="1096">
        <f t="shared" si="532"/>
        <v>12000</v>
      </c>
      <c r="I234" s="1096">
        <f t="shared" si="532"/>
        <v>15000</v>
      </c>
      <c r="J234" s="1207">
        <f t="shared" si="532"/>
        <v>15000</v>
      </c>
      <c r="K234" s="1207">
        <f t="shared" si="532"/>
        <v>15000</v>
      </c>
      <c r="L234" s="1096">
        <f t="shared" si="532"/>
        <v>16500</v>
      </c>
      <c r="M234" s="1096">
        <f t="shared" si="532"/>
        <v>19500</v>
      </c>
      <c r="N234" s="1096">
        <f t="shared" si="532"/>
        <v>22500</v>
      </c>
      <c r="O234" s="1096">
        <f t="shared" si="532"/>
        <v>25500</v>
      </c>
      <c r="P234" s="1096">
        <f t="shared" si="532"/>
        <v>28500</v>
      </c>
      <c r="Q234" s="1207">
        <f t="shared" si="532"/>
        <v>28500</v>
      </c>
      <c r="R234" s="1207">
        <f t="shared" si="532"/>
        <v>28500</v>
      </c>
      <c r="S234" s="1096">
        <f t="shared" si="532"/>
        <v>30000</v>
      </c>
      <c r="T234" s="1096">
        <f t="shared" si="532"/>
        <v>33000</v>
      </c>
      <c r="U234" s="1096">
        <f t="shared" si="532"/>
        <v>36000</v>
      </c>
      <c r="V234" s="1096">
        <f t="shared" si="532"/>
        <v>39000</v>
      </c>
      <c r="W234" s="1096">
        <f t="shared" si="532"/>
        <v>42000</v>
      </c>
      <c r="X234" s="1207">
        <f t="shared" si="532"/>
        <v>42000</v>
      </c>
      <c r="Y234" s="1207">
        <f t="shared" si="532"/>
        <v>42000</v>
      </c>
      <c r="Z234" s="1096">
        <f t="shared" si="532"/>
        <v>43500</v>
      </c>
      <c r="AA234" s="1096">
        <f t="shared" si="532"/>
        <v>46500</v>
      </c>
      <c r="AB234" s="1096">
        <f t="shared" si="532"/>
        <v>49500</v>
      </c>
      <c r="AC234" s="1096">
        <f t="shared" si="532"/>
        <v>52500</v>
      </c>
      <c r="AD234" s="1096">
        <f>IF(AD233="",0, Z234+AD233/AD240)</f>
        <v>46500</v>
      </c>
      <c r="AE234" s="1207">
        <f>IF(AE233="",0, AA234+AE233/AE240)</f>
        <v>46500</v>
      </c>
      <c r="AF234" s="1207">
        <f>IF(AF233="",0, AB234+AF233/AF240)</f>
        <v>49500</v>
      </c>
      <c r="AG234" s="1096">
        <f>IF(AG233="",0, AC234+AG233/AG240)</f>
        <v>54000</v>
      </c>
      <c r="AH234" s="1096">
        <f>IF(AH233="",0, AD234+AH233/AH240)</f>
        <v>49500</v>
      </c>
      <c r="AI234" s="1324">
        <f>IF(AI233="",0, AH234+AI233/AI240)</f>
        <v>0</v>
      </c>
      <c r="AJ234" s="716"/>
      <c r="AK234" s="716"/>
      <c r="AL234" s="209"/>
      <c r="AM234" s="794"/>
      <c r="AN234" s="91"/>
      <c r="AO234" s="675"/>
      <c r="AP234" s="39" t="s">
        <v>91</v>
      </c>
      <c r="AQ234" s="40">
        <f>SUM(E233:H233)</f>
        <v>48000</v>
      </c>
      <c r="AR234" s="41">
        <f>SUM(I233:O233)</f>
        <v>54000</v>
      </c>
      <c r="AS234" s="41">
        <f>SUM(P233:V233)</f>
        <v>54000</v>
      </c>
      <c r="AT234" s="41">
        <f>SUM(W233:AC233)</f>
        <v>54000</v>
      </c>
      <c r="AU234" s="41">
        <f>SUM(AD233:AI233)</f>
        <v>30000</v>
      </c>
      <c r="AV234" s="34">
        <f t="shared" ref="AV234:AV239" si="533">SUM(AQ234:AU234)</f>
        <v>240000</v>
      </c>
    </row>
    <row r="235" spans="1:48" s="23" customFormat="1" ht="19.149999999999999" customHeight="1">
      <c r="A235" s="276"/>
      <c r="B235" s="89" t="s">
        <v>246</v>
      </c>
      <c r="C235" s="656" t="s">
        <v>108</v>
      </c>
      <c r="D235" s="43" t="s">
        <v>93</v>
      </c>
      <c r="E235" s="1108">
        <v>5760</v>
      </c>
      <c r="F235" s="1089">
        <v>12096</v>
      </c>
      <c r="G235" s="44">
        <v>11904</v>
      </c>
      <c r="H235" s="1089">
        <v>12096</v>
      </c>
      <c r="I235" s="1119">
        <v>11520</v>
      </c>
      <c r="J235" s="44">
        <v>0</v>
      </c>
      <c r="K235" s="44">
        <v>0</v>
      </c>
      <c r="L235" s="1089">
        <v>8640</v>
      </c>
      <c r="M235" s="1089">
        <v>11520</v>
      </c>
      <c r="N235" s="1089">
        <v>10944</v>
      </c>
      <c r="O235" s="1089">
        <v>11520</v>
      </c>
      <c r="P235" s="1089">
        <v>12672</v>
      </c>
      <c r="Q235" s="44">
        <v>0</v>
      </c>
      <c r="R235" s="44">
        <v>0</v>
      </c>
      <c r="S235" s="1089">
        <v>6336</v>
      </c>
      <c r="T235" s="1089">
        <v>12096</v>
      </c>
      <c r="U235" s="1089">
        <v>12096</v>
      </c>
      <c r="V235" s="1089">
        <v>12096</v>
      </c>
      <c r="W235" s="1089">
        <v>12096</v>
      </c>
      <c r="X235" s="44">
        <v>0</v>
      </c>
      <c r="Y235" s="44">
        <v>0</v>
      </c>
      <c r="Z235" s="1089">
        <v>6912</v>
      </c>
      <c r="AA235" s="1089">
        <v>12096</v>
      </c>
      <c r="AB235" s="1089"/>
      <c r="AC235" s="1089"/>
      <c r="AD235" s="1089"/>
      <c r="AE235" s="44"/>
      <c r="AF235" s="44"/>
      <c r="AG235" s="1089"/>
      <c r="AH235" s="1089"/>
      <c r="AI235" s="1326"/>
      <c r="AJ235" s="45">
        <f>SUM(E235:AI235)</f>
        <v>182400</v>
      </c>
      <c r="AK235" s="45"/>
      <c r="AL235" s="46">
        <f>+AJ235*AN233</f>
        <v>1066746.3360000001</v>
      </c>
      <c r="AM235" s="934"/>
      <c r="AN235" s="277"/>
      <c r="AO235" s="632">
        <f>(AJ235+AJ237+AJ238+AJ239)*B237/1000</f>
        <v>560.866488</v>
      </c>
      <c r="AP235" s="47" t="s">
        <v>94</v>
      </c>
      <c r="AQ235" s="48">
        <f>SUM(E235:H235)</f>
        <v>41856</v>
      </c>
      <c r="AR235" s="49">
        <f>SUM(I235:O235)</f>
        <v>54144</v>
      </c>
      <c r="AS235" s="49">
        <f>SUM(P235:V235)</f>
        <v>55296</v>
      </c>
      <c r="AT235" s="49">
        <f>SUM(W235:AC235)</f>
        <v>31104</v>
      </c>
      <c r="AU235" s="49">
        <f>SUM(AD235:AI235)</f>
        <v>0</v>
      </c>
      <c r="AV235" s="50">
        <f t="shared" si="533"/>
        <v>182400</v>
      </c>
    </row>
    <row r="236" spans="1:48" s="23" customFormat="1" ht="20.65" customHeight="1">
      <c r="A236" s="276"/>
      <c r="B236" s="763" t="s">
        <v>247</v>
      </c>
      <c r="C236" s="1245">
        <f>+C234*0.8</f>
        <v>54000</v>
      </c>
      <c r="D236" s="53" t="s">
        <v>96</v>
      </c>
      <c r="E236" s="1137">
        <f t="shared" ref="E236:AJ236" si="534">+E235-E233</f>
        <v>-6240</v>
      </c>
      <c r="F236" s="1097">
        <f t="shared" si="534"/>
        <v>96</v>
      </c>
      <c r="G236" s="1205">
        <f t="shared" si="534"/>
        <v>-96</v>
      </c>
      <c r="H236" s="1097">
        <f t="shared" si="534"/>
        <v>96</v>
      </c>
      <c r="I236" s="1097">
        <f t="shared" si="534"/>
        <v>-480</v>
      </c>
      <c r="J236" s="1205">
        <f t="shared" si="534"/>
        <v>0</v>
      </c>
      <c r="K236" s="1205">
        <f t="shared" si="534"/>
        <v>0</v>
      </c>
      <c r="L236" s="1097">
        <f t="shared" si="534"/>
        <v>2640</v>
      </c>
      <c r="M236" s="1097">
        <f t="shared" si="534"/>
        <v>-480</v>
      </c>
      <c r="N236" s="1097">
        <f t="shared" si="534"/>
        <v>-1056</v>
      </c>
      <c r="O236" s="1097">
        <f t="shared" si="534"/>
        <v>-480</v>
      </c>
      <c r="P236" s="1097">
        <f t="shared" si="534"/>
        <v>672</v>
      </c>
      <c r="Q236" s="1205">
        <f t="shared" si="534"/>
        <v>0</v>
      </c>
      <c r="R236" s="1205">
        <f t="shared" si="534"/>
        <v>0</v>
      </c>
      <c r="S236" s="1097">
        <f t="shared" si="534"/>
        <v>336</v>
      </c>
      <c r="T236" s="1097">
        <f t="shared" si="534"/>
        <v>96</v>
      </c>
      <c r="U236" s="1097">
        <f t="shared" si="534"/>
        <v>96</v>
      </c>
      <c r="V236" s="1097">
        <f t="shared" si="534"/>
        <v>96</v>
      </c>
      <c r="W236" s="1097">
        <f t="shared" si="534"/>
        <v>96</v>
      </c>
      <c r="X236" s="1205">
        <f t="shared" si="534"/>
        <v>0</v>
      </c>
      <c r="Y236" s="1205">
        <f t="shared" si="534"/>
        <v>0</v>
      </c>
      <c r="Z236" s="1097">
        <f t="shared" si="534"/>
        <v>912</v>
      </c>
      <c r="AA236" s="1097">
        <f t="shared" si="534"/>
        <v>96</v>
      </c>
      <c r="AB236" s="1097">
        <f t="shared" si="534"/>
        <v>-12000</v>
      </c>
      <c r="AC236" s="1097">
        <f t="shared" si="534"/>
        <v>-12000</v>
      </c>
      <c r="AD236" s="1097">
        <f t="shared" si="534"/>
        <v>-12000</v>
      </c>
      <c r="AE236" s="1205">
        <f t="shared" si="534"/>
        <v>0</v>
      </c>
      <c r="AF236" s="1205">
        <f t="shared" si="534"/>
        <v>0</v>
      </c>
      <c r="AG236" s="1097">
        <f t="shared" si="534"/>
        <v>-6000</v>
      </c>
      <c r="AH236" s="1097">
        <f t="shared" si="534"/>
        <v>-12000</v>
      </c>
      <c r="AI236" s="1328">
        <f t="shared" si="534"/>
        <v>0</v>
      </c>
      <c r="AJ236" s="79">
        <f t="shared" si="534"/>
        <v>-57600</v>
      </c>
      <c r="AK236" s="79"/>
      <c r="AL236" s="55">
        <f>+AJ236*AN233</f>
        <v>-336867.26400000002</v>
      </c>
      <c r="AM236" s="935"/>
      <c r="AN236" s="277" t="s">
        <v>97</v>
      </c>
      <c r="AO236" s="622"/>
      <c r="AP236" s="39" t="s">
        <v>98</v>
      </c>
      <c r="AQ236" s="56">
        <f>AQ235-AQ234</f>
        <v>-6144</v>
      </c>
      <c r="AR236" s="70">
        <f>AR235-AR234</f>
        <v>144</v>
      </c>
      <c r="AS236" s="70">
        <f>AS235-AS234</f>
        <v>1296</v>
      </c>
      <c r="AT236" s="70">
        <f>AT235-AT234</f>
        <v>-22896</v>
      </c>
      <c r="AU236" s="70">
        <f>AU235-AU234</f>
        <v>-30000</v>
      </c>
      <c r="AV236" s="57">
        <f t="shared" si="533"/>
        <v>-57600</v>
      </c>
    </row>
    <row r="237" spans="1:48" s="23" customFormat="1" ht="20.65" customHeight="1">
      <c r="A237" s="276"/>
      <c r="B237" s="764">
        <v>2.9820000000000002</v>
      </c>
      <c r="C237" s="1247"/>
      <c r="D237" s="61" t="s">
        <v>101</v>
      </c>
      <c r="E237" s="1098">
        <v>632</v>
      </c>
      <c r="F237" s="1099">
        <v>0</v>
      </c>
      <c r="G237" s="1208">
        <v>0</v>
      </c>
      <c r="H237" s="1099">
        <v>0</v>
      </c>
      <c r="I237" s="1099">
        <v>0</v>
      </c>
      <c r="J237" s="1208">
        <v>0</v>
      </c>
      <c r="K237" s="1208">
        <v>0</v>
      </c>
      <c r="L237" s="1099">
        <v>200</v>
      </c>
      <c r="M237" s="1099">
        <v>160</v>
      </c>
      <c r="N237" s="1099">
        <v>0</v>
      </c>
      <c r="O237" s="1099">
        <v>380</v>
      </c>
      <c r="P237" s="1099">
        <v>0</v>
      </c>
      <c r="Q237" s="1208">
        <v>0</v>
      </c>
      <c r="R237" s="1208">
        <v>0</v>
      </c>
      <c r="S237" s="1099">
        <f>500+240</f>
        <v>740</v>
      </c>
      <c r="T237" s="1099">
        <v>0</v>
      </c>
      <c r="U237" s="1099">
        <v>0</v>
      </c>
      <c r="V237" s="1099">
        <v>0</v>
      </c>
      <c r="W237" s="1099">
        <v>0</v>
      </c>
      <c r="X237" s="1208">
        <v>0</v>
      </c>
      <c r="Y237" s="1208">
        <v>0</v>
      </c>
      <c r="Z237" s="1099">
        <v>120</v>
      </c>
      <c r="AA237" s="1099">
        <v>0</v>
      </c>
      <c r="AB237" s="1099"/>
      <c r="AC237" s="1099"/>
      <c r="AD237" s="1099"/>
      <c r="AE237" s="1208"/>
      <c r="AF237" s="1208"/>
      <c r="AG237" s="1099"/>
      <c r="AH237" s="1099"/>
      <c r="AI237" s="1330"/>
      <c r="AJ237" s="62">
        <f>SUM(E237:AI237)</f>
        <v>2232</v>
      </c>
      <c r="AK237" s="62"/>
      <c r="AL237" s="63">
        <f>+AJ237*AN233</f>
        <v>13053.60648</v>
      </c>
      <c r="AM237" s="936"/>
      <c r="AN237" s="301">
        <f>+AJ237/AJ235*100</f>
        <v>1.2236842105263157</v>
      </c>
      <c r="AO237" s="635">
        <f>AO235/AO233</f>
        <v>0.7836833333333334</v>
      </c>
      <c r="AP237" s="39" t="s">
        <v>102</v>
      </c>
      <c r="AQ237" s="56">
        <f>SUM(E237:H237)</f>
        <v>632</v>
      </c>
      <c r="AR237" s="70">
        <f>SUM(I237:O237)</f>
        <v>740</v>
      </c>
      <c r="AS237" s="70">
        <f>SUM(P237:V237)</f>
        <v>740</v>
      </c>
      <c r="AT237" s="70">
        <f>SUM(W237:AC237)</f>
        <v>120</v>
      </c>
      <c r="AU237" s="70">
        <f>SUM(AD237:AI237)</f>
        <v>0</v>
      </c>
      <c r="AV237" s="57">
        <f t="shared" si="533"/>
        <v>2232</v>
      </c>
    </row>
    <row r="238" spans="1:48" s="23" customFormat="1" ht="20.65" customHeight="1">
      <c r="A238" s="276"/>
      <c r="B238" s="334" t="s">
        <v>390</v>
      </c>
      <c r="C238" s="52" t="s">
        <v>95</v>
      </c>
      <c r="D238" s="67" t="s">
        <v>103</v>
      </c>
      <c r="E238" s="1100">
        <v>72</v>
      </c>
      <c r="F238" s="1101">
        <v>144</v>
      </c>
      <c r="G238" s="1209">
        <v>144</v>
      </c>
      <c r="H238" s="1101">
        <v>144</v>
      </c>
      <c r="I238" s="1101">
        <v>144</v>
      </c>
      <c r="J238" s="1209">
        <v>0</v>
      </c>
      <c r="K238" s="1209">
        <v>0</v>
      </c>
      <c r="L238" s="1101">
        <v>108</v>
      </c>
      <c r="M238" s="1101">
        <v>144</v>
      </c>
      <c r="N238" s="1101">
        <v>144</v>
      </c>
      <c r="O238" s="1101">
        <v>144</v>
      </c>
      <c r="P238" s="1101">
        <v>144</v>
      </c>
      <c r="Q238" s="1209">
        <v>0</v>
      </c>
      <c r="R238" s="1209">
        <v>0</v>
      </c>
      <c r="S238" s="1101">
        <v>72</v>
      </c>
      <c r="T238" s="1101">
        <v>144</v>
      </c>
      <c r="U238" s="1101">
        <v>144</v>
      </c>
      <c r="V238" s="1101">
        <v>144</v>
      </c>
      <c r="W238" s="1101">
        <v>144</v>
      </c>
      <c r="X238" s="1209">
        <v>0</v>
      </c>
      <c r="Y238" s="1209">
        <v>0</v>
      </c>
      <c r="Z238" s="1101">
        <v>72</v>
      </c>
      <c r="AA238" s="1101">
        <v>144</v>
      </c>
      <c r="AB238" s="1101"/>
      <c r="AC238" s="1101"/>
      <c r="AD238" s="1101"/>
      <c r="AE238" s="1209"/>
      <c r="AF238" s="1209"/>
      <c r="AG238" s="1101"/>
      <c r="AH238" s="1101"/>
      <c r="AI238" s="1332"/>
      <c r="AJ238" s="68">
        <f>SUM(E238:AI238)</f>
        <v>2196</v>
      </c>
      <c r="AK238" s="68"/>
      <c r="AL238" s="69">
        <f>+AJ238*AN233</f>
        <v>12843.06444</v>
      </c>
      <c r="AM238" s="937"/>
      <c r="AN238" s="277"/>
      <c r="AO238" s="679"/>
      <c r="AP238" s="39" t="s">
        <v>19</v>
      </c>
      <c r="AQ238" s="56">
        <f>AQ237*AN233</f>
        <v>3696.1824799999999</v>
      </c>
      <c r="AR238" s="56">
        <f>AR237*AN233</f>
        <v>4327.8086000000003</v>
      </c>
      <c r="AS238" s="56">
        <f>AS237*AN233</f>
        <v>4327.8086000000003</v>
      </c>
      <c r="AT238" s="56">
        <f>AT237*AN233</f>
        <v>701.80680000000007</v>
      </c>
      <c r="AU238" s="56">
        <f>AU237*AN233</f>
        <v>0</v>
      </c>
      <c r="AV238" s="57">
        <f t="shared" si="533"/>
        <v>13053.60648</v>
      </c>
    </row>
    <row r="239" spans="1:48" s="23" customFormat="1" ht="20.65" customHeight="1">
      <c r="A239" s="283"/>
      <c r="B239" s="89"/>
      <c r="C239" s="306" t="s">
        <v>387</v>
      </c>
      <c r="D239" s="73" t="s">
        <v>105</v>
      </c>
      <c r="E239" s="1102">
        <v>32</v>
      </c>
      <c r="F239" s="1103">
        <v>80</v>
      </c>
      <c r="G239" s="1210">
        <v>96</v>
      </c>
      <c r="H239" s="1103">
        <v>96</v>
      </c>
      <c r="I239" s="1103">
        <v>80</v>
      </c>
      <c r="J239" s="1210">
        <v>0</v>
      </c>
      <c r="K239" s="1210">
        <v>0</v>
      </c>
      <c r="L239" s="1103">
        <v>56</v>
      </c>
      <c r="M239" s="1103">
        <v>80</v>
      </c>
      <c r="N239" s="1103">
        <v>96</v>
      </c>
      <c r="O239" s="1103">
        <v>96</v>
      </c>
      <c r="P239" s="1103">
        <v>96</v>
      </c>
      <c r="Q239" s="1210">
        <v>0</v>
      </c>
      <c r="R239" s="1210">
        <v>0</v>
      </c>
      <c r="S239" s="1103">
        <v>48</v>
      </c>
      <c r="T239" s="1103">
        <v>80</v>
      </c>
      <c r="U239" s="1103">
        <v>80</v>
      </c>
      <c r="V239" s="1103">
        <v>80</v>
      </c>
      <c r="W239" s="1103">
        <v>80</v>
      </c>
      <c r="X239" s="1210">
        <v>0</v>
      </c>
      <c r="Y239" s="1210">
        <v>0</v>
      </c>
      <c r="Z239" s="1103">
        <v>0</v>
      </c>
      <c r="AA239" s="1103">
        <v>80</v>
      </c>
      <c r="AB239" s="1103"/>
      <c r="AC239" s="1103"/>
      <c r="AD239" s="1103"/>
      <c r="AE239" s="1210"/>
      <c r="AF239" s="1210"/>
      <c r="AG239" s="1103"/>
      <c r="AH239" s="1103"/>
      <c r="AI239" s="1352"/>
      <c r="AJ239" s="74">
        <f>SUM(E239:AI239)</f>
        <v>1256</v>
      </c>
      <c r="AK239" s="74"/>
      <c r="AL239" s="75">
        <f>+AJ239*AN233</f>
        <v>7345.5778399999999</v>
      </c>
      <c r="AM239" s="938"/>
      <c r="AN239" s="91"/>
      <c r="AO239" s="630"/>
      <c r="AP239" s="47" t="s">
        <v>106</v>
      </c>
      <c r="AQ239" s="48">
        <f>AQ235*AN233</f>
        <v>244790.21184</v>
      </c>
      <c r="AR239" s="48">
        <f>AR235*AN233</f>
        <v>316655.22816</v>
      </c>
      <c r="AS239" s="48">
        <f>AS235*AN233</f>
        <v>323392.57344000001</v>
      </c>
      <c r="AT239" s="48">
        <f>AT235*AN233</f>
        <v>181908.32256</v>
      </c>
      <c r="AU239" s="48">
        <f>AU235*AN233</f>
        <v>0</v>
      </c>
      <c r="AV239" s="50">
        <f t="shared" si="533"/>
        <v>1066746.3359999999</v>
      </c>
    </row>
    <row r="240" spans="1:48" s="23" customFormat="1" ht="20.65" customHeight="1">
      <c r="A240" s="283"/>
      <c r="B240" s="89"/>
      <c r="C240" s="307"/>
      <c r="D240" s="78" t="s">
        <v>107</v>
      </c>
      <c r="E240" s="1137">
        <v>4</v>
      </c>
      <c r="F240" s="1097">
        <v>4</v>
      </c>
      <c r="G240" s="1205">
        <v>4</v>
      </c>
      <c r="H240" s="1097">
        <v>4</v>
      </c>
      <c r="I240" s="1097">
        <v>4</v>
      </c>
      <c r="J240" s="1205">
        <v>4</v>
      </c>
      <c r="K240" s="1205">
        <v>4</v>
      </c>
      <c r="L240" s="1097">
        <v>4</v>
      </c>
      <c r="M240" s="1097">
        <v>4</v>
      </c>
      <c r="N240" s="1097">
        <v>4</v>
      </c>
      <c r="O240" s="1097">
        <v>4</v>
      </c>
      <c r="P240" s="1097">
        <v>4</v>
      </c>
      <c r="Q240" s="1205">
        <v>4</v>
      </c>
      <c r="R240" s="1205">
        <v>4</v>
      </c>
      <c r="S240" s="1097">
        <v>4</v>
      </c>
      <c r="T240" s="1097">
        <v>4</v>
      </c>
      <c r="U240" s="1097">
        <v>4</v>
      </c>
      <c r="V240" s="1097">
        <v>4</v>
      </c>
      <c r="W240" s="1097">
        <v>4</v>
      </c>
      <c r="X240" s="1205">
        <v>4</v>
      </c>
      <c r="Y240" s="1205">
        <v>4</v>
      </c>
      <c r="Z240" s="1097">
        <v>4</v>
      </c>
      <c r="AA240" s="1097">
        <v>4</v>
      </c>
      <c r="AB240" s="1097">
        <v>4</v>
      </c>
      <c r="AC240" s="1097">
        <v>4</v>
      </c>
      <c r="AD240" s="1097">
        <v>4</v>
      </c>
      <c r="AE240" s="1205">
        <v>4</v>
      </c>
      <c r="AF240" s="1205">
        <v>4</v>
      </c>
      <c r="AG240" s="1097">
        <v>4</v>
      </c>
      <c r="AH240" s="1097">
        <v>4</v>
      </c>
      <c r="AI240" s="1328">
        <v>4</v>
      </c>
      <c r="AJ240" s="79"/>
      <c r="AK240" s="79"/>
      <c r="AL240" s="692"/>
      <c r="AM240" s="960"/>
      <c r="AN240" s="277"/>
      <c r="AO240" s="679"/>
      <c r="AP240" s="391"/>
      <c r="AQ240" s="48"/>
      <c r="AR240" s="48"/>
      <c r="AS240" s="48"/>
      <c r="AT240" s="48"/>
      <c r="AU240" s="48"/>
      <c r="AV240" s="4"/>
    </row>
    <row r="241" spans="1:56" s="23" customFormat="1" ht="20.65" customHeight="1">
      <c r="A241" s="276"/>
      <c r="B241" s="89"/>
      <c r="C241" s="305"/>
      <c r="D241" s="81" t="s">
        <v>109</v>
      </c>
      <c r="E241" s="1125">
        <f>SUM(E235+E237+E238+E239)/E240</f>
        <v>1624</v>
      </c>
      <c r="F241" s="1126">
        <f>SUM(F235+F237+F238+F239)/F240</f>
        <v>3080</v>
      </c>
      <c r="G241" s="1235">
        <f>SUM(G235+G237+G238+G239)/G240</f>
        <v>3036</v>
      </c>
      <c r="H241" s="1126">
        <f t="shared" ref="H241:AH241" si="535">SUM(H235+H237+H238+H239)/H240</f>
        <v>3084</v>
      </c>
      <c r="I241" s="1126">
        <f t="shared" si="535"/>
        <v>2936</v>
      </c>
      <c r="J241" s="1235">
        <f t="shared" si="535"/>
        <v>0</v>
      </c>
      <c r="K241" s="1235">
        <f t="shared" si="535"/>
        <v>0</v>
      </c>
      <c r="L241" s="1126">
        <f t="shared" si="535"/>
        <v>2251</v>
      </c>
      <c r="M241" s="1126">
        <f t="shared" si="535"/>
        <v>2976</v>
      </c>
      <c r="N241" s="1126">
        <f t="shared" si="535"/>
        <v>2796</v>
      </c>
      <c r="O241" s="1126">
        <f t="shared" si="535"/>
        <v>3035</v>
      </c>
      <c r="P241" s="1126">
        <f t="shared" si="535"/>
        <v>3228</v>
      </c>
      <c r="Q241" s="1235">
        <f t="shared" si="535"/>
        <v>0</v>
      </c>
      <c r="R241" s="1235">
        <f t="shared" si="535"/>
        <v>0</v>
      </c>
      <c r="S241" s="1126">
        <f t="shared" si="535"/>
        <v>1799</v>
      </c>
      <c r="T241" s="1126">
        <f t="shared" si="535"/>
        <v>3080</v>
      </c>
      <c r="U241" s="1126">
        <f t="shared" si="535"/>
        <v>3080</v>
      </c>
      <c r="V241" s="1126">
        <f t="shared" si="535"/>
        <v>3080</v>
      </c>
      <c r="W241" s="1126">
        <f t="shared" si="535"/>
        <v>3080</v>
      </c>
      <c r="X241" s="1235">
        <f t="shared" si="535"/>
        <v>0</v>
      </c>
      <c r="Y241" s="1235">
        <f t="shared" si="535"/>
        <v>0</v>
      </c>
      <c r="Z241" s="1126">
        <f t="shared" si="535"/>
        <v>1776</v>
      </c>
      <c r="AA241" s="1126">
        <f t="shared" si="535"/>
        <v>3080</v>
      </c>
      <c r="AB241" s="1126">
        <f t="shared" si="535"/>
        <v>0</v>
      </c>
      <c r="AC241" s="1126">
        <f t="shared" si="535"/>
        <v>0</v>
      </c>
      <c r="AD241" s="1126">
        <f t="shared" si="535"/>
        <v>0</v>
      </c>
      <c r="AE241" s="1235">
        <f t="shared" si="535"/>
        <v>0</v>
      </c>
      <c r="AF241" s="1235">
        <f t="shared" si="535"/>
        <v>0</v>
      </c>
      <c r="AG241" s="1126">
        <f t="shared" si="535"/>
        <v>0</v>
      </c>
      <c r="AH241" s="1126">
        <f t="shared" si="535"/>
        <v>0</v>
      </c>
      <c r="AI241" s="1335">
        <f>SUM(AI235+AI237+AI238)/AI240</f>
        <v>0</v>
      </c>
      <c r="AJ241" s="515">
        <f>SUM(E241:AI241)</f>
        <v>47021</v>
      </c>
      <c r="AK241" s="515"/>
      <c r="AL241" s="689"/>
      <c r="AM241" s="940"/>
      <c r="AN241" s="277"/>
      <c r="AO241" s="679"/>
      <c r="AP241" s="285"/>
      <c r="AQ241" s="285"/>
      <c r="AR241" s="285"/>
      <c r="AS241" s="285"/>
      <c r="AT241" s="286"/>
      <c r="AU241" s="285"/>
      <c r="AV241" s="287"/>
    </row>
    <row r="242" spans="1:56" s="23" customFormat="1" ht="20.65" customHeight="1">
      <c r="A242" s="276"/>
      <c r="B242" s="89"/>
      <c r="C242" s="72"/>
      <c r="D242" s="85" t="s">
        <v>110</v>
      </c>
      <c r="E242" s="1336"/>
      <c r="F242" s="1106"/>
      <c r="G242" s="1228"/>
      <c r="H242" s="1107"/>
      <c r="I242" s="1107"/>
      <c r="J242" s="1228"/>
      <c r="K242" s="1228"/>
      <c r="L242" s="1107"/>
      <c r="M242" s="1107"/>
      <c r="N242" s="1107"/>
      <c r="O242" s="1107"/>
      <c r="P242" s="1107"/>
      <c r="Q242" s="1228"/>
      <c r="R242" s="1228"/>
      <c r="S242" s="1107"/>
      <c r="T242" s="1107"/>
      <c r="U242" s="1107"/>
      <c r="V242" s="1107"/>
      <c r="W242" s="1107"/>
      <c r="X242" s="1228" t="s">
        <v>534</v>
      </c>
      <c r="Y242" s="1228"/>
      <c r="Z242" s="1107"/>
      <c r="AA242" s="1107"/>
      <c r="AB242" s="1107"/>
      <c r="AC242" s="1107"/>
      <c r="AD242" s="1107"/>
      <c r="AE242" s="1228"/>
      <c r="AF242" s="1228"/>
      <c r="AG242" s="1107"/>
      <c r="AH242" s="1107"/>
      <c r="AI242" s="1337"/>
      <c r="AJ242" s="86"/>
      <c r="AK242" s="86"/>
      <c r="AL242" s="690"/>
      <c r="AM242" s="940"/>
      <c r="AN242" s="277"/>
      <c r="AO242" s="679"/>
      <c r="AP242" s="285"/>
      <c r="AQ242" s="285"/>
      <c r="AR242" s="285"/>
      <c r="AS242" s="285"/>
      <c r="AT242" s="286"/>
      <c r="AU242" s="285"/>
      <c r="AV242" s="287"/>
    </row>
    <row r="243" spans="1:56" s="23" customFormat="1" ht="20.65" customHeight="1">
      <c r="A243" s="276"/>
      <c r="B243" s="89" t="s">
        <v>549</v>
      </c>
      <c r="C243" s="72" t="s">
        <v>104</v>
      </c>
      <c r="D243" s="88" t="s">
        <v>111</v>
      </c>
      <c r="E243" s="1108">
        <f>IF(E242="O/H",E241,10106+E241)</f>
        <v>11730</v>
      </c>
      <c r="F243" s="1089">
        <f t="shared" ref="F243:AI243" si="536">IF(F242="O/H",F241,+E243+F241)</f>
        <v>14810</v>
      </c>
      <c r="G243" s="44">
        <f t="shared" si="536"/>
        <v>17846</v>
      </c>
      <c r="H243" s="1089">
        <f t="shared" si="536"/>
        <v>20930</v>
      </c>
      <c r="I243" s="1089">
        <f t="shared" si="536"/>
        <v>23866</v>
      </c>
      <c r="J243" s="44">
        <f t="shared" si="536"/>
        <v>23866</v>
      </c>
      <c r="K243" s="44">
        <f t="shared" si="536"/>
        <v>23866</v>
      </c>
      <c r="L243" s="1089">
        <f t="shared" si="536"/>
        <v>26117</v>
      </c>
      <c r="M243" s="1089">
        <f t="shared" si="536"/>
        <v>29093</v>
      </c>
      <c r="N243" s="1089">
        <f t="shared" si="536"/>
        <v>31889</v>
      </c>
      <c r="O243" s="1089">
        <f t="shared" si="536"/>
        <v>34924</v>
      </c>
      <c r="P243" s="1089">
        <f t="shared" si="536"/>
        <v>38152</v>
      </c>
      <c r="Q243" s="44">
        <f t="shared" si="536"/>
        <v>38152</v>
      </c>
      <c r="R243" s="44">
        <f t="shared" si="536"/>
        <v>38152</v>
      </c>
      <c r="S243" s="1089">
        <f t="shared" si="536"/>
        <v>39951</v>
      </c>
      <c r="T243" s="1089">
        <f t="shared" si="536"/>
        <v>43031</v>
      </c>
      <c r="U243" s="1089">
        <f t="shared" si="536"/>
        <v>46111</v>
      </c>
      <c r="V243" s="1089">
        <f t="shared" si="536"/>
        <v>49191</v>
      </c>
      <c r="W243" s="1089">
        <f t="shared" si="536"/>
        <v>52271</v>
      </c>
      <c r="X243" s="44">
        <f t="shared" si="536"/>
        <v>0</v>
      </c>
      <c r="Y243" s="44">
        <f t="shared" si="536"/>
        <v>0</v>
      </c>
      <c r="Z243" s="1089">
        <f t="shared" si="536"/>
        <v>1776</v>
      </c>
      <c r="AA243" s="1089">
        <f t="shared" si="536"/>
        <v>4856</v>
      </c>
      <c r="AB243" s="1089">
        <f t="shared" si="536"/>
        <v>4856</v>
      </c>
      <c r="AC243" s="1089">
        <f t="shared" si="536"/>
        <v>4856</v>
      </c>
      <c r="AD243" s="1089">
        <f t="shared" si="536"/>
        <v>4856</v>
      </c>
      <c r="AE243" s="44">
        <f t="shared" si="536"/>
        <v>4856</v>
      </c>
      <c r="AF243" s="44">
        <f t="shared" si="536"/>
        <v>4856</v>
      </c>
      <c r="AG243" s="1089">
        <f t="shared" si="536"/>
        <v>4856</v>
      </c>
      <c r="AH243" s="1089">
        <f t="shared" si="536"/>
        <v>4856</v>
      </c>
      <c r="AI243" s="1326">
        <f t="shared" si="536"/>
        <v>4856</v>
      </c>
      <c r="AJ243" s="79"/>
      <c r="AK243" s="79"/>
      <c r="AL243" s="690"/>
      <c r="AM243" s="940"/>
      <c r="AN243" s="277"/>
      <c r="AO243" s="679"/>
      <c r="AP243" s="285"/>
      <c r="AQ243" s="285"/>
      <c r="AR243" s="285"/>
      <c r="AS243" s="285"/>
      <c r="AT243" s="286"/>
      <c r="AU243" s="285"/>
      <c r="AV243" s="287"/>
    </row>
    <row r="244" spans="1:56" s="23" customFormat="1" ht="20.45" customHeight="1">
      <c r="A244" s="312"/>
      <c r="B244" s="312"/>
      <c r="C244" s="308">
        <v>300000</v>
      </c>
      <c r="D244" s="795" t="s">
        <v>112</v>
      </c>
      <c r="E244" s="1117">
        <f>IF(AND(ISNUMBER(E235)),1740508+E241)</f>
        <v>1742132</v>
      </c>
      <c r="F244" s="1118">
        <f>IF(AND(ISNUMBER(F235)),E244+F241,"")</f>
        <v>1745212</v>
      </c>
      <c r="G244" s="1216">
        <f t="shared" ref="G244" si="537">IF(AND(ISNUMBER(G235)),F244+G241,"")</f>
        <v>1748248</v>
      </c>
      <c r="H244" s="1118">
        <f t="shared" ref="H244" si="538">IF(AND(ISNUMBER(H235)),G244+H241,"")</f>
        <v>1751332</v>
      </c>
      <c r="I244" s="1118">
        <f>IF(AND(ISNUMBER(I235)),H244+I241,"")</f>
        <v>1754268</v>
      </c>
      <c r="J244" s="1216">
        <f>IF(AND(ISNUMBER(J235)),I244+J241,"")</f>
        <v>1754268</v>
      </c>
      <c r="K244" s="1216">
        <f>IF(AND(ISNUMBER(K235)),J244+K241,"")</f>
        <v>1754268</v>
      </c>
      <c r="L244" s="1118">
        <f t="shared" ref="L244" si="539">IF(AND(ISNUMBER(L235)),K244+L241,"")</f>
        <v>1756519</v>
      </c>
      <c r="M244" s="1118">
        <f t="shared" ref="M244" si="540">IF(AND(ISNUMBER(M235)),L244+M241,"")</f>
        <v>1759495</v>
      </c>
      <c r="N244" s="1118">
        <f t="shared" ref="N244" si="541">IF(AND(ISNUMBER(N235)),M244+N241,"")</f>
        <v>1762291</v>
      </c>
      <c r="O244" s="1118">
        <f t="shared" ref="O244" si="542">IF(AND(ISNUMBER(O235)),N244+O241,"")</f>
        <v>1765326</v>
      </c>
      <c r="P244" s="1118">
        <f t="shared" ref="P244" si="543">IF(AND(ISNUMBER(P235)),O244+P241,"")</f>
        <v>1768554</v>
      </c>
      <c r="Q244" s="1216">
        <f t="shared" ref="Q244" si="544">IF(AND(ISNUMBER(Q235)),P244+Q241,"")</f>
        <v>1768554</v>
      </c>
      <c r="R244" s="1216">
        <f t="shared" ref="R244" si="545">IF(AND(ISNUMBER(R235)),Q244+R241,"")</f>
        <v>1768554</v>
      </c>
      <c r="S244" s="1118">
        <f t="shared" ref="S244" si="546">IF(AND(ISNUMBER(S235)),R244+S241,"")</f>
        <v>1770353</v>
      </c>
      <c r="T244" s="1118">
        <f t="shared" ref="T244" si="547">IF(AND(ISNUMBER(T235)),S244+T241,"")</f>
        <v>1773433</v>
      </c>
      <c r="U244" s="1118">
        <f t="shared" ref="U244" si="548">IF(AND(ISNUMBER(U235)),T244+U241,"")</f>
        <v>1776513</v>
      </c>
      <c r="V244" s="1118">
        <f t="shared" ref="V244" si="549">IF(AND(ISNUMBER(V235)),U244+V241,"")</f>
        <v>1779593</v>
      </c>
      <c r="W244" s="1118">
        <f t="shared" ref="W244" si="550">IF(AND(ISNUMBER(W235)),V244+W241,"")</f>
        <v>1782673</v>
      </c>
      <c r="X244" s="1216">
        <f t="shared" ref="X244" si="551">IF(AND(ISNUMBER(X235)),W244+X241,"")</f>
        <v>1782673</v>
      </c>
      <c r="Y244" s="1216">
        <f t="shared" ref="Y244" si="552">IF(AND(ISNUMBER(Y235)),X244+Y241,"")</f>
        <v>1782673</v>
      </c>
      <c r="Z244" s="1118">
        <f t="shared" ref="Z244" si="553">IF(AND(ISNUMBER(Z235)),Y244+Z241,"")</f>
        <v>1784449</v>
      </c>
      <c r="AA244" s="1118">
        <f t="shared" ref="AA244" si="554">IF(AND(ISNUMBER(AA235)),Z244+AA241,"")</f>
        <v>1787529</v>
      </c>
      <c r="AB244" s="1118" t="str">
        <f t="shared" ref="AB244" si="555">IF(AND(ISNUMBER(AB235)),AA244+AB241,"")</f>
        <v/>
      </c>
      <c r="AC244" s="1118" t="str">
        <f t="shared" ref="AC244" si="556">IF(AND(ISNUMBER(AC235)),AB244+AC241,"")</f>
        <v/>
      </c>
      <c r="AD244" s="1118" t="str">
        <f t="shared" ref="AD244" si="557">IF(AND(ISNUMBER(AD235)),AC244+AD241,"")</f>
        <v/>
      </c>
      <c r="AE244" s="1216" t="str">
        <f t="shared" ref="AE244" si="558">IF(AND(ISNUMBER(AE235)),AD244+AE241,"")</f>
        <v/>
      </c>
      <c r="AF244" s="1216" t="str">
        <f t="shared" ref="AF244" si="559">IF(AND(ISNUMBER(AF235)),AE244+AF241,"")</f>
        <v/>
      </c>
      <c r="AG244" s="1118" t="str">
        <f t="shared" ref="AG244" si="560">IF(AND(ISNUMBER(AG235)),AF244+AG241,"")</f>
        <v/>
      </c>
      <c r="AH244" s="1118" t="str">
        <f t="shared" ref="AH244" si="561">IF(AND(ISNUMBER(AH235)),AG244+AH241,"")</f>
        <v/>
      </c>
      <c r="AI244" s="1089" t="str">
        <f t="shared" ref="AI244" si="562">IF(AND(ISNUMBER(AI235)),AH244+AI241,"")</f>
        <v/>
      </c>
      <c r="AJ244" s="793"/>
      <c r="AK244" s="793"/>
      <c r="AL244" s="909"/>
      <c r="AM244" s="794"/>
      <c r="AN244" s="429"/>
      <c r="AO244" s="675"/>
      <c r="AP244" s="285"/>
      <c r="AQ244" s="285"/>
      <c r="AR244" s="285"/>
      <c r="AS244" s="285"/>
      <c r="AT244" s="286"/>
      <c r="AU244" s="285"/>
      <c r="AV244" s="287"/>
    </row>
    <row r="245" spans="1:56" s="23" customFormat="1" ht="20.25" customHeight="1">
      <c r="A245" s="276"/>
      <c r="B245" s="89"/>
      <c r="C245" s="80" t="s">
        <v>108</v>
      </c>
      <c r="D245" s="90" t="s">
        <v>104</v>
      </c>
      <c r="E245" s="1338"/>
      <c r="F245" s="1106"/>
      <c r="G245" s="1253"/>
      <c r="H245" s="1106"/>
      <c r="I245" s="1106"/>
      <c r="J245" s="1253"/>
      <c r="K245" s="1253"/>
      <c r="L245" s="1106"/>
      <c r="M245" s="1106"/>
      <c r="N245" s="1106"/>
      <c r="O245" s="1106"/>
      <c r="P245" s="1106"/>
      <c r="Q245" s="1253"/>
      <c r="R245" s="1253"/>
      <c r="S245" s="1106"/>
      <c r="T245" s="1106"/>
      <c r="U245" s="1106"/>
      <c r="V245" s="1106"/>
      <c r="W245" s="1106"/>
      <c r="X245" s="1253"/>
      <c r="Y245" s="1253"/>
      <c r="Z245" s="1106"/>
      <c r="AA245" s="1106"/>
      <c r="AB245" s="1106"/>
      <c r="AC245" s="1106"/>
      <c r="AD245" s="1106"/>
      <c r="AE245" s="1253"/>
      <c r="AF245" s="1253"/>
      <c r="AG245" s="1106"/>
      <c r="AH245" s="1106"/>
      <c r="AI245" s="1339"/>
      <c r="AJ245" s="79"/>
      <c r="AK245" s="79"/>
      <c r="AL245" s="690"/>
      <c r="AM245" s="940"/>
      <c r="AN245" s="277"/>
      <c r="AO245" s="679"/>
      <c r="AP245" s="285"/>
      <c r="AQ245" s="285"/>
      <c r="AR245" s="285"/>
      <c r="AS245" s="285"/>
      <c r="AT245" s="286"/>
      <c r="AU245" s="285"/>
      <c r="AV245" s="287"/>
      <c r="AW245" s="1081"/>
      <c r="AX245" s="1081"/>
      <c r="AY245" s="1081"/>
      <c r="AZ245" s="1081"/>
      <c r="BA245" s="1081"/>
      <c r="BB245" s="1081"/>
      <c r="BC245" s="1081"/>
      <c r="BD245" s="1081"/>
    </row>
    <row r="246" spans="1:56" s="23" customFormat="1" ht="20.65" customHeight="1" thickBot="1">
      <c r="A246" s="289"/>
      <c r="B246" s="93"/>
      <c r="C246" s="94">
        <f>+C244*0.8</f>
        <v>240000</v>
      </c>
      <c r="D246" s="88" t="s">
        <v>111</v>
      </c>
      <c r="E246" s="1109">
        <f>IF(E245="O/H",E241,98904+E241)</f>
        <v>100528</v>
      </c>
      <c r="F246" s="1110">
        <f t="shared" ref="F246:AI246" si="563">IF(F245="O/H",F241,+E246+F241)</f>
        <v>103608</v>
      </c>
      <c r="G246" s="1212">
        <f t="shared" si="563"/>
        <v>106644</v>
      </c>
      <c r="H246" s="1110">
        <f t="shared" ref="H246" si="564">IF(H245="O/H",H241,+G246+H241)</f>
        <v>109728</v>
      </c>
      <c r="I246" s="1110">
        <f t="shared" ref="I246" si="565">IF(I245="O/H",I241,+H246+I241)</f>
        <v>112664</v>
      </c>
      <c r="J246" s="1212">
        <f t="shared" ref="J246" si="566">IF(J245="O/H",J241,+I246+J241)</f>
        <v>112664</v>
      </c>
      <c r="K246" s="1212">
        <f t="shared" ref="K246" si="567">IF(K245="O/H",K241,+J246+K241)</f>
        <v>112664</v>
      </c>
      <c r="L246" s="1110">
        <f t="shared" ref="L246" si="568">IF(L245="O/H",L241,+K246+L241)</f>
        <v>114915</v>
      </c>
      <c r="M246" s="1110">
        <f t="shared" ref="M246" si="569">IF(M245="O/H",M241,+L246+M241)</f>
        <v>117891</v>
      </c>
      <c r="N246" s="1110">
        <f t="shared" ref="N246" si="570">IF(N245="O/H",N241,+M246+N241)</f>
        <v>120687</v>
      </c>
      <c r="O246" s="1110">
        <f t="shared" ref="O246" si="571">IF(O245="O/H",O241,+N246+O241)</f>
        <v>123722</v>
      </c>
      <c r="P246" s="1110">
        <f t="shared" ref="P246" si="572">IF(P245="O/H",P241,+O246+P241)</f>
        <v>126950</v>
      </c>
      <c r="Q246" s="1212">
        <f t="shared" ref="Q246" si="573">IF(Q245="O/H",Q241,+P246+Q241)</f>
        <v>126950</v>
      </c>
      <c r="R246" s="1212">
        <f t="shared" ref="R246" si="574">IF(R245="O/H",R241,+Q246+R241)</f>
        <v>126950</v>
      </c>
      <c r="S246" s="1110">
        <f t="shared" si="563"/>
        <v>128749</v>
      </c>
      <c r="T246" s="1110">
        <f t="shared" si="563"/>
        <v>131829</v>
      </c>
      <c r="U246" s="1110">
        <f t="shared" si="563"/>
        <v>134909</v>
      </c>
      <c r="V246" s="1110">
        <f t="shared" si="563"/>
        <v>137989</v>
      </c>
      <c r="W246" s="1110">
        <f t="shared" si="563"/>
        <v>141069</v>
      </c>
      <c r="X246" s="1212">
        <f t="shared" si="563"/>
        <v>141069</v>
      </c>
      <c r="Y246" s="1212">
        <f t="shared" si="563"/>
        <v>141069</v>
      </c>
      <c r="Z246" s="1110">
        <f t="shared" si="563"/>
        <v>142845</v>
      </c>
      <c r="AA246" s="1110">
        <f t="shared" si="563"/>
        <v>145925</v>
      </c>
      <c r="AB246" s="1110">
        <f t="shared" si="563"/>
        <v>145925</v>
      </c>
      <c r="AC246" s="1110">
        <f t="shared" si="563"/>
        <v>145925</v>
      </c>
      <c r="AD246" s="1110">
        <f t="shared" si="563"/>
        <v>145925</v>
      </c>
      <c r="AE246" s="1212">
        <f t="shared" si="563"/>
        <v>145925</v>
      </c>
      <c r="AF246" s="1212">
        <f t="shared" si="563"/>
        <v>145925</v>
      </c>
      <c r="AG246" s="1110">
        <f t="shared" si="563"/>
        <v>145925</v>
      </c>
      <c r="AH246" s="1110">
        <f t="shared" si="563"/>
        <v>145925</v>
      </c>
      <c r="AI246" s="1340">
        <f t="shared" si="563"/>
        <v>145925</v>
      </c>
      <c r="AJ246" s="96"/>
      <c r="AK246" s="723"/>
      <c r="AL246" s="695"/>
      <c r="AM246" s="961"/>
      <c r="AN246" s="292"/>
      <c r="AO246" s="681"/>
      <c r="AP246" s="285"/>
      <c r="AQ246" s="285"/>
      <c r="AR246" s="285"/>
      <c r="AS246" s="285"/>
      <c r="AT246" s="286"/>
      <c r="AU246" s="285"/>
      <c r="AV246" s="287"/>
      <c r="AW246" s="1081"/>
      <c r="AX246" s="1081"/>
      <c r="AY246" s="1081"/>
      <c r="AZ246" s="1081"/>
      <c r="BA246" s="1081"/>
      <c r="BB246" s="1081"/>
      <c r="BC246" s="1081"/>
      <c r="BD246" s="1081"/>
    </row>
    <row r="247" spans="1:56" s="23" customFormat="1" ht="20.65" hidden="1" customHeight="1" thickTop="1">
      <c r="A247" s="283" t="s">
        <v>706</v>
      </c>
      <c r="B247" s="219"/>
      <c r="C247" s="42" t="str">
        <f>Table2[[#This Row],[M/C No.]]</f>
        <v>H8(50ton)</v>
      </c>
      <c r="D247" s="28" t="s">
        <v>82</v>
      </c>
      <c r="E247" s="1139"/>
      <c r="F247" s="1139"/>
      <c r="G247" s="1231"/>
      <c r="H247" s="1139"/>
      <c r="I247" s="1139"/>
      <c r="J247" s="1231"/>
      <c r="K247" s="1231"/>
      <c r="L247" s="1139"/>
      <c r="M247" s="1139"/>
      <c r="N247" s="1139"/>
      <c r="O247" s="1139"/>
      <c r="P247" s="1139"/>
      <c r="Q247" s="1231"/>
      <c r="R247" s="1231"/>
      <c r="S247" s="1139"/>
      <c r="T247" s="1139"/>
      <c r="U247" s="1139"/>
      <c r="V247" s="1139"/>
      <c r="W247" s="1139"/>
      <c r="X247" s="1231"/>
      <c r="Y247" s="1231"/>
      <c r="Z247" s="1139"/>
      <c r="AA247" s="1139"/>
      <c r="AB247" s="1139"/>
      <c r="AC247" s="1139"/>
      <c r="AD247" s="1139"/>
      <c r="AE247" s="1231"/>
      <c r="AF247" s="1231"/>
      <c r="AG247" s="1139"/>
      <c r="AH247" s="1139"/>
      <c r="AI247" s="1322"/>
      <c r="AJ247" s="100">
        <f>SUM(E247:AI247)</f>
        <v>0</v>
      </c>
      <c r="AK247" s="1000">
        <f>AJ249</f>
        <v>0</v>
      </c>
      <c r="AL247" s="101">
        <f>+AJ247*AN247</f>
        <v>0</v>
      </c>
      <c r="AM247" s="1019">
        <f>AL249</f>
        <v>0</v>
      </c>
      <c r="AN247" s="293">
        <v>5.8483900000000002</v>
      </c>
      <c r="AO247" s="633">
        <f>Table2[[#This Row],[Total]]*B251/1000</f>
        <v>0</v>
      </c>
      <c r="AP247" s="32" t="s">
        <v>399</v>
      </c>
      <c r="AQ247" s="33" t="s">
        <v>84</v>
      </c>
      <c r="AR247" s="33" t="s">
        <v>85</v>
      </c>
      <c r="AS247" s="33" t="s">
        <v>86</v>
      </c>
      <c r="AT247" s="33" t="s">
        <v>87</v>
      </c>
      <c r="AU247" s="33" t="s">
        <v>88</v>
      </c>
      <c r="AV247" s="34" t="s">
        <v>68</v>
      </c>
      <c r="AW247" s="1081"/>
      <c r="AX247" s="1081"/>
      <c r="AY247" s="1081"/>
      <c r="AZ247" s="1081"/>
      <c r="BA247" s="1081"/>
      <c r="BB247" s="1081"/>
      <c r="BC247" s="1081"/>
      <c r="BD247" s="1081"/>
    </row>
    <row r="248" spans="1:56" s="23" customFormat="1" ht="20.65" hidden="1" customHeight="1">
      <c r="A248" s="274"/>
      <c r="B248" s="219" t="s">
        <v>396</v>
      </c>
      <c r="C248" s="275"/>
      <c r="D248" s="37" t="s">
        <v>90</v>
      </c>
      <c r="E248" s="1323">
        <f>IF(E247="",0,+ E247/E254)</f>
        <v>0</v>
      </c>
      <c r="F248" s="1096">
        <f t="shared" ref="F248:AC248" si="575">IF(F247="",0, E248+F247/F254)</f>
        <v>0</v>
      </c>
      <c r="G248" s="1207">
        <f t="shared" si="575"/>
        <v>0</v>
      </c>
      <c r="H248" s="1096">
        <f t="shared" si="575"/>
        <v>0</v>
      </c>
      <c r="I248" s="1096">
        <f t="shared" si="575"/>
        <v>0</v>
      </c>
      <c r="J248" s="1207">
        <f t="shared" si="575"/>
        <v>0</v>
      </c>
      <c r="K248" s="1207">
        <f t="shared" si="575"/>
        <v>0</v>
      </c>
      <c r="L248" s="1096">
        <f t="shared" si="575"/>
        <v>0</v>
      </c>
      <c r="M248" s="1096">
        <f t="shared" si="575"/>
        <v>0</v>
      </c>
      <c r="N248" s="1096">
        <f t="shared" si="575"/>
        <v>0</v>
      </c>
      <c r="O248" s="1096">
        <f t="shared" si="575"/>
        <v>0</v>
      </c>
      <c r="P248" s="1096">
        <f t="shared" si="575"/>
        <v>0</v>
      </c>
      <c r="Q248" s="1207">
        <f t="shared" si="575"/>
        <v>0</v>
      </c>
      <c r="R248" s="1207">
        <f t="shared" si="575"/>
        <v>0</v>
      </c>
      <c r="S248" s="1096">
        <f t="shared" si="575"/>
        <v>0</v>
      </c>
      <c r="T248" s="1096">
        <f t="shared" si="575"/>
        <v>0</v>
      </c>
      <c r="U248" s="1096">
        <f t="shared" si="575"/>
        <v>0</v>
      </c>
      <c r="V248" s="1096">
        <f t="shared" si="575"/>
        <v>0</v>
      </c>
      <c r="W248" s="1096">
        <f t="shared" si="575"/>
        <v>0</v>
      </c>
      <c r="X248" s="1207">
        <f t="shared" si="575"/>
        <v>0</v>
      </c>
      <c r="Y248" s="1207">
        <f t="shared" si="575"/>
        <v>0</v>
      </c>
      <c r="Z248" s="1096">
        <f t="shared" si="575"/>
        <v>0</v>
      </c>
      <c r="AA248" s="1096">
        <f t="shared" si="575"/>
        <v>0</v>
      </c>
      <c r="AB248" s="1096">
        <f t="shared" si="575"/>
        <v>0</v>
      </c>
      <c r="AC248" s="1096">
        <f t="shared" si="575"/>
        <v>0</v>
      </c>
      <c r="AD248" s="1096">
        <f>IF(AD247="",0, Z248+AD247/AD254)</f>
        <v>0</v>
      </c>
      <c r="AE248" s="1207">
        <f>IF(AE247="",0, AA248+AE247/AE254)</f>
        <v>0</v>
      </c>
      <c r="AF248" s="1207">
        <f>IF(AF247="",0, AB248+AF247/AF254)</f>
        <v>0</v>
      </c>
      <c r="AG248" s="1096">
        <f>IF(AG247="",0, AC248+AG247/AG254)</f>
        <v>0</v>
      </c>
      <c r="AH248" s="1096">
        <f>IF(AH247="",0, AD248+AH247/AH254)</f>
        <v>0</v>
      </c>
      <c r="AI248" s="1324">
        <f>IF(AI247="",0, AH248+AI247/AI254)</f>
        <v>0</v>
      </c>
      <c r="AJ248" s="716"/>
      <c r="AK248" s="716"/>
      <c r="AL248" s="209"/>
      <c r="AM248" s="794"/>
      <c r="AN248" s="91"/>
      <c r="AO248" s="675"/>
      <c r="AP248" s="39" t="s">
        <v>91</v>
      </c>
      <c r="AQ248" s="40">
        <f>SUM(E247:K247)</f>
        <v>0</v>
      </c>
      <c r="AR248" s="41">
        <f>SUM(L247:R247)</f>
        <v>0</v>
      </c>
      <c r="AS248" s="41">
        <f>SUM(S247:Y247)</f>
        <v>0</v>
      </c>
      <c r="AT248" s="41">
        <f>SUM(Z247:AF247)</f>
        <v>0</v>
      </c>
      <c r="AU248" s="41">
        <f>SUM(AG247:AI247)</f>
        <v>0</v>
      </c>
      <c r="AV248" s="34">
        <f t="shared" ref="AV248:AV253" si="576">SUM(AQ248:AU248)</f>
        <v>0</v>
      </c>
      <c r="AW248" s="1081"/>
      <c r="AX248" s="1081"/>
      <c r="AY248" s="1081"/>
      <c r="AZ248" s="1081"/>
      <c r="BA248" s="1081"/>
      <c r="BB248" s="1081"/>
      <c r="BC248" s="1081"/>
      <c r="BD248" s="1081"/>
    </row>
    <row r="249" spans="1:56" s="23" customFormat="1" ht="20.65" hidden="1" customHeight="1">
      <c r="A249" s="276" t="s">
        <v>401</v>
      </c>
      <c r="B249" s="89" t="s">
        <v>246</v>
      </c>
      <c r="C249" s="42"/>
      <c r="D249" s="43" t="s">
        <v>93</v>
      </c>
      <c r="E249" s="1108"/>
      <c r="F249" s="1089"/>
      <c r="G249" s="44"/>
      <c r="H249" s="1089"/>
      <c r="I249" s="1089"/>
      <c r="J249" s="44"/>
      <c r="K249" s="44"/>
      <c r="L249" s="1089"/>
      <c r="M249" s="1089"/>
      <c r="N249" s="1089"/>
      <c r="O249" s="1089"/>
      <c r="P249" s="1089"/>
      <c r="Q249" s="44"/>
      <c r="R249" s="44"/>
      <c r="S249" s="1089"/>
      <c r="T249" s="1089"/>
      <c r="U249" s="1089"/>
      <c r="V249" s="1089"/>
      <c r="W249" s="1089"/>
      <c r="X249" s="44"/>
      <c r="Y249" s="44"/>
      <c r="Z249" s="1089"/>
      <c r="AA249" s="1089"/>
      <c r="AB249" s="1089"/>
      <c r="AC249" s="1089"/>
      <c r="AD249" s="1089"/>
      <c r="AE249" s="44"/>
      <c r="AF249" s="44"/>
      <c r="AG249" s="1089"/>
      <c r="AH249" s="1089"/>
      <c r="AI249" s="1326"/>
      <c r="AJ249" s="45">
        <f>SUM(E249:AI249)</f>
        <v>0</v>
      </c>
      <c r="AK249" s="45"/>
      <c r="AL249" s="46">
        <f>+AJ249*AN247</f>
        <v>0</v>
      </c>
      <c r="AM249" s="934"/>
      <c r="AN249" s="277"/>
      <c r="AO249" s="632">
        <f>(AJ249+AJ251+AJ252+AJ253)*B251/1000</f>
        <v>0</v>
      </c>
      <c r="AP249" s="47" t="s">
        <v>94</v>
      </c>
      <c r="AQ249" s="48">
        <f>SUM(E249:K249)</f>
        <v>0</v>
      </c>
      <c r="AR249" s="49">
        <f>SUM(L249:R249)</f>
        <v>0</v>
      </c>
      <c r="AS249" s="49">
        <f>SUM(S249:Y249)</f>
        <v>0</v>
      </c>
      <c r="AT249" s="49">
        <f>SUM(Z249:AF249)</f>
        <v>0</v>
      </c>
      <c r="AU249" s="49">
        <f>SUM(AG249:AI249)</f>
        <v>0</v>
      </c>
      <c r="AV249" s="50">
        <f t="shared" si="576"/>
        <v>0</v>
      </c>
      <c r="AW249" s="1081"/>
      <c r="AX249" s="1081"/>
      <c r="AY249" s="1081"/>
      <c r="AZ249" s="1081"/>
      <c r="BA249" s="1081"/>
      <c r="BB249" s="1081"/>
      <c r="BC249" s="1081"/>
      <c r="BD249" s="1081"/>
    </row>
    <row r="250" spans="1:56" s="23" customFormat="1" ht="20.65" hidden="1" customHeight="1">
      <c r="A250" s="276" t="s">
        <v>401</v>
      </c>
      <c r="B250" s="638" t="s">
        <v>247</v>
      </c>
      <c r="C250" s="280"/>
      <c r="D250" s="53" t="s">
        <v>96</v>
      </c>
      <c r="E250" s="1137">
        <f t="shared" ref="E250:AJ250" si="577">+E249-E247</f>
        <v>0</v>
      </c>
      <c r="F250" s="1097">
        <f t="shared" si="577"/>
        <v>0</v>
      </c>
      <c r="G250" s="1205">
        <f t="shared" si="577"/>
        <v>0</v>
      </c>
      <c r="H250" s="1097">
        <f t="shared" si="577"/>
        <v>0</v>
      </c>
      <c r="I250" s="1097">
        <f t="shared" si="577"/>
        <v>0</v>
      </c>
      <c r="J250" s="1205">
        <f t="shared" si="577"/>
        <v>0</v>
      </c>
      <c r="K250" s="1205">
        <f t="shared" si="577"/>
        <v>0</v>
      </c>
      <c r="L250" s="1097">
        <f t="shared" si="577"/>
        <v>0</v>
      </c>
      <c r="M250" s="1097">
        <f t="shared" si="577"/>
        <v>0</v>
      </c>
      <c r="N250" s="1097">
        <f t="shared" si="577"/>
        <v>0</v>
      </c>
      <c r="O250" s="1097">
        <f t="shared" si="577"/>
        <v>0</v>
      </c>
      <c r="P250" s="1097">
        <f t="shared" si="577"/>
        <v>0</v>
      </c>
      <c r="Q250" s="1205">
        <f t="shared" si="577"/>
        <v>0</v>
      </c>
      <c r="R250" s="1205">
        <f t="shared" si="577"/>
        <v>0</v>
      </c>
      <c r="S250" s="1097">
        <f t="shared" si="577"/>
        <v>0</v>
      </c>
      <c r="T250" s="1097">
        <f t="shared" si="577"/>
        <v>0</v>
      </c>
      <c r="U250" s="1097">
        <f t="shared" si="577"/>
        <v>0</v>
      </c>
      <c r="V250" s="1097">
        <f t="shared" si="577"/>
        <v>0</v>
      </c>
      <c r="W250" s="1097">
        <f t="shared" si="577"/>
        <v>0</v>
      </c>
      <c r="X250" s="1205">
        <f t="shared" si="577"/>
        <v>0</v>
      </c>
      <c r="Y250" s="1205">
        <f t="shared" si="577"/>
        <v>0</v>
      </c>
      <c r="Z250" s="1097">
        <f t="shared" si="577"/>
        <v>0</v>
      </c>
      <c r="AA250" s="1097">
        <f t="shared" si="577"/>
        <v>0</v>
      </c>
      <c r="AB250" s="1097">
        <f t="shared" si="577"/>
        <v>0</v>
      </c>
      <c r="AC250" s="1097">
        <f t="shared" si="577"/>
        <v>0</v>
      </c>
      <c r="AD250" s="1097">
        <f t="shared" si="577"/>
        <v>0</v>
      </c>
      <c r="AE250" s="1205">
        <f t="shared" si="577"/>
        <v>0</v>
      </c>
      <c r="AF250" s="1205">
        <f t="shared" si="577"/>
        <v>0</v>
      </c>
      <c r="AG250" s="1097">
        <f t="shared" si="577"/>
        <v>0</v>
      </c>
      <c r="AH250" s="1097">
        <f t="shared" si="577"/>
        <v>0</v>
      </c>
      <c r="AI250" s="1328">
        <f t="shared" si="577"/>
        <v>0</v>
      </c>
      <c r="AJ250" s="79">
        <f t="shared" si="577"/>
        <v>0</v>
      </c>
      <c r="AK250" s="79"/>
      <c r="AL250" s="55">
        <f>+AJ250*AN247</f>
        <v>0</v>
      </c>
      <c r="AM250" s="935"/>
      <c r="AN250" s="277" t="s">
        <v>97</v>
      </c>
      <c r="AO250" s="622"/>
      <c r="AP250" s="39" t="s">
        <v>98</v>
      </c>
      <c r="AQ250" s="56">
        <f>AQ249-AQ248</f>
        <v>0</v>
      </c>
      <c r="AR250" s="70">
        <f>AR249-AR248</f>
        <v>0</v>
      </c>
      <c r="AS250" s="70">
        <f>AS249-AS248</f>
        <v>0</v>
      </c>
      <c r="AT250" s="70">
        <f>AT249-AT248</f>
        <v>0</v>
      </c>
      <c r="AU250" s="70">
        <f>AU249-AU248</f>
        <v>0</v>
      </c>
      <c r="AV250" s="57">
        <f t="shared" si="576"/>
        <v>0</v>
      </c>
      <c r="AW250" s="1081"/>
      <c r="AX250" s="1081"/>
      <c r="AY250" s="1081"/>
      <c r="AZ250" s="1081"/>
      <c r="BA250" s="1081"/>
      <c r="BB250" s="1081"/>
      <c r="BC250" s="1081"/>
      <c r="BD250" s="1081"/>
    </row>
    <row r="251" spans="1:56" s="23" customFormat="1" ht="20.65" hidden="1" customHeight="1">
      <c r="A251" s="276" t="s">
        <v>401</v>
      </c>
      <c r="B251" s="659">
        <v>2.9820000000000002</v>
      </c>
      <c r="C251" s="305"/>
      <c r="D251" s="61" t="s">
        <v>101</v>
      </c>
      <c r="E251" s="1098"/>
      <c r="F251" s="1099"/>
      <c r="G251" s="1208"/>
      <c r="H251" s="1099"/>
      <c r="I251" s="1099"/>
      <c r="J251" s="1208"/>
      <c r="K251" s="1208"/>
      <c r="L251" s="1099"/>
      <c r="M251" s="1099"/>
      <c r="N251" s="1099"/>
      <c r="O251" s="1099"/>
      <c r="P251" s="1099"/>
      <c r="Q251" s="1208"/>
      <c r="R251" s="1208"/>
      <c r="S251" s="1099"/>
      <c r="T251" s="1099"/>
      <c r="U251" s="1099"/>
      <c r="V251" s="1099"/>
      <c r="W251" s="1099"/>
      <c r="X251" s="1208"/>
      <c r="Y251" s="1208"/>
      <c r="Z251" s="1099"/>
      <c r="AA251" s="1099"/>
      <c r="AB251" s="1099"/>
      <c r="AC251" s="1099"/>
      <c r="AD251" s="1099"/>
      <c r="AE251" s="1208"/>
      <c r="AF251" s="1208"/>
      <c r="AG251" s="1099"/>
      <c r="AH251" s="1099"/>
      <c r="AI251" s="1330"/>
      <c r="AJ251" s="62">
        <f>SUM(E251:AI251)</f>
        <v>0</v>
      </c>
      <c r="AK251" s="62"/>
      <c r="AL251" s="63">
        <f>+AJ251*AN247</f>
        <v>0</v>
      </c>
      <c r="AM251" s="936"/>
      <c r="AN251" s="301" t="e">
        <f>+AJ251/AJ249*100</f>
        <v>#DIV/0!</v>
      </c>
      <c r="AO251" s="635" t="e">
        <f>AO249/AO247</f>
        <v>#DIV/0!</v>
      </c>
      <c r="AP251" s="39" t="s">
        <v>102</v>
      </c>
      <c r="AQ251" s="56">
        <f>SUM(E251:K251)</f>
        <v>0</v>
      </c>
      <c r="AR251" s="70">
        <f>SUM(L251:R251)</f>
        <v>0</v>
      </c>
      <c r="AS251" s="70">
        <f>SUM(S251:Y251)</f>
        <v>0</v>
      </c>
      <c r="AT251" s="70">
        <f>SUM(Z251:AF251)</f>
        <v>0</v>
      </c>
      <c r="AU251" s="70">
        <f>SUM(AG251:AI251)</f>
        <v>0</v>
      </c>
      <c r="AV251" s="57">
        <f t="shared" si="576"/>
        <v>0</v>
      </c>
      <c r="AW251" s="1081"/>
      <c r="AX251" s="1081"/>
      <c r="AY251" s="1081"/>
      <c r="AZ251" s="1081"/>
      <c r="BA251" s="1081"/>
      <c r="BB251" s="1081"/>
      <c r="BC251" s="1081"/>
      <c r="BD251" s="1081"/>
    </row>
    <row r="252" spans="1:56" s="23" customFormat="1" ht="20.65" hidden="1" customHeight="1">
      <c r="A252" s="283"/>
      <c r="B252" s="89"/>
      <c r="C252" s="52" t="s">
        <v>95</v>
      </c>
      <c r="D252" s="67" t="s">
        <v>103</v>
      </c>
      <c r="E252" s="1100"/>
      <c r="F252" s="1101"/>
      <c r="G252" s="1209"/>
      <c r="H252" s="1101"/>
      <c r="I252" s="1101"/>
      <c r="J252" s="1209"/>
      <c r="K252" s="1209"/>
      <c r="L252" s="1101"/>
      <c r="M252" s="1101"/>
      <c r="N252" s="1101"/>
      <c r="O252" s="1101"/>
      <c r="P252" s="1101"/>
      <c r="Q252" s="1209"/>
      <c r="R252" s="1209"/>
      <c r="S252" s="1101"/>
      <c r="T252" s="1101"/>
      <c r="U252" s="1101"/>
      <c r="V252" s="1101"/>
      <c r="W252" s="1101"/>
      <c r="X252" s="1209"/>
      <c r="Y252" s="1209"/>
      <c r="Z252" s="1101"/>
      <c r="AA252" s="1101"/>
      <c r="AB252" s="1101"/>
      <c r="AC252" s="1101"/>
      <c r="AD252" s="1101"/>
      <c r="AE252" s="1209"/>
      <c r="AF252" s="1209"/>
      <c r="AG252" s="1101"/>
      <c r="AH252" s="1101"/>
      <c r="AI252" s="1332"/>
      <c r="AJ252" s="68">
        <f>SUM(E252:AI252)</f>
        <v>0</v>
      </c>
      <c r="AK252" s="68"/>
      <c r="AL252" s="69">
        <f>+AJ252*AN247</f>
        <v>0</v>
      </c>
      <c r="AM252" s="937"/>
      <c r="AN252" s="277"/>
      <c r="AO252" s="679"/>
      <c r="AP252" s="39" t="s">
        <v>19</v>
      </c>
      <c r="AQ252" s="56">
        <f>AQ251*AN247</f>
        <v>0</v>
      </c>
      <c r="AR252" s="56">
        <f>AR251*AN247</f>
        <v>0</v>
      </c>
      <c r="AS252" s="56">
        <f>AS251*AN247</f>
        <v>0</v>
      </c>
      <c r="AT252" s="56">
        <f>AT251*AN247</f>
        <v>0</v>
      </c>
      <c r="AU252" s="56">
        <f>AU251*AN247</f>
        <v>0</v>
      </c>
      <c r="AV252" s="57">
        <f t="shared" si="576"/>
        <v>0</v>
      </c>
      <c r="AW252" s="1081"/>
      <c r="AX252" s="1081"/>
      <c r="AY252" s="1081"/>
      <c r="AZ252" s="1081"/>
      <c r="BA252" s="1081"/>
      <c r="BB252" s="1081"/>
      <c r="BC252" s="1081"/>
      <c r="BD252" s="1081"/>
    </row>
    <row r="253" spans="1:56" s="23" customFormat="1" ht="20.65" hidden="1" customHeight="1">
      <c r="A253" s="283"/>
      <c r="B253" s="89"/>
      <c r="C253" s="306" t="s">
        <v>387</v>
      </c>
      <c r="D253" s="73" t="s">
        <v>105</v>
      </c>
      <c r="E253" s="1102"/>
      <c r="F253" s="1103"/>
      <c r="G253" s="1210"/>
      <c r="H253" s="1103"/>
      <c r="I253" s="1103"/>
      <c r="J253" s="1210"/>
      <c r="K253" s="1210"/>
      <c r="L253" s="1103"/>
      <c r="M253" s="1103"/>
      <c r="N253" s="1103"/>
      <c r="O253" s="1103"/>
      <c r="P253" s="1103"/>
      <c r="Q253" s="1210"/>
      <c r="R253" s="1210"/>
      <c r="S253" s="1103"/>
      <c r="T253" s="1103"/>
      <c r="U253" s="1103"/>
      <c r="V253" s="1103"/>
      <c r="W253" s="1103"/>
      <c r="X253" s="1210"/>
      <c r="Y253" s="1210"/>
      <c r="Z253" s="1103"/>
      <c r="AA253" s="1103"/>
      <c r="AB253" s="1103"/>
      <c r="AC253" s="1103"/>
      <c r="AD253" s="1103"/>
      <c r="AE253" s="1210"/>
      <c r="AF253" s="1210"/>
      <c r="AG253" s="1103"/>
      <c r="AH253" s="1103"/>
      <c r="AI253" s="1352"/>
      <c r="AJ253" s="74">
        <f>SUM(E253:AI253)</f>
        <v>0</v>
      </c>
      <c r="AK253" s="74"/>
      <c r="AL253" s="691">
        <f>+AJ253*AN247</f>
        <v>0</v>
      </c>
      <c r="AM253" s="959"/>
      <c r="AN253" s="91"/>
      <c r="AO253" s="630"/>
      <c r="AP253" s="47" t="s">
        <v>106</v>
      </c>
      <c r="AQ253" s="48">
        <f>AQ249*AN247</f>
        <v>0</v>
      </c>
      <c r="AR253" s="48">
        <f>AR249*AN247</f>
        <v>0</v>
      </c>
      <c r="AS253" s="48">
        <f>AS249*AN247</f>
        <v>0</v>
      </c>
      <c r="AT253" s="48">
        <f>AT249*AN247</f>
        <v>0</v>
      </c>
      <c r="AU253" s="48">
        <f>AU249*AN247</f>
        <v>0</v>
      </c>
      <c r="AV253" s="50">
        <f t="shared" si="576"/>
        <v>0</v>
      </c>
      <c r="AW253" s="1081"/>
      <c r="AX253" s="1081"/>
      <c r="AY253" s="1081"/>
      <c r="AZ253" s="1081"/>
      <c r="BA253" s="1081"/>
      <c r="BB253" s="1081"/>
      <c r="BC253" s="1081"/>
      <c r="BD253" s="1081"/>
    </row>
    <row r="254" spans="1:56" s="23" customFormat="1" ht="20.65" hidden="1" customHeight="1">
      <c r="A254" s="276" t="s">
        <v>401</v>
      </c>
      <c r="B254" s="89"/>
      <c r="C254" s="307"/>
      <c r="D254" s="78" t="s">
        <v>107</v>
      </c>
      <c r="E254" s="1137">
        <v>4</v>
      </c>
      <c r="F254" s="1097">
        <v>4</v>
      </c>
      <c r="G254" s="1205">
        <v>4</v>
      </c>
      <c r="H254" s="1097">
        <v>4</v>
      </c>
      <c r="I254" s="1097">
        <v>4</v>
      </c>
      <c r="J254" s="1205">
        <v>4</v>
      </c>
      <c r="K254" s="1205">
        <v>4</v>
      </c>
      <c r="L254" s="1097">
        <v>4</v>
      </c>
      <c r="M254" s="1097">
        <v>4</v>
      </c>
      <c r="N254" s="1097">
        <v>4</v>
      </c>
      <c r="O254" s="1097">
        <v>4</v>
      </c>
      <c r="P254" s="1097">
        <v>4</v>
      </c>
      <c r="Q254" s="1205">
        <v>4</v>
      </c>
      <c r="R254" s="1205">
        <v>4</v>
      </c>
      <c r="S254" s="1097">
        <v>4</v>
      </c>
      <c r="T254" s="1097">
        <v>4</v>
      </c>
      <c r="U254" s="1097">
        <v>4</v>
      </c>
      <c r="V254" s="1097">
        <v>4</v>
      </c>
      <c r="W254" s="1097">
        <v>4</v>
      </c>
      <c r="X254" s="1205">
        <v>4</v>
      </c>
      <c r="Y254" s="1205">
        <v>4</v>
      </c>
      <c r="Z254" s="1097">
        <v>4</v>
      </c>
      <c r="AA254" s="1097">
        <v>4</v>
      </c>
      <c r="AB254" s="1097">
        <v>4</v>
      </c>
      <c r="AC254" s="1097">
        <v>4</v>
      </c>
      <c r="AD254" s="1097">
        <v>4</v>
      </c>
      <c r="AE254" s="1205">
        <v>4</v>
      </c>
      <c r="AF254" s="1205">
        <v>4</v>
      </c>
      <c r="AG254" s="1097">
        <v>4</v>
      </c>
      <c r="AH254" s="1097">
        <v>4</v>
      </c>
      <c r="AI254" s="1328">
        <v>4</v>
      </c>
      <c r="AJ254" s="79"/>
      <c r="AK254" s="79"/>
      <c r="AL254" s="692"/>
      <c r="AM254" s="960"/>
      <c r="AN254" s="277"/>
      <c r="AO254" s="679"/>
      <c r="AP254" s="47"/>
      <c r="AQ254" s="48"/>
      <c r="AR254" s="48"/>
      <c r="AS254" s="48"/>
      <c r="AT254" s="48"/>
      <c r="AU254" s="48"/>
      <c r="AV254" s="284"/>
      <c r="AW254" s="1081"/>
      <c r="AX254" s="1081"/>
      <c r="AY254" s="1081"/>
      <c r="AZ254" s="1081"/>
      <c r="BA254" s="1081"/>
      <c r="BB254" s="1081"/>
      <c r="BC254" s="1081"/>
      <c r="BD254" s="1081"/>
    </row>
    <row r="255" spans="1:56" s="23" customFormat="1" ht="20.65" hidden="1" customHeight="1">
      <c r="A255" s="276" t="s">
        <v>401</v>
      </c>
      <c r="B255" s="89"/>
      <c r="C255" s="305"/>
      <c r="D255" s="81" t="s">
        <v>109</v>
      </c>
      <c r="E255" s="1125">
        <f>SUM(E249+E251+E252+E253)/E254</f>
        <v>0</v>
      </c>
      <c r="F255" s="1126">
        <f>SUM(F249+F251+F252+F253)/F254</f>
        <v>0</v>
      </c>
      <c r="G255" s="1235">
        <f t="shared" ref="G255:AH255" si="578">SUM(G249+G251+G252+G253)/G254</f>
        <v>0</v>
      </c>
      <c r="H255" s="1126">
        <f t="shared" si="578"/>
        <v>0</v>
      </c>
      <c r="I255" s="1126">
        <f t="shared" si="578"/>
        <v>0</v>
      </c>
      <c r="J255" s="1235">
        <f t="shared" si="578"/>
        <v>0</v>
      </c>
      <c r="K255" s="1235">
        <f t="shared" si="578"/>
        <v>0</v>
      </c>
      <c r="L255" s="1126">
        <f t="shared" si="578"/>
        <v>0</v>
      </c>
      <c r="M255" s="1126">
        <f t="shared" si="578"/>
        <v>0</v>
      </c>
      <c r="N255" s="1126">
        <f t="shared" si="578"/>
        <v>0</v>
      </c>
      <c r="O255" s="1126">
        <f t="shared" si="578"/>
        <v>0</v>
      </c>
      <c r="P255" s="1126">
        <f t="shared" si="578"/>
        <v>0</v>
      </c>
      <c r="Q255" s="1235">
        <f t="shared" si="578"/>
        <v>0</v>
      </c>
      <c r="R255" s="1235">
        <f t="shared" si="578"/>
        <v>0</v>
      </c>
      <c r="S255" s="1126">
        <f t="shared" si="578"/>
        <v>0</v>
      </c>
      <c r="T255" s="1126">
        <f t="shared" si="578"/>
        <v>0</v>
      </c>
      <c r="U255" s="1126">
        <f t="shared" si="578"/>
        <v>0</v>
      </c>
      <c r="V255" s="1126">
        <f t="shared" si="578"/>
        <v>0</v>
      </c>
      <c r="W255" s="1126">
        <f t="shared" si="578"/>
        <v>0</v>
      </c>
      <c r="X255" s="1235">
        <f t="shared" si="578"/>
        <v>0</v>
      </c>
      <c r="Y255" s="1235">
        <f t="shared" si="578"/>
        <v>0</v>
      </c>
      <c r="Z255" s="1126">
        <f t="shared" si="578"/>
        <v>0</v>
      </c>
      <c r="AA255" s="1126">
        <f t="shared" si="578"/>
        <v>0</v>
      </c>
      <c r="AB255" s="1126">
        <f t="shared" si="578"/>
        <v>0</v>
      </c>
      <c r="AC255" s="1126">
        <f t="shared" si="578"/>
        <v>0</v>
      </c>
      <c r="AD255" s="1126">
        <f t="shared" si="578"/>
        <v>0</v>
      </c>
      <c r="AE255" s="1235">
        <f t="shared" si="578"/>
        <v>0</v>
      </c>
      <c r="AF255" s="1235">
        <f t="shared" si="578"/>
        <v>0</v>
      </c>
      <c r="AG255" s="1126">
        <f t="shared" si="578"/>
        <v>0</v>
      </c>
      <c r="AH255" s="1126">
        <f t="shared" si="578"/>
        <v>0</v>
      </c>
      <c r="AI255" s="1335">
        <f>SUM(AI249+AI251+AI252+AI253)/AI254</f>
        <v>0</v>
      </c>
      <c r="AJ255" s="515">
        <f>SUM(E255:AI255)</f>
        <v>0</v>
      </c>
      <c r="AK255" s="515"/>
      <c r="AL255" s="689"/>
      <c r="AM255" s="940"/>
      <c r="AN255" s="277"/>
      <c r="AO255" s="679"/>
      <c r="AP255" s="285"/>
      <c r="AQ255" s="285"/>
      <c r="AR255" s="285"/>
      <c r="AS255" s="285"/>
      <c r="AT255" s="286"/>
      <c r="AU255" s="285"/>
      <c r="AV255" s="287"/>
      <c r="AW255" s="1081"/>
      <c r="AX255" s="1081"/>
      <c r="AY255" s="1081"/>
      <c r="AZ255" s="1081"/>
      <c r="BA255" s="1081"/>
      <c r="BB255" s="1081"/>
      <c r="BC255" s="1081"/>
      <c r="BD255" s="1081"/>
    </row>
    <row r="256" spans="1:56" s="23" customFormat="1" ht="20.65" hidden="1" customHeight="1">
      <c r="A256" s="276" t="s">
        <v>401</v>
      </c>
      <c r="B256" s="89" t="s">
        <v>549</v>
      </c>
      <c r="C256" s="72"/>
      <c r="D256" s="85" t="s">
        <v>110</v>
      </c>
      <c r="E256" s="1105"/>
      <c r="F256" s="1106"/>
      <c r="G256" s="1211"/>
      <c r="H256" s="1104"/>
      <c r="I256" s="1104"/>
      <c r="J256" s="1211"/>
      <c r="K256" s="1211"/>
      <c r="L256" s="1104"/>
      <c r="M256" s="1104"/>
      <c r="N256" s="1104"/>
      <c r="O256" s="1104"/>
      <c r="P256" s="1104"/>
      <c r="Q256" s="1211"/>
      <c r="R256" s="1211"/>
      <c r="S256" s="1104"/>
      <c r="T256" s="1104"/>
      <c r="U256" s="1104"/>
      <c r="V256" s="1104"/>
      <c r="W256" s="1104"/>
      <c r="X256" s="1211"/>
      <c r="Y256" s="1211"/>
      <c r="Z256" s="1104"/>
      <c r="AA256" s="1104"/>
      <c r="AB256" s="1104"/>
      <c r="AC256" s="1104"/>
      <c r="AD256" s="1104"/>
      <c r="AE256" s="1211"/>
      <c r="AF256" s="1211"/>
      <c r="AG256" s="1104"/>
      <c r="AH256" s="1104"/>
      <c r="AI256" s="1353"/>
      <c r="AJ256" s="86"/>
      <c r="AK256" s="86"/>
      <c r="AL256" s="690"/>
      <c r="AM256" s="940"/>
      <c r="AN256" s="277"/>
      <c r="AO256" s="679"/>
      <c r="AP256" s="285"/>
      <c r="AQ256" s="285"/>
      <c r="AR256" s="285"/>
      <c r="AS256" s="285"/>
      <c r="AT256" s="286"/>
      <c r="AU256" s="285"/>
      <c r="AV256" s="287"/>
      <c r="AW256" s="1081"/>
      <c r="AX256" s="1081"/>
      <c r="AY256" s="1081"/>
      <c r="AZ256" s="1081"/>
      <c r="BA256" s="1081"/>
      <c r="BB256" s="1081"/>
      <c r="BC256" s="1081"/>
      <c r="BD256" s="1081"/>
    </row>
    <row r="257" spans="1:56" s="23" customFormat="1" ht="20.65" hidden="1" customHeight="1">
      <c r="A257" s="276" t="s">
        <v>401</v>
      </c>
      <c r="B257" s="89"/>
      <c r="C257" s="72" t="s">
        <v>104</v>
      </c>
      <c r="D257" s="88" t="s">
        <v>111</v>
      </c>
      <c r="E257" s="1108">
        <f>IF(E256="O/H",E255,0+E255)</f>
        <v>0</v>
      </c>
      <c r="F257" s="1089">
        <f>IF(F256="O/H",F255,+E257+F255)</f>
        <v>0</v>
      </c>
      <c r="G257" s="44">
        <f t="shared" ref="G257:AI257" si="579">IF(G256="O/H",G255,+F257+G255)</f>
        <v>0</v>
      </c>
      <c r="H257" s="1089">
        <f t="shared" si="579"/>
        <v>0</v>
      </c>
      <c r="I257" s="1089">
        <f t="shared" si="579"/>
        <v>0</v>
      </c>
      <c r="J257" s="44">
        <f t="shared" si="579"/>
        <v>0</v>
      </c>
      <c r="K257" s="44">
        <f t="shared" si="579"/>
        <v>0</v>
      </c>
      <c r="L257" s="1089">
        <f t="shared" si="579"/>
        <v>0</v>
      </c>
      <c r="M257" s="1089">
        <f t="shared" si="579"/>
        <v>0</v>
      </c>
      <c r="N257" s="1089">
        <f t="shared" si="579"/>
        <v>0</v>
      </c>
      <c r="O257" s="1089">
        <f t="shared" si="579"/>
        <v>0</v>
      </c>
      <c r="P257" s="1089">
        <f t="shared" si="579"/>
        <v>0</v>
      </c>
      <c r="Q257" s="44">
        <f t="shared" si="579"/>
        <v>0</v>
      </c>
      <c r="R257" s="44">
        <f t="shared" si="579"/>
        <v>0</v>
      </c>
      <c r="S257" s="1089">
        <f t="shared" si="579"/>
        <v>0</v>
      </c>
      <c r="T257" s="1089">
        <f t="shared" si="579"/>
        <v>0</v>
      </c>
      <c r="U257" s="1089">
        <f t="shared" si="579"/>
        <v>0</v>
      </c>
      <c r="V257" s="1089">
        <f t="shared" si="579"/>
        <v>0</v>
      </c>
      <c r="W257" s="1089">
        <f t="shared" si="579"/>
        <v>0</v>
      </c>
      <c r="X257" s="44">
        <f t="shared" si="579"/>
        <v>0</v>
      </c>
      <c r="Y257" s="44">
        <f t="shared" si="579"/>
        <v>0</v>
      </c>
      <c r="Z257" s="1089">
        <f t="shared" si="579"/>
        <v>0</v>
      </c>
      <c r="AA257" s="1089">
        <f t="shared" si="579"/>
        <v>0</v>
      </c>
      <c r="AB257" s="1089">
        <f t="shared" si="579"/>
        <v>0</v>
      </c>
      <c r="AC257" s="1089">
        <f t="shared" si="579"/>
        <v>0</v>
      </c>
      <c r="AD257" s="1089">
        <f t="shared" si="579"/>
        <v>0</v>
      </c>
      <c r="AE257" s="44">
        <f t="shared" si="579"/>
        <v>0</v>
      </c>
      <c r="AF257" s="44">
        <f t="shared" si="579"/>
        <v>0</v>
      </c>
      <c r="AG257" s="1089">
        <f t="shared" si="579"/>
        <v>0</v>
      </c>
      <c r="AH257" s="1089">
        <f t="shared" si="579"/>
        <v>0</v>
      </c>
      <c r="AI257" s="1326">
        <f t="shared" si="579"/>
        <v>0</v>
      </c>
      <c r="AJ257" s="79"/>
      <c r="AK257" s="79"/>
      <c r="AL257" s="690"/>
      <c r="AM257" s="940"/>
      <c r="AN257" s="277"/>
      <c r="AO257" s="679"/>
      <c r="AP257" s="285"/>
      <c r="AQ257" s="285"/>
      <c r="AR257" s="285"/>
      <c r="AS257" s="285"/>
      <c r="AT257" s="286"/>
      <c r="AU257" s="285"/>
      <c r="AV257" s="287"/>
      <c r="AW257" s="1081"/>
      <c r="AX257" s="1081"/>
      <c r="AY257" s="1081"/>
      <c r="AZ257" s="1081"/>
      <c r="BA257" s="1081"/>
      <c r="BB257" s="1081"/>
      <c r="BC257" s="1081"/>
      <c r="BD257" s="1081"/>
    </row>
    <row r="258" spans="1:56" s="23" customFormat="1" ht="20.45" hidden="1" customHeight="1">
      <c r="A258" s="312"/>
      <c r="B258" s="312"/>
      <c r="C258" s="308">
        <v>300000</v>
      </c>
      <c r="D258" s="795" t="s">
        <v>112</v>
      </c>
      <c r="E258" s="1117" t="b">
        <f>IF(AND(ISNUMBER(E249)),0+E255)</f>
        <v>0</v>
      </c>
      <c r="F258" s="1118" t="str">
        <f>IF(AND(ISNUMBER(F249)),E258+F255,"")</f>
        <v/>
      </c>
      <c r="G258" s="1216" t="str">
        <f t="shared" ref="G258" si="580">IF(AND(ISNUMBER(G249)),F258+G255,"")</f>
        <v/>
      </c>
      <c r="H258" s="1118" t="str">
        <f t="shared" ref="H258" si="581">IF(AND(ISNUMBER(H249)),G258+H255,"")</f>
        <v/>
      </c>
      <c r="I258" s="1118" t="str">
        <f>IF(AND(ISNUMBER(I249)),H258+I255,"")</f>
        <v/>
      </c>
      <c r="J258" s="1216" t="str">
        <f>IF(AND(ISNUMBER(J249)),I258+J255,"")</f>
        <v/>
      </c>
      <c r="K258" s="1216" t="str">
        <f>IF(AND(ISNUMBER(K249)),J258+K255,"")</f>
        <v/>
      </c>
      <c r="L258" s="1118" t="str">
        <f t="shared" ref="L258" si="582">IF(AND(ISNUMBER(L249)),K258+L255,"")</f>
        <v/>
      </c>
      <c r="M258" s="1118" t="str">
        <f t="shared" ref="M258" si="583">IF(AND(ISNUMBER(M249)),L258+M255,"")</f>
        <v/>
      </c>
      <c r="N258" s="1118" t="str">
        <f t="shared" ref="N258" si="584">IF(AND(ISNUMBER(N249)),M258+N255,"")</f>
        <v/>
      </c>
      <c r="O258" s="1118" t="str">
        <f t="shared" ref="O258" si="585">IF(AND(ISNUMBER(O249)),N258+O255,"")</f>
        <v/>
      </c>
      <c r="P258" s="1118" t="str">
        <f t="shared" ref="P258" si="586">IF(AND(ISNUMBER(P249)),O258+P255,"")</f>
        <v/>
      </c>
      <c r="Q258" s="1216" t="str">
        <f t="shared" ref="Q258" si="587">IF(AND(ISNUMBER(Q249)),P258+Q255,"")</f>
        <v/>
      </c>
      <c r="R258" s="1216" t="str">
        <f t="shared" ref="R258" si="588">IF(AND(ISNUMBER(R249)),Q258+R255,"")</f>
        <v/>
      </c>
      <c r="S258" s="1118" t="str">
        <f t="shared" ref="S258" si="589">IF(AND(ISNUMBER(S249)),R258+S255,"")</f>
        <v/>
      </c>
      <c r="T258" s="1118" t="str">
        <f t="shared" ref="T258" si="590">IF(AND(ISNUMBER(T249)),S258+T255,"")</f>
        <v/>
      </c>
      <c r="U258" s="1118" t="str">
        <f t="shared" ref="U258" si="591">IF(AND(ISNUMBER(U249)),T258+U255,"")</f>
        <v/>
      </c>
      <c r="V258" s="1118" t="str">
        <f t="shared" ref="V258" si="592">IF(AND(ISNUMBER(V249)),U258+V255,"")</f>
        <v/>
      </c>
      <c r="W258" s="1118" t="str">
        <f t="shared" ref="W258" si="593">IF(AND(ISNUMBER(W249)),V258+W255,"")</f>
        <v/>
      </c>
      <c r="X258" s="1216" t="str">
        <f t="shared" ref="X258" si="594">IF(AND(ISNUMBER(X249)),W258+X255,"")</f>
        <v/>
      </c>
      <c r="Y258" s="1216" t="str">
        <f t="shared" ref="Y258" si="595">IF(AND(ISNUMBER(Y249)),X258+Y255,"")</f>
        <v/>
      </c>
      <c r="Z258" s="1118" t="str">
        <f t="shared" ref="Z258" si="596">IF(AND(ISNUMBER(Z249)),Y258+Z255,"")</f>
        <v/>
      </c>
      <c r="AA258" s="1118" t="str">
        <f t="shared" ref="AA258" si="597">IF(AND(ISNUMBER(AA249)),Z258+AA255,"")</f>
        <v/>
      </c>
      <c r="AB258" s="1118" t="str">
        <f t="shared" ref="AB258" si="598">IF(AND(ISNUMBER(AB249)),AA258+AB255,"")</f>
        <v/>
      </c>
      <c r="AC258" s="1118" t="str">
        <f t="shared" ref="AC258" si="599">IF(AND(ISNUMBER(AC249)),AB258+AC255,"")</f>
        <v/>
      </c>
      <c r="AD258" s="1118" t="str">
        <f t="shared" ref="AD258" si="600">IF(AND(ISNUMBER(AD249)),AC258+AD255,"")</f>
        <v/>
      </c>
      <c r="AE258" s="1216" t="str">
        <f t="shared" ref="AE258" si="601">IF(AND(ISNUMBER(AE249)),AD258+AE255,"")</f>
        <v/>
      </c>
      <c r="AF258" s="1216" t="str">
        <f t="shared" ref="AF258" si="602">IF(AND(ISNUMBER(AF249)),AE258+AF255,"")</f>
        <v/>
      </c>
      <c r="AG258" s="1118" t="str">
        <f t="shared" ref="AG258" si="603">IF(AND(ISNUMBER(AG249)),AF258+AG255,"")</f>
        <v/>
      </c>
      <c r="AH258" s="1118" t="str">
        <f t="shared" ref="AH258" si="604">IF(AND(ISNUMBER(AH249)),AG258+AH255,"")</f>
        <v/>
      </c>
      <c r="AI258" s="1118" t="str">
        <f t="shared" ref="AI258" si="605">IF(AND(ISNUMBER(AI249)),AH258+AI255,"")</f>
        <v/>
      </c>
      <c r="AJ258" s="793"/>
      <c r="AK258" s="793"/>
      <c r="AL258" s="909"/>
      <c r="AM258" s="794"/>
      <c r="AN258" s="429"/>
      <c r="AO258" s="675"/>
      <c r="AP258" s="285"/>
      <c r="AQ258" s="285"/>
      <c r="AR258" s="285"/>
      <c r="AS258" s="285"/>
      <c r="AT258" s="286"/>
      <c r="AU258" s="285"/>
      <c r="AV258" s="287"/>
      <c r="AW258" s="1081"/>
      <c r="AX258" s="1081"/>
      <c r="AY258" s="1081"/>
      <c r="AZ258" s="1081"/>
      <c r="BA258" s="1081"/>
      <c r="BB258" s="1081"/>
      <c r="BC258" s="1081"/>
      <c r="BD258" s="1081"/>
    </row>
    <row r="259" spans="1:56" s="23" customFormat="1" ht="20.65" hidden="1" customHeight="1">
      <c r="A259" s="276"/>
      <c r="B259" s="89"/>
      <c r="C259" s="80" t="s">
        <v>108</v>
      </c>
      <c r="D259" s="90" t="s">
        <v>104</v>
      </c>
      <c r="E259" s="1108"/>
      <c r="F259" s="1089"/>
      <c r="G259" s="44"/>
      <c r="H259" s="1089"/>
      <c r="I259" s="1089"/>
      <c r="J259" s="44"/>
      <c r="K259" s="44"/>
      <c r="L259" s="1089"/>
      <c r="M259" s="1089"/>
      <c r="N259" s="1089"/>
      <c r="O259" s="1089"/>
      <c r="P259" s="1089"/>
      <c r="Q259" s="44"/>
      <c r="R259" s="44"/>
      <c r="S259" s="1089"/>
      <c r="T259" s="1089"/>
      <c r="U259" s="1089"/>
      <c r="V259" s="1089"/>
      <c r="W259" s="1089"/>
      <c r="X259" s="44"/>
      <c r="Y259" s="44"/>
      <c r="Z259" s="1089"/>
      <c r="AA259" s="1089"/>
      <c r="AB259" s="1089"/>
      <c r="AC259" s="1089"/>
      <c r="AD259" s="1089"/>
      <c r="AE259" s="44"/>
      <c r="AF259" s="44"/>
      <c r="AG259" s="1089"/>
      <c r="AH259" s="1089"/>
      <c r="AI259" s="1326"/>
      <c r="AJ259" s="79"/>
      <c r="AK259" s="79"/>
      <c r="AL259" s="690"/>
      <c r="AM259" s="940"/>
      <c r="AN259" s="277"/>
      <c r="AO259" s="679"/>
      <c r="AP259" s="285"/>
      <c r="AQ259" s="285"/>
      <c r="AR259" s="285"/>
      <c r="AS259" s="285"/>
      <c r="AT259" s="286"/>
      <c r="AU259" s="285"/>
      <c r="AV259" s="287"/>
      <c r="AW259" s="1081"/>
      <c r="AX259" s="1081"/>
      <c r="AY259" s="1081"/>
      <c r="AZ259" s="1081"/>
      <c r="BA259" s="1081"/>
      <c r="BB259" s="1081"/>
      <c r="BC259" s="1081"/>
      <c r="BD259" s="1081"/>
    </row>
    <row r="260" spans="1:56" s="23" customFormat="1" ht="20.65" hidden="1" customHeight="1" thickBot="1">
      <c r="A260" s="289"/>
      <c r="B260" s="93"/>
      <c r="C260" s="291">
        <f>+C258*0.8</f>
        <v>240000</v>
      </c>
      <c r="D260" s="88" t="s">
        <v>111</v>
      </c>
      <c r="E260" s="1109">
        <f>IF(E259="O/H",E255,0+E255)</f>
        <v>0</v>
      </c>
      <c r="F260" s="1110">
        <f t="shared" ref="F260:AI260" si="606">IF(F259="O/H",F255,+E260+F255)</f>
        <v>0</v>
      </c>
      <c r="G260" s="1212">
        <f t="shared" si="606"/>
        <v>0</v>
      </c>
      <c r="H260" s="1110">
        <f t="shared" si="606"/>
        <v>0</v>
      </c>
      <c r="I260" s="1110">
        <f t="shared" si="606"/>
        <v>0</v>
      </c>
      <c r="J260" s="1212">
        <f t="shared" si="606"/>
        <v>0</v>
      </c>
      <c r="K260" s="1212">
        <f t="shared" si="606"/>
        <v>0</v>
      </c>
      <c r="L260" s="1110">
        <f t="shared" si="606"/>
        <v>0</v>
      </c>
      <c r="M260" s="1110">
        <f t="shared" si="606"/>
        <v>0</v>
      </c>
      <c r="N260" s="1110">
        <f t="shared" si="606"/>
        <v>0</v>
      </c>
      <c r="O260" s="1110">
        <f t="shared" si="606"/>
        <v>0</v>
      </c>
      <c r="P260" s="1110">
        <f t="shared" si="606"/>
        <v>0</v>
      </c>
      <c r="Q260" s="1212">
        <f t="shared" si="606"/>
        <v>0</v>
      </c>
      <c r="R260" s="1212">
        <f t="shared" si="606"/>
        <v>0</v>
      </c>
      <c r="S260" s="1110">
        <f t="shared" si="606"/>
        <v>0</v>
      </c>
      <c r="T260" s="1110">
        <f t="shared" si="606"/>
        <v>0</v>
      </c>
      <c r="U260" s="1110">
        <f t="shared" si="606"/>
        <v>0</v>
      </c>
      <c r="V260" s="1110">
        <f t="shared" si="606"/>
        <v>0</v>
      </c>
      <c r="W260" s="1110">
        <f t="shared" si="606"/>
        <v>0</v>
      </c>
      <c r="X260" s="1212">
        <f t="shared" si="606"/>
        <v>0</v>
      </c>
      <c r="Y260" s="1212">
        <f t="shared" si="606"/>
        <v>0</v>
      </c>
      <c r="Z260" s="1110">
        <f t="shared" si="606"/>
        <v>0</v>
      </c>
      <c r="AA260" s="1110">
        <f t="shared" si="606"/>
        <v>0</v>
      </c>
      <c r="AB260" s="1110">
        <f t="shared" si="606"/>
        <v>0</v>
      </c>
      <c r="AC260" s="1110">
        <f t="shared" si="606"/>
        <v>0</v>
      </c>
      <c r="AD260" s="1110">
        <f t="shared" si="606"/>
        <v>0</v>
      </c>
      <c r="AE260" s="1212">
        <f t="shared" si="606"/>
        <v>0</v>
      </c>
      <c r="AF260" s="1212">
        <f t="shared" si="606"/>
        <v>0</v>
      </c>
      <c r="AG260" s="1110">
        <f t="shared" si="606"/>
        <v>0</v>
      </c>
      <c r="AH260" s="1110">
        <f t="shared" si="606"/>
        <v>0</v>
      </c>
      <c r="AI260" s="1340">
        <f t="shared" si="606"/>
        <v>0</v>
      </c>
      <c r="AJ260" s="96"/>
      <c r="AK260" s="723"/>
      <c r="AL260" s="695"/>
      <c r="AM260" s="961"/>
      <c r="AN260" s="292"/>
      <c r="AO260" s="681"/>
      <c r="AP260" s="285"/>
      <c r="AQ260" s="285"/>
      <c r="AR260" s="285"/>
      <c r="AS260" s="285"/>
      <c r="AT260" s="286"/>
      <c r="AU260" s="285"/>
      <c r="AV260" s="287"/>
      <c r="AW260" s="1081"/>
      <c r="AX260" s="1081"/>
      <c r="AY260" s="1081"/>
      <c r="AZ260" s="1081"/>
      <c r="BA260" s="1081"/>
      <c r="BB260" s="1081"/>
      <c r="BC260" s="1081"/>
      <c r="BD260" s="1081"/>
    </row>
    <row r="261" spans="1:56" s="23" customFormat="1" ht="20.65" hidden="1" customHeight="1" thickTop="1">
      <c r="A261" s="283" t="s">
        <v>706</v>
      </c>
      <c r="B261" s="89" t="s">
        <v>680</v>
      </c>
      <c r="C261" s="42" t="str">
        <f>Table2[[#This Row],[M/C No.]]</f>
        <v>H8(50ton)</v>
      </c>
      <c r="D261" s="28" t="s">
        <v>82</v>
      </c>
      <c r="E261" s="1124"/>
      <c r="F261" s="1124"/>
      <c r="G261" s="1242"/>
      <c r="H261" s="1124"/>
      <c r="I261" s="1124"/>
      <c r="J261" s="1242"/>
      <c r="K261" s="1242"/>
      <c r="L261" s="1124"/>
      <c r="M261" s="1124"/>
      <c r="N261" s="1124"/>
      <c r="O261" s="1124"/>
      <c r="P261" s="1124"/>
      <c r="Q261" s="1242"/>
      <c r="R261" s="1242"/>
      <c r="S261" s="1124"/>
      <c r="T261" s="1124"/>
      <c r="U261" s="1124"/>
      <c r="V261" s="1124"/>
      <c r="W261" s="1124"/>
      <c r="X261" s="1242"/>
      <c r="Y261" s="1242"/>
      <c r="Z261" s="1124"/>
      <c r="AA261" s="1124"/>
      <c r="AB261" s="1124"/>
      <c r="AC261" s="1124"/>
      <c r="AD261" s="1124"/>
      <c r="AE261" s="1242"/>
      <c r="AF261" s="1242"/>
      <c r="AG261" s="1124"/>
      <c r="AH261" s="1124"/>
      <c r="AI261" s="1350"/>
      <c r="AJ261" s="100">
        <f>SUM(E261:AI261)</f>
        <v>0</v>
      </c>
      <c r="AK261" s="1000">
        <f>AJ263</f>
        <v>0</v>
      </c>
      <c r="AL261" s="101">
        <f>+AJ261*AN261</f>
        <v>0</v>
      </c>
      <c r="AM261" s="1019">
        <f>AL263</f>
        <v>0</v>
      </c>
      <c r="AN261" s="293">
        <v>4.2064200000000005</v>
      </c>
      <c r="AO261" s="633">
        <f>Table2[[#This Row],[Total]]*B265/1000</f>
        <v>0</v>
      </c>
      <c r="AP261" s="32" t="s">
        <v>399</v>
      </c>
      <c r="AQ261" s="33" t="s">
        <v>84</v>
      </c>
      <c r="AR261" s="33" t="s">
        <v>85</v>
      </c>
      <c r="AS261" s="33" t="s">
        <v>86</v>
      </c>
      <c r="AT261" s="33" t="s">
        <v>87</v>
      </c>
      <c r="AU261" s="33" t="s">
        <v>88</v>
      </c>
      <c r="AV261" s="34" t="s">
        <v>68</v>
      </c>
      <c r="AW261" s="1081"/>
      <c r="AX261" s="1081"/>
      <c r="AY261" s="1081"/>
      <c r="AZ261" s="1081"/>
      <c r="BA261" s="1081"/>
      <c r="BB261" s="1081"/>
      <c r="BC261" s="1081"/>
      <c r="BD261" s="1081"/>
    </row>
    <row r="262" spans="1:56" s="23" customFormat="1" ht="20.65" hidden="1" customHeight="1">
      <c r="A262" s="274"/>
      <c r="B262" s="89" t="s">
        <v>385</v>
      </c>
      <c r="C262" s="275"/>
      <c r="D262" s="37" t="s">
        <v>90</v>
      </c>
      <c r="E262" s="1323">
        <f>IF(E261="",0,+ E261/E268)</f>
        <v>0</v>
      </c>
      <c r="F262" s="1096">
        <f t="shared" ref="F262:AC262" si="607">IF(F261="",0, E262+F261/F268)</f>
        <v>0</v>
      </c>
      <c r="G262" s="1207">
        <f t="shared" si="607"/>
        <v>0</v>
      </c>
      <c r="H262" s="1096">
        <f t="shared" si="607"/>
        <v>0</v>
      </c>
      <c r="I262" s="1096">
        <f t="shared" si="607"/>
        <v>0</v>
      </c>
      <c r="J262" s="1207">
        <f t="shared" si="607"/>
        <v>0</v>
      </c>
      <c r="K262" s="1207">
        <f t="shared" si="607"/>
        <v>0</v>
      </c>
      <c r="L262" s="1096">
        <f t="shared" si="607"/>
        <v>0</v>
      </c>
      <c r="M262" s="1096">
        <f t="shared" si="607"/>
        <v>0</v>
      </c>
      <c r="N262" s="1096">
        <f t="shared" si="607"/>
        <v>0</v>
      </c>
      <c r="O262" s="1096">
        <f t="shared" si="607"/>
        <v>0</v>
      </c>
      <c r="P262" s="1096">
        <f t="shared" si="607"/>
        <v>0</v>
      </c>
      <c r="Q262" s="1207">
        <f t="shared" si="607"/>
        <v>0</v>
      </c>
      <c r="R262" s="1207">
        <f t="shared" si="607"/>
        <v>0</v>
      </c>
      <c r="S262" s="1096">
        <f t="shared" si="607"/>
        <v>0</v>
      </c>
      <c r="T262" s="1096">
        <f t="shared" si="607"/>
        <v>0</v>
      </c>
      <c r="U262" s="1096">
        <f t="shared" si="607"/>
        <v>0</v>
      </c>
      <c r="V262" s="1096">
        <f t="shared" si="607"/>
        <v>0</v>
      </c>
      <c r="W262" s="1096">
        <f t="shared" si="607"/>
        <v>0</v>
      </c>
      <c r="X262" s="1207">
        <f t="shared" si="607"/>
        <v>0</v>
      </c>
      <c r="Y262" s="1207">
        <f t="shared" si="607"/>
        <v>0</v>
      </c>
      <c r="Z262" s="1096">
        <f t="shared" si="607"/>
        <v>0</v>
      </c>
      <c r="AA262" s="1096">
        <f t="shared" si="607"/>
        <v>0</v>
      </c>
      <c r="AB262" s="1096">
        <f t="shared" si="607"/>
        <v>0</v>
      </c>
      <c r="AC262" s="1096">
        <f t="shared" si="607"/>
        <v>0</v>
      </c>
      <c r="AD262" s="1096">
        <f>IF(AD261="",0, Z262+AD261/AD268)</f>
        <v>0</v>
      </c>
      <c r="AE262" s="1207">
        <f>IF(AE261="",0, AA262+AE261/AE268)</f>
        <v>0</v>
      </c>
      <c r="AF262" s="1207">
        <f>IF(AF261="",0, AB262+AF261/AF268)</f>
        <v>0</v>
      </c>
      <c r="AG262" s="1096">
        <f>IF(AG261="",0, AC262+AG261/AG268)</f>
        <v>0</v>
      </c>
      <c r="AH262" s="1096">
        <f>IF(AH261="",0, AD262+AH261/AH268)</f>
        <v>0</v>
      </c>
      <c r="AI262" s="1324">
        <f>IF(AI261="",0, AH262+AI261/AI268)</f>
        <v>0</v>
      </c>
      <c r="AJ262" s="716"/>
      <c r="AK262" s="716"/>
      <c r="AL262" s="209"/>
      <c r="AM262" s="794"/>
      <c r="AN262" s="91"/>
      <c r="AO262" s="675"/>
      <c r="AP262" s="39" t="s">
        <v>91</v>
      </c>
      <c r="AQ262" s="40">
        <f>SUM(E261:K261)</f>
        <v>0</v>
      </c>
      <c r="AR262" s="41">
        <f>SUM(L261:R261)</f>
        <v>0</v>
      </c>
      <c r="AS262" s="41">
        <f>SUM(S261:Y261)</f>
        <v>0</v>
      </c>
      <c r="AT262" s="41">
        <f>SUM(Z261:AF261)</f>
        <v>0</v>
      </c>
      <c r="AU262" s="41">
        <f>SUM(AG261:AI261)</f>
        <v>0</v>
      </c>
      <c r="AV262" s="34">
        <f t="shared" ref="AV262:AV267" si="608">SUM(AQ262:AU262)</f>
        <v>0</v>
      </c>
      <c r="AW262" s="1081"/>
      <c r="AX262" s="1081"/>
      <c r="AY262" s="1081"/>
      <c r="AZ262" s="1081"/>
      <c r="BA262" s="1081"/>
      <c r="BB262" s="1081"/>
      <c r="BC262" s="1081"/>
      <c r="BD262" s="1081"/>
    </row>
    <row r="263" spans="1:56" s="23" customFormat="1" ht="20.65" hidden="1" customHeight="1">
      <c r="A263" s="276" t="s">
        <v>401</v>
      </c>
      <c r="B263" s="89" t="s">
        <v>246</v>
      </c>
      <c r="C263" s="42"/>
      <c r="D263" s="43" t="s">
        <v>93</v>
      </c>
      <c r="E263" s="1108"/>
      <c r="F263" s="1089"/>
      <c r="G263" s="44"/>
      <c r="H263" s="1089"/>
      <c r="I263" s="1089"/>
      <c r="J263" s="44"/>
      <c r="K263" s="44"/>
      <c r="L263" s="1089"/>
      <c r="M263" s="1089"/>
      <c r="N263" s="1089"/>
      <c r="O263" s="1089"/>
      <c r="P263" s="1089"/>
      <c r="Q263" s="44"/>
      <c r="R263" s="44"/>
      <c r="S263" s="1089"/>
      <c r="T263" s="1089"/>
      <c r="U263" s="1089"/>
      <c r="V263" s="1089"/>
      <c r="W263" s="1089"/>
      <c r="X263" s="44"/>
      <c r="Y263" s="44"/>
      <c r="Z263" s="1089"/>
      <c r="AA263" s="1089"/>
      <c r="AB263" s="1089"/>
      <c r="AC263" s="1089"/>
      <c r="AD263" s="1089"/>
      <c r="AE263" s="44"/>
      <c r="AF263" s="44"/>
      <c r="AG263" s="1089"/>
      <c r="AH263" s="1089"/>
      <c r="AI263" s="1326"/>
      <c r="AJ263" s="45">
        <f>SUM(E263:AI263)</f>
        <v>0</v>
      </c>
      <c r="AK263" s="45"/>
      <c r="AL263" s="46">
        <f>+AJ263*AN261</f>
        <v>0</v>
      </c>
      <c r="AM263" s="934"/>
      <c r="AN263" s="277"/>
      <c r="AO263" s="632">
        <f>(AJ263+AJ265+AJ266+AJ267)*B265/1000</f>
        <v>0</v>
      </c>
      <c r="AP263" s="47" t="s">
        <v>94</v>
      </c>
      <c r="AQ263" s="48">
        <f>SUM(E263:K263)</f>
        <v>0</v>
      </c>
      <c r="AR263" s="49">
        <f>SUM(L263:R263)</f>
        <v>0</v>
      </c>
      <c r="AS263" s="49">
        <f>SUM(S263:Y263)</f>
        <v>0</v>
      </c>
      <c r="AT263" s="49">
        <f>SUM(Z263:AF263)</f>
        <v>0</v>
      </c>
      <c r="AU263" s="49">
        <f>SUM(AG263:AI263)</f>
        <v>0</v>
      </c>
      <c r="AV263" s="50">
        <f t="shared" si="608"/>
        <v>0</v>
      </c>
      <c r="AW263" s="1081"/>
      <c r="AX263" s="1081"/>
      <c r="AY263" s="1081"/>
      <c r="AZ263" s="1081"/>
      <c r="BA263" s="1081"/>
      <c r="BB263" s="1081"/>
      <c r="BC263" s="1081"/>
      <c r="BD263" s="1081"/>
    </row>
    <row r="264" spans="1:56" s="23" customFormat="1" ht="20.65" hidden="1" customHeight="1">
      <c r="A264" s="276" t="s">
        <v>401</v>
      </c>
      <c r="B264" s="211" t="s">
        <v>247</v>
      </c>
      <c r="C264" s="280"/>
      <c r="D264" s="53" t="s">
        <v>96</v>
      </c>
      <c r="E264" s="1137">
        <f t="shared" ref="E264:AJ264" si="609">+E263-E261</f>
        <v>0</v>
      </c>
      <c r="F264" s="1097">
        <f t="shared" si="609"/>
        <v>0</v>
      </c>
      <c r="G264" s="1205">
        <f t="shared" si="609"/>
        <v>0</v>
      </c>
      <c r="H264" s="1097">
        <f t="shared" si="609"/>
        <v>0</v>
      </c>
      <c r="I264" s="1097">
        <f t="shared" si="609"/>
        <v>0</v>
      </c>
      <c r="J264" s="1205">
        <f t="shared" si="609"/>
        <v>0</v>
      </c>
      <c r="K264" s="1205">
        <f t="shared" si="609"/>
        <v>0</v>
      </c>
      <c r="L264" s="1097">
        <f t="shared" si="609"/>
        <v>0</v>
      </c>
      <c r="M264" s="1097">
        <f t="shared" si="609"/>
        <v>0</v>
      </c>
      <c r="N264" s="1097">
        <f t="shared" si="609"/>
        <v>0</v>
      </c>
      <c r="O264" s="1097">
        <f t="shared" si="609"/>
        <v>0</v>
      </c>
      <c r="P264" s="1097">
        <f t="shared" si="609"/>
        <v>0</v>
      </c>
      <c r="Q264" s="1205">
        <f t="shared" si="609"/>
        <v>0</v>
      </c>
      <c r="R264" s="1205">
        <f t="shared" si="609"/>
        <v>0</v>
      </c>
      <c r="S264" s="1097">
        <f t="shared" si="609"/>
        <v>0</v>
      </c>
      <c r="T264" s="1097">
        <f t="shared" si="609"/>
        <v>0</v>
      </c>
      <c r="U264" s="1097">
        <f t="shared" si="609"/>
        <v>0</v>
      </c>
      <c r="V264" s="1097">
        <f t="shared" si="609"/>
        <v>0</v>
      </c>
      <c r="W264" s="1097">
        <f t="shared" si="609"/>
        <v>0</v>
      </c>
      <c r="X264" s="1205">
        <f t="shared" si="609"/>
        <v>0</v>
      </c>
      <c r="Y264" s="1205">
        <f t="shared" si="609"/>
        <v>0</v>
      </c>
      <c r="Z264" s="1097">
        <f t="shared" si="609"/>
        <v>0</v>
      </c>
      <c r="AA264" s="1097">
        <f t="shared" si="609"/>
        <v>0</v>
      </c>
      <c r="AB264" s="1097">
        <f t="shared" si="609"/>
        <v>0</v>
      </c>
      <c r="AC264" s="1097">
        <f t="shared" si="609"/>
        <v>0</v>
      </c>
      <c r="AD264" s="1097">
        <f t="shared" si="609"/>
        <v>0</v>
      </c>
      <c r="AE264" s="1205">
        <f t="shared" si="609"/>
        <v>0</v>
      </c>
      <c r="AF264" s="1205">
        <f t="shared" si="609"/>
        <v>0</v>
      </c>
      <c r="AG264" s="1097">
        <f t="shared" si="609"/>
        <v>0</v>
      </c>
      <c r="AH264" s="1097">
        <f t="shared" si="609"/>
        <v>0</v>
      </c>
      <c r="AI264" s="1328">
        <f t="shared" si="609"/>
        <v>0</v>
      </c>
      <c r="AJ264" s="79">
        <f t="shared" si="609"/>
        <v>0</v>
      </c>
      <c r="AK264" s="79"/>
      <c r="AL264" s="55">
        <f>+AJ264*AN261</f>
        <v>0</v>
      </c>
      <c r="AM264" s="935"/>
      <c r="AN264" s="277" t="s">
        <v>97</v>
      </c>
      <c r="AO264" s="622"/>
      <c r="AP264" s="39" t="s">
        <v>98</v>
      </c>
      <c r="AQ264" s="56">
        <f>AQ263-AQ262</f>
        <v>0</v>
      </c>
      <c r="AR264" s="70">
        <f>AR263-AR262</f>
        <v>0</v>
      </c>
      <c r="AS264" s="70">
        <f>AS263-AS262</f>
        <v>0</v>
      </c>
      <c r="AT264" s="70">
        <f>AT263-AT262</f>
        <v>0</v>
      </c>
      <c r="AU264" s="70">
        <f>AU263-AU262</f>
        <v>0</v>
      </c>
      <c r="AV264" s="57">
        <f t="shared" si="608"/>
        <v>0</v>
      </c>
      <c r="AW264" s="1081"/>
      <c r="AX264" s="1081"/>
      <c r="AY264" s="1081"/>
      <c r="AZ264" s="1081"/>
      <c r="BA264" s="1081"/>
      <c r="BB264" s="1081"/>
      <c r="BC264" s="1081"/>
      <c r="BD264" s="1081"/>
    </row>
    <row r="265" spans="1:56" s="23" customFormat="1" ht="20.65" hidden="1" customHeight="1">
      <c r="A265" s="276" t="s">
        <v>401</v>
      </c>
      <c r="B265" s="658"/>
      <c r="C265" s="305"/>
      <c r="D265" s="61" t="s">
        <v>101</v>
      </c>
      <c r="E265" s="1098"/>
      <c r="F265" s="1099"/>
      <c r="G265" s="1208"/>
      <c r="H265" s="1099"/>
      <c r="I265" s="1099"/>
      <c r="J265" s="1208"/>
      <c r="K265" s="1208"/>
      <c r="L265" s="1099"/>
      <c r="M265" s="1099"/>
      <c r="N265" s="1099"/>
      <c r="O265" s="1099"/>
      <c r="P265" s="1099"/>
      <c r="Q265" s="1208"/>
      <c r="R265" s="1208"/>
      <c r="S265" s="1099"/>
      <c r="T265" s="1099"/>
      <c r="U265" s="1099"/>
      <c r="V265" s="1099"/>
      <c r="W265" s="1099"/>
      <c r="X265" s="1208"/>
      <c r="Y265" s="1208"/>
      <c r="Z265" s="1099"/>
      <c r="AA265" s="1099"/>
      <c r="AB265" s="1099"/>
      <c r="AC265" s="1099"/>
      <c r="AD265" s="1099"/>
      <c r="AE265" s="1208"/>
      <c r="AF265" s="1208"/>
      <c r="AG265" s="1099"/>
      <c r="AH265" s="1099"/>
      <c r="AI265" s="1330"/>
      <c r="AJ265" s="62">
        <f>SUM(E265:AI265)</f>
        <v>0</v>
      </c>
      <c r="AK265" s="62"/>
      <c r="AL265" s="63">
        <f>+AJ265*AN261</f>
        <v>0</v>
      </c>
      <c r="AM265" s="936"/>
      <c r="AN265" s="301" t="e">
        <f>+AJ265/AJ263*100</f>
        <v>#DIV/0!</v>
      </c>
      <c r="AO265" s="635" t="e">
        <f>AO263/AO261</f>
        <v>#DIV/0!</v>
      </c>
      <c r="AP265" s="39" t="s">
        <v>102</v>
      </c>
      <c r="AQ265" s="56">
        <f>SUM(E265:K265)</f>
        <v>0</v>
      </c>
      <c r="AR265" s="70">
        <f>SUM(L265:R265)</f>
        <v>0</v>
      </c>
      <c r="AS265" s="70">
        <f>SUM(S265:Y265)</f>
        <v>0</v>
      </c>
      <c r="AT265" s="70">
        <f>SUM(Z265:AF265)</f>
        <v>0</v>
      </c>
      <c r="AU265" s="70">
        <f>SUM(AG265:AI265)</f>
        <v>0</v>
      </c>
      <c r="AV265" s="57">
        <f t="shared" si="608"/>
        <v>0</v>
      </c>
      <c r="AW265" s="1081"/>
      <c r="AX265" s="1081"/>
      <c r="AY265" s="1081"/>
      <c r="AZ265" s="1081"/>
      <c r="BA265" s="1081"/>
      <c r="BB265" s="1081"/>
      <c r="BC265" s="1081"/>
      <c r="BD265" s="1081"/>
    </row>
    <row r="266" spans="1:56" s="23" customFormat="1" ht="20.65" hidden="1" customHeight="1">
      <c r="A266" s="283"/>
      <c r="B266" s="89"/>
      <c r="C266" s="52" t="s">
        <v>95</v>
      </c>
      <c r="D266" s="67" t="s">
        <v>103</v>
      </c>
      <c r="E266" s="1100"/>
      <c r="F266" s="1101"/>
      <c r="G266" s="1209"/>
      <c r="H266" s="1101"/>
      <c r="I266" s="1101"/>
      <c r="J266" s="1209"/>
      <c r="K266" s="1209"/>
      <c r="L266" s="1101"/>
      <c r="M266" s="1101"/>
      <c r="N266" s="1101"/>
      <c r="O266" s="1101"/>
      <c r="P266" s="1101"/>
      <c r="Q266" s="1209"/>
      <c r="R266" s="1209"/>
      <c r="S266" s="1101"/>
      <c r="T266" s="1101"/>
      <c r="U266" s="1101"/>
      <c r="V266" s="1101"/>
      <c r="W266" s="1101"/>
      <c r="X266" s="1209"/>
      <c r="Y266" s="1209"/>
      <c r="Z266" s="1101"/>
      <c r="AA266" s="1101"/>
      <c r="AB266" s="1101"/>
      <c r="AC266" s="1101"/>
      <c r="AD266" s="1101"/>
      <c r="AE266" s="1209"/>
      <c r="AF266" s="1209"/>
      <c r="AG266" s="1101"/>
      <c r="AH266" s="1101"/>
      <c r="AI266" s="1332"/>
      <c r="AJ266" s="68">
        <f>SUM(E266:AI266)</f>
        <v>0</v>
      </c>
      <c r="AK266" s="68"/>
      <c r="AL266" s="69">
        <f>+AJ266*AN261</f>
        <v>0</v>
      </c>
      <c r="AM266" s="937"/>
      <c r="AN266" s="277"/>
      <c r="AO266" s="679"/>
      <c r="AP266" s="39" t="s">
        <v>19</v>
      </c>
      <c r="AQ266" s="56">
        <f>AQ265*AN261</f>
        <v>0</v>
      </c>
      <c r="AR266" s="56">
        <f>AR265*AN261</f>
        <v>0</v>
      </c>
      <c r="AS266" s="56">
        <f>AS265*AN261</f>
        <v>0</v>
      </c>
      <c r="AT266" s="56">
        <f>AT265*AN261</f>
        <v>0</v>
      </c>
      <c r="AU266" s="56">
        <f>AU265*AN261</f>
        <v>0</v>
      </c>
      <c r="AV266" s="57">
        <f t="shared" si="608"/>
        <v>0</v>
      </c>
      <c r="AW266" s="1081"/>
      <c r="AX266" s="1081"/>
      <c r="AY266" s="1081"/>
      <c r="AZ266" s="1081"/>
      <c r="BA266" s="1081"/>
      <c r="BB266" s="1081"/>
      <c r="BC266" s="1081"/>
      <c r="BD266" s="1081"/>
    </row>
    <row r="267" spans="1:56" s="23" customFormat="1" ht="20.65" hidden="1" customHeight="1">
      <c r="A267" s="283"/>
      <c r="B267" s="89"/>
      <c r="C267" s="306" t="s">
        <v>387</v>
      </c>
      <c r="D267" s="73" t="s">
        <v>105</v>
      </c>
      <c r="E267" s="1158"/>
      <c r="F267" s="1140"/>
      <c r="G267" s="1289"/>
      <c r="H267" s="1140"/>
      <c r="I267" s="1140"/>
      <c r="J267" s="1289"/>
      <c r="K267" s="1289"/>
      <c r="L267" s="1140"/>
      <c r="M267" s="1140"/>
      <c r="N267" s="1140"/>
      <c r="O267" s="1140"/>
      <c r="P267" s="1140"/>
      <c r="Q267" s="1289"/>
      <c r="R267" s="1289"/>
      <c r="S267" s="1140"/>
      <c r="T267" s="1140"/>
      <c r="U267" s="1140"/>
      <c r="V267" s="1140"/>
      <c r="W267" s="1140"/>
      <c r="X267" s="1289"/>
      <c r="Y267" s="1289"/>
      <c r="Z267" s="1140"/>
      <c r="AA267" s="1140"/>
      <c r="AB267" s="1140"/>
      <c r="AC267" s="1140"/>
      <c r="AD267" s="1140"/>
      <c r="AE267" s="1289"/>
      <c r="AF267" s="1289"/>
      <c r="AG267" s="1140"/>
      <c r="AH267" s="1140"/>
      <c r="AI267" s="1408"/>
      <c r="AJ267" s="718">
        <f>SUM(E267:AI267)</f>
        <v>0</v>
      </c>
      <c r="AK267" s="718"/>
      <c r="AL267" s="691">
        <f>+AJ267*AN261</f>
        <v>0</v>
      </c>
      <c r="AM267" s="959"/>
      <c r="AN267" s="91"/>
      <c r="AO267" s="630"/>
      <c r="AP267" s="47" t="s">
        <v>106</v>
      </c>
      <c r="AQ267" s="48">
        <f>AQ263*AN261</f>
        <v>0</v>
      </c>
      <c r="AR267" s="48">
        <f>AR263*AN261</f>
        <v>0</v>
      </c>
      <c r="AS267" s="48">
        <f>AS263*AN261</f>
        <v>0</v>
      </c>
      <c r="AT267" s="48">
        <f>AT263*AN261</f>
        <v>0</v>
      </c>
      <c r="AU267" s="48">
        <f>AU263*AN261</f>
        <v>0</v>
      </c>
      <c r="AV267" s="50">
        <f t="shared" si="608"/>
        <v>0</v>
      </c>
      <c r="AW267" s="1081"/>
      <c r="AX267" s="1081"/>
      <c r="AY267" s="1081"/>
      <c r="AZ267" s="1081"/>
      <c r="BA267" s="1081"/>
      <c r="BB267" s="1081"/>
      <c r="BC267" s="1081"/>
      <c r="BD267" s="1081"/>
    </row>
    <row r="268" spans="1:56" s="23" customFormat="1" ht="20.65" hidden="1" customHeight="1">
      <c r="A268" s="276" t="s">
        <v>401</v>
      </c>
      <c r="B268" s="89"/>
      <c r="C268" s="307"/>
      <c r="D268" s="78" t="s">
        <v>107</v>
      </c>
      <c r="E268" s="1137">
        <v>4</v>
      </c>
      <c r="F268" s="1097">
        <v>4</v>
      </c>
      <c r="G268" s="1205">
        <v>4</v>
      </c>
      <c r="H268" s="1097">
        <v>4</v>
      </c>
      <c r="I268" s="1097">
        <v>4</v>
      </c>
      <c r="J268" s="1205">
        <v>4</v>
      </c>
      <c r="K268" s="1205">
        <v>4</v>
      </c>
      <c r="L268" s="1097">
        <v>4</v>
      </c>
      <c r="M268" s="1097">
        <v>4</v>
      </c>
      <c r="N268" s="1097">
        <v>4</v>
      </c>
      <c r="O268" s="1097">
        <v>4</v>
      </c>
      <c r="P268" s="1097">
        <v>4</v>
      </c>
      <c r="Q268" s="1205">
        <v>4</v>
      </c>
      <c r="R268" s="1205">
        <v>4</v>
      </c>
      <c r="S268" s="1097">
        <v>4</v>
      </c>
      <c r="T268" s="1097">
        <v>4</v>
      </c>
      <c r="U268" s="1097">
        <v>4</v>
      </c>
      <c r="V268" s="1097">
        <v>4</v>
      </c>
      <c r="W268" s="1097">
        <v>4</v>
      </c>
      <c r="X268" s="1205">
        <v>4</v>
      </c>
      <c r="Y268" s="1205">
        <v>4</v>
      </c>
      <c r="Z268" s="1097">
        <v>4</v>
      </c>
      <c r="AA268" s="1097">
        <v>4</v>
      </c>
      <c r="AB268" s="1097">
        <v>4</v>
      </c>
      <c r="AC268" s="1097">
        <v>4</v>
      </c>
      <c r="AD268" s="1097">
        <v>4</v>
      </c>
      <c r="AE268" s="1205">
        <v>4</v>
      </c>
      <c r="AF268" s="1205">
        <v>4</v>
      </c>
      <c r="AG268" s="1097">
        <v>4</v>
      </c>
      <c r="AH268" s="1097">
        <v>4</v>
      </c>
      <c r="AI268" s="1328">
        <v>4</v>
      </c>
      <c r="AJ268" s="79"/>
      <c r="AK268" s="79"/>
      <c r="AL268" s="692"/>
      <c r="AM268" s="960"/>
      <c r="AN268" s="277"/>
      <c r="AO268" s="679"/>
      <c r="AP268" s="47"/>
      <c r="AQ268" s="48"/>
      <c r="AR268" s="48"/>
      <c r="AS268" s="48"/>
      <c r="AT268" s="48"/>
      <c r="AU268" s="48"/>
      <c r="AV268" s="284"/>
      <c r="AW268" s="1081"/>
      <c r="AX268" s="1081"/>
      <c r="AY268" s="1081"/>
      <c r="AZ268" s="1081"/>
      <c r="BA268" s="1081"/>
      <c r="BB268" s="1081"/>
      <c r="BC268" s="1081"/>
      <c r="BD268" s="1081"/>
    </row>
    <row r="269" spans="1:56" s="23" customFormat="1" ht="20.65" hidden="1" customHeight="1">
      <c r="A269" s="276" t="s">
        <v>401</v>
      </c>
      <c r="B269" s="89"/>
      <c r="C269" s="305"/>
      <c r="D269" s="81" t="s">
        <v>109</v>
      </c>
      <c r="E269" s="1125">
        <f>SUM(E263+E265+E266+E267)/E268</f>
        <v>0</v>
      </c>
      <c r="F269" s="1126">
        <f>SUM(F263+F265+F266+F267)/F268</f>
        <v>0</v>
      </c>
      <c r="G269" s="1235">
        <f t="shared" ref="G269:AH269" si="610">SUM(G263+G265+G266+G267)/G268</f>
        <v>0</v>
      </c>
      <c r="H269" s="1126">
        <f t="shared" si="610"/>
        <v>0</v>
      </c>
      <c r="I269" s="1126">
        <f t="shared" si="610"/>
        <v>0</v>
      </c>
      <c r="J269" s="1235">
        <f t="shared" si="610"/>
        <v>0</v>
      </c>
      <c r="K269" s="1235">
        <f t="shared" si="610"/>
        <v>0</v>
      </c>
      <c r="L269" s="1126">
        <f t="shared" si="610"/>
        <v>0</v>
      </c>
      <c r="M269" s="1126">
        <f t="shared" si="610"/>
        <v>0</v>
      </c>
      <c r="N269" s="1126">
        <f t="shared" si="610"/>
        <v>0</v>
      </c>
      <c r="O269" s="1126">
        <f t="shared" si="610"/>
        <v>0</v>
      </c>
      <c r="P269" s="1126">
        <f t="shared" si="610"/>
        <v>0</v>
      </c>
      <c r="Q269" s="1235">
        <f t="shared" si="610"/>
        <v>0</v>
      </c>
      <c r="R269" s="1235">
        <f t="shared" si="610"/>
        <v>0</v>
      </c>
      <c r="S269" s="1126">
        <f t="shared" si="610"/>
        <v>0</v>
      </c>
      <c r="T269" s="1126">
        <f t="shared" si="610"/>
        <v>0</v>
      </c>
      <c r="U269" s="1126">
        <f t="shared" si="610"/>
        <v>0</v>
      </c>
      <c r="V269" s="1126">
        <f t="shared" si="610"/>
        <v>0</v>
      </c>
      <c r="W269" s="1126">
        <f t="shared" si="610"/>
        <v>0</v>
      </c>
      <c r="X269" s="1235">
        <f t="shared" si="610"/>
        <v>0</v>
      </c>
      <c r="Y269" s="1235">
        <f t="shared" si="610"/>
        <v>0</v>
      </c>
      <c r="Z269" s="1126">
        <f t="shared" si="610"/>
        <v>0</v>
      </c>
      <c r="AA269" s="1126">
        <f t="shared" si="610"/>
        <v>0</v>
      </c>
      <c r="AB269" s="1126">
        <f t="shared" si="610"/>
        <v>0</v>
      </c>
      <c r="AC269" s="1126">
        <f t="shared" si="610"/>
        <v>0</v>
      </c>
      <c r="AD269" s="1126">
        <f t="shared" si="610"/>
        <v>0</v>
      </c>
      <c r="AE269" s="1235">
        <f t="shared" si="610"/>
        <v>0</v>
      </c>
      <c r="AF269" s="1235">
        <f t="shared" si="610"/>
        <v>0</v>
      </c>
      <c r="AG269" s="1126">
        <f t="shared" si="610"/>
        <v>0</v>
      </c>
      <c r="AH269" s="1126">
        <f t="shared" si="610"/>
        <v>0</v>
      </c>
      <c r="AI269" s="1335">
        <f>SUM(AI263+AI265+AI266)/AI268</f>
        <v>0</v>
      </c>
      <c r="AJ269" s="515">
        <f>SUM(E269:AI269)</f>
        <v>0</v>
      </c>
      <c r="AK269" s="515"/>
      <c r="AL269" s="689"/>
      <c r="AM269" s="940"/>
      <c r="AN269" s="277"/>
      <c r="AO269" s="679"/>
      <c r="AP269" s="285"/>
      <c r="AQ269" s="285"/>
      <c r="AR269" s="285"/>
      <c r="AS269" s="285"/>
      <c r="AT269" s="286"/>
      <c r="AU269" s="285"/>
      <c r="AV269" s="287"/>
      <c r="AW269" s="1081"/>
      <c r="AX269" s="1081"/>
      <c r="AY269" s="1081"/>
      <c r="AZ269" s="1081"/>
      <c r="BA269" s="1081"/>
      <c r="BB269" s="1081"/>
      <c r="BC269" s="1081"/>
      <c r="BD269" s="1081"/>
    </row>
    <row r="270" spans="1:56" s="23" customFormat="1" ht="20.65" hidden="1" customHeight="1">
      <c r="A270" s="276" t="s">
        <v>401</v>
      </c>
      <c r="B270" s="315"/>
      <c r="C270" s="72"/>
      <c r="D270" s="85" t="s">
        <v>110</v>
      </c>
      <c r="E270" s="1105"/>
      <c r="F270" s="1106"/>
      <c r="G270" s="1211"/>
      <c r="H270" s="1104"/>
      <c r="I270" s="1104"/>
      <c r="J270" s="1211"/>
      <c r="K270" s="1211"/>
      <c r="L270" s="1104"/>
      <c r="M270" s="1104"/>
      <c r="N270" s="1104"/>
      <c r="O270" s="1104"/>
      <c r="P270" s="1104"/>
      <c r="Q270" s="1211"/>
      <c r="R270" s="1211"/>
      <c r="S270" s="1104"/>
      <c r="T270" s="1104"/>
      <c r="U270" s="1104"/>
      <c r="V270" s="1104"/>
      <c r="W270" s="1104"/>
      <c r="X270" s="1211"/>
      <c r="Y270" s="1211"/>
      <c r="Z270" s="1104"/>
      <c r="AA270" s="1104"/>
      <c r="AB270" s="1104"/>
      <c r="AC270" s="1104"/>
      <c r="AD270" s="1104"/>
      <c r="AE270" s="1211"/>
      <c r="AF270" s="1211"/>
      <c r="AG270" s="1104"/>
      <c r="AH270" s="1104"/>
      <c r="AI270" s="1353"/>
      <c r="AJ270" s="86"/>
      <c r="AK270" s="86"/>
      <c r="AL270" s="690"/>
      <c r="AM270" s="940"/>
      <c r="AN270" s="277"/>
      <c r="AO270" s="679"/>
      <c r="AP270" s="285"/>
      <c r="AQ270" s="285"/>
      <c r="AR270" s="285"/>
      <c r="AS270" s="285"/>
      <c r="AT270" s="286"/>
      <c r="AU270" s="285"/>
      <c r="AV270" s="287"/>
      <c r="AW270" s="1081"/>
      <c r="AX270" s="1081"/>
      <c r="AY270" s="1081"/>
      <c r="AZ270" s="1081"/>
      <c r="BA270" s="1081"/>
      <c r="BB270" s="1081"/>
      <c r="BC270" s="1081"/>
      <c r="BD270" s="1081"/>
    </row>
    <row r="271" spans="1:56" s="23" customFormat="1" ht="20.65" hidden="1" customHeight="1">
      <c r="A271" s="276" t="s">
        <v>401</v>
      </c>
      <c r="B271" s="89"/>
      <c r="C271" s="72" t="s">
        <v>104</v>
      </c>
      <c r="D271" s="88" t="s">
        <v>111</v>
      </c>
      <c r="E271" s="1108">
        <f>IF(E270="O/H",E269,0+E269)</f>
        <v>0</v>
      </c>
      <c r="F271" s="1089">
        <f t="shared" ref="F271:AI271" si="611">IF(F270="O/H",F269,+E271+F269)</f>
        <v>0</v>
      </c>
      <c r="G271" s="44">
        <f t="shared" si="611"/>
        <v>0</v>
      </c>
      <c r="H271" s="1089">
        <f t="shared" si="611"/>
        <v>0</v>
      </c>
      <c r="I271" s="1089">
        <f t="shared" si="611"/>
        <v>0</v>
      </c>
      <c r="J271" s="44">
        <f t="shared" si="611"/>
        <v>0</v>
      </c>
      <c r="K271" s="44">
        <f t="shared" si="611"/>
        <v>0</v>
      </c>
      <c r="L271" s="1089">
        <f t="shared" si="611"/>
        <v>0</v>
      </c>
      <c r="M271" s="1089">
        <f t="shared" si="611"/>
        <v>0</v>
      </c>
      <c r="N271" s="1089">
        <f t="shared" si="611"/>
        <v>0</v>
      </c>
      <c r="O271" s="1089">
        <f t="shared" si="611"/>
        <v>0</v>
      </c>
      <c r="P271" s="1089">
        <f t="shared" si="611"/>
        <v>0</v>
      </c>
      <c r="Q271" s="44">
        <f t="shared" si="611"/>
        <v>0</v>
      </c>
      <c r="R271" s="44">
        <f t="shared" si="611"/>
        <v>0</v>
      </c>
      <c r="S271" s="1089">
        <f t="shared" si="611"/>
        <v>0</v>
      </c>
      <c r="T271" s="1089">
        <f t="shared" si="611"/>
        <v>0</v>
      </c>
      <c r="U271" s="1089">
        <f t="shared" si="611"/>
        <v>0</v>
      </c>
      <c r="V271" s="1089">
        <f t="shared" si="611"/>
        <v>0</v>
      </c>
      <c r="W271" s="1089">
        <f t="shared" si="611"/>
        <v>0</v>
      </c>
      <c r="X271" s="44">
        <f t="shared" si="611"/>
        <v>0</v>
      </c>
      <c r="Y271" s="44">
        <f t="shared" si="611"/>
        <v>0</v>
      </c>
      <c r="Z271" s="1089">
        <f t="shared" si="611"/>
        <v>0</v>
      </c>
      <c r="AA271" s="1089">
        <f t="shared" si="611"/>
        <v>0</v>
      </c>
      <c r="AB271" s="1089">
        <f t="shared" si="611"/>
        <v>0</v>
      </c>
      <c r="AC271" s="1089">
        <f t="shared" si="611"/>
        <v>0</v>
      </c>
      <c r="AD271" s="1089">
        <f t="shared" si="611"/>
        <v>0</v>
      </c>
      <c r="AE271" s="44">
        <f t="shared" si="611"/>
        <v>0</v>
      </c>
      <c r="AF271" s="44">
        <f t="shared" si="611"/>
        <v>0</v>
      </c>
      <c r="AG271" s="1089">
        <f t="shared" si="611"/>
        <v>0</v>
      </c>
      <c r="AH271" s="1089">
        <f t="shared" si="611"/>
        <v>0</v>
      </c>
      <c r="AI271" s="1326">
        <f t="shared" si="611"/>
        <v>0</v>
      </c>
      <c r="AJ271" s="79"/>
      <c r="AK271" s="79"/>
      <c r="AL271" s="690"/>
      <c r="AM271" s="940"/>
      <c r="AN271" s="277"/>
      <c r="AO271" s="679"/>
      <c r="AP271" s="285"/>
      <c r="AQ271" s="285"/>
      <c r="AR271" s="285"/>
      <c r="AS271" s="285"/>
      <c r="AT271" s="286"/>
      <c r="AU271" s="285"/>
      <c r="AV271" s="287"/>
      <c r="AW271" s="1081"/>
      <c r="AX271" s="1081"/>
      <c r="AY271" s="1081"/>
      <c r="AZ271" s="1081"/>
      <c r="BA271" s="1081"/>
      <c r="BB271" s="1081"/>
      <c r="BC271" s="1081"/>
      <c r="BD271" s="1081"/>
    </row>
    <row r="272" spans="1:56" s="23" customFormat="1" ht="20.45" hidden="1" customHeight="1">
      <c r="A272" s="312"/>
      <c r="B272" s="312"/>
      <c r="C272" s="308">
        <v>300000</v>
      </c>
      <c r="D272" s="795" t="s">
        <v>112</v>
      </c>
      <c r="E272" s="1117" t="b">
        <f>IF(AND(ISNUMBER(E263)),+E269)</f>
        <v>0</v>
      </c>
      <c r="F272" s="1118" t="str">
        <f>IF(AND(ISNUMBER(F263)),E272+F269,"")</f>
        <v/>
      </c>
      <c r="G272" s="1216" t="str">
        <f t="shared" ref="G272" si="612">IF(AND(ISNUMBER(G263)),F272+G269,"")</f>
        <v/>
      </c>
      <c r="H272" s="1118" t="str">
        <f t="shared" ref="H272" si="613">IF(AND(ISNUMBER(H263)),G272+H269,"")</f>
        <v/>
      </c>
      <c r="I272" s="1118" t="str">
        <f>IF(AND(ISNUMBER(I263)),H272+I269,"")</f>
        <v/>
      </c>
      <c r="J272" s="1216" t="str">
        <f>IF(AND(ISNUMBER(J263)),I272+J269,"")</f>
        <v/>
      </c>
      <c r="K272" s="1216" t="str">
        <f>IF(AND(ISNUMBER(K263)),J272+K269,"")</f>
        <v/>
      </c>
      <c r="L272" s="1118" t="str">
        <f t="shared" ref="L272" si="614">IF(AND(ISNUMBER(L263)),K272+L269,"")</f>
        <v/>
      </c>
      <c r="M272" s="1118" t="str">
        <f t="shared" ref="M272" si="615">IF(AND(ISNUMBER(M263)),L272+M269,"")</f>
        <v/>
      </c>
      <c r="N272" s="1118" t="str">
        <f t="shared" ref="N272" si="616">IF(AND(ISNUMBER(N263)),M272+N269,"")</f>
        <v/>
      </c>
      <c r="O272" s="1118" t="str">
        <f t="shared" ref="O272" si="617">IF(AND(ISNUMBER(O263)),N272+O269,"")</f>
        <v/>
      </c>
      <c r="P272" s="1118" t="str">
        <f t="shared" ref="P272" si="618">IF(AND(ISNUMBER(P263)),O272+P269,"")</f>
        <v/>
      </c>
      <c r="Q272" s="1216" t="str">
        <f t="shared" ref="Q272" si="619">IF(AND(ISNUMBER(Q263)),P272+Q269,"")</f>
        <v/>
      </c>
      <c r="R272" s="1216" t="str">
        <f t="shared" ref="R272" si="620">IF(AND(ISNUMBER(R263)),Q272+R269,"")</f>
        <v/>
      </c>
      <c r="S272" s="1118" t="str">
        <f t="shared" ref="S272" si="621">IF(AND(ISNUMBER(S263)),R272+S269,"")</f>
        <v/>
      </c>
      <c r="T272" s="1118" t="str">
        <f t="shared" ref="T272" si="622">IF(AND(ISNUMBER(T263)),S272+T269,"")</f>
        <v/>
      </c>
      <c r="U272" s="1118" t="str">
        <f t="shared" ref="U272" si="623">IF(AND(ISNUMBER(U263)),T272+U269,"")</f>
        <v/>
      </c>
      <c r="V272" s="1118" t="str">
        <f t="shared" ref="V272" si="624">IF(AND(ISNUMBER(V263)),U272+V269,"")</f>
        <v/>
      </c>
      <c r="W272" s="1118" t="str">
        <f t="shared" ref="W272" si="625">IF(AND(ISNUMBER(W263)),V272+W269,"")</f>
        <v/>
      </c>
      <c r="X272" s="1216" t="str">
        <f t="shared" ref="X272" si="626">IF(AND(ISNUMBER(X263)),W272+X269,"")</f>
        <v/>
      </c>
      <c r="Y272" s="1216" t="str">
        <f t="shared" ref="Y272" si="627">IF(AND(ISNUMBER(Y263)),X272+Y269,"")</f>
        <v/>
      </c>
      <c r="Z272" s="1118" t="str">
        <f t="shared" ref="Z272" si="628">IF(AND(ISNUMBER(Z263)),Y272+Z269,"")</f>
        <v/>
      </c>
      <c r="AA272" s="1118" t="str">
        <f t="shared" ref="AA272" si="629">IF(AND(ISNUMBER(AA263)),Z272+AA269,"")</f>
        <v/>
      </c>
      <c r="AB272" s="1118" t="str">
        <f t="shared" ref="AB272" si="630">IF(AND(ISNUMBER(AB263)),AA272+AB269,"")</f>
        <v/>
      </c>
      <c r="AC272" s="1118" t="str">
        <f t="shared" ref="AC272" si="631">IF(AND(ISNUMBER(AC263)),AB272+AC269,"")</f>
        <v/>
      </c>
      <c r="AD272" s="1118" t="str">
        <f t="shared" ref="AD272" si="632">IF(AND(ISNUMBER(AD263)),AC272+AD269,"")</f>
        <v/>
      </c>
      <c r="AE272" s="1216" t="str">
        <f t="shared" ref="AE272" si="633">IF(AND(ISNUMBER(AE263)),AD272+AE269,"")</f>
        <v/>
      </c>
      <c r="AF272" s="1216" t="str">
        <f t="shared" ref="AF272" si="634">IF(AND(ISNUMBER(AF263)),AE272+AF269,"")</f>
        <v/>
      </c>
      <c r="AG272" s="1118" t="str">
        <f t="shared" ref="AG272" si="635">IF(AND(ISNUMBER(AG263)),AF272+AG269,"")</f>
        <v/>
      </c>
      <c r="AH272" s="1118" t="str">
        <f t="shared" ref="AH272" si="636">IF(AND(ISNUMBER(AH263)),AG272+AH269,"")</f>
        <v/>
      </c>
      <c r="AI272" s="1118" t="str">
        <f t="shared" ref="AI272" si="637">IF(AND(ISNUMBER(AI263)),AH272+AI269,"")</f>
        <v/>
      </c>
      <c r="AJ272" s="793"/>
      <c r="AK272" s="793"/>
      <c r="AL272" s="909"/>
      <c r="AM272" s="794"/>
      <c r="AN272" s="429"/>
      <c r="AO272" s="675"/>
      <c r="AP272" s="285"/>
      <c r="AQ272" s="285"/>
      <c r="AR272" s="285"/>
      <c r="AS272" s="285"/>
      <c r="AT272" s="286"/>
      <c r="AU272" s="285"/>
      <c r="AV272" s="287"/>
      <c r="AW272" s="1081"/>
      <c r="AX272" s="1081"/>
      <c r="AY272" s="1081"/>
      <c r="AZ272" s="1081"/>
      <c r="BA272" s="1081"/>
      <c r="BB272" s="1081"/>
      <c r="BC272" s="1081"/>
      <c r="BD272" s="1081"/>
    </row>
    <row r="273" spans="1:56" s="23" customFormat="1" ht="20.65" hidden="1" customHeight="1">
      <c r="A273" s="276"/>
      <c r="B273" s="89"/>
      <c r="C273" s="80" t="s">
        <v>108</v>
      </c>
      <c r="D273" s="90" t="s">
        <v>104</v>
      </c>
      <c r="E273" s="1108"/>
      <c r="F273" s="1089"/>
      <c r="G273" s="44"/>
      <c r="H273" s="1089"/>
      <c r="I273" s="1089"/>
      <c r="J273" s="44"/>
      <c r="K273" s="44"/>
      <c r="L273" s="1089"/>
      <c r="M273" s="1089"/>
      <c r="N273" s="1089"/>
      <c r="O273" s="1089"/>
      <c r="P273" s="1089"/>
      <c r="Q273" s="44"/>
      <c r="R273" s="44"/>
      <c r="S273" s="1089"/>
      <c r="T273" s="1089"/>
      <c r="U273" s="1089"/>
      <c r="V273" s="1089"/>
      <c r="W273" s="1089"/>
      <c r="X273" s="44"/>
      <c r="Y273" s="44"/>
      <c r="Z273" s="1089"/>
      <c r="AA273" s="1089"/>
      <c r="AB273" s="1089"/>
      <c r="AC273" s="1089"/>
      <c r="AD273" s="1089"/>
      <c r="AE273" s="44"/>
      <c r="AF273" s="44"/>
      <c r="AG273" s="1089"/>
      <c r="AH273" s="1089"/>
      <c r="AI273" s="1326"/>
      <c r="AJ273" s="79"/>
      <c r="AK273" s="79"/>
      <c r="AL273" s="690"/>
      <c r="AM273" s="940"/>
      <c r="AN273" s="277"/>
      <c r="AO273" s="679"/>
      <c r="AP273" s="285"/>
      <c r="AQ273" s="285"/>
      <c r="AR273" s="285"/>
      <c r="AS273" s="285"/>
      <c r="AT273" s="286"/>
      <c r="AU273" s="285"/>
      <c r="AV273" s="287"/>
      <c r="AW273" s="1081"/>
      <c r="AX273" s="1081"/>
      <c r="AY273" s="1081"/>
      <c r="AZ273" s="1081"/>
      <c r="BA273" s="1081"/>
      <c r="BB273" s="1081"/>
      <c r="BC273" s="1081"/>
      <c r="BD273" s="1081"/>
    </row>
    <row r="274" spans="1:56" s="23" customFormat="1" ht="20.65" hidden="1" customHeight="1" thickBot="1">
      <c r="A274" s="289"/>
      <c r="B274" s="317"/>
      <c r="C274" s="291">
        <f>+C272*0.8</f>
        <v>240000</v>
      </c>
      <c r="D274" s="88" t="s">
        <v>111</v>
      </c>
      <c r="E274" s="1109">
        <f>IF(E273="O/H",E269,0+E269)</f>
        <v>0</v>
      </c>
      <c r="F274" s="1110">
        <f t="shared" ref="F274:AI274" si="638">IF(F273="O/H",F269,+E274+F269)</f>
        <v>0</v>
      </c>
      <c r="G274" s="1212">
        <f t="shared" si="638"/>
        <v>0</v>
      </c>
      <c r="H274" s="1110">
        <f t="shared" si="638"/>
        <v>0</v>
      </c>
      <c r="I274" s="1110">
        <f t="shared" si="638"/>
        <v>0</v>
      </c>
      <c r="J274" s="1212">
        <f t="shared" si="638"/>
        <v>0</v>
      </c>
      <c r="K274" s="1212">
        <f t="shared" si="638"/>
        <v>0</v>
      </c>
      <c r="L274" s="1110">
        <f t="shared" si="638"/>
        <v>0</v>
      </c>
      <c r="M274" s="1110">
        <f t="shared" si="638"/>
        <v>0</v>
      </c>
      <c r="N274" s="1110">
        <f t="shared" si="638"/>
        <v>0</v>
      </c>
      <c r="O274" s="1110">
        <f t="shared" si="638"/>
        <v>0</v>
      </c>
      <c r="P274" s="1110">
        <f t="shared" si="638"/>
        <v>0</v>
      </c>
      <c r="Q274" s="1212">
        <f t="shared" si="638"/>
        <v>0</v>
      </c>
      <c r="R274" s="1212">
        <f t="shared" si="638"/>
        <v>0</v>
      </c>
      <c r="S274" s="1110">
        <f t="shared" si="638"/>
        <v>0</v>
      </c>
      <c r="T274" s="1110">
        <f t="shared" si="638"/>
        <v>0</v>
      </c>
      <c r="U274" s="1110">
        <f t="shared" si="638"/>
        <v>0</v>
      </c>
      <c r="V274" s="1110">
        <f t="shared" si="638"/>
        <v>0</v>
      </c>
      <c r="W274" s="1110">
        <f t="shared" si="638"/>
        <v>0</v>
      </c>
      <c r="X274" s="1212">
        <f t="shared" si="638"/>
        <v>0</v>
      </c>
      <c r="Y274" s="1212">
        <f t="shared" si="638"/>
        <v>0</v>
      </c>
      <c r="Z274" s="1110">
        <f t="shared" si="638"/>
        <v>0</v>
      </c>
      <c r="AA274" s="1110">
        <f t="shared" si="638"/>
        <v>0</v>
      </c>
      <c r="AB274" s="1110">
        <f t="shared" si="638"/>
        <v>0</v>
      </c>
      <c r="AC274" s="1110">
        <f t="shared" si="638"/>
        <v>0</v>
      </c>
      <c r="AD274" s="1110">
        <f t="shared" si="638"/>
        <v>0</v>
      </c>
      <c r="AE274" s="1212">
        <f t="shared" si="638"/>
        <v>0</v>
      </c>
      <c r="AF274" s="1212">
        <f t="shared" si="638"/>
        <v>0</v>
      </c>
      <c r="AG274" s="1110">
        <f t="shared" si="638"/>
        <v>0</v>
      </c>
      <c r="AH274" s="1110">
        <f t="shared" si="638"/>
        <v>0</v>
      </c>
      <c r="AI274" s="1340">
        <f t="shared" si="638"/>
        <v>0</v>
      </c>
      <c r="AJ274" s="96"/>
      <c r="AK274" s="723"/>
      <c r="AL274" s="695"/>
      <c r="AM274" s="961"/>
      <c r="AN274" s="292"/>
      <c r="AO274" s="681"/>
      <c r="AP274" s="285"/>
      <c r="AQ274" s="285"/>
      <c r="AR274" s="285"/>
      <c r="AS274" s="285"/>
      <c r="AT274" s="286"/>
      <c r="AU274" s="285"/>
      <c r="AV274" s="287"/>
      <c r="AW274" s="1081"/>
      <c r="AX274" s="1081"/>
      <c r="AY274" s="1081"/>
      <c r="AZ274" s="1081"/>
      <c r="BA274" s="1081"/>
      <c r="BB274" s="1081"/>
      <c r="BC274" s="1081"/>
      <c r="BD274" s="1081"/>
    </row>
    <row r="275" spans="1:56" s="23" customFormat="1" ht="20.65" hidden="1" customHeight="1" thickTop="1">
      <c r="A275" s="283" t="s">
        <v>706</v>
      </c>
      <c r="B275" s="219"/>
      <c r="C275" s="42" t="str">
        <f>Table2[[#This Row],[M/C No.]]</f>
        <v>H8(50ton)</v>
      </c>
      <c r="D275" s="28" t="s">
        <v>82</v>
      </c>
      <c r="E275" s="1124"/>
      <c r="F275" s="1124"/>
      <c r="G275" s="1242"/>
      <c r="H275" s="1124"/>
      <c r="I275" s="1124"/>
      <c r="J275" s="1242"/>
      <c r="K275" s="1242"/>
      <c r="L275" s="1124"/>
      <c r="M275" s="1124"/>
      <c r="N275" s="1124"/>
      <c r="O275" s="1124"/>
      <c r="P275" s="1124"/>
      <c r="Q275" s="1242"/>
      <c r="R275" s="1242"/>
      <c r="S275" s="1124"/>
      <c r="T275" s="1124"/>
      <c r="U275" s="1124"/>
      <c r="V275" s="1124"/>
      <c r="W275" s="1124"/>
      <c r="X275" s="1242"/>
      <c r="Y275" s="1242"/>
      <c r="Z275" s="1124"/>
      <c r="AA275" s="1124"/>
      <c r="AB275" s="1124"/>
      <c r="AC275" s="1124"/>
      <c r="AD275" s="1124"/>
      <c r="AE275" s="1242"/>
      <c r="AF275" s="1242"/>
      <c r="AG275" s="1124"/>
      <c r="AH275" s="1124"/>
      <c r="AI275" s="1350"/>
      <c r="AJ275" s="100">
        <f>SUM(E275:AI275)</f>
        <v>0</v>
      </c>
      <c r="AK275" s="1000">
        <f>AJ277</f>
        <v>0</v>
      </c>
      <c r="AL275" s="101">
        <f>+AJ275*AN275</f>
        <v>0</v>
      </c>
      <c r="AM275" s="1019">
        <f>AL277</f>
        <v>0</v>
      </c>
      <c r="AN275" s="273"/>
      <c r="AO275" s="633">
        <f>Table2[[#This Row],[Total]]*B279/1000</f>
        <v>0</v>
      </c>
      <c r="AP275" s="32" t="s">
        <v>399</v>
      </c>
      <c r="AQ275" s="33" t="s">
        <v>84</v>
      </c>
      <c r="AR275" s="33" t="s">
        <v>85</v>
      </c>
      <c r="AS275" s="33" t="s">
        <v>86</v>
      </c>
      <c r="AT275" s="33" t="s">
        <v>87</v>
      </c>
      <c r="AU275" s="33" t="s">
        <v>88</v>
      </c>
      <c r="AV275" s="34" t="s">
        <v>68</v>
      </c>
      <c r="AW275" s="1081"/>
      <c r="AX275" s="1081"/>
      <c r="AY275" s="1081"/>
      <c r="AZ275" s="1081"/>
      <c r="BA275" s="1081"/>
      <c r="BB275" s="1081"/>
      <c r="BC275" s="1081"/>
      <c r="BD275" s="1081"/>
    </row>
    <row r="276" spans="1:56" s="23" customFormat="1" ht="20.65" hidden="1" customHeight="1">
      <c r="A276" s="274"/>
      <c r="B276" s="89"/>
      <c r="C276" s="275"/>
      <c r="D276" s="37" t="s">
        <v>90</v>
      </c>
      <c r="E276" s="1323">
        <f>IF(E275="",0,+ E275/E282)</f>
        <v>0</v>
      </c>
      <c r="F276" s="1096">
        <f t="shared" ref="F276:AC276" si="639">IF(F275="",0, E276+F275/F282)</f>
        <v>0</v>
      </c>
      <c r="G276" s="1207">
        <f t="shared" si="639"/>
        <v>0</v>
      </c>
      <c r="H276" s="1096">
        <f t="shared" si="639"/>
        <v>0</v>
      </c>
      <c r="I276" s="1096">
        <f t="shared" si="639"/>
        <v>0</v>
      </c>
      <c r="J276" s="1207">
        <f t="shared" si="639"/>
        <v>0</v>
      </c>
      <c r="K276" s="1207">
        <f t="shared" si="639"/>
        <v>0</v>
      </c>
      <c r="L276" s="1096">
        <f t="shared" si="639"/>
        <v>0</v>
      </c>
      <c r="M276" s="1096">
        <f t="shared" si="639"/>
        <v>0</v>
      </c>
      <c r="N276" s="1096">
        <f t="shared" si="639"/>
        <v>0</v>
      </c>
      <c r="O276" s="1096">
        <f t="shared" si="639"/>
        <v>0</v>
      </c>
      <c r="P276" s="1096">
        <f t="shared" si="639"/>
        <v>0</v>
      </c>
      <c r="Q276" s="1207">
        <f t="shared" si="639"/>
        <v>0</v>
      </c>
      <c r="R276" s="1207">
        <f t="shared" si="639"/>
        <v>0</v>
      </c>
      <c r="S276" s="1096">
        <f t="shared" si="639"/>
        <v>0</v>
      </c>
      <c r="T276" s="1096">
        <f t="shared" si="639"/>
        <v>0</v>
      </c>
      <c r="U276" s="1096">
        <f t="shared" si="639"/>
        <v>0</v>
      </c>
      <c r="V276" s="1096">
        <f t="shared" si="639"/>
        <v>0</v>
      </c>
      <c r="W276" s="1096">
        <f t="shared" si="639"/>
        <v>0</v>
      </c>
      <c r="X276" s="1207">
        <f t="shared" si="639"/>
        <v>0</v>
      </c>
      <c r="Y276" s="1207">
        <f t="shared" si="639"/>
        <v>0</v>
      </c>
      <c r="Z276" s="1096">
        <f t="shared" si="639"/>
        <v>0</v>
      </c>
      <c r="AA276" s="1096">
        <f t="shared" si="639"/>
        <v>0</v>
      </c>
      <c r="AB276" s="1096">
        <f t="shared" si="639"/>
        <v>0</v>
      </c>
      <c r="AC276" s="1096">
        <f t="shared" si="639"/>
        <v>0</v>
      </c>
      <c r="AD276" s="1096">
        <f>IF(AD275="",0, Z276+AD275/AD282)</f>
        <v>0</v>
      </c>
      <c r="AE276" s="1207">
        <f>IF(AE275="",0, AA276+AE275/AE282)</f>
        <v>0</v>
      </c>
      <c r="AF276" s="1207">
        <f>IF(AF275="",0, AB276+AF275/AF282)</f>
        <v>0</v>
      </c>
      <c r="AG276" s="1096">
        <f>IF(AG275="",0, AC276+AG275/AG282)</f>
        <v>0</v>
      </c>
      <c r="AH276" s="1096">
        <f>IF(AH275="",0, AD276+AH275/AH282)</f>
        <v>0</v>
      </c>
      <c r="AI276" s="1324">
        <f>IF(AI275="",0, AH276+AI275/AI282)</f>
        <v>0</v>
      </c>
      <c r="AJ276" s="716"/>
      <c r="AK276" s="716"/>
      <c r="AL276" s="209"/>
      <c r="AM276" s="794"/>
      <c r="AN276" s="91"/>
      <c r="AO276" s="675"/>
      <c r="AP276" s="39" t="s">
        <v>91</v>
      </c>
      <c r="AQ276" s="40">
        <f>SUM(E275:K275)</f>
        <v>0</v>
      </c>
      <c r="AR276" s="41">
        <f>SUM(L275:R275)</f>
        <v>0</v>
      </c>
      <c r="AS276" s="41">
        <f>SUM(S275:Y275)</f>
        <v>0</v>
      </c>
      <c r="AT276" s="41">
        <f>SUM(Z275:AF275)</f>
        <v>0</v>
      </c>
      <c r="AU276" s="41">
        <f>SUM(AG275:AI275)</f>
        <v>0</v>
      </c>
      <c r="AV276" s="34">
        <f t="shared" ref="AV276:AV281" si="640">SUM(AQ276:AU276)</f>
        <v>0</v>
      </c>
      <c r="AW276" s="1081"/>
      <c r="AX276" s="1081"/>
      <c r="AY276" s="1081"/>
      <c r="AZ276" s="1081"/>
      <c r="BA276" s="1081"/>
      <c r="BB276" s="1081"/>
      <c r="BC276" s="1081"/>
      <c r="BD276" s="1081"/>
    </row>
    <row r="277" spans="1:56" s="23" customFormat="1" ht="20.65" hidden="1" customHeight="1">
      <c r="A277" s="276"/>
      <c r="B277" s="89"/>
      <c r="C277" s="42"/>
      <c r="D277" s="43" t="s">
        <v>93</v>
      </c>
      <c r="E277" s="1108"/>
      <c r="F277" s="1089"/>
      <c r="G277" s="44"/>
      <c r="H277" s="1089"/>
      <c r="I277" s="1089"/>
      <c r="J277" s="44"/>
      <c r="K277" s="44"/>
      <c r="L277" s="1089"/>
      <c r="M277" s="1089"/>
      <c r="N277" s="1089"/>
      <c r="O277" s="1089"/>
      <c r="P277" s="1089"/>
      <c r="Q277" s="44"/>
      <c r="R277" s="44"/>
      <c r="S277" s="1089"/>
      <c r="T277" s="1089"/>
      <c r="U277" s="1089"/>
      <c r="V277" s="1089"/>
      <c r="W277" s="1089"/>
      <c r="X277" s="44"/>
      <c r="Y277" s="44"/>
      <c r="Z277" s="1089"/>
      <c r="AA277" s="1089"/>
      <c r="AB277" s="1089"/>
      <c r="AC277" s="1089"/>
      <c r="AD277" s="1089"/>
      <c r="AE277" s="44"/>
      <c r="AF277" s="44"/>
      <c r="AG277" s="1089"/>
      <c r="AH277" s="1089"/>
      <c r="AI277" s="1326"/>
      <c r="AJ277" s="45">
        <f>SUM(E277:AI277)</f>
        <v>0</v>
      </c>
      <c r="AK277" s="45"/>
      <c r="AL277" s="46">
        <f>+AJ277*AN275</f>
        <v>0</v>
      </c>
      <c r="AM277" s="934"/>
      <c r="AN277" s="277"/>
      <c r="AO277" s="632">
        <f>(AJ277+AJ279+AJ280+AJ281)*B279/1000</f>
        <v>0</v>
      </c>
      <c r="AP277" s="47" t="s">
        <v>94</v>
      </c>
      <c r="AQ277" s="48">
        <f>SUM(E277:K277)</f>
        <v>0</v>
      </c>
      <c r="AR277" s="49">
        <f>SUM(L277:R277)</f>
        <v>0</v>
      </c>
      <c r="AS277" s="49">
        <f>SUM(S277:Y277)</f>
        <v>0</v>
      </c>
      <c r="AT277" s="49">
        <f>SUM(Z277:AF277)</f>
        <v>0</v>
      </c>
      <c r="AU277" s="49">
        <f>SUM(AG277:AI277)</f>
        <v>0</v>
      </c>
      <c r="AV277" s="50">
        <f t="shared" si="640"/>
        <v>0</v>
      </c>
      <c r="AW277" s="1081"/>
      <c r="AX277" s="1081"/>
      <c r="AY277" s="1081"/>
      <c r="AZ277" s="1081"/>
      <c r="BA277" s="1081"/>
      <c r="BB277" s="1081"/>
      <c r="BC277" s="1081"/>
      <c r="BD277" s="1081"/>
    </row>
    <row r="278" spans="1:56" s="23" customFormat="1" ht="20.65" hidden="1" customHeight="1">
      <c r="A278" s="276"/>
      <c r="B278" s="211"/>
      <c r="C278" s="280"/>
      <c r="D278" s="53" t="s">
        <v>96</v>
      </c>
      <c r="E278" s="1137">
        <f t="shared" ref="E278:AJ278" si="641">+E277-E275</f>
        <v>0</v>
      </c>
      <c r="F278" s="1097">
        <f t="shared" si="641"/>
        <v>0</v>
      </c>
      <c r="G278" s="1205">
        <f t="shared" si="641"/>
        <v>0</v>
      </c>
      <c r="H278" s="1097">
        <f t="shared" si="641"/>
        <v>0</v>
      </c>
      <c r="I278" s="1097">
        <f t="shared" si="641"/>
        <v>0</v>
      </c>
      <c r="J278" s="1205">
        <f t="shared" si="641"/>
        <v>0</v>
      </c>
      <c r="K278" s="1205">
        <f t="shared" si="641"/>
        <v>0</v>
      </c>
      <c r="L278" s="1097">
        <f t="shared" si="641"/>
        <v>0</v>
      </c>
      <c r="M278" s="1097">
        <f t="shared" si="641"/>
        <v>0</v>
      </c>
      <c r="N278" s="1097">
        <f t="shared" si="641"/>
        <v>0</v>
      </c>
      <c r="O278" s="1097">
        <f t="shared" si="641"/>
        <v>0</v>
      </c>
      <c r="P278" s="1097">
        <f t="shared" si="641"/>
        <v>0</v>
      </c>
      <c r="Q278" s="1205">
        <f t="shared" si="641"/>
        <v>0</v>
      </c>
      <c r="R278" s="1205">
        <f t="shared" si="641"/>
        <v>0</v>
      </c>
      <c r="S278" s="1097">
        <f t="shared" si="641"/>
        <v>0</v>
      </c>
      <c r="T278" s="1097">
        <f t="shared" si="641"/>
        <v>0</v>
      </c>
      <c r="U278" s="1097">
        <f t="shared" si="641"/>
        <v>0</v>
      </c>
      <c r="V278" s="1097">
        <f t="shared" si="641"/>
        <v>0</v>
      </c>
      <c r="W278" s="1097">
        <f t="shared" si="641"/>
        <v>0</v>
      </c>
      <c r="X278" s="1205">
        <f t="shared" si="641"/>
        <v>0</v>
      </c>
      <c r="Y278" s="1205">
        <f t="shared" si="641"/>
        <v>0</v>
      </c>
      <c r="Z278" s="1097">
        <f t="shared" si="641"/>
        <v>0</v>
      </c>
      <c r="AA278" s="1097">
        <f t="shared" si="641"/>
        <v>0</v>
      </c>
      <c r="AB278" s="1097">
        <f t="shared" si="641"/>
        <v>0</v>
      </c>
      <c r="AC278" s="1097">
        <f t="shared" si="641"/>
        <v>0</v>
      </c>
      <c r="AD278" s="1097">
        <f t="shared" si="641"/>
        <v>0</v>
      </c>
      <c r="AE278" s="1205">
        <f t="shared" si="641"/>
        <v>0</v>
      </c>
      <c r="AF278" s="1205">
        <f t="shared" si="641"/>
        <v>0</v>
      </c>
      <c r="AG278" s="1097">
        <f t="shared" si="641"/>
        <v>0</v>
      </c>
      <c r="AH278" s="1097">
        <f t="shared" si="641"/>
        <v>0</v>
      </c>
      <c r="AI278" s="1328">
        <f t="shared" si="641"/>
        <v>0</v>
      </c>
      <c r="AJ278" s="79">
        <f t="shared" si="641"/>
        <v>0</v>
      </c>
      <c r="AK278" s="79"/>
      <c r="AL278" s="55">
        <f>+AJ278*AN275</f>
        <v>0</v>
      </c>
      <c r="AM278" s="935"/>
      <c r="AN278" s="277" t="s">
        <v>97</v>
      </c>
      <c r="AO278" s="622"/>
      <c r="AP278" s="39" t="s">
        <v>98</v>
      </c>
      <c r="AQ278" s="56">
        <f>AQ277-AQ276</f>
        <v>0</v>
      </c>
      <c r="AR278" s="70">
        <f>AR277-AR276</f>
        <v>0</v>
      </c>
      <c r="AS278" s="70">
        <f>AS277-AS276</f>
        <v>0</v>
      </c>
      <c r="AT278" s="70">
        <f>AT277-AT276</f>
        <v>0</v>
      </c>
      <c r="AU278" s="70">
        <f>AU277-AU276</f>
        <v>0</v>
      </c>
      <c r="AV278" s="57">
        <f t="shared" si="640"/>
        <v>0</v>
      </c>
      <c r="AW278" s="1081"/>
      <c r="AX278" s="1081"/>
      <c r="AY278" s="1081"/>
      <c r="AZ278" s="1081"/>
      <c r="BA278" s="1081"/>
      <c r="BB278" s="1081"/>
      <c r="BC278" s="1081"/>
      <c r="BD278" s="1081"/>
    </row>
    <row r="279" spans="1:56" s="23" customFormat="1" ht="20.65" hidden="1" customHeight="1">
      <c r="A279" s="276"/>
      <c r="B279" s="658"/>
      <c r="C279" s="305"/>
      <c r="D279" s="61" t="s">
        <v>101</v>
      </c>
      <c r="E279" s="1098"/>
      <c r="F279" s="1099"/>
      <c r="G279" s="1208"/>
      <c r="H279" s="1099"/>
      <c r="I279" s="1099"/>
      <c r="J279" s="1208"/>
      <c r="K279" s="1208"/>
      <c r="L279" s="1099"/>
      <c r="M279" s="1099"/>
      <c r="N279" s="1099"/>
      <c r="O279" s="1099"/>
      <c r="P279" s="1099"/>
      <c r="Q279" s="1208"/>
      <c r="R279" s="1208"/>
      <c r="S279" s="1099"/>
      <c r="T279" s="1099"/>
      <c r="U279" s="1099"/>
      <c r="V279" s="1099"/>
      <c r="W279" s="1099"/>
      <c r="X279" s="1208"/>
      <c r="Y279" s="1208"/>
      <c r="Z279" s="1099"/>
      <c r="AA279" s="1099"/>
      <c r="AB279" s="1099"/>
      <c r="AC279" s="1099"/>
      <c r="AD279" s="1099"/>
      <c r="AE279" s="1208"/>
      <c r="AF279" s="1208"/>
      <c r="AG279" s="1099"/>
      <c r="AH279" s="1099"/>
      <c r="AI279" s="1330"/>
      <c r="AJ279" s="62">
        <f>SUM(E279:AI279)</f>
        <v>0</v>
      </c>
      <c r="AK279" s="62"/>
      <c r="AL279" s="63">
        <f>+AJ279*AN275</f>
        <v>0</v>
      </c>
      <c r="AM279" s="936"/>
      <c r="AN279" s="301" t="e">
        <f>+AJ279/AJ277*100</f>
        <v>#DIV/0!</v>
      </c>
      <c r="AO279" s="635" t="e">
        <f>AO277/AO275</f>
        <v>#DIV/0!</v>
      </c>
      <c r="AP279" s="39" t="s">
        <v>102</v>
      </c>
      <c r="AQ279" s="56">
        <f>SUM(E279:K279)</f>
        <v>0</v>
      </c>
      <c r="AR279" s="70">
        <f>SUM(L279:R279)</f>
        <v>0</v>
      </c>
      <c r="AS279" s="70">
        <f>SUM(S279:Y279)</f>
        <v>0</v>
      </c>
      <c r="AT279" s="70">
        <f>SUM(Z279:AF279)</f>
        <v>0</v>
      </c>
      <c r="AU279" s="70">
        <f>SUM(AG279:AI279)</f>
        <v>0</v>
      </c>
      <c r="AV279" s="57">
        <f t="shared" si="640"/>
        <v>0</v>
      </c>
      <c r="AW279" s="1081"/>
      <c r="AX279" s="1081"/>
      <c r="AY279" s="1081"/>
      <c r="AZ279" s="1081"/>
      <c r="BA279" s="1081"/>
      <c r="BB279" s="1081"/>
      <c r="BC279" s="1081"/>
      <c r="BD279" s="1081"/>
    </row>
    <row r="280" spans="1:56" s="23" customFormat="1" ht="20.65" hidden="1" customHeight="1">
      <c r="A280" s="276"/>
      <c r="B280" s="89"/>
      <c r="C280" s="52" t="s">
        <v>95</v>
      </c>
      <c r="D280" s="67" t="s">
        <v>103</v>
      </c>
      <c r="E280" s="1100"/>
      <c r="F280" s="1101"/>
      <c r="G280" s="1209"/>
      <c r="H280" s="1101"/>
      <c r="I280" s="1101"/>
      <c r="J280" s="1209"/>
      <c r="K280" s="1209"/>
      <c r="L280" s="1101"/>
      <c r="M280" s="1101"/>
      <c r="N280" s="1101"/>
      <c r="O280" s="1101"/>
      <c r="P280" s="1101"/>
      <c r="Q280" s="1209"/>
      <c r="R280" s="1209"/>
      <c r="S280" s="1101"/>
      <c r="T280" s="1101"/>
      <c r="U280" s="1101"/>
      <c r="V280" s="1101"/>
      <c r="W280" s="1101"/>
      <c r="X280" s="1209"/>
      <c r="Y280" s="1209"/>
      <c r="Z280" s="1101"/>
      <c r="AA280" s="1101"/>
      <c r="AB280" s="1101"/>
      <c r="AC280" s="1101"/>
      <c r="AD280" s="1101"/>
      <c r="AE280" s="1209"/>
      <c r="AF280" s="1209"/>
      <c r="AG280" s="1101"/>
      <c r="AH280" s="1101"/>
      <c r="AI280" s="1332"/>
      <c r="AJ280" s="68">
        <f>SUM(E280:AI280)</f>
        <v>0</v>
      </c>
      <c r="AK280" s="68"/>
      <c r="AL280" s="69">
        <f>+AJ280*AN275</f>
        <v>0</v>
      </c>
      <c r="AM280" s="937"/>
      <c r="AN280" s="277"/>
      <c r="AO280" s="679"/>
      <c r="AP280" s="39" t="s">
        <v>19</v>
      </c>
      <c r="AQ280" s="56">
        <f>AQ279*AN275</f>
        <v>0</v>
      </c>
      <c r="AR280" s="56">
        <f>AR279*AN275</f>
        <v>0</v>
      </c>
      <c r="AS280" s="56">
        <f>AS279*AN275</f>
        <v>0</v>
      </c>
      <c r="AT280" s="56">
        <f>AT279*AN275</f>
        <v>0</v>
      </c>
      <c r="AU280" s="56">
        <f>AU279*AN275</f>
        <v>0</v>
      </c>
      <c r="AV280" s="57">
        <f t="shared" si="640"/>
        <v>0</v>
      </c>
      <c r="AW280" s="1081"/>
      <c r="AX280" s="1081"/>
      <c r="AY280" s="1081"/>
      <c r="AZ280" s="1081"/>
      <c r="BA280" s="1081"/>
      <c r="BB280" s="1081"/>
      <c r="BC280" s="1081"/>
      <c r="BD280" s="1081"/>
    </row>
    <row r="281" spans="1:56" s="23" customFormat="1" ht="20.65" hidden="1" customHeight="1">
      <c r="A281" s="283"/>
      <c r="B281" s="89"/>
      <c r="C281" s="306" t="s">
        <v>387</v>
      </c>
      <c r="D281" s="73" t="s">
        <v>105</v>
      </c>
      <c r="E281" s="1115"/>
      <c r="F281" s="1116"/>
      <c r="G281" s="1215"/>
      <c r="H281" s="1116"/>
      <c r="I281" s="1116"/>
      <c r="J281" s="1215"/>
      <c r="K281" s="1215"/>
      <c r="L281" s="1116"/>
      <c r="M281" s="1116"/>
      <c r="N281" s="1116"/>
      <c r="O281" s="1116"/>
      <c r="P281" s="1116"/>
      <c r="Q281" s="1215"/>
      <c r="R281" s="1215"/>
      <c r="S281" s="1116"/>
      <c r="T281" s="1116"/>
      <c r="U281" s="1116"/>
      <c r="V281" s="1116"/>
      <c r="W281" s="1116"/>
      <c r="X281" s="1215"/>
      <c r="Y281" s="1215"/>
      <c r="Z281" s="1116"/>
      <c r="AA281" s="1116"/>
      <c r="AB281" s="1116"/>
      <c r="AC281" s="1116"/>
      <c r="AD281" s="1116"/>
      <c r="AE281" s="1215"/>
      <c r="AF281" s="1215"/>
      <c r="AG281" s="1116"/>
      <c r="AH281" s="1116"/>
      <c r="AI281" s="1334"/>
      <c r="AJ281" s="717">
        <f>SUM(E281:AI281)</f>
        <v>0</v>
      </c>
      <c r="AK281" s="717"/>
      <c r="AL281" s="220">
        <f>+AJ281*AN275</f>
        <v>0</v>
      </c>
      <c r="AM281" s="962"/>
      <c r="AN281" s="91"/>
      <c r="AO281" s="630"/>
      <c r="AP281" s="47" t="s">
        <v>106</v>
      </c>
      <c r="AQ281" s="48">
        <f>AQ277*AN275</f>
        <v>0</v>
      </c>
      <c r="AR281" s="48">
        <f>AR277*AN275</f>
        <v>0</v>
      </c>
      <c r="AS281" s="48">
        <f>AS277*AN275</f>
        <v>0</v>
      </c>
      <c r="AT281" s="48">
        <f>AT277*AN275</f>
        <v>0</v>
      </c>
      <c r="AU281" s="48">
        <f>AU277*AN275</f>
        <v>0</v>
      </c>
      <c r="AV281" s="50">
        <f t="shared" si="640"/>
        <v>0</v>
      </c>
      <c r="AW281" s="1081"/>
      <c r="AX281" s="1081"/>
      <c r="AY281" s="1081"/>
      <c r="AZ281" s="1081"/>
      <c r="BA281" s="1081"/>
      <c r="BB281" s="1081"/>
      <c r="BC281" s="1081"/>
      <c r="BD281" s="1081"/>
    </row>
    <row r="282" spans="1:56" s="23" customFormat="1" ht="20.65" hidden="1" customHeight="1">
      <c r="A282" s="276"/>
      <c r="B282" s="89"/>
      <c r="C282" s="307"/>
      <c r="D282" s="78" t="s">
        <v>107</v>
      </c>
      <c r="E282" s="1137">
        <v>4</v>
      </c>
      <c r="F282" s="1097">
        <v>4</v>
      </c>
      <c r="G282" s="1205">
        <v>4</v>
      </c>
      <c r="H282" s="1097">
        <v>4</v>
      </c>
      <c r="I282" s="1097">
        <v>4</v>
      </c>
      <c r="J282" s="1205">
        <v>4</v>
      </c>
      <c r="K282" s="1205">
        <v>4</v>
      </c>
      <c r="L282" s="1097">
        <v>4</v>
      </c>
      <c r="M282" s="1097">
        <v>4</v>
      </c>
      <c r="N282" s="1097">
        <v>4</v>
      </c>
      <c r="O282" s="1097">
        <v>4</v>
      </c>
      <c r="P282" s="1097">
        <v>4</v>
      </c>
      <c r="Q282" s="1205">
        <v>4</v>
      </c>
      <c r="R282" s="1205">
        <v>4</v>
      </c>
      <c r="S282" s="1097">
        <v>4</v>
      </c>
      <c r="T282" s="1097">
        <v>4</v>
      </c>
      <c r="U282" s="1097">
        <v>4</v>
      </c>
      <c r="V282" s="1097">
        <v>4</v>
      </c>
      <c r="W282" s="1097">
        <v>4</v>
      </c>
      <c r="X282" s="1205">
        <v>4</v>
      </c>
      <c r="Y282" s="1205">
        <v>4</v>
      </c>
      <c r="Z282" s="1097">
        <v>4</v>
      </c>
      <c r="AA282" s="1097">
        <v>4</v>
      </c>
      <c r="AB282" s="1097">
        <v>4</v>
      </c>
      <c r="AC282" s="1097">
        <v>4</v>
      </c>
      <c r="AD282" s="1097">
        <v>4</v>
      </c>
      <c r="AE282" s="1205">
        <v>4</v>
      </c>
      <c r="AF282" s="1205">
        <v>4</v>
      </c>
      <c r="AG282" s="1097">
        <v>4</v>
      </c>
      <c r="AH282" s="1097">
        <v>4</v>
      </c>
      <c r="AI282" s="1328">
        <v>4</v>
      </c>
      <c r="AJ282" s="79"/>
      <c r="AK282" s="79"/>
      <c r="AL282" s="692"/>
      <c r="AM282" s="960"/>
      <c r="AN282" s="277"/>
      <c r="AO282" s="679"/>
      <c r="AP282" s="47"/>
      <c r="AQ282" s="48"/>
      <c r="AR282" s="48"/>
      <c r="AS282" s="48"/>
      <c r="AT282" s="48"/>
      <c r="AU282" s="48"/>
      <c r="AV282" s="284"/>
      <c r="AW282" s="1081"/>
      <c r="AX282" s="1081"/>
      <c r="AY282" s="1081"/>
      <c r="AZ282" s="1081"/>
      <c r="BA282" s="1081"/>
      <c r="BB282" s="1081"/>
      <c r="BC282" s="1081"/>
      <c r="BD282" s="1081"/>
    </row>
    <row r="283" spans="1:56" s="23" customFormat="1" ht="20.65" hidden="1" customHeight="1">
      <c r="A283" s="276"/>
      <c r="B283" s="89"/>
      <c r="C283" s="305"/>
      <c r="D283" s="81" t="s">
        <v>109</v>
      </c>
      <c r="E283" s="1125">
        <f>SUM(E277+E279+E280+E281)/E282</f>
        <v>0</v>
      </c>
      <c r="F283" s="1126">
        <f>SUM(F277+F279+F280+F281)/F282</f>
        <v>0</v>
      </c>
      <c r="G283" s="1235">
        <f t="shared" ref="G283:AH283" si="642">SUM(G277+G279+G280+G281)/G282</f>
        <v>0</v>
      </c>
      <c r="H283" s="1126">
        <f t="shared" si="642"/>
        <v>0</v>
      </c>
      <c r="I283" s="1126">
        <f t="shared" si="642"/>
        <v>0</v>
      </c>
      <c r="J283" s="1235">
        <f t="shared" si="642"/>
        <v>0</v>
      </c>
      <c r="K283" s="1235">
        <f t="shared" si="642"/>
        <v>0</v>
      </c>
      <c r="L283" s="1126">
        <f t="shared" si="642"/>
        <v>0</v>
      </c>
      <c r="M283" s="1126">
        <f t="shared" si="642"/>
        <v>0</v>
      </c>
      <c r="N283" s="1126">
        <f t="shared" si="642"/>
        <v>0</v>
      </c>
      <c r="O283" s="1126">
        <f t="shared" si="642"/>
        <v>0</v>
      </c>
      <c r="P283" s="1126">
        <f t="shared" si="642"/>
        <v>0</v>
      </c>
      <c r="Q283" s="1235">
        <f t="shared" si="642"/>
        <v>0</v>
      </c>
      <c r="R283" s="1235">
        <f t="shared" si="642"/>
        <v>0</v>
      </c>
      <c r="S283" s="1126">
        <f t="shared" si="642"/>
        <v>0</v>
      </c>
      <c r="T283" s="1126">
        <f t="shared" si="642"/>
        <v>0</v>
      </c>
      <c r="U283" s="1126">
        <f t="shared" si="642"/>
        <v>0</v>
      </c>
      <c r="V283" s="1126">
        <f t="shared" si="642"/>
        <v>0</v>
      </c>
      <c r="W283" s="1126">
        <f t="shared" si="642"/>
        <v>0</v>
      </c>
      <c r="X283" s="1235">
        <f t="shared" si="642"/>
        <v>0</v>
      </c>
      <c r="Y283" s="1235">
        <f t="shared" si="642"/>
        <v>0</v>
      </c>
      <c r="Z283" s="1126">
        <f t="shared" si="642"/>
        <v>0</v>
      </c>
      <c r="AA283" s="1126">
        <f t="shared" si="642"/>
        <v>0</v>
      </c>
      <c r="AB283" s="1126">
        <f t="shared" si="642"/>
        <v>0</v>
      </c>
      <c r="AC283" s="1126">
        <f t="shared" si="642"/>
        <v>0</v>
      </c>
      <c r="AD283" s="1126">
        <f t="shared" si="642"/>
        <v>0</v>
      </c>
      <c r="AE283" s="1235">
        <f t="shared" si="642"/>
        <v>0</v>
      </c>
      <c r="AF283" s="1235">
        <f t="shared" si="642"/>
        <v>0</v>
      </c>
      <c r="AG283" s="1126">
        <f t="shared" si="642"/>
        <v>0</v>
      </c>
      <c r="AH283" s="1126">
        <f t="shared" si="642"/>
        <v>0</v>
      </c>
      <c r="AI283" s="1335">
        <f>SUM(AI277+AI279+AI280)/AI282</f>
        <v>0</v>
      </c>
      <c r="AJ283" s="515">
        <f>SUM(E283:AI283)</f>
        <v>0</v>
      </c>
      <c r="AK283" s="515"/>
      <c r="AL283" s="689"/>
      <c r="AM283" s="940"/>
      <c r="AN283" s="277"/>
      <c r="AO283" s="679"/>
      <c r="AP283" s="285"/>
      <c r="AQ283" s="285"/>
      <c r="AR283" s="285"/>
      <c r="AS283" s="285"/>
      <c r="AT283" s="286"/>
      <c r="AU283" s="285"/>
      <c r="AV283" s="287"/>
      <c r="AW283" s="1081"/>
      <c r="AX283" s="1081"/>
      <c r="AY283" s="1081"/>
      <c r="AZ283" s="1081"/>
      <c r="BA283" s="1081"/>
      <c r="BB283" s="1081"/>
      <c r="BC283" s="1081"/>
      <c r="BD283" s="1081"/>
    </row>
    <row r="284" spans="1:56" s="23" customFormat="1" ht="20.65" hidden="1" customHeight="1">
      <c r="A284" s="276"/>
      <c r="B284" s="89"/>
      <c r="C284" s="72"/>
      <c r="D284" s="85" t="s">
        <v>110</v>
      </c>
      <c r="E284" s="1105"/>
      <c r="F284" s="1106"/>
      <c r="G284" s="1211"/>
      <c r="H284" s="1104"/>
      <c r="I284" s="1104"/>
      <c r="J284" s="1211"/>
      <c r="K284" s="1211"/>
      <c r="L284" s="1104"/>
      <c r="M284" s="1104"/>
      <c r="N284" s="1104"/>
      <c r="O284" s="1104"/>
      <c r="P284" s="1104"/>
      <c r="Q284" s="1211"/>
      <c r="R284" s="1211"/>
      <c r="S284" s="1104"/>
      <c r="T284" s="1104"/>
      <c r="U284" s="1104"/>
      <c r="V284" s="1104"/>
      <c r="W284" s="1104"/>
      <c r="X284" s="1211"/>
      <c r="Y284" s="1211"/>
      <c r="Z284" s="1104"/>
      <c r="AA284" s="1104"/>
      <c r="AB284" s="1104"/>
      <c r="AC284" s="1104"/>
      <c r="AD284" s="1104"/>
      <c r="AE284" s="1211"/>
      <c r="AF284" s="1211"/>
      <c r="AG284" s="1104"/>
      <c r="AH284" s="1104"/>
      <c r="AI284" s="1353"/>
      <c r="AJ284" s="86"/>
      <c r="AK284" s="86"/>
      <c r="AL284" s="690"/>
      <c r="AM284" s="940"/>
      <c r="AN284" s="277"/>
      <c r="AO284" s="679"/>
      <c r="AP284" s="285"/>
      <c r="AQ284" s="285"/>
      <c r="AR284" s="285"/>
      <c r="AS284" s="285"/>
      <c r="AT284" s="286"/>
      <c r="AU284" s="285"/>
      <c r="AV284" s="287"/>
      <c r="AW284" s="1081"/>
      <c r="AX284" s="1081"/>
      <c r="AY284" s="1081"/>
      <c r="AZ284" s="1081"/>
      <c r="BA284" s="1081"/>
      <c r="BB284" s="1081"/>
      <c r="BC284" s="1081"/>
      <c r="BD284" s="1081"/>
    </row>
    <row r="285" spans="1:56" s="23" customFormat="1" ht="20.65" hidden="1" customHeight="1">
      <c r="A285" s="276"/>
      <c r="B285" s="89"/>
      <c r="C285" s="72" t="s">
        <v>104</v>
      </c>
      <c r="D285" s="88" t="s">
        <v>111</v>
      </c>
      <c r="E285" s="1108">
        <f>IF(E284="O/H",E283,0+E283)</f>
        <v>0</v>
      </c>
      <c r="F285" s="1089">
        <f t="shared" ref="F285:AI285" si="643">IF(F284="O/H",F283,+E285+F283)</f>
        <v>0</v>
      </c>
      <c r="G285" s="44">
        <f t="shared" si="643"/>
        <v>0</v>
      </c>
      <c r="H285" s="1089">
        <f t="shared" si="643"/>
        <v>0</v>
      </c>
      <c r="I285" s="1089">
        <f t="shared" si="643"/>
        <v>0</v>
      </c>
      <c r="J285" s="44">
        <f t="shared" si="643"/>
        <v>0</v>
      </c>
      <c r="K285" s="44">
        <f t="shared" si="643"/>
        <v>0</v>
      </c>
      <c r="L285" s="1089">
        <f t="shared" si="643"/>
        <v>0</v>
      </c>
      <c r="M285" s="1089">
        <f t="shared" si="643"/>
        <v>0</v>
      </c>
      <c r="N285" s="1089">
        <f t="shared" si="643"/>
        <v>0</v>
      </c>
      <c r="O285" s="1089">
        <f t="shared" si="643"/>
        <v>0</v>
      </c>
      <c r="P285" s="1089">
        <f t="shared" si="643"/>
        <v>0</v>
      </c>
      <c r="Q285" s="44">
        <f t="shared" si="643"/>
        <v>0</v>
      </c>
      <c r="R285" s="44">
        <f t="shared" si="643"/>
        <v>0</v>
      </c>
      <c r="S285" s="1089">
        <f t="shared" si="643"/>
        <v>0</v>
      </c>
      <c r="T285" s="1089">
        <f t="shared" si="643"/>
        <v>0</v>
      </c>
      <c r="U285" s="1089">
        <f t="shared" si="643"/>
        <v>0</v>
      </c>
      <c r="V285" s="1089">
        <f t="shared" si="643"/>
        <v>0</v>
      </c>
      <c r="W285" s="1089">
        <f t="shared" si="643"/>
        <v>0</v>
      </c>
      <c r="X285" s="44">
        <f t="shared" si="643"/>
        <v>0</v>
      </c>
      <c r="Y285" s="44">
        <f t="shared" si="643"/>
        <v>0</v>
      </c>
      <c r="Z285" s="1089">
        <f t="shared" si="643"/>
        <v>0</v>
      </c>
      <c r="AA285" s="1089">
        <f t="shared" si="643"/>
        <v>0</v>
      </c>
      <c r="AB285" s="1089">
        <f t="shared" si="643"/>
        <v>0</v>
      </c>
      <c r="AC285" s="1089">
        <f t="shared" si="643"/>
        <v>0</v>
      </c>
      <c r="AD285" s="1089">
        <f t="shared" si="643"/>
        <v>0</v>
      </c>
      <c r="AE285" s="44">
        <f t="shared" si="643"/>
        <v>0</v>
      </c>
      <c r="AF285" s="44">
        <f t="shared" si="643"/>
        <v>0</v>
      </c>
      <c r="AG285" s="1089">
        <f t="shared" si="643"/>
        <v>0</v>
      </c>
      <c r="AH285" s="1089">
        <f t="shared" si="643"/>
        <v>0</v>
      </c>
      <c r="AI285" s="1326">
        <f t="shared" si="643"/>
        <v>0</v>
      </c>
      <c r="AJ285" s="79"/>
      <c r="AK285" s="79"/>
      <c r="AL285" s="690"/>
      <c r="AM285" s="940"/>
      <c r="AN285" s="277"/>
      <c r="AO285" s="679"/>
      <c r="AP285" s="285"/>
      <c r="AQ285" s="285"/>
      <c r="AR285" s="285"/>
      <c r="AS285" s="285"/>
      <c r="AT285" s="286"/>
      <c r="AU285" s="285"/>
      <c r="AV285" s="287"/>
      <c r="AW285" s="1081"/>
      <c r="AX285" s="1081"/>
      <c r="AY285" s="1081"/>
      <c r="AZ285" s="1081"/>
      <c r="BA285" s="1081"/>
      <c r="BB285" s="1081"/>
      <c r="BC285" s="1081"/>
      <c r="BD285" s="1081"/>
    </row>
    <row r="286" spans="1:56" s="23" customFormat="1" ht="20.45" hidden="1" customHeight="1">
      <c r="A286" s="312"/>
      <c r="B286" s="312"/>
      <c r="C286" s="308">
        <v>300000</v>
      </c>
      <c r="D286" s="795" t="s">
        <v>112</v>
      </c>
      <c r="E286" s="1117" t="b">
        <f>IF(AND(ISNUMBER(E277)),972379+E283)</f>
        <v>0</v>
      </c>
      <c r="F286" s="1118" t="str">
        <f>IF(AND(ISNUMBER(F277)),E286+F283,"")</f>
        <v/>
      </c>
      <c r="G286" s="1216" t="str">
        <f t="shared" ref="G286" si="644">IF(AND(ISNUMBER(G277)),F286+G283,"")</f>
        <v/>
      </c>
      <c r="H286" s="1118" t="str">
        <f t="shared" ref="H286" si="645">IF(AND(ISNUMBER(H277)),G286+H283,"")</f>
        <v/>
      </c>
      <c r="I286" s="1118" t="str">
        <f>IF(AND(ISNUMBER(I277)),H286+I283,"")</f>
        <v/>
      </c>
      <c r="J286" s="1216" t="str">
        <f>IF(AND(ISNUMBER(J277)),I286+J283,"")</f>
        <v/>
      </c>
      <c r="K286" s="1216" t="str">
        <f>IF(AND(ISNUMBER(K277)),J286+K283,"")</f>
        <v/>
      </c>
      <c r="L286" s="1118" t="str">
        <f t="shared" ref="L286" si="646">IF(AND(ISNUMBER(L277)),K286+L283,"")</f>
        <v/>
      </c>
      <c r="M286" s="1118" t="str">
        <f t="shared" ref="M286" si="647">IF(AND(ISNUMBER(M277)),L286+M283,"")</f>
        <v/>
      </c>
      <c r="N286" s="1118" t="str">
        <f t="shared" ref="N286" si="648">IF(AND(ISNUMBER(N277)),M286+N283,"")</f>
        <v/>
      </c>
      <c r="O286" s="1118" t="str">
        <f t="shared" ref="O286" si="649">IF(AND(ISNUMBER(O277)),N286+O283,"")</f>
        <v/>
      </c>
      <c r="P286" s="1118" t="str">
        <f t="shared" ref="P286" si="650">IF(AND(ISNUMBER(P277)),O286+P283,"")</f>
        <v/>
      </c>
      <c r="Q286" s="1216" t="str">
        <f t="shared" ref="Q286" si="651">IF(AND(ISNUMBER(Q277)),P286+Q283,"")</f>
        <v/>
      </c>
      <c r="R286" s="1216" t="str">
        <f t="shared" ref="R286" si="652">IF(AND(ISNUMBER(R277)),Q286+R283,"")</f>
        <v/>
      </c>
      <c r="S286" s="1118" t="str">
        <f t="shared" ref="S286" si="653">IF(AND(ISNUMBER(S277)),R286+S283,"")</f>
        <v/>
      </c>
      <c r="T286" s="1118" t="str">
        <f t="shared" ref="T286" si="654">IF(AND(ISNUMBER(T277)),S286+T283,"")</f>
        <v/>
      </c>
      <c r="U286" s="1118" t="str">
        <f t="shared" ref="U286" si="655">IF(AND(ISNUMBER(U277)),T286+U283,"")</f>
        <v/>
      </c>
      <c r="V286" s="1118" t="str">
        <f t="shared" ref="V286" si="656">IF(AND(ISNUMBER(V277)),U286+V283,"")</f>
        <v/>
      </c>
      <c r="W286" s="1118" t="str">
        <f t="shared" ref="W286" si="657">IF(AND(ISNUMBER(W277)),V286+W283,"")</f>
        <v/>
      </c>
      <c r="X286" s="1216" t="str">
        <f t="shared" ref="X286" si="658">IF(AND(ISNUMBER(X277)),W286+X283,"")</f>
        <v/>
      </c>
      <c r="Y286" s="1216" t="str">
        <f t="shared" ref="Y286" si="659">IF(AND(ISNUMBER(Y277)),X286+Y283,"")</f>
        <v/>
      </c>
      <c r="Z286" s="1118" t="str">
        <f t="shared" ref="Z286" si="660">IF(AND(ISNUMBER(Z277)),Y286+Z283,"")</f>
        <v/>
      </c>
      <c r="AA286" s="1118" t="str">
        <f t="shared" ref="AA286" si="661">IF(AND(ISNUMBER(AA277)),Z286+AA283,"")</f>
        <v/>
      </c>
      <c r="AB286" s="1118" t="str">
        <f t="shared" ref="AB286" si="662">IF(AND(ISNUMBER(AB277)),AA286+AB283,"")</f>
        <v/>
      </c>
      <c r="AC286" s="1118" t="str">
        <f t="shared" ref="AC286" si="663">IF(AND(ISNUMBER(AC277)),AB286+AC283,"")</f>
        <v/>
      </c>
      <c r="AD286" s="1118" t="str">
        <f t="shared" ref="AD286" si="664">IF(AND(ISNUMBER(AD277)),AC286+AD283,"")</f>
        <v/>
      </c>
      <c r="AE286" s="1216" t="str">
        <f t="shared" ref="AE286" si="665">IF(AND(ISNUMBER(AE277)),AD286+AE283,"")</f>
        <v/>
      </c>
      <c r="AF286" s="1216" t="str">
        <f t="shared" ref="AF286" si="666">IF(AND(ISNUMBER(AF277)),AE286+AF283,"")</f>
        <v/>
      </c>
      <c r="AG286" s="1118" t="str">
        <f t="shared" ref="AG286" si="667">IF(AND(ISNUMBER(AG277)),AF286+AG283,"")</f>
        <v/>
      </c>
      <c r="AH286" s="1118" t="str">
        <f t="shared" ref="AH286" si="668">IF(AND(ISNUMBER(AH277)),AG286+AH283,"")</f>
        <v/>
      </c>
      <c r="AI286" s="1118" t="str">
        <f t="shared" ref="AI286" si="669">IF(AND(ISNUMBER(AI277)),AH286+AI283,"")</f>
        <v/>
      </c>
      <c r="AJ286" s="793"/>
      <c r="AK286" s="793"/>
      <c r="AL286" s="909"/>
      <c r="AM286" s="794"/>
      <c r="AN286" s="429"/>
      <c r="AO286" s="675"/>
      <c r="AP286" s="285"/>
      <c r="AQ286" s="285"/>
      <c r="AR286" s="285"/>
      <c r="AS286" s="285"/>
      <c r="AT286" s="286"/>
      <c r="AU286" s="285"/>
      <c r="AV286" s="287"/>
      <c r="AW286" s="1081"/>
      <c r="AX286" s="1081"/>
      <c r="AY286" s="1081"/>
      <c r="AZ286" s="1081"/>
      <c r="BA286" s="1081"/>
      <c r="BB286" s="1081"/>
      <c r="BC286" s="1081"/>
      <c r="BD286" s="1081"/>
    </row>
    <row r="287" spans="1:56" s="23" customFormat="1" ht="20.65" hidden="1" customHeight="1">
      <c r="A287" s="276"/>
      <c r="B287" s="89"/>
      <c r="C287" s="80" t="s">
        <v>108</v>
      </c>
      <c r="D287" s="90" t="s">
        <v>104</v>
      </c>
      <c r="E287" s="1108"/>
      <c r="F287" s="1089"/>
      <c r="G287" s="44"/>
      <c r="H287" s="1089"/>
      <c r="I287" s="1089"/>
      <c r="J287" s="44"/>
      <c r="K287" s="44"/>
      <c r="L287" s="1089"/>
      <c r="M287" s="1089"/>
      <c r="N287" s="1089"/>
      <c r="O287" s="1089"/>
      <c r="P287" s="1089"/>
      <c r="Q287" s="44"/>
      <c r="R287" s="44"/>
      <c r="S287" s="1089"/>
      <c r="T287" s="1089"/>
      <c r="U287" s="1089"/>
      <c r="V287" s="1089"/>
      <c r="W287" s="1089"/>
      <c r="X287" s="44"/>
      <c r="Y287" s="44"/>
      <c r="Z287" s="1089"/>
      <c r="AA287" s="1089"/>
      <c r="AB287" s="1089"/>
      <c r="AC287" s="1089"/>
      <c r="AD287" s="1089"/>
      <c r="AE287" s="44"/>
      <c r="AF287" s="44"/>
      <c r="AG287" s="1089"/>
      <c r="AH287" s="1089"/>
      <c r="AI287" s="1326"/>
      <c r="AJ287" s="79"/>
      <c r="AK287" s="79"/>
      <c r="AL287" s="690"/>
      <c r="AM287" s="940"/>
      <c r="AN287" s="277"/>
      <c r="AO287" s="679"/>
      <c r="AP287" s="285"/>
      <c r="AQ287" s="285"/>
      <c r="AR287" s="285"/>
      <c r="AS287" s="285"/>
      <c r="AT287" s="286"/>
      <c r="AU287" s="285"/>
      <c r="AV287" s="287"/>
      <c r="AW287" s="1081"/>
      <c r="AX287" s="1081"/>
      <c r="AY287" s="1081"/>
      <c r="AZ287" s="1081"/>
      <c r="BA287" s="1081"/>
      <c r="BB287" s="1081"/>
      <c r="BC287" s="1081"/>
      <c r="BD287" s="1081"/>
    </row>
    <row r="288" spans="1:56" s="23" customFormat="1" ht="20.65" hidden="1" customHeight="1" thickBot="1">
      <c r="A288" s="289"/>
      <c r="B288" s="93"/>
      <c r="C288" s="291">
        <f>+C286*0.8</f>
        <v>240000</v>
      </c>
      <c r="D288" s="88" t="s">
        <v>111</v>
      </c>
      <c r="E288" s="1109">
        <f>IF(E287="O/H",E283,0+E283)</f>
        <v>0</v>
      </c>
      <c r="F288" s="1110">
        <f t="shared" ref="F288:AI288" si="670">IF(F287="O/H",F283,+E288+F283)</f>
        <v>0</v>
      </c>
      <c r="G288" s="1212">
        <f t="shared" si="670"/>
        <v>0</v>
      </c>
      <c r="H288" s="1110">
        <f t="shared" si="670"/>
        <v>0</v>
      </c>
      <c r="I288" s="1110">
        <f t="shared" si="670"/>
        <v>0</v>
      </c>
      <c r="J288" s="1212">
        <f t="shared" si="670"/>
        <v>0</v>
      </c>
      <c r="K288" s="1212">
        <f t="shared" si="670"/>
        <v>0</v>
      </c>
      <c r="L288" s="1110">
        <f t="shared" si="670"/>
        <v>0</v>
      </c>
      <c r="M288" s="1110">
        <f t="shared" si="670"/>
        <v>0</v>
      </c>
      <c r="N288" s="1110">
        <f t="shared" si="670"/>
        <v>0</v>
      </c>
      <c r="O288" s="1110">
        <f t="shared" si="670"/>
        <v>0</v>
      </c>
      <c r="P288" s="1110">
        <f t="shared" si="670"/>
        <v>0</v>
      </c>
      <c r="Q288" s="1212">
        <f t="shared" si="670"/>
        <v>0</v>
      </c>
      <c r="R288" s="1212">
        <f t="shared" si="670"/>
        <v>0</v>
      </c>
      <c r="S288" s="1110">
        <f t="shared" si="670"/>
        <v>0</v>
      </c>
      <c r="T288" s="1110">
        <f t="shared" si="670"/>
        <v>0</v>
      </c>
      <c r="U288" s="1110">
        <f t="shared" si="670"/>
        <v>0</v>
      </c>
      <c r="V288" s="1110">
        <f t="shared" si="670"/>
        <v>0</v>
      </c>
      <c r="W288" s="1110">
        <f t="shared" si="670"/>
        <v>0</v>
      </c>
      <c r="X288" s="1212">
        <f t="shared" si="670"/>
        <v>0</v>
      </c>
      <c r="Y288" s="1212">
        <f t="shared" si="670"/>
        <v>0</v>
      </c>
      <c r="Z288" s="1110">
        <f t="shared" si="670"/>
        <v>0</v>
      </c>
      <c r="AA288" s="1110">
        <f t="shared" si="670"/>
        <v>0</v>
      </c>
      <c r="AB288" s="1110">
        <f t="shared" si="670"/>
        <v>0</v>
      </c>
      <c r="AC288" s="1110">
        <f t="shared" si="670"/>
        <v>0</v>
      </c>
      <c r="AD288" s="1110">
        <f t="shared" si="670"/>
        <v>0</v>
      </c>
      <c r="AE288" s="1212">
        <f t="shared" si="670"/>
        <v>0</v>
      </c>
      <c r="AF288" s="1212">
        <f t="shared" si="670"/>
        <v>0</v>
      </c>
      <c r="AG288" s="1110">
        <f t="shared" si="670"/>
        <v>0</v>
      </c>
      <c r="AH288" s="1110">
        <f t="shared" si="670"/>
        <v>0</v>
      </c>
      <c r="AI288" s="1340">
        <f t="shared" si="670"/>
        <v>0</v>
      </c>
      <c r="AJ288" s="96"/>
      <c r="AK288" s="723"/>
      <c r="AL288" s="695"/>
      <c r="AM288" s="961"/>
      <c r="AN288" s="292"/>
      <c r="AO288" s="681"/>
      <c r="AP288" s="285"/>
      <c r="AQ288" s="285"/>
      <c r="AR288" s="285"/>
      <c r="AS288" s="285"/>
      <c r="AT288" s="286"/>
      <c r="AU288" s="285"/>
      <c r="AV288" s="287"/>
      <c r="AW288" s="1081"/>
      <c r="AX288" s="1081"/>
      <c r="AY288" s="1081"/>
      <c r="AZ288" s="1081"/>
      <c r="BA288" s="1081"/>
      <c r="BB288" s="1081"/>
      <c r="BC288" s="1081"/>
      <c r="BD288" s="1081"/>
    </row>
    <row r="289" spans="1:56" s="23" customFormat="1" ht="20.65" hidden="1" customHeight="1" thickTop="1">
      <c r="A289" s="270" t="s">
        <v>706</v>
      </c>
      <c r="B289" s="89" t="s">
        <v>687</v>
      </c>
      <c r="C289" s="42" t="str">
        <f>Table2[[#This Row],[M/C No.]]</f>
        <v>H8(50ton)</v>
      </c>
      <c r="D289" s="28" t="s">
        <v>82</v>
      </c>
      <c r="E289" s="1124"/>
      <c r="F289" s="1124"/>
      <c r="G289" s="1242"/>
      <c r="H289" s="1124"/>
      <c r="I289" s="1124"/>
      <c r="J289" s="1242"/>
      <c r="K289" s="1242"/>
      <c r="L289" s="1124"/>
      <c r="M289" s="1124"/>
      <c r="N289" s="1124"/>
      <c r="O289" s="1124"/>
      <c r="P289" s="1124"/>
      <c r="Q289" s="1242"/>
      <c r="R289" s="1242"/>
      <c r="S289" s="1124"/>
      <c r="T289" s="1124"/>
      <c r="U289" s="1124"/>
      <c r="V289" s="1124"/>
      <c r="W289" s="1124"/>
      <c r="X289" s="1242"/>
      <c r="Y289" s="1242"/>
      <c r="Z289" s="1124"/>
      <c r="AA289" s="1124"/>
      <c r="AB289" s="1124"/>
      <c r="AC289" s="1124"/>
      <c r="AD289" s="1124"/>
      <c r="AE289" s="1242"/>
      <c r="AF289" s="1242"/>
      <c r="AG289" s="1124"/>
      <c r="AH289" s="1124"/>
      <c r="AI289" s="1350"/>
      <c r="AJ289" s="100">
        <f>SUM(E289:AI289)</f>
        <v>0</v>
      </c>
      <c r="AK289" s="1000">
        <f>AJ291</f>
        <v>0</v>
      </c>
      <c r="AL289" s="101">
        <f>+AJ289*AN289</f>
        <v>0</v>
      </c>
      <c r="AM289" s="1019">
        <f>AL291</f>
        <v>0</v>
      </c>
      <c r="AN289" s="273">
        <v>3.6148899999999999</v>
      </c>
      <c r="AO289" s="633">
        <f>Table2[[#This Row],[Total]]*B293/1000</f>
        <v>0</v>
      </c>
      <c r="AP289" s="32" t="s">
        <v>399</v>
      </c>
      <c r="AQ289" s="33" t="s">
        <v>84</v>
      </c>
      <c r="AR289" s="33" t="s">
        <v>85</v>
      </c>
      <c r="AS289" s="33" t="s">
        <v>86</v>
      </c>
      <c r="AT289" s="33" t="s">
        <v>87</v>
      </c>
      <c r="AU289" s="33" t="s">
        <v>88</v>
      </c>
      <c r="AV289" s="34" t="s">
        <v>68</v>
      </c>
      <c r="AW289" s="1081"/>
      <c r="AX289" s="1081"/>
      <c r="AY289" s="1081"/>
      <c r="AZ289" s="1081"/>
      <c r="BA289" s="1081"/>
      <c r="BB289" s="1081"/>
      <c r="BC289" s="1081"/>
      <c r="BD289" s="1081"/>
    </row>
    <row r="290" spans="1:56" s="23" customFormat="1" ht="20.65" hidden="1" customHeight="1">
      <c r="A290" s="274"/>
      <c r="B290" s="89" t="s">
        <v>400</v>
      </c>
      <c r="C290" s="275"/>
      <c r="D290" s="37" t="s">
        <v>90</v>
      </c>
      <c r="E290" s="1323">
        <f>IF(E289="",0,+ E289/E296)</f>
        <v>0</v>
      </c>
      <c r="F290" s="1096">
        <f t="shared" ref="F290:AC290" si="671">IF(F289="",0, E290+F289/F296)</f>
        <v>0</v>
      </c>
      <c r="G290" s="1207">
        <f t="shared" si="671"/>
        <v>0</v>
      </c>
      <c r="H290" s="1096">
        <f t="shared" si="671"/>
        <v>0</v>
      </c>
      <c r="I290" s="1096">
        <f t="shared" si="671"/>
        <v>0</v>
      </c>
      <c r="J290" s="1207">
        <f t="shared" si="671"/>
        <v>0</v>
      </c>
      <c r="K290" s="1207">
        <f t="shared" si="671"/>
        <v>0</v>
      </c>
      <c r="L290" s="1096">
        <f t="shared" si="671"/>
        <v>0</v>
      </c>
      <c r="M290" s="1096">
        <f t="shared" si="671"/>
        <v>0</v>
      </c>
      <c r="N290" s="1096">
        <f t="shared" si="671"/>
        <v>0</v>
      </c>
      <c r="O290" s="1096">
        <f t="shared" si="671"/>
        <v>0</v>
      </c>
      <c r="P290" s="1096">
        <f t="shared" si="671"/>
        <v>0</v>
      </c>
      <c r="Q290" s="1207">
        <f t="shared" si="671"/>
        <v>0</v>
      </c>
      <c r="R290" s="1207">
        <f t="shared" si="671"/>
        <v>0</v>
      </c>
      <c r="S290" s="1096">
        <f t="shared" si="671"/>
        <v>0</v>
      </c>
      <c r="T290" s="1096">
        <f t="shared" si="671"/>
        <v>0</v>
      </c>
      <c r="U290" s="1096">
        <f t="shared" si="671"/>
        <v>0</v>
      </c>
      <c r="V290" s="1096">
        <f t="shared" si="671"/>
        <v>0</v>
      </c>
      <c r="W290" s="1096">
        <f t="shared" si="671"/>
        <v>0</v>
      </c>
      <c r="X290" s="1207">
        <f t="shared" si="671"/>
        <v>0</v>
      </c>
      <c r="Y290" s="1207">
        <f t="shared" si="671"/>
        <v>0</v>
      </c>
      <c r="Z290" s="1096">
        <f t="shared" si="671"/>
        <v>0</v>
      </c>
      <c r="AA290" s="1096">
        <f t="shared" si="671"/>
        <v>0</v>
      </c>
      <c r="AB290" s="1096">
        <f t="shared" si="671"/>
        <v>0</v>
      </c>
      <c r="AC290" s="1096">
        <f t="shared" si="671"/>
        <v>0</v>
      </c>
      <c r="AD290" s="1096">
        <f>IF(AD289="",0, Z290+AD289/AD296)</f>
        <v>0</v>
      </c>
      <c r="AE290" s="1207">
        <f>IF(AE289="",0, AA290+AE289/AE296)</f>
        <v>0</v>
      </c>
      <c r="AF290" s="1207">
        <f>IF(AF289="",0, AB290+AF289/AF296)</f>
        <v>0</v>
      </c>
      <c r="AG290" s="1096">
        <f>IF(AG289="",0, AC290+AG289/AG296)</f>
        <v>0</v>
      </c>
      <c r="AH290" s="1096">
        <f>IF(AH289="",0, AD290+AH289/AH296)</f>
        <v>0</v>
      </c>
      <c r="AI290" s="1324">
        <f>IF(AI289="",0, AH290+AI289/AI296)</f>
        <v>0</v>
      </c>
      <c r="AJ290" s="716"/>
      <c r="AK290" s="716"/>
      <c r="AL290" s="209"/>
      <c r="AM290" s="794"/>
      <c r="AN290" s="91"/>
      <c r="AO290" s="675"/>
      <c r="AP290" s="39" t="s">
        <v>91</v>
      </c>
      <c r="AQ290" s="40">
        <f>SUM(E289:K289)</f>
        <v>0</v>
      </c>
      <c r="AR290" s="41">
        <f>SUM(L289:R289)</f>
        <v>0</v>
      </c>
      <c r="AS290" s="41">
        <f>SUM(S289:Y289)</f>
        <v>0</v>
      </c>
      <c r="AT290" s="41">
        <f>SUM(Z289:AF289)</f>
        <v>0</v>
      </c>
      <c r="AU290" s="41">
        <f>SUM(AG289:AI289)</f>
        <v>0</v>
      </c>
      <c r="AV290" s="34">
        <f t="shared" ref="AV290:AV295" si="672">SUM(AQ290:AU290)</f>
        <v>0</v>
      </c>
      <c r="AW290" s="1081"/>
      <c r="AX290" s="1081"/>
      <c r="AY290" s="1081"/>
      <c r="AZ290" s="1081"/>
      <c r="BA290" s="1081"/>
      <c r="BB290" s="1081"/>
      <c r="BC290" s="1081"/>
      <c r="BD290" s="1081"/>
    </row>
    <row r="291" spans="1:56" s="23" customFormat="1" ht="20.65" hidden="1" customHeight="1">
      <c r="A291" s="296" t="s">
        <v>402</v>
      </c>
      <c r="B291" s="89" t="s">
        <v>246</v>
      </c>
      <c r="C291" s="42"/>
      <c r="D291" s="43" t="s">
        <v>93</v>
      </c>
      <c r="E291" s="1108"/>
      <c r="F291" s="1089"/>
      <c r="G291" s="44"/>
      <c r="H291" s="1089"/>
      <c r="I291" s="1089"/>
      <c r="J291" s="44"/>
      <c r="K291" s="44"/>
      <c r="L291" s="1089"/>
      <c r="M291" s="1089"/>
      <c r="N291" s="1089"/>
      <c r="O291" s="1089"/>
      <c r="P291" s="1089"/>
      <c r="Q291" s="44"/>
      <c r="R291" s="44"/>
      <c r="S291" s="1089"/>
      <c r="T291" s="1089"/>
      <c r="U291" s="1089"/>
      <c r="V291" s="1089"/>
      <c r="W291" s="1089"/>
      <c r="X291" s="44"/>
      <c r="Y291" s="44"/>
      <c r="Z291" s="1089"/>
      <c r="AA291" s="1089"/>
      <c r="AB291" s="1089"/>
      <c r="AC291" s="1089"/>
      <c r="AD291" s="1089"/>
      <c r="AE291" s="44"/>
      <c r="AF291" s="44"/>
      <c r="AG291" s="1089"/>
      <c r="AH291" s="1089"/>
      <c r="AI291" s="1326"/>
      <c r="AJ291" s="45">
        <f>SUM(E291:AI291)</f>
        <v>0</v>
      </c>
      <c r="AK291" s="45"/>
      <c r="AL291" s="46">
        <f>+AJ291*AN289</f>
        <v>0</v>
      </c>
      <c r="AM291" s="934"/>
      <c r="AN291" s="293"/>
      <c r="AO291" s="632">
        <f>(AJ291+AJ293+AJ294+AJ295)*B293/1000</f>
        <v>0</v>
      </c>
      <c r="AP291" s="47" t="s">
        <v>94</v>
      </c>
      <c r="AQ291" s="48">
        <f>SUM(E291:K291)</f>
        <v>0</v>
      </c>
      <c r="AR291" s="49">
        <f>SUM(L291:R291)</f>
        <v>0</v>
      </c>
      <c r="AS291" s="49">
        <f>SUM(S291:Y291)</f>
        <v>0</v>
      </c>
      <c r="AT291" s="49">
        <f>SUM(Z291:AF291)</f>
        <v>0</v>
      </c>
      <c r="AU291" s="49">
        <f>SUM(AG291:AI291)</f>
        <v>0</v>
      </c>
      <c r="AV291" s="50">
        <f t="shared" si="672"/>
        <v>0</v>
      </c>
      <c r="AW291" s="1081"/>
      <c r="AX291" s="1081"/>
      <c r="AY291" s="1081"/>
      <c r="AZ291" s="1081"/>
      <c r="BA291" s="1081"/>
      <c r="BB291" s="1081"/>
      <c r="BC291" s="1081"/>
      <c r="BD291" s="1081"/>
    </row>
    <row r="292" spans="1:56" s="23" customFormat="1" ht="20.65" hidden="1" customHeight="1">
      <c r="A292" s="296" t="s">
        <v>402</v>
      </c>
      <c r="B292" s="638" t="s">
        <v>247</v>
      </c>
      <c r="C292" s="280"/>
      <c r="D292" s="53" t="s">
        <v>96</v>
      </c>
      <c r="E292" s="1137">
        <f t="shared" ref="E292:L292" si="673">+E291-E289</f>
        <v>0</v>
      </c>
      <c r="F292" s="1097">
        <f t="shared" si="673"/>
        <v>0</v>
      </c>
      <c r="G292" s="1205">
        <f t="shared" si="673"/>
        <v>0</v>
      </c>
      <c r="H292" s="1097">
        <f t="shared" si="673"/>
        <v>0</v>
      </c>
      <c r="I292" s="1097">
        <f t="shared" si="673"/>
        <v>0</v>
      </c>
      <c r="J292" s="1205">
        <f t="shared" si="673"/>
        <v>0</v>
      </c>
      <c r="K292" s="1205">
        <f t="shared" si="673"/>
        <v>0</v>
      </c>
      <c r="L292" s="1097">
        <f t="shared" si="673"/>
        <v>0</v>
      </c>
      <c r="M292" s="1097">
        <f>+M291-M289</f>
        <v>0</v>
      </c>
      <c r="N292" s="1097">
        <f>+N291-N289</f>
        <v>0</v>
      </c>
      <c r="O292" s="1097">
        <f t="shared" ref="O292:AJ292" si="674">+O291-O289</f>
        <v>0</v>
      </c>
      <c r="P292" s="1097">
        <f t="shared" si="674"/>
        <v>0</v>
      </c>
      <c r="Q292" s="1205">
        <f t="shared" si="674"/>
        <v>0</v>
      </c>
      <c r="R292" s="1205">
        <f t="shared" si="674"/>
        <v>0</v>
      </c>
      <c r="S292" s="1097">
        <f t="shared" si="674"/>
        <v>0</v>
      </c>
      <c r="T292" s="1097">
        <f t="shared" si="674"/>
        <v>0</v>
      </c>
      <c r="U292" s="1097">
        <f t="shared" si="674"/>
        <v>0</v>
      </c>
      <c r="V292" s="1097">
        <f t="shared" si="674"/>
        <v>0</v>
      </c>
      <c r="W292" s="1097">
        <f t="shared" si="674"/>
        <v>0</v>
      </c>
      <c r="X292" s="1205">
        <f t="shared" si="674"/>
        <v>0</v>
      </c>
      <c r="Y292" s="1205">
        <f t="shared" si="674"/>
        <v>0</v>
      </c>
      <c r="Z292" s="1097">
        <f t="shared" si="674"/>
        <v>0</v>
      </c>
      <c r="AA292" s="1097">
        <f t="shared" si="674"/>
        <v>0</v>
      </c>
      <c r="AB292" s="1097">
        <f t="shared" si="674"/>
        <v>0</v>
      </c>
      <c r="AC292" s="1097">
        <f t="shared" si="674"/>
        <v>0</v>
      </c>
      <c r="AD292" s="1097">
        <f t="shared" si="674"/>
        <v>0</v>
      </c>
      <c r="AE292" s="1205">
        <f t="shared" si="674"/>
        <v>0</v>
      </c>
      <c r="AF292" s="1205">
        <f t="shared" si="674"/>
        <v>0</v>
      </c>
      <c r="AG292" s="1097">
        <f t="shared" si="674"/>
        <v>0</v>
      </c>
      <c r="AH292" s="1097">
        <f t="shared" si="674"/>
        <v>0</v>
      </c>
      <c r="AI292" s="1328">
        <f t="shared" si="674"/>
        <v>0</v>
      </c>
      <c r="AJ292" s="79">
        <f t="shared" si="674"/>
        <v>0</v>
      </c>
      <c r="AK292" s="79"/>
      <c r="AL292" s="55">
        <f>+AJ292*AN289</f>
        <v>0</v>
      </c>
      <c r="AM292" s="935"/>
      <c r="AN292" s="293" t="s">
        <v>97</v>
      </c>
      <c r="AO292" s="622"/>
      <c r="AP292" s="39" t="s">
        <v>98</v>
      </c>
      <c r="AQ292" s="56">
        <f>AQ291-AQ290</f>
        <v>0</v>
      </c>
      <c r="AR292" s="70">
        <f>AR291-AR290</f>
        <v>0</v>
      </c>
      <c r="AS292" s="70">
        <f>AS291-AS290</f>
        <v>0</v>
      </c>
      <c r="AT292" s="70">
        <f>AT291-AT290</f>
        <v>0</v>
      </c>
      <c r="AU292" s="70">
        <f>AU291-AU290</f>
        <v>0</v>
      </c>
      <c r="AV292" s="57">
        <f t="shared" si="672"/>
        <v>0</v>
      </c>
      <c r="AW292" s="1081"/>
      <c r="AX292" s="1081"/>
      <c r="AY292" s="1081"/>
      <c r="AZ292" s="1081"/>
      <c r="BA292" s="1081"/>
      <c r="BB292" s="1081"/>
      <c r="BC292" s="1081"/>
      <c r="BD292" s="1081"/>
    </row>
    <row r="293" spans="1:56" s="23" customFormat="1" ht="20.65" hidden="1" customHeight="1">
      <c r="A293" s="296" t="s">
        <v>403</v>
      </c>
      <c r="B293" s="659">
        <v>1.8774999999999999</v>
      </c>
      <c r="C293" s="305"/>
      <c r="D293" s="61" t="s">
        <v>101</v>
      </c>
      <c r="E293" s="1098">
        <v>0</v>
      </c>
      <c r="F293" s="1099">
        <v>0</v>
      </c>
      <c r="G293" s="1208"/>
      <c r="H293" s="1099"/>
      <c r="I293" s="1099"/>
      <c r="J293" s="1208"/>
      <c r="K293" s="1208"/>
      <c r="L293" s="1099"/>
      <c r="M293" s="1099"/>
      <c r="N293" s="1099"/>
      <c r="O293" s="1099"/>
      <c r="P293" s="1099"/>
      <c r="Q293" s="1208"/>
      <c r="R293" s="1208"/>
      <c r="S293" s="1099"/>
      <c r="T293" s="1099"/>
      <c r="U293" s="1099"/>
      <c r="V293" s="1099"/>
      <c r="W293" s="1099"/>
      <c r="X293" s="1208"/>
      <c r="Y293" s="1208"/>
      <c r="Z293" s="1099"/>
      <c r="AA293" s="1099"/>
      <c r="AB293" s="1099"/>
      <c r="AC293" s="1099"/>
      <c r="AD293" s="1099"/>
      <c r="AE293" s="1208"/>
      <c r="AF293" s="1208"/>
      <c r="AG293" s="1099"/>
      <c r="AH293" s="1099"/>
      <c r="AI293" s="1330"/>
      <c r="AJ293" s="62">
        <f>SUM(E293:AI293)</f>
        <v>0</v>
      </c>
      <c r="AK293" s="62"/>
      <c r="AL293" s="63">
        <f>+AJ293*AN289</f>
        <v>0</v>
      </c>
      <c r="AM293" s="936"/>
      <c r="AN293" s="282" t="e">
        <f>+AJ293/AJ291</f>
        <v>#DIV/0!</v>
      </c>
      <c r="AO293" s="635" t="e">
        <f>AO291/AO289</f>
        <v>#DIV/0!</v>
      </c>
      <c r="AP293" s="39" t="s">
        <v>102</v>
      </c>
      <c r="AQ293" s="56">
        <f>SUM(E293:K293)</f>
        <v>0</v>
      </c>
      <c r="AR293" s="70">
        <f>SUM(L293:R293)</f>
        <v>0</v>
      </c>
      <c r="AS293" s="70">
        <f>SUM(S293:Y293)</f>
        <v>0</v>
      </c>
      <c r="AT293" s="70">
        <f>SUM(Z293:AF293)</f>
        <v>0</v>
      </c>
      <c r="AU293" s="70">
        <f>SUM(AG293:AI293)</f>
        <v>0</v>
      </c>
      <c r="AV293" s="57">
        <f t="shared" si="672"/>
        <v>0</v>
      </c>
      <c r="AW293" s="1081"/>
      <c r="AX293" s="1081"/>
      <c r="AY293" s="1081"/>
      <c r="AZ293" s="1081"/>
      <c r="BA293" s="1081"/>
      <c r="BB293" s="1081"/>
      <c r="BC293" s="1081"/>
      <c r="BD293" s="1081"/>
    </row>
    <row r="294" spans="1:56" s="23" customFormat="1" ht="20.65" hidden="1" customHeight="1">
      <c r="A294" s="270"/>
      <c r="B294" s="89"/>
      <c r="C294" s="52" t="s">
        <v>95</v>
      </c>
      <c r="D294" s="67" t="s">
        <v>103</v>
      </c>
      <c r="E294" s="1100">
        <v>0</v>
      </c>
      <c r="F294" s="1101">
        <v>0</v>
      </c>
      <c r="G294" s="1209"/>
      <c r="H294" s="1101"/>
      <c r="I294" s="1101"/>
      <c r="J294" s="1209"/>
      <c r="K294" s="1209"/>
      <c r="L294" s="1101"/>
      <c r="M294" s="1101"/>
      <c r="N294" s="1101"/>
      <c r="O294" s="1101"/>
      <c r="P294" s="1101"/>
      <c r="Q294" s="1209"/>
      <c r="R294" s="1209"/>
      <c r="S294" s="1101"/>
      <c r="T294" s="1101"/>
      <c r="U294" s="1101"/>
      <c r="V294" s="1101"/>
      <c r="W294" s="1101"/>
      <c r="X294" s="1209"/>
      <c r="Y294" s="1209"/>
      <c r="Z294" s="1101"/>
      <c r="AA294" s="1101"/>
      <c r="AB294" s="1101"/>
      <c r="AC294" s="1101"/>
      <c r="AD294" s="1101"/>
      <c r="AE294" s="1209"/>
      <c r="AF294" s="1209"/>
      <c r="AG294" s="1101"/>
      <c r="AH294" s="1101"/>
      <c r="AI294" s="1332"/>
      <c r="AJ294" s="68">
        <f>SUM(E294:AI294)</f>
        <v>0</v>
      </c>
      <c r="AK294" s="68"/>
      <c r="AL294" s="69">
        <f>+AJ294*AN289</f>
        <v>0</v>
      </c>
      <c r="AM294" s="937"/>
      <c r="AN294" s="293"/>
      <c r="AO294" s="678"/>
      <c r="AP294" s="39" t="s">
        <v>19</v>
      </c>
      <c r="AQ294" s="56">
        <f>AQ293*AN289</f>
        <v>0</v>
      </c>
      <c r="AR294" s="56">
        <f>AR293*AN289</f>
        <v>0</v>
      </c>
      <c r="AS294" s="56">
        <f>AS293*AN289</f>
        <v>0</v>
      </c>
      <c r="AT294" s="56">
        <f>AT293*AN289</f>
        <v>0</v>
      </c>
      <c r="AU294" s="56">
        <f>AU293*AN289</f>
        <v>0</v>
      </c>
      <c r="AV294" s="57">
        <f t="shared" si="672"/>
        <v>0</v>
      </c>
      <c r="AW294" s="1081"/>
      <c r="AX294" s="1081"/>
      <c r="AY294" s="1081"/>
      <c r="AZ294" s="1081"/>
      <c r="BA294" s="1081"/>
      <c r="BB294" s="1081"/>
      <c r="BC294" s="1081"/>
      <c r="BD294" s="1081"/>
    </row>
    <row r="295" spans="1:56" s="23" customFormat="1" ht="20.65" hidden="1" customHeight="1">
      <c r="A295" s="318"/>
      <c r="B295" s="319"/>
      <c r="C295" s="306" t="s">
        <v>387</v>
      </c>
      <c r="D295" s="73" t="s">
        <v>105</v>
      </c>
      <c r="E295" s="1102">
        <v>0</v>
      </c>
      <c r="F295" s="1103">
        <v>0</v>
      </c>
      <c r="G295" s="1210"/>
      <c r="H295" s="1103"/>
      <c r="I295" s="1103"/>
      <c r="J295" s="1210"/>
      <c r="K295" s="1210"/>
      <c r="L295" s="1103"/>
      <c r="M295" s="1103"/>
      <c r="N295" s="1103"/>
      <c r="O295" s="1103"/>
      <c r="P295" s="1103"/>
      <c r="Q295" s="1210"/>
      <c r="R295" s="1210"/>
      <c r="S295" s="1103"/>
      <c r="T295" s="1103"/>
      <c r="U295" s="1103"/>
      <c r="V295" s="1103"/>
      <c r="W295" s="1103"/>
      <c r="X295" s="1210"/>
      <c r="Y295" s="1210"/>
      <c r="Z295" s="1103"/>
      <c r="AA295" s="1103"/>
      <c r="AB295" s="1103"/>
      <c r="AC295" s="1103"/>
      <c r="AD295" s="1103"/>
      <c r="AE295" s="1210"/>
      <c r="AF295" s="1210"/>
      <c r="AG295" s="1103"/>
      <c r="AH295" s="1103"/>
      <c r="AI295" s="1352"/>
      <c r="AJ295" s="74">
        <f>SUM(E295:AI295)</f>
        <v>0</v>
      </c>
      <c r="AK295" s="74"/>
      <c r="AL295" s="75">
        <f>+AJ295*AN289</f>
        <v>0</v>
      </c>
      <c r="AM295" s="938"/>
      <c r="AN295" s="294"/>
      <c r="AO295" s="682"/>
      <c r="AP295" s="47" t="s">
        <v>106</v>
      </c>
      <c r="AQ295" s="48">
        <f>AQ291*AN289</f>
        <v>0</v>
      </c>
      <c r="AR295" s="48">
        <f>AR291*AN289</f>
        <v>0</v>
      </c>
      <c r="AS295" s="48">
        <f>AS291*AN289</f>
        <v>0</v>
      </c>
      <c r="AT295" s="48">
        <f>AT291*AN289</f>
        <v>0</v>
      </c>
      <c r="AU295" s="48">
        <f>AU291*AN289</f>
        <v>0</v>
      </c>
      <c r="AV295" s="50">
        <f t="shared" si="672"/>
        <v>0</v>
      </c>
      <c r="AW295" s="1081"/>
      <c r="AX295" s="1081"/>
      <c r="AY295" s="1081"/>
      <c r="AZ295" s="1081"/>
      <c r="BA295" s="1081"/>
      <c r="BB295" s="1081"/>
      <c r="BC295" s="1081"/>
      <c r="BD295" s="1081"/>
    </row>
    <row r="296" spans="1:56" s="23" customFormat="1" ht="20.65" hidden="1" customHeight="1">
      <c r="A296" s="296" t="s">
        <v>403</v>
      </c>
      <c r="B296" s="89"/>
      <c r="C296" s="307"/>
      <c r="D296" s="78" t="s">
        <v>107</v>
      </c>
      <c r="E296" s="1137">
        <v>4</v>
      </c>
      <c r="F296" s="1097">
        <v>4</v>
      </c>
      <c r="G296" s="1205">
        <v>4</v>
      </c>
      <c r="H296" s="1097">
        <v>4</v>
      </c>
      <c r="I296" s="1097">
        <v>4</v>
      </c>
      <c r="J296" s="1205">
        <v>4</v>
      </c>
      <c r="K296" s="1205">
        <v>4</v>
      </c>
      <c r="L296" s="1097">
        <v>4</v>
      </c>
      <c r="M296" s="1097">
        <v>4</v>
      </c>
      <c r="N296" s="1097">
        <v>4</v>
      </c>
      <c r="O296" s="1097">
        <v>4</v>
      </c>
      <c r="P296" s="1097">
        <v>4</v>
      </c>
      <c r="Q296" s="1205">
        <v>4</v>
      </c>
      <c r="R296" s="1205">
        <v>4</v>
      </c>
      <c r="S296" s="1097">
        <v>4</v>
      </c>
      <c r="T296" s="1097">
        <v>4</v>
      </c>
      <c r="U296" s="1097">
        <v>4</v>
      </c>
      <c r="V296" s="1097">
        <v>4</v>
      </c>
      <c r="W296" s="1097">
        <v>4</v>
      </c>
      <c r="X296" s="1205">
        <v>4</v>
      </c>
      <c r="Y296" s="1205">
        <v>4</v>
      </c>
      <c r="Z296" s="1097">
        <v>4</v>
      </c>
      <c r="AA296" s="1097">
        <v>4</v>
      </c>
      <c r="AB296" s="1097">
        <v>4</v>
      </c>
      <c r="AC296" s="1097">
        <v>4</v>
      </c>
      <c r="AD296" s="1097">
        <v>4</v>
      </c>
      <c r="AE296" s="1205">
        <v>4</v>
      </c>
      <c r="AF296" s="1205">
        <v>4</v>
      </c>
      <c r="AG296" s="1097">
        <v>4</v>
      </c>
      <c r="AH296" s="1097">
        <v>4</v>
      </c>
      <c r="AI296" s="1328">
        <v>4</v>
      </c>
      <c r="AJ296" s="79"/>
      <c r="AK296" s="79"/>
      <c r="AL296" s="69"/>
      <c r="AM296" s="937"/>
      <c r="AN296" s="293"/>
      <c r="AO296" s="678"/>
      <c r="AP296" s="47"/>
      <c r="AQ296" s="48"/>
      <c r="AR296" s="48"/>
      <c r="AS296" s="48"/>
      <c r="AT296" s="48"/>
      <c r="AU296" s="48"/>
      <c r="AV296" s="284"/>
      <c r="AW296" s="1081"/>
      <c r="AX296" s="1081"/>
      <c r="AY296" s="1081"/>
      <c r="AZ296" s="1081"/>
      <c r="BA296" s="1081"/>
      <c r="BB296" s="1081"/>
      <c r="BC296" s="1081"/>
      <c r="BD296" s="1081"/>
    </row>
    <row r="297" spans="1:56" s="23" customFormat="1" ht="20.65" hidden="1" customHeight="1">
      <c r="A297" s="296" t="s">
        <v>403</v>
      </c>
      <c r="B297" s="89" t="s">
        <v>404</v>
      </c>
      <c r="C297" s="305"/>
      <c r="D297" s="81" t="s">
        <v>109</v>
      </c>
      <c r="E297" s="1125">
        <f t="shared" ref="E297:AI297" si="675">SUM(E291+E293+E294+E295)/E296</f>
        <v>0</v>
      </c>
      <c r="F297" s="1126">
        <f t="shared" si="675"/>
        <v>0</v>
      </c>
      <c r="G297" s="1235">
        <f t="shared" si="675"/>
        <v>0</v>
      </c>
      <c r="H297" s="1126">
        <f t="shared" si="675"/>
        <v>0</v>
      </c>
      <c r="I297" s="1126">
        <f t="shared" si="675"/>
        <v>0</v>
      </c>
      <c r="J297" s="1235">
        <f t="shared" si="675"/>
        <v>0</v>
      </c>
      <c r="K297" s="1235">
        <f t="shared" si="675"/>
        <v>0</v>
      </c>
      <c r="L297" s="1126">
        <f t="shared" si="675"/>
        <v>0</v>
      </c>
      <c r="M297" s="1126">
        <f t="shared" si="675"/>
        <v>0</v>
      </c>
      <c r="N297" s="1126">
        <f t="shared" si="675"/>
        <v>0</v>
      </c>
      <c r="O297" s="1126">
        <f t="shared" si="675"/>
        <v>0</v>
      </c>
      <c r="P297" s="1126">
        <f t="shared" si="675"/>
        <v>0</v>
      </c>
      <c r="Q297" s="1235">
        <f t="shared" si="675"/>
        <v>0</v>
      </c>
      <c r="R297" s="1235">
        <f t="shared" si="675"/>
        <v>0</v>
      </c>
      <c r="S297" s="1126">
        <f t="shared" si="675"/>
        <v>0</v>
      </c>
      <c r="T297" s="1126">
        <f t="shared" si="675"/>
        <v>0</v>
      </c>
      <c r="U297" s="1126">
        <f t="shared" si="675"/>
        <v>0</v>
      </c>
      <c r="V297" s="1126">
        <f t="shared" si="675"/>
        <v>0</v>
      </c>
      <c r="W297" s="1126">
        <f t="shared" si="675"/>
        <v>0</v>
      </c>
      <c r="X297" s="1235">
        <f t="shared" si="675"/>
        <v>0</v>
      </c>
      <c r="Y297" s="1235">
        <f t="shared" si="675"/>
        <v>0</v>
      </c>
      <c r="Z297" s="1126">
        <f t="shared" si="675"/>
        <v>0</v>
      </c>
      <c r="AA297" s="1126">
        <f t="shared" si="675"/>
        <v>0</v>
      </c>
      <c r="AB297" s="1126">
        <f t="shared" si="675"/>
        <v>0</v>
      </c>
      <c r="AC297" s="1126">
        <f t="shared" si="675"/>
        <v>0</v>
      </c>
      <c r="AD297" s="1126">
        <f t="shared" si="675"/>
        <v>0</v>
      </c>
      <c r="AE297" s="1235">
        <f t="shared" si="675"/>
        <v>0</v>
      </c>
      <c r="AF297" s="1235">
        <f t="shared" si="675"/>
        <v>0</v>
      </c>
      <c r="AG297" s="1126">
        <f t="shared" si="675"/>
        <v>0</v>
      </c>
      <c r="AH297" s="1126">
        <f t="shared" si="675"/>
        <v>0</v>
      </c>
      <c r="AI297" s="1335">
        <f t="shared" si="675"/>
        <v>0</v>
      </c>
      <c r="AJ297" s="515">
        <f>SUM(E297:AI297)</f>
        <v>0</v>
      </c>
      <c r="AK297" s="515"/>
      <c r="AL297" s="689"/>
      <c r="AM297" s="940"/>
      <c r="AN297" s="293"/>
      <c r="AO297" s="678"/>
      <c r="AP297" s="285"/>
      <c r="AQ297" s="285"/>
      <c r="AR297" s="285"/>
      <c r="AS297" s="285"/>
      <c r="AT297" s="286"/>
      <c r="AU297" s="285"/>
      <c r="AV297" s="287"/>
      <c r="AW297" s="1081"/>
      <c r="AX297" s="1081"/>
      <c r="AY297" s="1081"/>
      <c r="AZ297" s="1081"/>
      <c r="BA297" s="1081"/>
      <c r="BB297" s="1081"/>
      <c r="BC297" s="1081"/>
      <c r="BD297" s="1081"/>
    </row>
    <row r="298" spans="1:56" s="23" customFormat="1" ht="20.65" hidden="1" customHeight="1">
      <c r="A298" s="296" t="s">
        <v>403</v>
      </c>
      <c r="B298" s="320" t="s">
        <v>404</v>
      </c>
      <c r="C298" s="72"/>
      <c r="D298" s="85" t="s">
        <v>110</v>
      </c>
      <c r="E298" s="1105"/>
      <c r="F298" s="1106"/>
      <c r="G298" s="1211"/>
      <c r="H298" s="1104"/>
      <c r="I298" s="1104"/>
      <c r="J298" s="1211"/>
      <c r="K298" s="1211"/>
      <c r="L298" s="1104"/>
      <c r="M298" s="1104"/>
      <c r="N298" s="1104"/>
      <c r="O298" s="1104"/>
      <c r="P298" s="1104"/>
      <c r="Q298" s="1211"/>
      <c r="R298" s="1211"/>
      <c r="S298" s="1104"/>
      <c r="T298" s="1104"/>
      <c r="U298" s="1104"/>
      <c r="V298" s="1104"/>
      <c r="W298" s="1104"/>
      <c r="X298" s="1211"/>
      <c r="Y298" s="1211"/>
      <c r="Z298" s="1104"/>
      <c r="AA298" s="1104"/>
      <c r="AB298" s="1104"/>
      <c r="AC298" s="1104"/>
      <c r="AD298" s="1107"/>
      <c r="AE298" s="1211"/>
      <c r="AF298" s="1211"/>
      <c r="AG298" s="1104"/>
      <c r="AH298" s="1104"/>
      <c r="AI298" s="1353"/>
      <c r="AJ298" s="86"/>
      <c r="AK298" s="86"/>
      <c r="AL298" s="690"/>
      <c r="AM298" s="940"/>
      <c r="AN298" s="277"/>
      <c r="AO298" s="679"/>
      <c r="AP298" s="285"/>
      <c r="AQ298" s="285"/>
      <c r="AR298" s="285"/>
      <c r="AS298" s="285"/>
      <c r="AT298" s="286"/>
      <c r="AU298" s="285"/>
      <c r="AV298" s="287"/>
      <c r="AW298" s="1081"/>
      <c r="AX298" s="1081"/>
      <c r="AY298" s="1081"/>
      <c r="AZ298" s="1081"/>
      <c r="BA298" s="1081"/>
      <c r="BB298" s="1081"/>
      <c r="BC298" s="1081"/>
      <c r="BD298" s="1081"/>
    </row>
    <row r="299" spans="1:56" s="23" customFormat="1" ht="20.65" hidden="1" customHeight="1">
      <c r="A299" s="296" t="s">
        <v>403</v>
      </c>
      <c r="B299" s="89"/>
      <c r="C299" s="72" t="s">
        <v>104</v>
      </c>
      <c r="D299" s="88" t="s">
        <v>111</v>
      </c>
      <c r="E299" s="1108">
        <f>IF(E298="O/H",E297,0+E297)</f>
        <v>0</v>
      </c>
      <c r="F299" s="1089">
        <f t="shared" ref="F299:AI299" si="676">IF(F298="O/H",F297,+E299+F297)</f>
        <v>0</v>
      </c>
      <c r="G299" s="44">
        <f t="shared" si="676"/>
        <v>0</v>
      </c>
      <c r="H299" s="1089">
        <f t="shared" si="676"/>
        <v>0</v>
      </c>
      <c r="I299" s="1089">
        <f t="shared" si="676"/>
        <v>0</v>
      </c>
      <c r="J299" s="44">
        <f t="shared" si="676"/>
        <v>0</v>
      </c>
      <c r="K299" s="44">
        <f t="shared" si="676"/>
        <v>0</v>
      </c>
      <c r="L299" s="1089">
        <f t="shared" si="676"/>
        <v>0</v>
      </c>
      <c r="M299" s="1089">
        <f t="shared" si="676"/>
        <v>0</v>
      </c>
      <c r="N299" s="1089">
        <f t="shared" si="676"/>
        <v>0</v>
      </c>
      <c r="O299" s="1089">
        <f t="shared" si="676"/>
        <v>0</v>
      </c>
      <c r="P299" s="1089">
        <f t="shared" si="676"/>
        <v>0</v>
      </c>
      <c r="Q299" s="44">
        <f t="shared" si="676"/>
        <v>0</v>
      </c>
      <c r="R299" s="44">
        <f t="shared" si="676"/>
        <v>0</v>
      </c>
      <c r="S299" s="1089">
        <f t="shared" si="676"/>
        <v>0</v>
      </c>
      <c r="T299" s="1089">
        <f t="shared" si="676"/>
        <v>0</v>
      </c>
      <c r="U299" s="1089">
        <f t="shared" si="676"/>
        <v>0</v>
      </c>
      <c r="V299" s="1089">
        <f t="shared" si="676"/>
        <v>0</v>
      </c>
      <c r="W299" s="1089">
        <f t="shared" si="676"/>
        <v>0</v>
      </c>
      <c r="X299" s="44">
        <f t="shared" si="676"/>
        <v>0</v>
      </c>
      <c r="Y299" s="44">
        <f t="shared" si="676"/>
        <v>0</v>
      </c>
      <c r="Z299" s="1089">
        <f t="shared" si="676"/>
        <v>0</v>
      </c>
      <c r="AA299" s="1089">
        <f t="shared" si="676"/>
        <v>0</v>
      </c>
      <c r="AB299" s="1089">
        <f t="shared" si="676"/>
        <v>0</v>
      </c>
      <c r="AC299" s="1089">
        <f t="shared" si="676"/>
        <v>0</v>
      </c>
      <c r="AD299" s="1089">
        <f t="shared" si="676"/>
        <v>0</v>
      </c>
      <c r="AE299" s="44">
        <f t="shared" si="676"/>
        <v>0</v>
      </c>
      <c r="AF299" s="44">
        <f t="shared" si="676"/>
        <v>0</v>
      </c>
      <c r="AG299" s="1089">
        <f t="shared" si="676"/>
        <v>0</v>
      </c>
      <c r="AH299" s="1089">
        <f t="shared" si="676"/>
        <v>0</v>
      </c>
      <c r="AI299" s="1326">
        <f t="shared" si="676"/>
        <v>0</v>
      </c>
      <c r="AJ299" s="79"/>
      <c r="AK299" s="79"/>
      <c r="AL299" s="690"/>
      <c r="AM299" s="940"/>
      <c r="AN299" s="277"/>
      <c r="AO299" s="679"/>
      <c r="AP299" s="285"/>
      <c r="AQ299" s="285"/>
      <c r="AR299" s="285"/>
      <c r="AS299" s="285"/>
      <c r="AT299" s="286"/>
      <c r="AU299" s="285"/>
      <c r="AV299" s="287"/>
      <c r="AW299" s="1081"/>
      <c r="AX299" s="1081"/>
      <c r="AY299" s="1081"/>
      <c r="AZ299" s="1081"/>
      <c r="BA299" s="1081"/>
      <c r="BB299" s="1081"/>
      <c r="BC299" s="1081"/>
      <c r="BD299" s="1081"/>
    </row>
    <row r="300" spans="1:56" s="23" customFormat="1" ht="20.45" hidden="1" customHeight="1">
      <c r="A300" s="312"/>
      <c r="B300" s="312"/>
      <c r="C300" s="308">
        <v>300000</v>
      </c>
      <c r="D300" s="795" t="s">
        <v>112</v>
      </c>
      <c r="E300" s="1117" t="b">
        <f>IF(AND(ISNUMBER(E291)),972379+E297)</f>
        <v>0</v>
      </c>
      <c r="F300" s="1118" t="str">
        <f>IF(AND(ISNUMBER(F291)),E300+F297,"")</f>
        <v/>
      </c>
      <c r="G300" s="1216" t="str">
        <f t="shared" ref="G300" si="677">IF(AND(ISNUMBER(G291)),F300+G297,"")</f>
        <v/>
      </c>
      <c r="H300" s="1118" t="str">
        <f t="shared" ref="H300" si="678">IF(AND(ISNUMBER(H291)),G300+H297,"")</f>
        <v/>
      </c>
      <c r="I300" s="1118" t="str">
        <f>IF(AND(ISNUMBER(I291)),H300+I297,"")</f>
        <v/>
      </c>
      <c r="J300" s="1216" t="str">
        <f>IF(AND(ISNUMBER(J291)),I300+J297,"")</f>
        <v/>
      </c>
      <c r="K300" s="1216" t="str">
        <f>IF(AND(ISNUMBER(K291)),J300+K297,"")</f>
        <v/>
      </c>
      <c r="L300" s="1118" t="str">
        <f t="shared" ref="L300" si="679">IF(AND(ISNUMBER(L291)),K300+L297,"")</f>
        <v/>
      </c>
      <c r="M300" s="1118" t="str">
        <f t="shared" ref="M300" si="680">IF(AND(ISNUMBER(M291)),L300+M297,"")</f>
        <v/>
      </c>
      <c r="N300" s="1118" t="str">
        <f t="shared" ref="N300" si="681">IF(AND(ISNUMBER(N291)),M300+N297,"")</f>
        <v/>
      </c>
      <c r="O300" s="1118" t="str">
        <f t="shared" ref="O300" si="682">IF(AND(ISNUMBER(O291)),N300+O297,"")</f>
        <v/>
      </c>
      <c r="P300" s="1118" t="str">
        <f t="shared" ref="P300" si="683">IF(AND(ISNUMBER(P291)),O300+P297,"")</f>
        <v/>
      </c>
      <c r="Q300" s="1216" t="str">
        <f t="shared" ref="Q300" si="684">IF(AND(ISNUMBER(Q291)),P300+Q297,"")</f>
        <v/>
      </c>
      <c r="R300" s="1216" t="str">
        <f t="shared" ref="R300" si="685">IF(AND(ISNUMBER(R291)),Q300+R297,"")</f>
        <v/>
      </c>
      <c r="S300" s="1118" t="str">
        <f t="shared" ref="S300" si="686">IF(AND(ISNUMBER(S291)),R300+S297,"")</f>
        <v/>
      </c>
      <c r="T300" s="1118" t="str">
        <f t="shared" ref="T300" si="687">IF(AND(ISNUMBER(T291)),S300+T297,"")</f>
        <v/>
      </c>
      <c r="U300" s="1118" t="str">
        <f t="shared" ref="U300" si="688">IF(AND(ISNUMBER(U291)),T300+U297,"")</f>
        <v/>
      </c>
      <c r="V300" s="1118" t="str">
        <f t="shared" ref="V300" si="689">IF(AND(ISNUMBER(V291)),U300+V297,"")</f>
        <v/>
      </c>
      <c r="W300" s="1118" t="str">
        <f t="shared" ref="W300" si="690">IF(AND(ISNUMBER(W291)),V300+W297,"")</f>
        <v/>
      </c>
      <c r="X300" s="1216" t="str">
        <f t="shared" ref="X300" si="691">IF(AND(ISNUMBER(X291)),W300+X297,"")</f>
        <v/>
      </c>
      <c r="Y300" s="1216" t="str">
        <f t="shared" ref="Y300" si="692">IF(AND(ISNUMBER(Y291)),X300+Y297,"")</f>
        <v/>
      </c>
      <c r="Z300" s="1118" t="str">
        <f t="shared" ref="Z300" si="693">IF(AND(ISNUMBER(Z291)),Y300+Z297,"")</f>
        <v/>
      </c>
      <c r="AA300" s="1118" t="str">
        <f t="shared" ref="AA300" si="694">IF(AND(ISNUMBER(AA291)),Z300+AA297,"")</f>
        <v/>
      </c>
      <c r="AB300" s="1118" t="str">
        <f t="shared" ref="AB300" si="695">IF(AND(ISNUMBER(AB291)),AA300+AB297,"")</f>
        <v/>
      </c>
      <c r="AC300" s="1118" t="str">
        <f t="shared" ref="AC300" si="696">IF(AND(ISNUMBER(AC291)),AB300+AC297,"")</f>
        <v/>
      </c>
      <c r="AD300" s="1118" t="str">
        <f t="shared" ref="AD300" si="697">IF(AND(ISNUMBER(AD291)),AC300+AD297,"")</f>
        <v/>
      </c>
      <c r="AE300" s="1216" t="str">
        <f t="shared" ref="AE300" si="698">IF(AND(ISNUMBER(AE291)),AD300+AE297,"")</f>
        <v/>
      </c>
      <c r="AF300" s="1216" t="str">
        <f t="shared" ref="AF300" si="699">IF(AND(ISNUMBER(AF291)),AE300+AF297,"")</f>
        <v/>
      </c>
      <c r="AG300" s="1118" t="str">
        <f t="shared" ref="AG300" si="700">IF(AND(ISNUMBER(AG291)),AF300+AG297,"")</f>
        <v/>
      </c>
      <c r="AH300" s="1118" t="str">
        <f t="shared" ref="AH300" si="701">IF(AND(ISNUMBER(AH291)),AG300+AH297,"")</f>
        <v/>
      </c>
      <c r="AI300" s="1118" t="str">
        <f t="shared" ref="AI300" si="702">IF(AND(ISNUMBER(AI291)),AH300+AI297,"")</f>
        <v/>
      </c>
      <c r="AJ300" s="793"/>
      <c r="AK300" s="793"/>
      <c r="AL300" s="909"/>
      <c r="AM300" s="794"/>
      <c r="AN300" s="429"/>
      <c r="AO300" s="675"/>
      <c r="AP300" s="285"/>
      <c r="AQ300" s="285"/>
      <c r="AR300" s="285"/>
      <c r="AS300" s="285"/>
      <c r="AT300" s="286"/>
      <c r="AU300" s="285"/>
      <c r="AV300" s="287"/>
      <c r="AW300" s="1081"/>
      <c r="AX300" s="1081"/>
      <c r="AY300" s="1081"/>
      <c r="AZ300" s="1081"/>
      <c r="BA300" s="1081"/>
      <c r="BB300" s="1081"/>
      <c r="BC300" s="1081"/>
      <c r="BD300" s="1081"/>
    </row>
    <row r="301" spans="1:56" s="23" customFormat="1" ht="20.65" hidden="1" customHeight="1">
      <c r="A301" s="296"/>
      <c r="B301" s="89"/>
      <c r="C301" s="80" t="s">
        <v>108</v>
      </c>
      <c r="D301" s="90" t="s">
        <v>104</v>
      </c>
      <c r="E301" s="1108"/>
      <c r="F301" s="1089"/>
      <c r="G301" s="44"/>
      <c r="H301" s="1089"/>
      <c r="I301" s="1089"/>
      <c r="J301" s="44"/>
      <c r="K301" s="44"/>
      <c r="L301" s="1089"/>
      <c r="M301" s="1089"/>
      <c r="N301" s="1089"/>
      <c r="O301" s="1089"/>
      <c r="P301" s="1106"/>
      <c r="Q301" s="44"/>
      <c r="R301" s="44"/>
      <c r="S301" s="1089"/>
      <c r="T301" s="1089"/>
      <c r="U301" s="1089"/>
      <c r="V301" s="1089"/>
      <c r="W301" s="1089"/>
      <c r="X301" s="44"/>
      <c r="Y301" s="44"/>
      <c r="Z301" s="1089"/>
      <c r="AA301" s="1089"/>
      <c r="AB301" s="1089"/>
      <c r="AC301" s="1089"/>
      <c r="AD301" s="1089"/>
      <c r="AE301" s="44"/>
      <c r="AF301" s="44"/>
      <c r="AG301" s="1089"/>
      <c r="AH301" s="1089"/>
      <c r="AI301" s="1326"/>
      <c r="AJ301" s="79"/>
      <c r="AK301" s="79"/>
      <c r="AL301" s="690"/>
      <c r="AM301" s="940"/>
      <c r="AN301" s="301"/>
      <c r="AO301" s="680"/>
      <c r="AP301" s="285"/>
      <c r="AQ301" s="285"/>
      <c r="AR301" s="285"/>
      <c r="AS301" s="285"/>
      <c r="AT301" s="286"/>
      <c r="AU301" s="285"/>
      <c r="AV301" s="287"/>
      <c r="AW301" s="1081"/>
      <c r="AX301" s="1081"/>
      <c r="AY301" s="1081"/>
      <c r="AZ301" s="1081"/>
      <c r="BA301" s="1081"/>
      <c r="BB301" s="1081"/>
      <c r="BC301" s="1081"/>
      <c r="BD301" s="1081"/>
    </row>
    <row r="302" spans="1:56" s="23" customFormat="1" ht="20.65" hidden="1" customHeight="1" thickBot="1">
      <c r="A302" s="310"/>
      <c r="B302" s="93"/>
      <c r="C302" s="291">
        <f>+C300*0.8</f>
        <v>240000</v>
      </c>
      <c r="D302" s="88" t="s">
        <v>111</v>
      </c>
      <c r="E302" s="1109">
        <f>IF(E301="O/H",E297,0+E297)</f>
        <v>0</v>
      </c>
      <c r="F302" s="1110">
        <f t="shared" ref="F302:AI302" si="703">IF(F301="O/H",F297,+E302+F297)</f>
        <v>0</v>
      </c>
      <c r="G302" s="1212">
        <f t="shared" si="703"/>
        <v>0</v>
      </c>
      <c r="H302" s="1110">
        <f t="shared" si="703"/>
        <v>0</v>
      </c>
      <c r="I302" s="1110">
        <f t="shared" si="703"/>
        <v>0</v>
      </c>
      <c r="J302" s="1212">
        <f t="shared" si="703"/>
        <v>0</v>
      </c>
      <c r="K302" s="1212">
        <f t="shared" si="703"/>
        <v>0</v>
      </c>
      <c r="L302" s="1110">
        <f t="shared" si="703"/>
        <v>0</v>
      </c>
      <c r="M302" s="1110">
        <f t="shared" si="703"/>
        <v>0</v>
      </c>
      <c r="N302" s="1110">
        <f t="shared" si="703"/>
        <v>0</v>
      </c>
      <c r="O302" s="1110">
        <f t="shared" si="703"/>
        <v>0</v>
      </c>
      <c r="P302" s="1110">
        <f t="shared" si="703"/>
        <v>0</v>
      </c>
      <c r="Q302" s="1212">
        <f t="shared" si="703"/>
        <v>0</v>
      </c>
      <c r="R302" s="1212">
        <f t="shared" si="703"/>
        <v>0</v>
      </c>
      <c r="S302" s="1110">
        <f t="shared" si="703"/>
        <v>0</v>
      </c>
      <c r="T302" s="1110">
        <f t="shared" si="703"/>
        <v>0</v>
      </c>
      <c r="U302" s="1110">
        <f t="shared" si="703"/>
        <v>0</v>
      </c>
      <c r="V302" s="1110">
        <f t="shared" si="703"/>
        <v>0</v>
      </c>
      <c r="W302" s="1110">
        <f t="shared" si="703"/>
        <v>0</v>
      </c>
      <c r="X302" s="1212">
        <f t="shared" si="703"/>
        <v>0</v>
      </c>
      <c r="Y302" s="1212">
        <f t="shared" si="703"/>
        <v>0</v>
      </c>
      <c r="Z302" s="1110">
        <f t="shared" si="703"/>
        <v>0</v>
      </c>
      <c r="AA302" s="1110">
        <f t="shared" si="703"/>
        <v>0</v>
      </c>
      <c r="AB302" s="1110">
        <f t="shared" si="703"/>
        <v>0</v>
      </c>
      <c r="AC302" s="1110">
        <f t="shared" si="703"/>
        <v>0</v>
      </c>
      <c r="AD302" s="1110">
        <f t="shared" si="703"/>
        <v>0</v>
      </c>
      <c r="AE302" s="1212">
        <f t="shared" si="703"/>
        <v>0</v>
      </c>
      <c r="AF302" s="1212">
        <f t="shared" si="703"/>
        <v>0</v>
      </c>
      <c r="AG302" s="1110">
        <f t="shared" si="703"/>
        <v>0</v>
      </c>
      <c r="AH302" s="1110">
        <f t="shared" si="703"/>
        <v>0</v>
      </c>
      <c r="AI302" s="1340">
        <f t="shared" si="703"/>
        <v>0</v>
      </c>
      <c r="AJ302" s="96"/>
      <c r="AK302" s="723"/>
      <c r="AL302" s="695"/>
      <c r="AM302" s="961"/>
      <c r="AN302" s="292"/>
      <c r="AO302" s="681"/>
      <c r="AP302" s="285"/>
      <c r="AQ302" s="285"/>
      <c r="AR302" s="285"/>
      <c r="AS302" s="285"/>
      <c r="AT302" s="286"/>
      <c r="AU302" s="285"/>
      <c r="AV302" s="287"/>
      <c r="AW302" s="1081"/>
      <c r="AX302" s="1081"/>
      <c r="AY302" s="1081"/>
      <c r="AZ302" s="1081"/>
      <c r="BA302" s="1081"/>
      <c r="BB302" s="1081"/>
      <c r="BC302" s="1081"/>
      <c r="BD302" s="1081"/>
    </row>
    <row r="303" spans="1:56" s="23" customFormat="1" ht="20.65" hidden="1" customHeight="1" thickTop="1">
      <c r="A303" s="218" t="s">
        <v>705</v>
      </c>
      <c r="B303" s="208" t="s">
        <v>681</v>
      </c>
      <c r="C303" s="42" t="str">
        <f>Table2[[#This Row],[M/C No.]]</f>
        <v>H9(50ton)</v>
      </c>
      <c r="D303" s="28" t="s">
        <v>82</v>
      </c>
      <c r="E303" s="1124"/>
      <c r="F303" s="1124"/>
      <c r="G303" s="1242"/>
      <c r="H303" s="1124"/>
      <c r="I303" s="1124"/>
      <c r="J303" s="1242"/>
      <c r="K303" s="1242"/>
      <c r="L303" s="1124"/>
      <c r="M303" s="1124"/>
      <c r="N303" s="1124"/>
      <c r="O303" s="1124"/>
      <c r="P303" s="1124"/>
      <c r="Q303" s="1242"/>
      <c r="R303" s="1242"/>
      <c r="S303" s="1124"/>
      <c r="T303" s="1124"/>
      <c r="U303" s="1124"/>
      <c r="V303" s="1124"/>
      <c r="W303" s="1124"/>
      <c r="X303" s="1242"/>
      <c r="Y303" s="1242"/>
      <c r="Z303" s="1124"/>
      <c r="AA303" s="1124"/>
      <c r="AB303" s="1124"/>
      <c r="AC303" s="1124"/>
      <c r="AD303" s="1124"/>
      <c r="AE303" s="1242"/>
      <c r="AF303" s="1242"/>
      <c r="AG303" s="1124"/>
      <c r="AH303" s="1124"/>
      <c r="AI303" s="1350">
        <v>0</v>
      </c>
      <c r="AJ303" s="100">
        <f>SUM(E303:AI303)</f>
        <v>0</v>
      </c>
      <c r="AK303" s="1000">
        <f>AJ305</f>
        <v>0</v>
      </c>
      <c r="AL303" s="101">
        <f>+AJ303*AN303</f>
        <v>0</v>
      </c>
      <c r="AM303" s="1019">
        <f>AL305</f>
        <v>0</v>
      </c>
      <c r="AN303" s="273">
        <v>8.0529399999999995</v>
      </c>
      <c r="AO303" s="633">
        <f>Table2[[#This Row],[Total]]*B307/1000</f>
        <v>0</v>
      </c>
      <c r="AP303" s="32" t="s">
        <v>405</v>
      </c>
      <c r="AQ303" s="33" t="s">
        <v>84</v>
      </c>
      <c r="AR303" s="33" t="s">
        <v>85</v>
      </c>
      <c r="AS303" s="33" t="s">
        <v>86</v>
      </c>
      <c r="AT303" s="33" t="s">
        <v>87</v>
      </c>
      <c r="AU303" s="33" t="s">
        <v>88</v>
      </c>
      <c r="AV303" s="34" t="s">
        <v>68</v>
      </c>
      <c r="AW303" s="1081"/>
      <c r="AX303" s="1081"/>
      <c r="AY303" s="1081"/>
      <c r="AZ303" s="1081"/>
      <c r="BA303" s="1081"/>
      <c r="BB303" s="1081"/>
      <c r="BC303" s="1081"/>
      <c r="BD303" s="1081"/>
    </row>
    <row r="304" spans="1:56" s="23" customFormat="1" ht="20.65" hidden="1" customHeight="1">
      <c r="A304" s="274"/>
      <c r="B304" s="89" t="s">
        <v>406</v>
      </c>
      <c r="C304" s="275"/>
      <c r="D304" s="37" t="s">
        <v>90</v>
      </c>
      <c r="E304" s="1323">
        <f>IF(E303="",0,+ E303/E310)</f>
        <v>0</v>
      </c>
      <c r="F304" s="1096">
        <f t="shared" ref="F304:AC304" si="704">IF(F303="",0, E304+F303/F310)</f>
        <v>0</v>
      </c>
      <c r="G304" s="1207">
        <f t="shared" si="704"/>
        <v>0</v>
      </c>
      <c r="H304" s="1096">
        <f t="shared" si="704"/>
        <v>0</v>
      </c>
      <c r="I304" s="1096">
        <f t="shared" si="704"/>
        <v>0</v>
      </c>
      <c r="J304" s="1207">
        <f t="shared" si="704"/>
        <v>0</v>
      </c>
      <c r="K304" s="1207">
        <f t="shared" si="704"/>
        <v>0</v>
      </c>
      <c r="L304" s="1096">
        <f t="shared" si="704"/>
        <v>0</v>
      </c>
      <c r="M304" s="1096">
        <f t="shared" si="704"/>
        <v>0</v>
      </c>
      <c r="N304" s="1096">
        <f t="shared" si="704"/>
        <v>0</v>
      </c>
      <c r="O304" s="1096">
        <f t="shared" si="704"/>
        <v>0</v>
      </c>
      <c r="P304" s="1096">
        <f t="shared" si="704"/>
        <v>0</v>
      </c>
      <c r="Q304" s="1207">
        <f t="shared" si="704"/>
        <v>0</v>
      </c>
      <c r="R304" s="1207">
        <f t="shared" si="704"/>
        <v>0</v>
      </c>
      <c r="S304" s="1096">
        <f t="shared" si="704"/>
        <v>0</v>
      </c>
      <c r="T304" s="1096">
        <f t="shared" si="704"/>
        <v>0</v>
      </c>
      <c r="U304" s="1096">
        <f t="shared" si="704"/>
        <v>0</v>
      </c>
      <c r="V304" s="1096">
        <f t="shared" si="704"/>
        <v>0</v>
      </c>
      <c r="W304" s="1096">
        <f t="shared" si="704"/>
        <v>0</v>
      </c>
      <c r="X304" s="1207">
        <f t="shared" si="704"/>
        <v>0</v>
      </c>
      <c r="Y304" s="1207">
        <f t="shared" si="704"/>
        <v>0</v>
      </c>
      <c r="Z304" s="1096">
        <f t="shared" si="704"/>
        <v>0</v>
      </c>
      <c r="AA304" s="1096">
        <f t="shared" si="704"/>
        <v>0</v>
      </c>
      <c r="AB304" s="1096">
        <f t="shared" si="704"/>
        <v>0</v>
      </c>
      <c r="AC304" s="1096">
        <f t="shared" si="704"/>
        <v>0</v>
      </c>
      <c r="AD304" s="1096">
        <f>IF(AD303="",0, Z304+AD303/AD310)</f>
        <v>0</v>
      </c>
      <c r="AE304" s="1207">
        <f>IF(AE303="",0, AA304+AE303/AE310)</f>
        <v>0</v>
      </c>
      <c r="AF304" s="1207">
        <f>IF(AF303="",0, AB304+AF303/AF310)</f>
        <v>0</v>
      </c>
      <c r="AG304" s="1096">
        <f>IF(AG303="",0, AC304+AG303/AG310)</f>
        <v>0</v>
      </c>
      <c r="AH304" s="1096">
        <f>IF(AH303="",0, AD304+AH303/AH310)</f>
        <v>0</v>
      </c>
      <c r="AI304" s="1324">
        <f>IF(AI303="",0, AH304+AI303/AI310)</f>
        <v>0</v>
      </c>
      <c r="AJ304" s="716"/>
      <c r="AK304" s="716"/>
      <c r="AL304" s="209"/>
      <c r="AM304" s="794"/>
      <c r="AN304" s="91"/>
      <c r="AO304" s="675"/>
      <c r="AP304" s="39" t="s">
        <v>91</v>
      </c>
      <c r="AQ304" s="40">
        <f>SUM(E303:K303)</f>
        <v>0</v>
      </c>
      <c r="AR304" s="41">
        <f>SUM(L303:R303)</f>
        <v>0</v>
      </c>
      <c r="AS304" s="41">
        <f>SUM(S303:Y303)</f>
        <v>0</v>
      </c>
      <c r="AT304" s="41">
        <f>SUM(Z303:AF303)</f>
        <v>0</v>
      </c>
      <c r="AU304" s="41">
        <f>SUM(AG303:AI303)</f>
        <v>0</v>
      </c>
      <c r="AV304" s="34">
        <f t="shared" ref="AV304:AV309" si="705">SUM(AQ304:AU304)</f>
        <v>0</v>
      </c>
      <c r="AW304" s="1081"/>
      <c r="AX304" s="1081"/>
      <c r="AY304" s="1081"/>
      <c r="AZ304" s="1081"/>
      <c r="BA304" s="1081"/>
      <c r="BB304" s="1081"/>
      <c r="BC304" s="1081"/>
      <c r="BD304" s="1081"/>
    </row>
    <row r="305" spans="1:56" s="23" customFormat="1" ht="20.65" hidden="1" customHeight="1">
      <c r="A305" s="321" t="s">
        <v>402</v>
      </c>
      <c r="B305" s="89" t="s">
        <v>246</v>
      </c>
      <c r="C305" s="42"/>
      <c r="D305" s="43" t="s">
        <v>93</v>
      </c>
      <c r="E305" s="1403"/>
      <c r="F305" s="1119"/>
      <c r="G305" s="1243"/>
      <c r="H305" s="1119"/>
      <c r="I305" s="1119"/>
      <c r="J305" s="1243"/>
      <c r="K305" s="1243"/>
      <c r="L305" s="1119"/>
      <c r="M305" s="1119"/>
      <c r="N305" s="1119"/>
      <c r="O305" s="1119"/>
      <c r="P305" s="1119"/>
      <c r="Q305" s="1243"/>
      <c r="R305" s="1243"/>
      <c r="S305" s="1119"/>
      <c r="T305" s="1119"/>
      <c r="U305" s="1119"/>
      <c r="V305" s="1119"/>
      <c r="W305" s="1119"/>
      <c r="X305" s="1243"/>
      <c r="Y305" s="1243"/>
      <c r="Z305" s="1119"/>
      <c r="AA305" s="1119"/>
      <c r="AB305" s="1119"/>
      <c r="AC305" s="1119"/>
      <c r="AD305" s="1119"/>
      <c r="AE305" s="1243"/>
      <c r="AF305" s="1243"/>
      <c r="AG305" s="1119"/>
      <c r="AH305" s="1119"/>
      <c r="AI305" s="1351"/>
      <c r="AJ305" s="45">
        <f>SUM(E305:AI305)</f>
        <v>0</v>
      </c>
      <c r="AK305" s="45"/>
      <c r="AL305" s="46">
        <f>+AJ305*AN303</f>
        <v>0</v>
      </c>
      <c r="AM305" s="934"/>
      <c r="AN305" s="293"/>
      <c r="AO305" s="632">
        <f>(AJ305+AJ307+AJ308+AJ309)*B307/1000</f>
        <v>0</v>
      </c>
      <c r="AP305" s="47" t="s">
        <v>94</v>
      </c>
      <c r="AQ305" s="48">
        <f>SUM(E305:K305)</f>
        <v>0</v>
      </c>
      <c r="AR305" s="49">
        <f>SUM(L305:R305)</f>
        <v>0</v>
      </c>
      <c r="AS305" s="49">
        <f>SUM(S305:Y305)</f>
        <v>0</v>
      </c>
      <c r="AT305" s="49">
        <f>SUM(Z305:AF305)</f>
        <v>0</v>
      </c>
      <c r="AU305" s="49">
        <f>SUM(AG305:AI305)</f>
        <v>0</v>
      </c>
      <c r="AV305" s="50">
        <f t="shared" si="705"/>
        <v>0</v>
      </c>
      <c r="AW305" s="1081"/>
      <c r="AX305" s="1081"/>
      <c r="AY305" s="1081"/>
      <c r="AZ305" s="1081"/>
      <c r="BA305" s="1081"/>
      <c r="BB305" s="1081"/>
      <c r="BC305" s="1081"/>
      <c r="BD305" s="1081"/>
    </row>
    <row r="306" spans="1:56" s="23" customFormat="1" ht="20.65" hidden="1" customHeight="1">
      <c r="A306" s="321" t="s">
        <v>402</v>
      </c>
      <c r="B306" s="763" t="s">
        <v>247</v>
      </c>
      <c r="C306" s="280"/>
      <c r="D306" s="53" t="s">
        <v>96</v>
      </c>
      <c r="E306" s="1137">
        <f t="shared" ref="E306:AJ306" si="706">+E305-E303</f>
        <v>0</v>
      </c>
      <c r="F306" s="1097">
        <f>+F305-F303</f>
        <v>0</v>
      </c>
      <c r="G306" s="1205">
        <f>+G305-G303</f>
        <v>0</v>
      </c>
      <c r="H306" s="1097">
        <f t="shared" si="706"/>
        <v>0</v>
      </c>
      <c r="I306" s="1097">
        <f t="shared" si="706"/>
        <v>0</v>
      </c>
      <c r="J306" s="1205">
        <f t="shared" si="706"/>
        <v>0</v>
      </c>
      <c r="K306" s="1205">
        <f t="shared" si="706"/>
        <v>0</v>
      </c>
      <c r="L306" s="1097">
        <f t="shared" si="706"/>
        <v>0</v>
      </c>
      <c r="M306" s="1097">
        <f t="shared" si="706"/>
        <v>0</v>
      </c>
      <c r="N306" s="1097">
        <f t="shared" si="706"/>
        <v>0</v>
      </c>
      <c r="O306" s="1097">
        <f t="shared" si="706"/>
        <v>0</v>
      </c>
      <c r="P306" s="1097">
        <f>+P305-P303</f>
        <v>0</v>
      </c>
      <c r="Q306" s="1205">
        <f t="shared" si="706"/>
        <v>0</v>
      </c>
      <c r="R306" s="1205">
        <f t="shared" si="706"/>
        <v>0</v>
      </c>
      <c r="S306" s="1097">
        <f t="shared" si="706"/>
        <v>0</v>
      </c>
      <c r="T306" s="1097">
        <f t="shared" si="706"/>
        <v>0</v>
      </c>
      <c r="U306" s="1097">
        <f t="shared" si="706"/>
        <v>0</v>
      </c>
      <c r="V306" s="1097">
        <f t="shared" si="706"/>
        <v>0</v>
      </c>
      <c r="W306" s="1097">
        <f t="shared" si="706"/>
        <v>0</v>
      </c>
      <c r="X306" s="1205">
        <f t="shared" si="706"/>
        <v>0</v>
      </c>
      <c r="Y306" s="1205">
        <f t="shared" si="706"/>
        <v>0</v>
      </c>
      <c r="Z306" s="1097">
        <f t="shared" si="706"/>
        <v>0</v>
      </c>
      <c r="AA306" s="1097">
        <f t="shared" si="706"/>
        <v>0</v>
      </c>
      <c r="AB306" s="1097">
        <f t="shared" ref="AB306" si="707">+AB305-AB303</f>
        <v>0</v>
      </c>
      <c r="AC306" s="1097">
        <f>+AC305-AC303</f>
        <v>0</v>
      </c>
      <c r="AD306" s="1097">
        <f>+AD305-AD303</f>
        <v>0</v>
      </c>
      <c r="AE306" s="1205">
        <f>+AE305-AE303</f>
        <v>0</v>
      </c>
      <c r="AF306" s="1205">
        <f>+AF305-AF303</f>
        <v>0</v>
      </c>
      <c r="AG306" s="1097">
        <f t="shared" si="706"/>
        <v>0</v>
      </c>
      <c r="AH306" s="1097">
        <f t="shared" si="706"/>
        <v>0</v>
      </c>
      <c r="AI306" s="1328">
        <f t="shared" si="706"/>
        <v>0</v>
      </c>
      <c r="AJ306" s="79">
        <f t="shared" si="706"/>
        <v>0</v>
      </c>
      <c r="AK306" s="79"/>
      <c r="AL306" s="55">
        <f>+AJ306*AN303</f>
        <v>0</v>
      </c>
      <c r="AM306" s="935"/>
      <c r="AN306" s="293" t="s">
        <v>97</v>
      </c>
      <c r="AO306" s="622"/>
      <c r="AP306" s="39" t="s">
        <v>98</v>
      </c>
      <c r="AQ306" s="56">
        <f>AQ305-AQ304</f>
        <v>0</v>
      </c>
      <c r="AR306" s="70">
        <f>AR305-AR304</f>
        <v>0</v>
      </c>
      <c r="AS306" s="70">
        <f>AS305-AS304</f>
        <v>0</v>
      </c>
      <c r="AT306" s="70">
        <f>AT305-AT304</f>
        <v>0</v>
      </c>
      <c r="AU306" s="70">
        <f>AU305-AU304</f>
        <v>0</v>
      </c>
      <c r="AV306" s="57">
        <f t="shared" si="705"/>
        <v>0</v>
      </c>
      <c r="AW306" s="1081"/>
      <c r="AX306" s="1081"/>
      <c r="AY306" s="1081"/>
      <c r="AZ306" s="1081"/>
      <c r="BA306" s="1081"/>
      <c r="BB306" s="1081"/>
      <c r="BC306" s="1081"/>
      <c r="BD306" s="1081"/>
    </row>
    <row r="307" spans="1:56" s="23" customFormat="1" ht="20.65" hidden="1" customHeight="1">
      <c r="A307" s="321" t="s">
        <v>403</v>
      </c>
      <c r="B307" s="764">
        <v>3.3027500000000001</v>
      </c>
      <c r="C307" s="305"/>
      <c r="D307" s="61" t="s">
        <v>101</v>
      </c>
      <c r="E307" s="1098"/>
      <c r="F307" s="1099"/>
      <c r="G307" s="1208"/>
      <c r="H307" s="1099"/>
      <c r="I307" s="1099"/>
      <c r="J307" s="1208"/>
      <c r="K307" s="1208"/>
      <c r="L307" s="1099"/>
      <c r="M307" s="1099"/>
      <c r="N307" s="1099"/>
      <c r="O307" s="1099"/>
      <c r="P307" s="1099"/>
      <c r="Q307" s="1208"/>
      <c r="R307" s="1208"/>
      <c r="S307" s="1099"/>
      <c r="T307" s="1099"/>
      <c r="U307" s="1099"/>
      <c r="V307" s="1099"/>
      <c r="W307" s="1099"/>
      <c r="X307" s="1208"/>
      <c r="Y307" s="1208"/>
      <c r="Z307" s="1099"/>
      <c r="AA307" s="1099"/>
      <c r="AB307" s="1099"/>
      <c r="AC307" s="1099"/>
      <c r="AD307" s="1099"/>
      <c r="AE307" s="1208"/>
      <c r="AF307" s="1208"/>
      <c r="AG307" s="1099"/>
      <c r="AH307" s="1099"/>
      <c r="AI307" s="1330"/>
      <c r="AJ307" s="62">
        <f>SUM(E307:AI307)</f>
        <v>0</v>
      </c>
      <c r="AK307" s="62"/>
      <c r="AL307" s="63">
        <f>+AJ307*AN303</f>
        <v>0</v>
      </c>
      <c r="AM307" s="936"/>
      <c r="AN307" s="282" t="e">
        <f>+AJ307/AJ305</f>
        <v>#DIV/0!</v>
      </c>
      <c r="AO307" s="635" t="e">
        <f>AO305/AO303</f>
        <v>#DIV/0!</v>
      </c>
      <c r="AP307" s="39" t="s">
        <v>102</v>
      </c>
      <c r="AQ307" s="56">
        <f>SUM(E307:K307)</f>
        <v>0</v>
      </c>
      <c r="AR307" s="70">
        <f>SUM(L307:R307)</f>
        <v>0</v>
      </c>
      <c r="AS307" s="70">
        <f>SUM(S307:Y307)</f>
        <v>0</v>
      </c>
      <c r="AT307" s="70">
        <f>SUM(Z307:AF307)</f>
        <v>0</v>
      </c>
      <c r="AU307" s="70">
        <f>SUM(AG307:AI307)</f>
        <v>0</v>
      </c>
      <c r="AV307" s="57">
        <f t="shared" si="705"/>
        <v>0</v>
      </c>
      <c r="AW307" s="1081"/>
      <c r="AX307" s="1081"/>
      <c r="AY307" s="1081"/>
      <c r="AZ307" s="1081"/>
      <c r="BA307" s="1081"/>
      <c r="BB307" s="1081"/>
      <c r="BC307" s="1081"/>
      <c r="BD307" s="1081"/>
    </row>
    <row r="308" spans="1:56" s="23" customFormat="1" ht="20.65" hidden="1" customHeight="1">
      <c r="A308" s="219"/>
      <c r="B308" s="334" t="s">
        <v>390</v>
      </c>
      <c r="C308" s="52" t="s">
        <v>95</v>
      </c>
      <c r="D308" s="67" t="s">
        <v>103</v>
      </c>
      <c r="E308" s="1113"/>
      <c r="F308" s="1114"/>
      <c r="G308" s="1214"/>
      <c r="H308" s="1114"/>
      <c r="I308" s="1114"/>
      <c r="J308" s="1214"/>
      <c r="K308" s="1214"/>
      <c r="L308" s="1114"/>
      <c r="M308" s="1114"/>
      <c r="N308" s="1114"/>
      <c r="O308" s="1114"/>
      <c r="P308" s="1114"/>
      <c r="Q308" s="1214"/>
      <c r="R308" s="1214"/>
      <c r="S308" s="1114"/>
      <c r="T308" s="1114"/>
      <c r="U308" s="1114"/>
      <c r="V308" s="1114"/>
      <c r="W308" s="1114"/>
      <c r="X308" s="1214"/>
      <c r="Y308" s="1214"/>
      <c r="Z308" s="1114"/>
      <c r="AA308" s="1114"/>
      <c r="AB308" s="1114"/>
      <c r="AC308" s="1114"/>
      <c r="AD308" s="1114"/>
      <c r="AE308" s="1214"/>
      <c r="AF308" s="1214"/>
      <c r="AG308" s="1114"/>
      <c r="AH308" s="1114"/>
      <c r="AI308" s="1411"/>
      <c r="AJ308" s="719">
        <f>SUM(E308:AI308)</f>
        <v>0</v>
      </c>
      <c r="AK308" s="719"/>
      <c r="AL308" s="69">
        <f>+AJ308*AN303</f>
        <v>0</v>
      </c>
      <c r="AM308" s="937"/>
      <c r="AN308" s="293"/>
      <c r="AO308" s="678"/>
      <c r="AP308" s="39" t="s">
        <v>19</v>
      </c>
      <c r="AQ308" s="56">
        <f>AQ307*AN303</f>
        <v>0</v>
      </c>
      <c r="AR308" s="56">
        <f>AR307*AN303</f>
        <v>0</v>
      </c>
      <c r="AS308" s="56">
        <f>AS307*AN303</f>
        <v>0</v>
      </c>
      <c r="AT308" s="56">
        <f>AT307*AN303</f>
        <v>0</v>
      </c>
      <c r="AU308" s="56">
        <f>AU307*AN303</f>
        <v>0</v>
      </c>
      <c r="AV308" s="57">
        <f t="shared" si="705"/>
        <v>0</v>
      </c>
      <c r="AW308" s="1081"/>
      <c r="AX308" s="1081"/>
      <c r="AY308" s="1081"/>
      <c r="AZ308" s="1081"/>
      <c r="BA308" s="1081"/>
      <c r="BB308" s="1081"/>
      <c r="BC308" s="1081"/>
      <c r="BD308" s="1081"/>
    </row>
    <row r="309" spans="1:56" s="23" customFormat="1" ht="20.65" hidden="1" customHeight="1">
      <c r="A309" s="274"/>
      <c r="B309" s="89"/>
      <c r="C309" s="306" t="s">
        <v>387</v>
      </c>
      <c r="D309" s="73" t="s">
        <v>105</v>
      </c>
      <c r="E309" s="1102"/>
      <c r="F309" s="1103"/>
      <c r="G309" s="1210"/>
      <c r="H309" s="1103"/>
      <c r="I309" s="1103"/>
      <c r="J309" s="1210"/>
      <c r="K309" s="1210"/>
      <c r="L309" s="1103"/>
      <c r="M309" s="1103"/>
      <c r="N309" s="1103"/>
      <c r="O309" s="1103"/>
      <c r="P309" s="1103"/>
      <c r="Q309" s="1210"/>
      <c r="R309" s="1210"/>
      <c r="S309" s="1103"/>
      <c r="T309" s="1103"/>
      <c r="U309" s="1103"/>
      <c r="V309" s="1103"/>
      <c r="W309" s="1103"/>
      <c r="X309" s="1210"/>
      <c r="Y309" s="1210"/>
      <c r="Z309" s="1103"/>
      <c r="AA309" s="1103"/>
      <c r="AB309" s="1103"/>
      <c r="AC309" s="1103"/>
      <c r="AD309" s="1103"/>
      <c r="AE309" s="1210"/>
      <c r="AF309" s="1210"/>
      <c r="AG309" s="1103"/>
      <c r="AH309" s="1103"/>
      <c r="AI309" s="1352"/>
      <c r="AJ309" s="74">
        <f>SUM(E309:AI309)</f>
        <v>0</v>
      </c>
      <c r="AK309" s="74"/>
      <c r="AL309" s="75">
        <f>+AJ309*AN303</f>
        <v>0</v>
      </c>
      <c r="AM309" s="938"/>
      <c r="AN309" s="294"/>
      <c r="AO309" s="682"/>
      <c r="AP309" s="47" t="s">
        <v>106</v>
      </c>
      <c r="AQ309" s="48">
        <f>AQ305*AN303</f>
        <v>0</v>
      </c>
      <c r="AR309" s="48">
        <f>AR305*AN303</f>
        <v>0</v>
      </c>
      <c r="AS309" s="48">
        <f>AS305*AN303</f>
        <v>0</v>
      </c>
      <c r="AT309" s="48">
        <f>AT305*AN303</f>
        <v>0</v>
      </c>
      <c r="AU309" s="48">
        <f>AU305*AN303</f>
        <v>0</v>
      </c>
      <c r="AV309" s="50">
        <f t="shared" si="705"/>
        <v>0</v>
      </c>
      <c r="AW309" s="1081"/>
      <c r="AX309" s="1081"/>
      <c r="AY309" s="1081"/>
      <c r="AZ309" s="1081"/>
      <c r="BA309" s="1081"/>
      <c r="BB309" s="1081"/>
      <c r="BC309" s="1081"/>
      <c r="BD309" s="1081"/>
    </row>
    <row r="310" spans="1:56" s="23" customFormat="1" ht="20.65" hidden="1" customHeight="1">
      <c r="A310" s="321" t="s">
        <v>403</v>
      </c>
      <c r="B310" s="89"/>
      <c r="C310" s="307"/>
      <c r="D310" s="78" t="s">
        <v>107</v>
      </c>
      <c r="E310" s="1137">
        <v>4</v>
      </c>
      <c r="F310" s="1097">
        <v>4</v>
      </c>
      <c r="G310" s="1205">
        <v>4</v>
      </c>
      <c r="H310" s="1097">
        <v>4</v>
      </c>
      <c r="I310" s="1097">
        <v>4</v>
      </c>
      <c r="J310" s="1205">
        <v>4</v>
      </c>
      <c r="K310" s="1205">
        <v>4</v>
      </c>
      <c r="L310" s="1097">
        <v>4</v>
      </c>
      <c r="M310" s="1097">
        <v>4</v>
      </c>
      <c r="N310" s="1097">
        <v>4</v>
      </c>
      <c r="O310" s="1097">
        <v>4</v>
      </c>
      <c r="P310" s="1097">
        <v>4</v>
      </c>
      <c r="Q310" s="1205">
        <v>4</v>
      </c>
      <c r="R310" s="1205">
        <v>4</v>
      </c>
      <c r="S310" s="1097">
        <v>4</v>
      </c>
      <c r="T310" s="1097">
        <v>4</v>
      </c>
      <c r="U310" s="1097">
        <v>4</v>
      </c>
      <c r="V310" s="1097">
        <v>4</v>
      </c>
      <c r="W310" s="1097">
        <v>4</v>
      </c>
      <c r="X310" s="1205">
        <v>4</v>
      </c>
      <c r="Y310" s="1205">
        <v>4</v>
      </c>
      <c r="Z310" s="1097">
        <v>4</v>
      </c>
      <c r="AA310" s="1097">
        <v>4</v>
      </c>
      <c r="AB310" s="1097">
        <v>4</v>
      </c>
      <c r="AC310" s="1097">
        <v>4</v>
      </c>
      <c r="AD310" s="1097">
        <v>4</v>
      </c>
      <c r="AE310" s="1205">
        <v>4</v>
      </c>
      <c r="AF310" s="1205">
        <v>4</v>
      </c>
      <c r="AG310" s="1097">
        <v>4</v>
      </c>
      <c r="AH310" s="1097">
        <v>4</v>
      </c>
      <c r="AI310" s="1328">
        <v>4</v>
      </c>
      <c r="AJ310" s="79"/>
      <c r="AK310" s="79"/>
      <c r="AL310" s="69"/>
      <c r="AM310" s="937"/>
      <c r="AN310" s="293"/>
      <c r="AO310" s="678"/>
      <c r="AP310" s="47"/>
      <c r="AQ310" s="48"/>
      <c r="AR310" s="48"/>
      <c r="AS310" s="48"/>
      <c r="AT310" s="48"/>
      <c r="AU310" s="48"/>
      <c r="AV310" s="284"/>
      <c r="AW310" s="1081"/>
      <c r="AX310" s="1081"/>
      <c r="AY310" s="1081"/>
      <c r="AZ310" s="1081"/>
      <c r="BA310" s="1081"/>
      <c r="BB310" s="1081"/>
      <c r="BC310" s="1081"/>
      <c r="BD310" s="1081"/>
    </row>
    <row r="311" spans="1:56" s="23" customFormat="1" ht="20.65" hidden="1" customHeight="1">
      <c r="A311" s="321" t="s">
        <v>403</v>
      </c>
      <c r="B311" s="89"/>
      <c r="C311" s="305"/>
      <c r="D311" s="81" t="s">
        <v>109</v>
      </c>
      <c r="E311" s="1125">
        <f>SUM(E305+E307+E308+E309)/E310</f>
        <v>0</v>
      </c>
      <c r="F311" s="1126">
        <f>SUM(F305+F307+F308+F309)/F310</f>
        <v>0</v>
      </c>
      <c r="G311" s="1235">
        <f t="shared" ref="G311:AI311" si="708">SUM(G305+G307+G308+G309)/G310</f>
        <v>0</v>
      </c>
      <c r="H311" s="1126">
        <f t="shared" si="708"/>
        <v>0</v>
      </c>
      <c r="I311" s="1126">
        <f t="shared" si="708"/>
        <v>0</v>
      </c>
      <c r="J311" s="1235">
        <f t="shared" si="708"/>
        <v>0</v>
      </c>
      <c r="K311" s="1235">
        <f t="shared" si="708"/>
        <v>0</v>
      </c>
      <c r="L311" s="1126">
        <f t="shared" si="708"/>
        <v>0</v>
      </c>
      <c r="M311" s="1126">
        <f t="shared" si="708"/>
        <v>0</v>
      </c>
      <c r="N311" s="1126">
        <f t="shared" si="708"/>
        <v>0</v>
      </c>
      <c r="O311" s="1126">
        <f t="shared" si="708"/>
        <v>0</v>
      </c>
      <c r="P311" s="1126">
        <f t="shared" si="708"/>
        <v>0</v>
      </c>
      <c r="Q311" s="1235">
        <f t="shared" si="708"/>
        <v>0</v>
      </c>
      <c r="R311" s="1235">
        <f t="shared" si="708"/>
        <v>0</v>
      </c>
      <c r="S311" s="1126">
        <f t="shared" si="708"/>
        <v>0</v>
      </c>
      <c r="T311" s="1126">
        <f t="shared" si="708"/>
        <v>0</v>
      </c>
      <c r="U311" s="1126">
        <f t="shared" si="708"/>
        <v>0</v>
      </c>
      <c r="V311" s="1126">
        <f t="shared" si="708"/>
        <v>0</v>
      </c>
      <c r="W311" s="1126">
        <f t="shared" si="708"/>
        <v>0</v>
      </c>
      <c r="X311" s="1235">
        <f t="shared" si="708"/>
        <v>0</v>
      </c>
      <c r="Y311" s="1235">
        <f t="shared" si="708"/>
        <v>0</v>
      </c>
      <c r="Z311" s="1126">
        <f t="shared" si="708"/>
        <v>0</v>
      </c>
      <c r="AA311" s="1126">
        <f t="shared" si="708"/>
        <v>0</v>
      </c>
      <c r="AB311" s="1126">
        <f t="shared" si="708"/>
        <v>0</v>
      </c>
      <c r="AC311" s="1126">
        <f t="shared" si="708"/>
        <v>0</v>
      </c>
      <c r="AD311" s="1126">
        <f t="shared" si="708"/>
        <v>0</v>
      </c>
      <c r="AE311" s="1235">
        <f t="shared" si="708"/>
        <v>0</v>
      </c>
      <c r="AF311" s="1235">
        <f t="shared" si="708"/>
        <v>0</v>
      </c>
      <c r="AG311" s="1126">
        <f t="shared" si="708"/>
        <v>0</v>
      </c>
      <c r="AH311" s="1126">
        <f t="shared" si="708"/>
        <v>0</v>
      </c>
      <c r="AI311" s="1335">
        <f t="shared" si="708"/>
        <v>0</v>
      </c>
      <c r="AJ311" s="515">
        <f>SUM(E311:AI311)</f>
        <v>0</v>
      </c>
      <c r="AK311" s="515"/>
      <c r="AL311" s="689"/>
      <c r="AM311" s="940"/>
      <c r="AN311" s="293"/>
      <c r="AO311" s="678"/>
      <c r="AP311" s="285"/>
      <c r="AQ311" s="285"/>
      <c r="AR311" s="285"/>
      <c r="AS311" s="285"/>
      <c r="AT311" s="286"/>
      <c r="AU311" s="285"/>
      <c r="AV311" s="287"/>
      <c r="AW311" s="1081"/>
      <c r="AX311" s="1081"/>
      <c r="AY311" s="1081"/>
      <c r="AZ311" s="1081"/>
      <c r="BA311" s="1081"/>
      <c r="BB311" s="1081"/>
      <c r="BC311" s="1081"/>
      <c r="BD311" s="1081"/>
    </row>
    <row r="312" spans="1:56" s="23" customFormat="1" ht="20.65" hidden="1" customHeight="1">
      <c r="A312" s="321" t="s">
        <v>403</v>
      </c>
      <c r="B312" s="89"/>
      <c r="C312" s="72"/>
      <c r="D312" s="85" t="s">
        <v>110</v>
      </c>
      <c r="E312" s="1105"/>
      <c r="F312" s="1106"/>
      <c r="G312" s="1228"/>
      <c r="H312" s="1104"/>
      <c r="I312" s="1104"/>
      <c r="J312" s="1211"/>
      <c r="K312" s="1211"/>
      <c r="L312" s="1107"/>
      <c r="M312" s="1107"/>
      <c r="N312" s="1104"/>
      <c r="O312" s="1104"/>
      <c r="P312" s="1104"/>
      <c r="Q312" s="1228"/>
      <c r="R312" s="1211"/>
      <c r="S312" s="1104"/>
      <c r="T312" s="1104"/>
      <c r="U312" s="1107"/>
      <c r="V312" s="1104"/>
      <c r="W312" s="1104"/>
      <c r="X312" s="1211"/>
      <c r="Y312" s="1211"/>
      <c r="Z312" s="1104"/>
      <c r="AA312" s="1104"/>
      <c r="AB312" s="1104"/>
      <c r="AC312" s="1104"/>
      <c r="AD312" s="1104"/>
      <c r="AE312" s="1211"/>
      <c r="AF312" s="1211"/>
      <c r="AG312" s="1104"/>
      <c r="AH312" s="1104"/>
      <c r="AI312" s="1353"/>
      <c r="AJ312" s="86"/>
      <c r="AK312" s="86"/>
      <c r="AL312" s="690"/>
      <c r="AM312" s="940"/>
      <c r="AN312" s="293"/>
      <c r="AO312" s="678"/>
      <c r="AP312" s="285"/>
      <c r="AQ312" s="285"/>
      <c r="AR312" s="285"/>
      <c r="AS312" s="285"/>
      <c r="AT312" s="286"/>
      <c r="AU312" s="285"/>
      <c r="AV312" s="287"/>
      <c r="AW312" s="1081"/>
      <c r="AX312" s="1081"/>
      <c r="AY312" s="1081"/>
      <c r="AZ312" s="1081"/>
      <c r="BA312" s="1081"/>
      <c r="BB312" s="1081"/>
      <c r="BC312" s="1081"/>
      <c r="BD312" s="1081"/>
    </row>
    <row r="313" spans="1:56" s="23" customFormat="1" ht="20.65" hidden="1" customHeight="1">
      <c r="A313" s="321" t="s">
        <v>403</v>
      </c>
      <c r="B313" s="89" t="s">
        <v>550</v>
      </c>
      <c r="C313" s="72" t="s">
        <v>104</v>
      </c>
      <c r="D313" s="88" t="s">
        <v>111</v>
      </c>
      <c r="E313" s="1108">
        <f>IF(E312="O/H",E311,0+E311)</f>
        <v>0</v>
      </c>
      <c r="F313" s="1089">
        <f t="shared" ref="F313:AI313" si="709">IF(F312="O/H",F311,+E313+F311)</f>
        <v>0</v>
      </c>
      <c r="G313" s="44">
        <f t="shared" si="709"/>
        <v>0</v>
      </c>
      <c r="H313" s="1089">
        <f t="shared" si="709"/>
        <v>0</v>
      </c>
      <c r="I313" s="1089">
        <f t="shared" si="709"/>
        <v>0</v>
      </c>
      <c r="J313" s="44">
        <f t="shared" si="709"/>
        <v>0</v>
      </c>
      <c r="K313" s="44">
        <f t="shared" si="709"/>
        <v>0</v>
      </c>
      <c r="L313" s="1089">
        <f t="shared" si="709"/>
        <v>0</v>
      </c>
      <c r="M313" s="1089">
        <f t="shared" si="709"/>
        <v>0</v>
      </c>
      <c r="N313" s="1089">
        <f t="shared" si="709"/>
        <v>0</v>
      </c>
      <c r="O313" s="1089">
        <f t="shared" si="709"/>
        <v>0</v>
      </c>
      <c r="P313" s="1089">
        <f t="shared" si="709"/>
        <v>0</v>
      </c>
      <c r="Q313" s="44">
        <f t="shared" si="709"/>
        <v>0</v>
      </c>
      <c r="R313" s="44">
        <f t="shared" si="709"/>
        <v>0</v>
      </c>
      <c r="S313" s="1089">
        <f t="shared" si="709"/>
        <v>0</v>
      </c>
      <c r="T313" s="1089">
        <f t="shared" si="709"/>
        <v>0</v>
      </c>
      <c r="U313" s="1089">
        <f t="shared" si="709"/>
        <v>0</v>
      </c>
      <c r="V313" s="1089">
        <f t="shared" si="709"/>
        <v>0</v>
      </c>
      <c r="W313" s="1089">
        <f t="shared" si="709"/>
        <v>0</v>
      </c>
      <c r="X313" s="44">
        <f t="shared" si="709"/>
        <v>0</v>
      </c>
      <c r="Y313" s="44">
        <f t="shared" si="709"/>
        <v>0</v>
      </c>
      <c r="Z313" s="1089">
        <f t="shared" si="709"/>
        <v>0</v>
      </c>
      <c r="AA313" s="1089">
        <f t="shared" si="709"/>
        <v>0</v>
      </c>
      <c r="AB313" s="1089">
        <f t="shared" si="709"/>
        <v>0</v>
      </c>
      <c r="AC313" s="1089">
        <f t="shared" si="709"/>
        <v>0</v>
      </c>
      <c r="AD313" s="1089">
        <f t="shared" si="709"/>
        <v>0</v>
      </c>
      <c r="AE313" s="44">
        <f t="shared" si="709"/>
        <v>0</v>
      </c>
      <c r="AF313" s="44">
        <f t="shared" si="709"/>
        <v>0</v>
      </c>
      <c r="AG313" s="1089">
        <f t="shared" si="709"/>
        <v>0</v>
      </c>
      <c r="AH313" s="1089">
        <f t="shared" si="709"/>
        <v>0</v>
      </c>
      <c r="AI313" s="1326">
        <f t="shared" si="709"/>
        <v>0</v>
      </c>
      <c r="AJ313" s="79"/>
      <c r="AK313" s="79"/>
      <c r="AL313" s="690"/>
      <c r="AM313" s="940"/>
      <c r="AN313" s="277"/>
      <c r="AO313" s="679"/>
      <c r="AP313" s="285"/>
      <c r="AQ313" s="285"/>
      <c r="AR313" s="285"/>
      <c r="AS313" s="285"/>
      <c r="AT313" s="286"/>
      <c r="AU313" s="285"/>
      <c r="AV313" s="287"/>
      <c r="AW313" s="1081"/>
      <c r="AX313" s="1081"/>
      <c r="AY313" s="1081"/>
      <c r="AZ313" s="1081"/>
      <c r="BA313" s="1081"/>
      <c r="BB313" s="1081"/>
      <c r="BC313" s="1081"/>
      <c r="BD313" s="1081"/>
    </row>
    <row r="314" spans="1:56" s="23" customFormat="1" ht="20.45" hidden="1" customHeight="1">
      <c r="A314" s="312"/>
      <c r="B314" s="312"/>
      <c r="C314" s="308">
        <v>300000</v>
      </c>
      <c r="D314" s="795" t="s">
        <v>112</v>
      </c>
      <c r="E314" s="1108" t="b">
        <f>IF(AND(ISNUMBER(E305)),2402913+E311)</f>
        <v>0</v>
      </c>
      <c r="F314" s="1089" t="str">
        <f>IF(AND(ISNUMBER(F305)),E314+F311,"")</f>
        <v/>
      </c>
      <c r="G314" s="44" t="str">
        <f t="shared" ref="G314" si="710">IF(AND(ISNUMBER(G305)),F314+G311,"")</f>
        <v/>
      </c>
      <c r="H314" s="1089" t="str">
        <f t="shared" ref="H314" si="711">IF(AND(ISNUMBER(H305)),G314+H311,"")</f>
        <v/>
      </c>
      <c r="I314" s="1089" t="str">
        <f>IF(AND(ISNUMBER(I305)),H314+I311,"")</f>
        <v/>
      </c>
      <c r="J314" s="44" t="str">
        <f>IF(AND(ISNUMBER(J305)),I314+J311,"")</f>
        <v/>
      </c>
      <c r="K314" s="44" t="str">
        <f>IF(AND(ISNUMBER(K305)),J314+K311,"")</f>
        <v/>
      </c>
      <c r="L314" s="1089" t="str">
        <f t="shared" ref="L314" si="712">IF(AND(ISNUMBER(L305)),K314+L311,"")</f>
        <v/>
      </c>
      <c r="M314" s="1089" t="str">
        <f t="shared" ref="M314" si="713">IF(AND(ISNUMBER(M305)),L314+M311,"")</f>
        <v/>
      </c>
      <c r="N314" s="1089" t="str">
        <f t="shared" ref="N314" si="714">IF(AND(ISNUMBER(N305)),M314+N311,"")</f>
        <v/>
      </c>
      <c r="O314" s="1089" t="str">
        <f t="shared" ref="O314" si="715">IF(AND(ISNUMBER(O305)),N314+O311,"")</f>
        <v/>
      </c>
      <c r="P314" s="1089" t="str">
        <f t="shared" ref="P314" si="716">IF(AND(ISNUMBER(P305)),O314+P311,"")</f>
        <v/>
      </c>
      <c r="Q314" s="44" t="str">
        <f t="shared" ref="Q314" si="717">IF(AND(ISNUMBER(Q305)),P314+Q311,"")</f>
        <v/>
      </c>
      <c r="R314" s="44" t="str">
        <f t="shared" ref="R314" si="718">IF(AND(ISNUMBER(R305)),Q314+R311,"")</f>
        <v/>
      </c>
      <c r="S314" s="1089" t="str">
        <f t="shared" ref="S314" si="719">IF(AND(ISNUMBER(S305)),R314+S311,"")</f>
        <v/>
      </c>
      <c r="T314" s="1089" t="str">
        <f t="shared" ref="T314" si="720">IF(AND(ISNUMBER(T305)),S314+T311,"")</f>
        <v/>
      </c>
      <c r="U314" s="1089" t="str">
        <f t="shared" ref="U314" si="721">IF(AND(ISNUMBER(U305)),T314+U311,"")</f>
        <v/>
      </c>
      <c r="V314" s="1089" t="str">
        <f t="shared" ref="V314" si="722">IF(AND(ISNUMBER(V305)),U314+V311,"")</f>
        <v/>
      </c>
      <c r="W314" s="1089" t="str">
        <f t="shared" ref="W314" si="723">IF(AND(ISNUMBER(W305)),V314+W311,"")</f>
        <v/>
      </c>
      <c r="X314" s="44" t="str">
        <f t="shared" ref="X314" si="724">IF(AND(ISNUMBER(X305)),W314+X311,"")</f>
        <v/>
      </c>
      <c r="Y314" s="44" t="str">
        <f t="shared" ref="Y314" si="725">IF(AND(ISNUMBER(Y305)),X314+Y311,"")</f>
        <v/>
      </c>
      <c r="Z314" s="1089" t="str">
        <f t="shared" ref="Z314" si="726">IF(AND(ISNUMBER(Z305)),Y314+Z311,"")</f>
        <v/>
      </c>
      <c r="AA314" s="1089" t="str">
        <f t="shared" ref="AA314" si="727">IF(AND(ISNUMBER(AA305)),Z314+AA311,"")</f>
        <v/>
      </c>
      <c r="AB314" s="1089" t="str">
        <f t="shared" ref="AB314" si="728">IF(AND(ISNUMBER(AB305)),AA314+AB311,"")</f>
        <v/>
      </c>
      <c r="AC314" s="1089" t="str">
        <f t="shared" ref="AC314" si="729">IF(AND(ISNUMBER(AC305)),AB314+AC311,"")</f>
        <v/>
      </c>
      <c r="AD314" s="1089" t="str">
        <f t="shared" ref="AD314" si="730">IF(AND(ISNUMBER(AD305)),AC314+AD311,"")</f>
        <v/>
      </c>
      <c r="AE314" s="44" t="str">
        <f t="shared" ref="AE314" si="731">IF(AND(ISNUMBER(AE305)),AD314+AE311,"")</f>
        <v/>
      </c>
      <c r="AF314" s="44" t="str">
        <f t="shared" ref="AF314" si="732">IF(AND(ISNUMBER(AF305)),AE314+AF311,"")</f>
        <v/>
      </c>
      <c r="AG314" s="1089" t="str">
        <f t="shared" ref="AG314" si="733">IF(AND(ISNUMBER(AG305)),AF314+AG311,"")</f>
        <v/>
      </c>
      <c r="AH314" s="1089" t="str">
        <f t="shared" ref="AH314" si="734">IF(AND(ISNUMBER(AH305)),AG314+AH311,"")</f>
        <v/>
      </c>
      <c r="AI314" s="1089" t="str">
        <f t="shared" ref="AI314" si="735">IF(AND(ISNUMBER(AI305)),AH314+AI311,"")</f>
        <v/>
      </c>
      <c r="AJ314" s="793"/>
      <c r="AK314" s="793"/>
      <c r="AL314" s="909"/>
      <c r="AM314" s="794"/>
      <c r="AN314" s="429"/>
      <c r="AO314" s="675"/>
      <c r="AP314" s="285"/>
      <c r="AQ314" s="285"/>
      <c r="AR314" s="285"/>
      <c r="AS314" s="285"/>
      <c r="AT314" s="286"/>
      <c r="AU314" s="285"/>
      <c r="AV314" s="287"/>
      <c r="AW314" s="1081"/>
      <c r="AX314" s="1081"/>
      <c r="AY314" s="1081"/>
      <c r="AZ314" s="1081"/>
      <c r="BA314" s="1081"/>
      <c r="BB314" s="1081"/>
      <c r="BC314" s="1081"/>
      <c r="BD314" s="1081"/>
    </row>
    <row r="315" spans="1:56" s="23" customFormat="1" ht="20.65" hidden="1" customHeight="1">
      <c r="A315" s="321"/>
      <c r="B315" s="89"/>
      <c r="C315" s="80" t="s">
        <v>108</v>
      </c>
      <c r="D315" s="90" t="s">
        <v>104</v>
      </c>
      <c r="E315" s="1415"/>
      <c r="F315" s="1141"/>
      <c r="G315" s="1272"/>
      <c r="H315" s="1141"/>
      <c r="I315" s="1141"/>
      <c r="J315" s="1272"/>
      <c r="K315" s="1272"/>
      <c r="L315" s="1141"/>
      <c r="M315" s="1141"/>
      <c r="N315" s="1141"/>
      <c r="O315" s="1141"/>
      <c r="P315" s="1141"/>
      <c r="Q315" s="1271"/>
      <c r="R315" s="1272"/>
      <c r="S315" s="1141"/>
      <c r="T315" s="1141"/>
      <c r="U315" s="1141"/>
      <c r="V315" s="1141"/>
      <c r="W315" s="1141"/>
      <c r="X315" s="1272"/>
      <c r="Y315" s="1272"/>
      <c r="Z315" s="1141"/>
      <c r="AA315" s="1141"/>
      <c r="AB315" s="1141"/>
      <c r="AC315" s="1141"/>
      <c r="AD315" s="1141"/>
      <c r="AE315" s="1272"/>
      <c r="AF315" s="1272"/>
      <c r="AG315" s="1141"/>
      <c r="AH315" s="1141"/>
      <c r="AI315" s="1416"/>
      <c r="AJ315" s="79"/>
      <c r="AK315" s="79"/>
      <c r="AL315" s="690"/>
      <c r="AM315" s="940"/>
      <c r="AN315" s="301"/>
      <c r="AO315" s="680"/>
      <c r="AP315" s="285"/>
      <c r="AQ315" s="285"/>
      <c r="AR315" s="285"/>
      <c r="AS315" s="285"/>
      <c r="AT315" s="286"/>
      <c r="AU315" s="285"/>
      <c r="AV315" s="287"/>
      <c r="AW315" s="1081"/>
      <c r="AX315" s="1081"/>
      <c r="AY315" s="1081"/>
      <c r="AZ315" s="1081"/>
      <c r="BA315" s="1081"/>
      <c r="BB315" s="1081"/>
      <c r="BC315" s="1081"/>
      <c r="BD315" s="1081"/>
    </row>
    <row r="316" spans="1:56" s="23" customFormat="1" ht="20.65" hidden="1" customHeight="1" thickBot="1">
      <c r="A316" s="322"/>
      <c r="B316" s="93"/>
      <c r="C316" s="291">
        <f>+C314*0.8</f>
        <v>240000</v>
      </c>
      <c r="D316" s="88" t="s">
        <v>111</v>
      </c>
      <c r="E316" s="1109">
        <f>IF(E315="O/H",E311,0+E311)</f>
        <v>0</v>
      </c>
      <c r="F316" s="1109">
        <f t="shared" ref="F316:AI316" si="736">IF(F315="O/H",F311,+E316+F311)</f>
        <v>0</v>
      </c>
      <c r="G316" s="1200">
        <f t="shared" si="736"/>
        <v>0</v>
      </c>
      <c r="H316" s="1109">
        <f t="shared" si="736"/>
        <v>0</v>
      </c>
      <c r="I316" s="1109">
        <f t="shared" si="736"/>
        <v>0</v>
      </c>
      <c r="J316" s="1200">
        <f t="shared" si="736"/>
        <v>0</v>
      </c>
      <c r="K316" s="1200">
        <f t="shared" si="736"/>
        <v>0</v>
      </c>
      <c r="L316" s="1109">
        <f t="shared" si="736"/>
        <v>0</v>
      </c>
      <c r="M316" s="1109">
        <f t="shared" si="736"/>
        <v>0</v>
      </c>
      <c r="N316" s="1109">
        <f t="shared" si="736"/>
        <v>0</v>
      </c>
      <c r="O316" s="1109">
        <f t="shared" si="736"/>
        <v>0</v>
      </c>
      <c r="P316" s="1109">
        <f t="shared" si="736"/>
        <v>0</v>
      </c>
      <c r="Q316" s="1200">
        <f t="shared" si="736"/>
        <v>0</v>
      </c>
      <c r="R316" s="1200">
        <f t="shared" si="736"/>
        <v>0</v>
      </c>
      <c r="S316" s="1109">
        <f t="shared" si="736"/>
        <v>0</v>
      </c>
      <c r="T316" s="1109">
        <f t="shared" si="736"/>
        <v>0</v>
      </c>
      <c r="U316" s="1109">
        <f t="shared" si="736"/>
        <v>0</v>
      </c>
      <c r="V316" s="1109">
        <f t="shared" si="736"/>
        <v>0</v>
      </c>
      <c r="W316" s="1109">
        <f t="shared" si="736"/>
        <v>0</v>
      </c>
      <c r="X316" s="1200">
        <f t="shared" si="736"/>
        <v>0</v>
      </c>
      <c r="Y316" s="1200">
        <f t="shared" si="736"/>
        <v>0</v>
      </c>
      <c r="Z316" s="1109">
        <f t="shared" si="736"/>
        <v>0</v>
      </c>
      <c r="AA316" s="1109">
        <f t="shared" si="736"/>
        <v>0</v>
      </c>
      <c r="AB316" s="1109">
        <f t="shared" si="736"/>
        <v>0</v>
      </c>
      <c r="AC316" s="1109">
        <f t="shared" si="736"/>
        <v>0</v>
      </c>
      <c r="AD316" s="1109">
        <f t="shared" si="736"/>
        <v>0</v>
      </c>
      <c r="AE316" s="1200">
        <f t="shared" si="736"/>
        <v>0</v>
      </c>
      <c r="AF316" s="1200">
        <f t="shared" si="736"/>
        <v>0</v>
      </c>
      <c r="AG316" s="1109">
        <f t="shared" si="736"/>
        <v>0</v>
      </c>
      <c r="AH316" s="1109">
        <f t="shared" si="736"/>
        <v>0</v>
      </c>
      <c r="AI316" s="1417">
        <f t="shared" si="736"/>
        <v>0</v>
      </c>
      <c r="AJ316" s="96"/>
      <c r="AK316" s="723"/>
      <c r="AL316" s="695"/>
      <c r="AM316" s="961"/>
      <c r="AN316" s="292"/>
      <c r="AO316" s="681"/>
      <c r="AP316" s="285"/>
      <c r="AQ316" s="285"/>
      <c r="AR316" s="285"/>
      <c r="AS316" s="285"/>
      <c r="AT316" s="286"/>
      <c r="AU316" s="285"/>
      <c r="AV316" s="287"/>
      <c r="AW316" s="1081"/>
      <c r="AX316" s="1081"/>
      <c r="AY316" s="1081"/>
      <c r="AZ316" s="1081"/>
      <c r="BA316" s="1081"/>
      <c r="BB316" s="1081"/>
      <c r="BC316" s="1081"/>
      <c r="BD316" s="1081"/>
    </row>
    <row r="317" spans="1:56" s="23" customFormat="1" ht="20.65" hidden="1" customHeight="1" thickTop="1">
      <c r="A317" s="219" t="s">
        <v>705</v>
      </c>
      <c r="B317" s="208" t="s">
        <v>682</v>
      </c>
      <c r="C317" s="1493" t="str">
        <f>Table2[[#This Row],[M/C No.]]</f>
        <v>H9(50ton)</v>
      </c>
      <c r="D317" s="28" t="s">
        <v>82</v>
      </c>
      <c r="E317" s="1139"/>
      <c r="F317" s="1139"/>
      <c r="G317" s="1231"/>
      <c r="H317" s="1139"/>
      <c r="I317" s="1139"/>
      <c r="J317" s="1231"/>
      <c r="K317" s="1231"/>
      <c r="L317" s="1139"/>
      <c r="M317" s="1139"/>
      <c r="N317" s="1139"/>
      <c r="O317" s="1139"/>
      <c r="P317" s="1139"/>
      <c r="Q317" s="1231"/>
      <c r="R317" s="1231"/>
      <c r="S317" s="1139"/>
      <c r="T317" s="1139"/>
      <c r="U317" s="1139"/>
      <c r="V317" s="1139"/>
      <c r="W317" s="1139"/>
      <c r="X317" s="1231"/>
      <c r="Y317" s="1231"/>
      <c r="Z317" s="1139"/>
      <c r="AA317" s="1139"/>
      <c r="AB317" s="1139"/>
      <c r="AC317" s="1139"/>
      <c r="AD317" s="1139"/>
      <c r="AE317" s="1231"/>
      <c r="AF317" s="1231"/>
      <c r="AG317" s="1139"/>
      <c r="AH317" s="1139"/>
      <c r="AI317" s="1322"/>
      <c r="AJ317" s="29">
        <f>SUM(E317:AI317)</f>
        <v>0</v>
      </c>
      <c r="AK317" s="1020">
        <f>AJ319</f>
        <v>0</v>
      </c>
      <c r="AL317" s="101">
        <f>+AJ317*AN317</f>
        <v>0</v>
      </c>
      <c r="AM317" s="1019">
        <f>AL319</f>
        <v>0</v>
      </c>
      <c r="AN317" s="293">
        <v>8.0529399999999995</v>
      </c>
      <c r="AO317" s="633">
        <f>Table2[[#This Row],[Total]]*B321/1000</f>
        <v>0</v>
      </c>
      <c r="AP317" s="32" t="s">
        <v>405</v>
      </c>
      <c r="AQ317" s="33" t="s">
        <v>84</v>
      </c>
      <c r="AR317" s="33" t="s">
        <v>85</v>
      </c>
      <c r="AS317" s="33" t="s">
        <v>86</v>
      </c>
      <c r="AT317" s="33" t="s">
        <v>87</v>
      </c>
      <c r="AU317" s="33" t="s">
        <v>88</v>
      </c>
      <c r="AV317" s="34" t="s">
        <v>68</v>
      </c>
      <c r="AW317" s="1081"/>
      <c r="AX317" s="1081"/>
      <c r="AY317" s="1081"/>
      <c r="AZ317" s="1081"/>
      <c r="BA317" s="1081"/>
      <c r="BB317" s="1081"/>
      <c r="BC317" s="1081"/>
      <c r="BD317" s="1081"/>
    </row>
    <row r="318" spans="1:56" s="23" customFormat="1" ht="20.65" hidden="1" customHeight="1">
      <c r="A318" s="274"/>
      <c r="B318" s="89" t="s">
        <v>406</v>
      </c>
      <c r="C318" s="275"/>
      <c r="D318" s="37" t="s">
        <v>90</v>
      </c>
      <c r="E318" s="1323">
        <f>IF(E317="",0,+ E317/E324)</f>
        <v>0</v>
      </c>
      <c r="F318" s="1096">
        <f t="shared" ref="F318:AC318" si="737">IF(F317="",0, E318+F317/F324)</f>
        <v>0</v>
      </c>
      <c r="G318" s="1207">
        <f t="shared" si="737"/>
        <v>0</v>
      </c>
      <c r="H318" s="1096">
        <f t="shared" si="737"/>
        <v>0</v>
      </c>
      <c r="I318" s="1096">
        <f t="shared" si="737"/>
        <v>0</v>
      </c>
      <c r="J318" s="1207">
        <f t="shared" si="737"/>
        <v>0</v>
      </c>
      <c r="K318" s="1207">
        <f t="shared" si="737"/>
        <v>0</v>
      </c>
      <c r="L318" s="1096">
        <f t="shared" si="737"/>
        <v>0</v>
      </c>
      <c r="M318" s="1096">
        <f t="shared" si="737"/>
        <v>0</v>
      </c>
      <c r="N318" s="1096">
        <f t="shared" si="737"/>
        <v>0</v>
      </c>
      <c r="O318" s="1096">
        <f t="shared" si="737"/>
        <v>0</v>
      </c>
      <c r="P318" s="1096">
        <f t="shared" si="737"/>
        <v>0</v>
      </c>
      <c r="Q318" s="1207">
        <f t="shared" si="737"/>
        <v>0</v>
      </c>
      <c r="R318" s="1207">
        <f t="shared" si="737"/>
        <v>0</v>
      </c>
      <c r="S318" s="1096">
        <f t="shared" si="737"/>
        <v>0</v>
      </c>
      <c r="T318" s="1096">
        <f t="shared" si="737"/>
        <v>0</v>
      </c>
      <c r="U318" s="1096">
        <f t="shared" si="737"/>
        <v>0</v>
      </c>
      <c r="V318" s="1096">
        <f t="shared" si="737"/>
        <v>0</v>
      </c>
      <c r="W318" s="1096">
        <f t="shared" si="737"/>
        <v>0</v>
      </c>
      <c r="X318" s="1207">
        <f t="shared" si="737"/>
        <v>0</v>
      </c>
      <c r="Y318" s="1207">
        <f t="shared" si="737"/>
        <v>0</v>
      </c>
      <c r="Z318" s="1096">
        <f t="shared" si="737"/>
        <v>0</v>
      </c>
      <c r="AA318" s="1096">
        <f t="shared" si="737"/>
        <v>0</v>
      </c>
      <c r="AB318" s="1096">
        <f t="shared" si="737"/>
        <v>0</v>
      </c>
      <c r="AC318" s="1096">
        <f t="shared" si="737"/>
        <v>0</v>
      </c>
      <c r="AD318" s="1096">
        <f>IF(AD317="",0, Z318+AD317/AD324)</f>
        <v>0</v>
      </c>
      <c r="AE318" s="1207">
        <f>IF(AE317="",0, AA318+AE317/AE324)</f>
        <v>0</v>
      </c>
      <c r="AF318" s="1207">
        <f>IF(AF317="",0, AB318+AF317/AF324)</f>
        <v>0</v>
      </c>
      <c r="AG318" s="1096">
        <f>IF(AG317="",0, AC318+AG317/AG324)</f>
        <v>0</v>
      </c>
      <c r="AH318" s="1096">
        <f>IF(AH317="",0, AD318+AH317/AH324)</f>
        <v>0</v>
      </c>
      <c r="AI318" s="1324">
        <f>IF(AI317="",0, AH318+AI317/AI324)</f>
        <v>0</v>
      </c>
      <c r="AJ318" s="716"/>
      <c r="AK318" s="716"/>
      <c r="AL318" s="209"/>
      <c r="AM318" s="794"/>
      <c r="AN318" s="91"/>
      <c r="AO318" s="675"/>
      <c r="AP318" s="39" t="s">
        <v>91</v>
      </c>
      <c r="AQ318" s="40">
        <f>SUM(E317:K317)</f>
        <v>0</v>
      </c>
      <c r="AR318" s="41">
        <f>SUM(L317:R317)</f>
        <v>0</v>
      </c>
      <c r="AS318" s="41">
        <f>SUM(S317:Y317)</f>
        <v>0</v>
      </c>
      <c r="AT318" s="41">
        <f>SUM(Z317:AF317)</f>
        <v>0</v>
      </c>
      <c r="AU318" s="41">
        <f>SUM(AG317:AI317)</f>
        <v>0</v>
      </c>
      <c r="AV318" s="34">
        <f t="shared" ref="AV318:AV323" si="738">SUM(AQ318:AU318)</f>
        <v>0</v>
      </c>
      <c r="AW318" s="1081"/>
      <c r="AX318" s="1081"/>
      <c r="AY318" s="1081"/>
      <c r="AZ318" s="1081"/>
      <c r="BA318" s="1081"/>
      <c r="BB318" s="1081"/>
      <c r="BC318" s="1081"/>
      <c r="BD318" s="1081"/>
    </row>
    <row r="319" spans="1:56" s="23" customFormat="1" ht="20.65" hidden="1" customHeight="1">
      <c r="A319" s="321"/>
      <c r="B319" s="89" t="s">
        <v>246</v>
      </c>
      <c r="C319" s="42"/>
      <c r="D319" s="43" t="s">
        <v>93</v>
      </c>
      <c r="E319" s="1108"/>
      <c r="F319" s="1089"/>
      <c r="G319" s="44"/>
      <c r="H319" s="1089"/>
      <c r="I319" s="1089"/>
      <c r="J319" s="44"/>
      <c r="K319" s="44"/>
      <c r="L319" s="1089"/>
      <c r="M319" s="1089"/>
      <c r="N319" s="1089"/>
      <c r="O319" s="1089"/>
      <c r="P319" s="1089"/>
      <c r="Q319" s="44"/>
      <c r="R319" s="44"/>
      <c r="S319" s="1089"/>
      <c r="T319" s="1089"/>
      <c r="U319" s="1089"/>
      <c r="V319" s="1089"/>
      <c r="W319" s="1089"/>
      <c r="X319" s="44"/>
      <c r="Y319" s="44"/>
      <c r="Z319" s="1089"/>
      <c r="AA319" s="1089"/>
      <c r="AB319" s="1089"/>
      <c r="AC319" s="1089"/>
      <c r="AD319" s="1089"/>
      <c r="AE319" s="44"/>
      <c r="AF319" s="44"/>
      <c r="AG319" s="1089"/>
      <c r="AH319" s="1089"/>
      <c r="AI319" s="1326"/>
      <c r="AJ319" s="45">
        <f>SUM(E319:AI319)</f>
        <v>0</v>
      </c>
      <c r="AK319" s="45"/>
      <c r="AL319" s="46">
        <f>+AJ319*AN317</f>
        <v>0</v>
      </c>
      <c r="AM319" s="934"/>
      <c r="AN319" s="277"/>
      <c r="AO319" s="632">
        <f>(AJ319+AJ321+AJ322+AJ323)*B321/1000</f>
        <v>0</v>
      </c>
      <c r="AP319" s="47" t="s">
        <v>94</v>
      </c>
      <c r="AQ319" s="48">
        <f>SUM(E319:K319)</f>
        <v>0</v>
      </c>
      <c r="AR319" s="49">
        <f>SUM(L319:R319)</f>
        <v>0</v>
      </c>
      <c r="AS319" s="49">
        <f>SUM(S319:Y319)</f>
        <v>0</v>
      </c>
      <c r="AT319" s="49">
        <f>SUM(Z319:AF319)</f>
        <v>0</v>
      </c>
      <c r="AU319" s="49">
        <f>SUM(AG319:AI319)</f>
        <v>0</v>
      </c>
      <c r="AV319" s="50">
        <f t="shared" si="738"/>
        <v>0</v>
      </c>
      <c r="AW319" s="1081"/>
      <c r="AX319" s="1081"/>
      <c r="AY319" s="1081"/>
      <c r="AZ319" s="1081"/>
      <c r="BA319" s="1081"/>
      <c r="BB319" s="1081"/>
      <c r="BC319" s="1081"/>
      <c r="BD319" s="1081"/>
    </row>
    <row r="320" spans="1:56" s="23" customFormat="1" ht="20.65" hidden="1" customHeight="1">
      <c r="A320" s="321"/>
      <c r="B320" s="638" t="s">
        <v>247</v>
      </c>
      <c r="C320" s="280"/>
      <c r="D320" s="53" t="s">
        <v>96</v>
      </c>
      <c r="E320" s="1137">
        <f t="shared" ref="E320:AJ320" si="739">+E319-E317</f>
        <v>0</v>
      </c>
      <c r="F320" s="1097">
        <f t="shared" si="739"/>
        <v>0</v>
      </c>
      <c r="G320" s="1205">
        <f t="shared" si="739"/>
        <v>0</v>
      </c>
      <c r="H320" s="1097">
        <f t="shared" si="739"/>
        <v>0</v>
      </c>
      <c r="I320" s="1097">
        <f t="shared" si="739"/>
        <v>0</v>
      </c>
      <c r="J320" s="1205">
        <f t="shared" si="739"/>
        <v>0</v>
      </c>
      <c r="K320" s="1205">
        <f t="shared" si="739"/>
        <v>0</v>
      </c>
      <c r="L320" s="1097">
        <f t="shared" si="739"/>
        <v>0</v>
      </c>
      <c r="M320" s="1097">
        <f t="shared" si="739"/>
        <v>0</v>
      </c>
      <c r="N320" s="1097">
        <f t="shared" si="739"/>
        <v>0</v>
      </c>
      <c r="O320" s="1097">
        <f t="shared" si="739"/>
        <v>0</v>
      </c>
      <c r="P320" s="1097">
        <f t="shared" si="739"/>
        <v>0</v>
      </c>
      <c r="Q320" s="1205">
        <f t="shared" si="739"/>
        <v>0</v>
      </c>
      <c r="R320" s="1205">
        <f t="shared" si="739"/>
        <v>0</v>
      </c>
      <c r="S320" s="1097">
        <f t="shared" si="739"/>
        <v>0</v>
      </c>
      <c r="T320" s="1097">
        <f t="shared" si="739"/>
        <v>0</v>
      </c>
      <c r="U320" s="1097">
        <f t="shared" si="739"/>
        <v>0</v>
      </c>
      <c r="V320" s="1097">
        <f t="shared" si="739"/>
        <v>0</v>
      </c>
      <c r="W320" s="1097">
        <f t="shared" si="739"/>
        <v>0</v>
      </c>
      <c r="X320" s="1205">
        <f t="shared" si="739"/>
        <v>0</v>
      </c>
      <c r="Y320" s="1205">
        <f t="shared" si="739"/>
        <v>0</v>
      </c>
      <c r="Z320" s="1097">
        <f t="shared" si="739"/>
        <v>0</v>
      </c>
      <c r="AA320" s="1097">
        <f t="shared" si="739"/>
        <v>0</v>
      </c>
      <c r="AB320" s="1097">
        <f t="shared" si="739"/>
        <v>0</v>
      </c>
      <c r="AC320" s="1097">
        <f t="shared" si="739"/>
        <v>0</v>
      </c>
      <c r="AD320" s="1097">
        <f t="shared" si="739"/>
        <v>0</v>
      </c>
      <c r="AE320" s="1205">
        <f t="shared" si="739"/>
        <v>0</v>
      </c>
      <c r="AF320" s="1205">
        <f t="shared" si="739"/>
        <v>0</v>
      </c>
      <c r="AG320" s="1097">
        <f t="shared" si="739"/>
        <v>0</v>
      </c>
      <c r="AH320" s="1097">
        <f t="shared" si="739"/>
        <v>0</v>
      </c>
      <c r="AI320" s="1328">
        <f t="shared" si="739"/>
        <v>0</v>
      </c>
      <c r="AJ320" s="79">
        <f t="shared" si="739"/>
        <v>0</v>
      </c>
      <c r="AK320" s="79"/>
      <c r="AL320" s="55">
        <f>+AJ320*AN317</f>
        <v>0</v>
      </c>
      <c r="AM320" s="935"/>
      <c r="AN320" s="277" t="s">
        <v>97</v>
      </c>
      <c r="AO320" s="622"/>
      <c r="AP320" s="39" t="s">
        <v>98</v>
      </c>
      <c r="AQ320" s="56">
        <f>AQ319-AQ318</f>
        <v>0</v>
      </c>
      <c r="AR320" s="70">
        <f>AR319-AR318</f>
        <v>0</v>
      </c>
      <c r="AS320" s="70">
        <f>AS319-AS318</f>
        <v>0</v>
      </c>
      <c r="AT320" s="70">
        <f>AT319-AT318</f>
        <v>0</v>
      </c>
      <c r="AU320" s="70">
        <f>AU319-AU318</f>
        <v>0</v>
      </c>
      <c r="AV320" s="57">
        <f t="shared" si="738"/>
        <v>0</v>
      </c>
      <c r="AW320" s="1081"/>
      <c r="AX320" s="1081"/>
      <c r="AY320" s="1081"/>
      <c r="AZ320" s="1081"/>
      <c r="BA320" s="1081"/>
      <c r="BB320" s="1081"/>
      <c r="BC320" s="1081"/>
      <c r="BD320" s="1081"/>
    </row>
    <row r="321" spans="1:56" s="23" customFormat="1" ht="20.65" hidden="1" customHeight="1">
      <c r="A321" s="321"/>
      <c r="B321" s="659">
        <v>3.2374999999999998</v>
      </c>
      <c r="C321" s="305"/>
      <c r="D321" s="61" t="s">
        <v>101</v>
      </c>
      <c r="E321" s="1098"/>
      <c r="F321" s="1099"/>
      <c r="G321" s="1208"/>
      <c r="H321" s="1099"/>
      <c r="I321" s="1099"/>
      <c r="J321" s="1208"/>
      <c r="K321" s="1208"/>
      <c r="L321" s="1099"/>
      <c r="M321" s="1099"/>
      <c r="N321" s="1099"/>
      <c r="O321" s="1099"/>
      <c r="P321" s="1099"/>
      <c r="Q321" s="1208"/>
      <c r="R321" s="1208"/>
      <c r="S321" s="1099"/>
      <c r="T321" s="1099"/>
      <c r="U321" s="1099"/>
      <c r="V321" s="1099"/>
      <c r="W321" s="1099"/>
      <c r="X321" s="1208"/>
      <c r="Y321" s="1208"/>
      <c r="Z321" s="1099"/>
      <c r="AA321" s="1099"/>
      <c r="AB321" s="1099"/>
      <c r="AC321" s="1099"/>
      <c r="AD321" s="1099"/>
      <c r="AE321" s="1208"/>
      <c r="AF321" s="1208"/>
      <c r="AG321" s="1099"/>
      <c r="AH321" s="1099"/>
      <c r="AI321" s="1330"/>
      <c r="AJ321" s="62">
        <f>SUM(E321:AI321)</f>
        <v>0</v>
      </c>
      <c r="AK321" s="62"/>
      <c r="AL321" s="63">
        <f>+AJ321*AN317</f>
        <v>0</v>
      </c>
      <c r="AM321" s="936"/>
      <c r="AN321" s="301" t="e">
        <f>+AJ321/AJ319*100</f>
        <v>#DIV/0!</v>
      </c>
      <c r="AO321" s="635" t="e">
        <f>AO319/AO317</f>
        <v>#DIV/0!</v>
      </c>
      <c r="AP321" s="39" t="s">
        <v>102</v>
      </c>
      <c r="AQ321" s="56">
        <f>SUM(E321:K321)</f>
        <v>0</v>
      </c>
      <c r="AR321" s="70">
        <f>SUM(L321:R321)</f>
        <v>0</v>
      </c>
      <c r="AS321" s="70">
        <f>SUM(S321:Y321)</f>
        <v>0</v>
      </c>
      <c r="AT321" s="70">
        <f>SUM(Z321:AF321)</f>
        <v>0</v>
      </c>
      <c r="AU321" s="70">
        <f>SUM(AG321:AI321)</f>
        <v>0</v>
      </c>
      <c r="AV321" s="57">
        <f t="shared" si="738"/>
        <v>0</v>
      </c>
      <c r="AW321" s="1081"/>
      <c r="AX321" s="1081"/>
      <c r="AY321" s="1081"/>
      <c r="AZ321" s="1081"/>
      <c r="BA321" s="1081"/>
      <c r="BB321" s="1081"/>
      <c r="BC321" s="1081"/>
      <c r="BD321" s="1081"/>
    </row>
    <row r="322" spans="1:56" s="23" customFormat="1" ht="20.65" hidden="1" customHeight="1">
      <c r="A322" s="321"/>
      <c r="B322" s="89"/>
      <c r="C322" s="52" t="s">
        <v>95</v>
      </c>
      <c r="D322" s="67" t="s">
        <v>103</v>
      </c>
      <c r="E322" s="1100"/>
      <c r="F322" s="1101"/>
      <c r="G322" s="1209"/>
      <c r="H322" s="1101"/>
      <c r="I322" s="1101"/>
      <c r="J322" s="1209"/>
      <c r="K322" s="1209"/>
      <c r="L322" s="1101"/>
      <c r="M322" s="1101"/>
      <c r="N322" s="1101"/>
      <c r="O322" s="1101"/>
      <c r="P322" s="1101"/>
      <c r="Q322" s="1209"/>
      <c r="R322" s="1209"/>
      <c r="S322" s="1101"/>
      <c r="T322" s="1101"/>
      <c r="U322" s="1101"/>
      <c r="V322" s="1101"/>
      <c r="W322" s="1101"/>
      <c r="X322" s="1209"/>
      <c r="Y322" s="1209"/>
      <c r="Z322" s="1101"/>
      <c r="AA322" s="1101"/>
      <c r="AB322" s="1101"/>
      <c r="AC322" s="1101"/>
      <c r="AD322" s="1101"/>
      <c r="AE322" s="1209"/>
      <c r="AF322" s="1209"/>
      <c r="AG322" s="1101"/>
      <c r="AH322" s="1101"/>
      <c r="AI322" s="1332"/>
      <c r="AJ322" s="68">
        <f>SUM(E322:AI322)</f>
        <v>0</v>
      </c>
      <c r="AK322" s="68"/>
      <c r="AL322" s="69">
        <f>+AJ322*AN317</f>
        <v>0</v>
      </c>
      <c r="AM322" s="937"/>
      <c r="AN322" s="277"/>
      <c r="AO322" s="679"/>
      <c r="AP322" s="39" t="s">
        <v>19</v>
      </c>
      <c r="AQ322" s="56">
        <f>AQ321*AN317</f>
        <v>0</v>
      </c>
      <c r="AR322" s="56">
        <f>AR321*AN317</f>
        <v>0</v>
      </c>
      <c r="AS322" s="56">
        <f>AS321*AN317</f>
        <v>0</v>
      </c>
      <c r="AT322" s="56">
        <f>AT321*AN317</f>
        <v>0</v>
      </c>
      <c r="AU322" s="56">
        <f>AU321*AN317</f>
        <v>0</v>
      </c>
      <c r="AV322" s="57">
        <f t="shared" si="738"/>
        <v>0</v>
      </c>
      <c r="AW322" s="1081"/>
      <c r="AX322" s="1081"/>
      <c r="AY322" s="1081"/>
      <c r="AZ322" s="1081"/>
      <c r="BA322" s="1081"/>
      <c r="BB322" s="1081"/>
      <c r="BC322" s="1081"/>
      <c r="BD322" s="1081"/>
    </row>
    <row r="323" spans="1:56" s="23" customFormat="1" ht="20.65" hidden="1" customHeight="1">
      <c r="A323" s="219"/>
      <c r="B323" s="89"/>
      <c r="C323" s="306" t="s">
        <v>387</v>
      </c>
      <c r="D323" s="73" t="s">
        <v>105</v>
      </c>
      <c r="E323" s="1115"/>
      <c r="F323" s="1116"/>
      <c r="G323" s="1215"/>
      <c r="H323" s="1116"/>
      <c r="I323" s="1116"/>
      <c r="J323" s="1215"/>
      <c r="K323" s="1215"/>
      <c r="L323" s="1116"/>
      <c r="M323" s="1116"/>
      <c r="N323" s="1116"/>
      <c r="O323" s="1116"/>
      <c r="P323" s="1116"/>
      <c r="Q323" s="1215"/>
      <c r="R323" s="1215"/>
      <c r="S323" s="1116"/>
      <c r="T323" s="1116"/>
      <c r="U323" s="1116"/>
      <c r="V323" s="1116"/>
      <c r="W323" s="1116"/>
      <c r="X323" s="1215"/>
      <c r="Y323" s="1215"/>
      <c r="Z323" s="1116"/>
      <c r="AA323" s="1116"/>
      <c r="AB323" s="1116"/>
      <c r="AC323" s="1116"/>
      <c r="AD323" s="1116"/>
      <c r="AE323" s="1215"/>
      <c r="AF323" s="1215"/>
      <c r="AG323" s="1116"/>
      <c r="AH323" s="1116"/>
      <c r="AI323" s="1334"/>
      <c r="AJ323" s="717">
        <f>SUM(E323:AI323)</f>
        <v>0</v>
      </c>
      <c r="AK323" s="717"/>
      <c r="AL323" s="220">
        <f>+AJ323*AN317</f>
        <v>0</v>
      </c>
      <c r="AM323" s="962"/>
      <c r="AN323" s="277"/>
      <c r="AO323" s="679"/>
      <c r="AP323" s="47" t="s">
        <v>106</v>
      </c>
      <c r="AQ323" s="48">
        <f>AQ319*AN317</f>
        <v>0</v>
      </c>
      <c r="AR323" s="48">
        <f>AR319*AN317</f>
        <v>0</v>
      </c>
      <c r="AS323" s="48">
        <f>AS319*AN317</f>
        <v>0</v>
      </c>
      <c r="AT323" s="48">
        <f>AT319*AN317</f>
        <v>0</v>
      </c>
      <c r="AU323" s="48">
        <f>AU319*AN317</f>
        <v>0</v>
      </c>
      <c r="AV323" s="50">
        <f t="shared" si="738"/>
        <v>0</v>
      </c>
      <c r="AW323" s="1081"/>
      <c r="AX323" s="1081"/>
      <c r="AY323" s="1081"/>
      <c r="AZ323" s="1081"/>
      <c r="BA323" s="1081"/>
      <c r="BB323" s="1081"/>
      <c r="BC323" s="1081"/>
      <c r="BD323" s="1081"/>
    </row>
    <row r="324" spans="1:56" s="23" customFormat="1" ht="20.65" hidden="1" customHeight="1">
      <c r="A324" s="321"/>
      <c r="B324" s="89"/>
      <c r="C324" s="307"/>
      <c r="D324" s="78" t="s">
        <v>107</v>
      </c>
      <c r="E324" s="1137">
        <v>4</v>
      </c>
      <c r="F324" s="1097">
        <v>4</v>
      </c>
      <c r="G324" s="1205">
        <v>4</v>
      </c>
      <c r="H324" s="1097">
        <v>4</v>
      </c>
      <c r="I324" s="1097">
        <v>4</v>
      </c>
      <c r="J324" s="1205">
        <v>4</v>
      </c>
      <c r="K324" s="1205">
        <v>4</v>
      </c>
      <c r="L324" s="1097">
        <v>4</v>
      </c>
      <c r="M324" s="1097">
        <v>4</v>
      </c>
      <c r="N324" s="1097">
        <v>4</v>
      </c>
      <c r="O324" s="1097">
        <v>4</v>
      </c>
      <c r="P324" s="1097">
        <v>4</v>
      </c>
      <c r="Q324" s="1205">
        <v>4</v>
      </c>
      <c r="R324" s="1205">
        <v>4</v>
      </c>
      <c r="S324" s="1097">
        <v>4</v>
      </c>
      <c r="T324" s="1097">
        <v>4</v>
      </c>
      <c r="U324" s="1097">
        <v>4</v>
      </c>
      <c r="V324" s="1097">
        <v>4</v>
      </c>
      <c r="W324" s="1097">
        <v>4</v>
      </c>
      <c r="X324" s="1205">
        <v>4</v>
      </c>
      <c r="Y324" s="1205">
        <v>4</v>
      </c>
      <c r="Z324" s="1097">
        <v>4</v>
      </c>
      <c r="AA324" s="1097">
        <v>4</v>
      </c>
      <c r="AB324" s="1097">
        <v>4</v>
      </c>
      <c r="AC324" s="1097">
        <v>4</v>
      </c>
      <c r="AD324" s="1097">
        <v>4</v>
      </c>
      <c r="AE324" s="1205">
        <v>4</v>
      </c>
      <c r="AF324" s="1205">
        <v>4</v>
      </c>
      <c r="AG324" s="1097">
        <v>4</v>
      </c>
      <c r="AH324" s="1097">
        <v>4</v>
      </c>
      <c r="AI324" s="1328">
        <v>4</v>
      </c>
      <c r="AJ324" s="86"/>
      <c r="AK324" s="86"/>
      <c r="AL324" s="689"/>
      <c r="AM324" s="940"/>
      <c r="AN324" s="277"/>
      <c r="AO324" s="679"/>
      <c r="AP324" s="47"/>
      <c r="AQ324" s="48"/>
      <c r="AR324" s="48"/>
      <c r="AS324" s="48"/>
      <c r="AT324" s="48"/>
      <c r="AU324" s="48"/>
      <c r="AV324" s="284"/>
      <c r="AW324" s="1081"/>
      <c r="AX324" s="1081"/>
      <c r="AY324" s="1081"/>
      <c r="AZ324" s="1081"/>
      <c r="BA324" s="1081"/>
      <c r="BB324" s="1081"/>
      <c r="BC324" s="1081"/>
      <c r="BD324" s="1081"/>
    </row>
    <row r="325" spans="1:56" s="23" customFormat="1" ht="20.65" hidden="1" customHeight="1">
      <c r="A325" s="321"/>
      <c r="B325" s="89"/>
      <c r="C325" s="305"/>
      <c r="D325" s="81" t="s">
        <v>109</v>
      </c>
      <c r="E325" s="1125">
        <f>SUM(E319+E321+E322+E323)/E324</f>
        <v>0</v>
      </c>
      <c r="F325" s="1126">
        <f>SUM(F319+F321+F322+F323)/F324</f>
        <v>0</v>
      </c>
      <c r="G325" s="1235">
        <f t="shared" ref="G325:AI325" si="740">SUM(G319+G321+G322+G323)/G324</f>
        <v>0</v>
      </c>
      <c r="H325" s="1126">
        <f t="shared" si="740"/>
        <v>0</v>
      </c>
      <c r="I325" s="1126">
        <f t="shared" si="740"/>
        <v>0</v>
      </c>
      <c r="J325" s="1235">
        <f t="shared" si="740"/>
        <v>0</v>
      </c>
      <c r="K325" s="1235">
        <f t="shared" si="740"/>
        <v>0</v>
      </c>
      <c r="L325" s="1126">
        <f t="shared" si="740"/>
        <v>0</v>
      </c>
      <c r="M325" s="1126">
        <f t="shared" si="740"/>
        <v>0</v>
      </c>
      <c r="N325" s="1126">
        <f t="shared" si="740"/>
        <v>0</v>
      </c>
      <c r="O325" s="1126">
        <f t="shared" si="740"/>
        <v>0</v>
      </c>
      <c r="P325" s="1126">
        <f t="shared" si="740"/>
        <v>0</v>
      </c>
      <c r="Q325" s="1235">
        <f t="shared" si="740"/>
        <v>0</v>
      </c>
      <c r="R325" s="1235">
        <f t="shared" si="740"/>
        <v>0</v>
      </c>
      <c r="S325" s="1126">
        <f t="shared" si="740"/>
        <v>0</v>
      </c>
      <c r="T325" s="1126">
        <f t="shared" si="740"/>
        <v>0</v>
      </c>
      <c r="U325" s="1126">
        <f t="shared" si="740"/>
        <v>0</v>
      </c>
      <c r="V325" s="1126">
        <f t="shared" si="740"/>
        <v>0</v>
      </c>
      <c r="W325" s="1126">
        <f t="shared" si="740"/>
        <v>0</v>
      </c>
      <c r="X325" s="1235">
        <f t="shared" si="740"/>
        <v>0</v>
      </c>
      <c r="Y325" s="1235">
        <f t="shared" si="740"/>
        <v>0</v>
      </c>
      <c r="Z325" s="1126">
        <f t="shared" si="740"/>
        <v>0</v>
      </c>
      <c r="AA325" s="1126">
        <f t="shared" si="740"/>
        <v>0</v>
      </c>
      <c r="AB325" s="1126">
        <f t="shared" si="740"/>
        <v>0</v>
      </c>
      <c r="AC325" s="1126">
        <f t="shared" si="740"/>
        <v>0</v>
      </c>
      <c r="AD325" s="1126">
        <f t="shared" si="740"/>
        <v>0</v>
      </c>
      <c r="AE325" s="1235">
        <f t="shared" si="740"/>
        <v>0</v>
      </c>
      <c r="AF325" s="1235">
        <f t="shared" si="740"/>
        <v>0</v>
      </c>
      <c r="AG325" s="1126">
        <f t="shared" si="740"/>
        <v>0</v>
      </c>
      <c r="AH325" s="1126">
        <f t="shared" si="740"/>
        <v>0</v>
      </c>
      <c r="AI325" s="1335">
        <f t="shared" si="740"/>
        <v>0</v>
      </c>
      <c r="AJ325" s="86"/>
      <c r="AK325" s="86"/>
      <c r="AL325" s="690"/>
      <c r="AM325" s="940"/>
      <c r="AN325" s="277"/>
      <c r="AO325" s="679"/>
      <c r="AP325" s="285"/>
      <c r="AQ325" s="285"/>
      <c r="AR325" s="285"/>
      <c r="AS325" s="285"/>
      <c r="AT325" s="286"/>
      <c r="AU325" s="285"/>
      <c r="AV325" s="287"/>
      <c r="AW325" s="1081"/>
      <c r="AX325" s="1081"/>
      <c r="AY325" s="1081"/>
      <c r="AZ325" s="1081"/>
      <c r="BA325" s="1081"/>
      <c r="BB325" s="1081"/>
      <c r="BC325" s="1081"/>
      <c r="BD325" s="1081"/>
    </row>
    <row r="326" spans="1:56" s="23" customFormat="1" ht="20.65" hidden="1" customHeight="1">
      <c r="A326" s="321"/>
      <c r="B326" s="89"/>
      <c r="C326" s="72"/>
      <c r="D326" s="85" t="s">
        <v>110</v>
      </c>
      <c r="E326" s="1105"/>
      <c r="F326" s="1106"/>
      <c r="G326" s="1228"/>
      <c r="H326" s="1104"/>
      <c r="I326" s="1104"/>
      <c r="J326" s="1211"/>
      <c r="K326" s="1211"/>
      <c r="L326" s="1107"/>
      <c r="M326" s="1107"/>
      <c r="N326" s="1104"/>
      <c r="O326" s="1104"/>
      <c r="P326" s="1104"/>
      <c r="Q326" s="1228"/>
      <c r="R326" s="1211"/>
      <c r="S326" s="1104"/>
      <c r="T326" s="1104"/>
      <c r="U326" s="1107"/>
      <c r="V326" s="1104"/>
      <c r="W326" s="1104"/>
      <c r="X326" s="1211"/>
      <c r="Y326" s="1211"/>
      <c r="Z326" s="1104"/>
      <c r="AA326" s="1104"/>
      <c r="AB326" s="1104"/>
      <c r="AC326" s="1104"/>
      <c r="AD326" s="1104"/>
      <c r="AE326" s="1211"/>
      <c r="AF326" s="1211"/>
      <c r="AG326" s="1104"/>
      <c r="AH326" s="1104"/>
      <c r="AI326" s="1353"/>
      <c r="AJ326" s="79"/>
      <c r="AK326" s="79"/>
      <c r="AL326" s="690"/>
      <c r="AM326" s="940"/>
      <c r="AN326" s="277"/>
      <c r="AO326" s="679"/>
      <c r="AP326" s="285"/>
      <c r="AQ326" s="285"/>
      <c r="AR326" s="285"/>
      <c r="AS326" s="285"/>
      <c r="AT326" s="286"/>
      <c r="AU326" s="285"/>
      <c r="AV326" s="287"/>
      <c r="AW326" s="1081"/>
      <c r="AX326" s="1081"/>
      <c r="AY326" s="1081"/>
      <c r="AZ326" s="1081"/>
      <c r="BA326" s="1081"/>
      <c r="BB326" s="1081"/>
      <c r="BC326" s="1081"/>
      <c r="BD326" s="1081"/>
    </row>
    <row r="327" spans="1:56" s="23" customFormat="1" ht="20.65" hidden="1" customHeight="1">
      <c r="A327" s="321"/>
      <c r="B327" s="89"/>
      <c r="C327" s="72" t="s">
        <v>104</v>
      </c>
      <c r="D327" s="88" t="s">
        <v>111</v>
      </c>
      <c r="E327" s="1108">
        <f>IF(E326="O/H",E325,0+E325)</f>
        <v>0</v>
      </c>
      <c r="F327" s="1089">
        <f t="shared" ref="F327:AI327" si="741">IF(F326="O/H",F325,+E327+F325)</f>
        <v>0</v>
      </c>
      <c r="G327" s="44">
        <f t="shared" si="741"/>
        <v>0</v>
      </c>
      <c r="H327" s="1089">
        <f t="shared" si="741"/>
        <v>0</v>
      </c>
      <c r="I327" s="1089">
        <f t="shared" si="741"/>
        <v>0</v>
      </c>
      <c r="J327" s="44">
        <f t="shared" si="741"/>
        <v>0</v>
      </c>
      <c r="K327" s="44">
        <f t="shared" si="741"/>
        <v>0</v>
      </c>
      <c r="L327" s="1089">
        <f t="shared" si="741"/>
        <v>0</v>
      </c>
      <c r="M327" s="1089">
        <f t="shared" si="741"/>
        <v>0</v>
      </c>
      <c r="N327" s="1089">
        <f t="shared" si="741"/>
        <v>0</v>
      </c>
      <c r="O327" s="1089">
        <f t="shared" si="741"/>
        <v>0</v>
      </c>
      <c r="P327" s="1089">
        <f t="shared" si="741"/>
        <v>0</v>
      </c>
      <c r="Q327" s="44">
        <f t="shared" si="741"/>
        <v>0</v>
      </c>
      <c r="R327" s="44">
        <f t="shared" si="741"/>
        <v>0</v>
      </c>
      <c r="S327" s="1089">
        <f t="shared" si="741"/>
        <v>0</v>
      </c>
      <c r="T327" s="1089">
        <f t="shared" si="741"/>
        <v>0</v>
      </c>
      <c r="U327" s="1089">
        <f t="shared" si="741"/>
        <v>0</v>
      </c>
      <c r="V327" s="1089">
        <f t="shared" si="741"/>
        <v>0</v>
      </c>
      <c r="W327" s="1089">
        <f t="shared" si="741"/>
        <v>0</v>
      </c>
      <c r="X327" s="44">
        <f t="shared" si="741"/>
        <v>0</v>
      </c>
      <c r="Y327" s="44">
        <f t="shared" si="741"/>
        <v>0</v>
      </c>
      <c r="Z327" s="1089">
        <f t="shared" si="741"/>
        <v>0</v>
      </c>
      <c r="AA327" s="1089">
        <f t="shared" si="741"/>
        <v>0</v>
      </c>
      <c r="AB327" s="1089">
        <f t="shared" si="741"/>
        <v>0</v>
      </c>
      <c r="AC327" s="1089">
        <f t="shared" si="741"/>
        <v>0</v>
      </c>
      <c r="AD327" s="1089">
        <f t="shared" si="741"/>
        <v>0</v>
      </c>
      <c r="AE327" s="44">
        <f t="shared" si="741"/>
        <v>0</v>
      </c>
      <c r="AF327" s="44">
        <f t="shared" si="741"/>
        <v>0</v>
      </c>
      <c r="AG327" s="1089">
        <f t="shared" si="741"/>
        <v>0</v>
      </c>
      <c r="AH327" s="1089">
        <f t="shared" si="741"/>
        <v>0</v>
      </c>
      <c r="AI327" s="1326">
        <f t="shared" si="741"/>
        <v>0</v>
      </c>
      <c r="AJ327" s="79"/>
      <c r="AK327" s="79"/>
      <c r="AL327" s="690"/>
      <c r="AM327" s="940"/>
      <c r="AN327" s="277"/>
      <c r="AO327" s="679"/>
      <c r="AP327" s="285"/>
      <c r="AQ327" s="285"/>
      <c r="AR327" s="285"/>
      <c r="AS327" s="285"/>
      <c r="AT327" s="286"/>
      <c r="AU327" s="285"/>
      <c r="AV327" s="287"/>
      <c r="AW327" s="1081"/>
      <c r="AX327" s="1081"/>
      <c r="AY327" s="1081"/>
      <c r="AZ327" s="1081"/>
      <c r="BA327" s="1081"/>
      <c r="BB327" s="1081"/>
      <c r="BC327" s="1081"/>
      <c r="BD327" s="1081"/>
    </row>
    <row r="328" spans="1:56" s="23" customFormat="1" ht="20.45" hidden="1" customHeight="1">
      <c r="A328" s="312"/>
      <c r="B328" s="1226" t="s">
        <v>550</v>
      </c>
      <c r="C328" s="308">
        <v>300000</v>
      </c>
      <c r="D328" s="795" t="s">
        <v>112</v>
      </c>
      <c r="E328" s="1117" t="b">
        <f>IF(AND(ISNUMBER(E319)),972379+E325)</f>
        <v>0</v>
      </c>
      <c r="F328" s="1118" t="str">
        <f>IF(AND(ISNUMBER(F319)),E328+F325,"")</f>
        <v/>
      </c>
      <c r="G328" s="1216" t="str">
        <f t="shared" ref="G328" si="742">IF(AND(ISNUMBER(G319)),F328+G325,"")</f>
        <v/>
      </c>
      <c r="H328" s="1118" t="str">
        <f t="shared" ref="H328" si="743">IF(AND(ISNUMBER(H319)),G328+H325,"")</f>
        <v/>
      </c>
      <c r="I328" s="1118" t="str">
        <f>IF(AND(ISNUMBER(I319)),H328+I325,"")</f>
        <v/>
      </c>
      <c r="J328" s="1216" t="str">
        <f>IF(AND(ISNUMBER(J319)),I328+J325,"")</f>
        <v/>
      </c>
      <c r="K328" s="1216" t="str">
        <f>IF(AND(ISNUMBER(K319)),J328+K325,"")</f>
        <v/>
      </c>
      <c r="L328" s="1118" t="str">
        <f t="shared" ref="L328" si="744">IF(AND(ISNUMBER(L319)),K328+L325,"")</f>
        <v/>
      </c>
      <c r="M328" s="1118" t="str">
        <f t="shared" ref="M328" si="745">IF(AND(ISNUMBER(M319)),L328+M325,"")</f>
        <v/>
      </c>
      <c r="N328" s="1118" t="str">
        <f t="shared" ref="N328" si="746">IF(AND(ISNUMBER(N319)),M328+N325,"")</f>
        <v/>
      </c>
      <c r="O328" s="1118" t="str">
        <f t="shared" ref="O328" si="747">IF(AND(ISNUMBER(O319)),N328+O325,"")</f>
        <v/>
      </c>
      <c r="P328" s="1118" t="str">
        <f t="shared" ref="P328" si="748">IF(AND(ISNUMBER(P319)),O328+P325,"")</f>
        <v/>
      </c>
      <c r="Q328" s="1216" t="str">
        <f t="shared" ref="Q328" si="749">IF(AND(ISNUMBER(Q319)),P328+Q325,"")</f>
        <v/>
      </c>
      <c r="R328" s="1216" t="str">
        <f t="shared" ref="R328" si="750">IF(AND(ISNUMBER(R319)),Q328+R325,"")</f>
        <v/>
      </c>
      <c r="S328" s="1118" t="str">
        <f t="shared" ref="S328" si="751">IF(AND(ISNUMBER(S319)),R328+S325,"")</f>
        <v/>
      </c>
      <c r="T328" s="1118" t="str">
        <f t="shared" ref="T328" si="752">IF(AND(ISNUMBER(T319)),S328+T325,"")</f>
        <v/>
      </c>
      <c r="U328" s="1118" t="str">
        <f t="shared" ref="U328" si="753">IF(AND(ISNUMBER(U319)),T328+U325,"")</f>
        <v/>
      </c>
      <c r="V328" s="1118" t="str">
        <f t="shared" ref="V328" si="754">IF(AND(ISNUMBER(V319)),U328+V325,"")</f>
        <v/>
      </c>
      <c r="W328" s="1118" t="str">
        <f t="shared" ref="W328" si="755">IF(AND(ISNUMBER(W319)),V328+W325,"")</f>
        <v/>
      </c>
      <c r="X328" s="1216" t="str">
        <f t="shared" ref="X328" si="756">IF(AND(ISNUMBER(X319)),W328+X325,"")</f>
        <v/>
      </c>
      <c r="Y328" s="1216" t="str">
        <f t="shared" ref="Y328" si="757">IF(AND(ISNUMBER(Y319)),X328+Y325,"")</f>
        <v/>
      </c>
      <c r="Z328" s="1118" t="str">
        <f t="shared" ref="Z328" si="758">IF(AND(ISNUMBER(Z319)),Y328+Z325,"")</f>
        <v/>
      </c>
      <c r="AA328" s="1118" t="str">
        <f t="shared" ref="AA328" si="759">IF(AND(ISNUMBER(AA319)),Z328+AA325,"")</f>
        <v/>
      </c>
      <c r="AB328" s="1118" t="str">
        <f t="shared" ref="AB328" si="760">IF(AND(ISNUMBER(AB319)),AA328+AB325,"")</f>
        <v/>
      </c>
      <c r="AC328" s="1118" t="str">
        <f t="shared" ref="AC328" si="761">IF(AND(ISNUMBER(AC319)),AB328+AC325,"")</f>
        <v/>
      </c>
      <c r="AD328" s="1118" t="str">
        <f t="shared" ref="AD328" si="762">IF(AND(ISNUMBER(AD319)),AC328+AD325,"")</f>
        <v/>
      </c>
      <c r="AE328" s="1216" t="str">
        <f t="shared" ref="AE328" si="763">IF(AND(ISNUMBER(AE319)),AD328+AE325,"")</f>
        <v/>
      </c>
      <c r="AF328" s="1216" t="str">
        <f t="shared" ref="AF328" si="764">IF(AND(ISNUMBER(AF319)),AE328+AF325,"")</f>
        <v/>
      </c>
      <c r="AG328" s="1118" t="str">
        <f t="shared" ref="AG328" si="765">IF(AND(ISNUMBER(AG319)),AF328+AG325,"")</f>
        <v/>
      </c>
      <c r="AH328" s="1118" t="str">
        <f t="shared" ref="AH328" si="766">IF(AND(ISNUMBER(AH319)),AG328+AH325,"")</f>
        <v/>
      </c>
      <c r="AI328" s="1118" t="str">
        <f t="shared" ref="AI328" si="767">IF(AND(ISNUMBER(AI319)),AH328+AI325,"")</f>
        <v/>
      </c>
      <c r="AJ328" s="793"/>
      <c r="AK328" s="793"/>
      <c r="AL328" s="909"/>
      <c r="AM328" s="794"/>
      <c r="AN328" s="429"/>
      <c r="AO328" s="675"/>
      <c r="AP328" s="285"/>
      <c r="AQ328" s="285"/>
      <c r="AR328" s="285"/>
      <c r="AS328" s="285"/>
      <c r="AT328" s="286"/>
      <c r="AU328" s="285"/>
      <c r="AV328" s="287"/>
      <c r="AW328" s="1081"/>
      <c r="AX328" s="1081"/>
      <c r="AY328" s="1081"/>
      <c r="AZ328" s="1081"/>
      <c r="BA328" s="1081"/>
      <c r="BB328" s="1081"/>
      <c r="BC328" s="1081"/>
      <c r="BD328" s="1081"/>
    </row>
    <row r="329" spans="1:56" s="23" customFormat="1" ht="20.65" hidden="1" customHeight="1">
      <c r="A329" s="274"/>
      <c r="B329" s="312"/>
      <c r="C329" s="80" t="s">
        <v>108</v>
      </c>
      <c r="D329" s="90" t="s">
        <v>104</v>
      </c>
      <c r="E329" s="1415"/>
      <c r="F329" s="1141"/>
      <c r="G329" s="1272"/>
      <c r="H329" s="1141"/>
      <c r="I329" s="1141"/>
      <c r="J329" s="1272"/>
      <c r="K329" s="1272"/>
      <c r="L329" s="1141"/>
      <c r="M329" s="1141"/>
      <c r="N329" s="1141"/>
      <c r="O329" s="1141"/>
      <c r="P329" s="1141"/>
      <c r="Q329" s="1271"/>
      <c r="R329" s="1272"/>
      <c r="S329" s="1141"/>
      <c r="T329" s="1141"/>
      <c r="U329" s="1141"/>
      <c r="V329" s="1141"/>
      <c r="W329" s="1141"/>
      <c r="X329" s="1272"/>
      <c r="Y329" s="1272"/>
      <c r="Z329" s="1141"/>
      <c r="AA329" s="1141"/>
      <c r="AB329" s="1141"/>
      <c r="AC329" s="1141"/>
      <c r="AD329" s="1141"/>
      <c r="AE329" s="1272"/>
      <c r="AF329" s="1272"/>
      <c r="AG329" s="1141"/>
      <c r="AH329" s="1141"/>
      <c r="AI329" s="1416"/>
      <c r="AJ329" s="721"/>
      <c r="AK329" s="832"/>
      <c r="AL329" s="696"/>
      <c r="AM329" s="794"/>
      <c r="AN329" s="91"/>
      <c r="AO329" s="630"/>
      <c r="AP329" s="285"/>
      <c r="AQ329" s="285"/>
      <c r="AR329" s="285"/>
      <c r="AS329" s="285"/>
      <c r="AT329" s="286"/>
      <c r="AU329" s="285"/>
      <c r="AV329" s="287"/>
      <c r="AW329" s="1081"/>
      <c r="AX329" s="1081"/>
      <c r="AY329" s="1081"/>
      <c r="AZ329" s="1081"/>
      <c r="BA329" s="1081"/>
      <c r="BB329" s="1081"/>
      <c r="BC329" s="1081"/>
      <c r="BD329" s="1081"/>
    </row>
    <row r="330" spans="1:56" s="23" customFormat="1" ht="20.65" hidden="1" customHeight="1" thickBot="1">
      <c r="A330" s="322"/>
      <c r="B330" s="93"/>
      <c r="C330" s="291">
        <f>+C328*0.8</f>
        <v>240000</v>
      </c>
      <c r="D330" s="88" t="s">
        <v>111</v>
      </c>
      <c r="E330" s="1109">
        <f>IF(E329="O/H",E325,0+E325)</f>
        <v>0</v>
      </c>
      <c r="F330" s="1109">
        <f t="shared" ref="F330:AI330" si="768">IF(F329="O/H",F325,+E330+F325)</f>
        <v>0</v>
      </c>
      <c r="G330" s="1200">
        <f t="shared" si="768"/>
        <v>0</v>
      </c>
      <c r="H330" s="1109">
        <f t="shared" si="768"/>
        <v>0</v>
      </c>
      <c r="I330" s="1109">
        <f t="shared" si="768"/>
        <v>0</v>
      </c>
      <c r="J330" s="1200">
        <f t="shared" si="768"/>
        <v>0</v>
      </c>
      <c r="K330" s="1200">
        <f t="shared" si="768"/>
        <v>0</v>
      </c>
      <c r="L330" s="1109">
        <f t="shared" si="768"/>
        <v>0</v>
      </c>
      <c r="M330" s="1109">
        <f t="shared" si="768"/>
        <v>0</v>
      </c>
      <c r="N330" s="1109">
        <f t="shared" si="768"/>
        <v>0</v>
      </c>
      <c r="O330" s="1109">
        <f t="shared" si="768"/>
        <v>0</v>
      </c>
      <c r="P330" s="1109">
        <f t="shared" si="768"/>
        <v>0</v>
      </c>
      <c r="Q330" s="1200">
        <f t="shared" si="768"/>
        <v>0</v>
      </c>
      <c r="R330" s="1200">
        <f t="shared" si="768"/>
        <v>0</v>
      </c>
      <c r="S330" s="1109">
        <f t="shared" si="768"/>
        <v>0</v>
      </c>
      <c r="T330" s="1109">
        <f t="shared" si="768"/>
        <v>0</v>
      </c>
      <c r="U330" s="1109">
        <f t="shared" si="768"/>
        <v>0</v>
      </c>
      <c r="V330" s="1109">
        <f t="shared" si="768"/>
        <v>0</v>
      </c>
      <c r="W330" s="1109">
        <f t="shared" si="768"/>
        <v>0</v>
      </c>
      <c r="X330" s="1200">
        <f t="shared" si="768"/>
        <v>0</v>
      </c>
      <c r="Y330" s="1200">
        <f t="shared" si="768"/>
        <v>0</v>
      </c>
      <c r="Z330" s="1109">
        <f t="shared" si="768"/>
        <v>0</v>
      </c>
      <c r="AA330" s="1109">
        <f t="shared" si="768"/>
        <v>0</v>
      </c>
      <c r="AB330" s="1109">
        <f t="shared" si="768"/>
        <v>0</v>
      </c>
      <c r="AC330" s="1109">
        <f t="shared" si="768"/>
        <v>0</v>
      </c>
      <c r="AD330" s="1109">
        <f t="shared" si="768"/>
        <v>0</v>
      </c>
      <c r="AE330" s="1200">
        <f t="shared" si="768"/>
        <v>0</v>
      </c>
      <c r="AF330" s="1200">
        <f t="shared" si="768"/>
        <v>0</v>
      </c>
      <c r="AG330" s="1109">
        <f t="shared" si="768"/>
        <v>0</v>
      </c>
      <c r="AH330" s="1109">
        <f t="shared" si="768"/>
        <v>0</v>
      </c>
      <c r="AI330" s="1417">
        <f t="shared" si="768"/>
        <v>0</v>
      </c>
      <c r="AJ330" s="96"/>
      <c r="AK330" s="723"/>
      <c r="AL330" s="695"/>
      <c r="AM330" s="961"/>
      <c r="AN330" s="292"/>
      <c r="AO330" s="681"/>
      <c r="AP330" s="285"/>
      <c r="AQ330" s="285"/>
      <c r="AR330" s="285"/>
      <c r="AS330" s="285"/>
      <c r="AT330" s="286"/>
      <c r="AU330" s="285"/>
      <c r="AV330" s="287"/>
      <c r="AW330" s="1081"/>
      <c r="AX330" s="1081"/>
      <c r="AY330" s="1081"/>
      <c r="AZ330" s="1081"/>
      <c r="BA330" s="1081"/>
      <c r="BB330" s="1081"/>
      <c r="BC330" s="1081"/>
      <c r="BD330" s="1081"/>
    </row>
    <row r="331" spans="1:56" s="23" customFormat="1" ht="20.65" customHeight="1" thickTop="1">
      <c r="A331" s="219" t="s">
        <v>705</v>
      </c>
      <c r="B331" s="89" t="s">
        <v>620</v>
      </c>
      <c r="C331" s="1493" t="str">
        <f>Table2[[#This Row],[M/C No.]]</f>
        <v>H9(50ton)</v>
      </c>
      <c r="D331" s="28" t="s">
        <v>82</v>
      </c>
      <c r="E331" s="1139">
        <v>0</v>
      </c>
      <c r="F331" s="1139">
        <v>0</v>
      </c>
      <c r="G331" s="1231">
        <v>7000</v>
      </c>
      <c r="H331" s="1139">
        <v>13000</v>
      </c>
      <c r="I331" s="1139">
        <v>13000</v>
      </c>
      <c r="J331" s="1231">
        <v>13000</v>
      </c>
      <c r="K331" s="1231">
        <v>13000</v>
      </c>
      <c r="L331" s="1139">
        <v>13000</v>
      </c>
      <c r="M331" s="1139">
        <v>13000</v>
      </c>
      <c r="N331" s="1139">
        <v>13000</v>
      </c>
      <c r="O331" s="1139">
        <v>13000</v>
      </c>
      <c r="P331" s="1139">
        <v>13000</v>
      </c>
      <c r="Q331" s="1231">
        <v>13000</v>
      </c>
      <c r="R331" s="1231">
        <v>13000</v>
      </c>
      <c r="S331" s="1139">
        <v>0</v>
      </c>
      <c r="T331" s="1139">
        <v>0</v>
      </c>
      <c r="U331" s="1139">
        <v>6000</v>
      </c>
      <c r="V331" s="1139">
        <v>13000</v>
      </c>
      <c r="W331" s="1139">
        <v>13000</v>
      </c>
      <c r="X331" s="1231">
        <v>13000</v>
      </c>
      <c r="Y331" s="1231">
        <v>13000</v>
      </c>
      <c r="Z331" s="1139">
        <v>13000</v>
      </c>
      <c r="AA331" s="1139">
        <v>13000</v>
      </c>
      <c r="AB331" s="1139">
        <v>13000</v>
      </c>
      <c r="AC331" s="1139">
        <v>13000</v>
      </c>
      <c r="AD331" s="1139">
        <v>0</v>
      </c>
      <c r="AE331" s="1231">
        <v>0</v>
      </c>
      <c r="AF331" s="1231">
        <v>0</v>
      </c>
      <c r="AG331" s="1139">
        <v>0</v>
      </c>
      <c r="AH331" s="1139">
        <v>0</v>
      </c>
      <c r="AI331" s="1139"/>
      <c r="AJ331" s="29">
        <f>SUM(E331:AI331)</f>
        <v>260000</v>
      </c>
      <c r="AK331" s="1020">
        <f>AJ333</f>
        <v>300000</v>
      </c>
      <c r="AL331" s="101">
        <f>+AJ331*AN331</f>
        <v>1520581.4000000001</v>
      </c>
      <c r="AM331" s="1019">
        <f>AL333</f>
        <v>1754517</v>
      </c>
      <c r="AN331" s="293">
        <v>5.8483900000000002</v>
      </c>
      <c r="AO331" s="633">
        <f>Table2[[#This Row],[Total]]*B335/1000</f>
        <v>775.32</v>
      </c>
      <c r="AP331" s="32" t="s">
        <v>405</v>
      </c>
      <c r="AQ331" s="33" t="s">
        <v>84</v>
      </c>
      <c r="AR331" s="33" t="s">
        <v>85</v>
      </c>
      <c r="AS331" s="33" t="s">
        <v>86</v>
      </c>
      <c r="AT331" s="33" t="s">
        <v>87</v>
      </c>
      <c r="AU331" s="33" t="s">
        <v>88</v>
      </c>
      <c r="AV331" s="34" t="s">
        <v>68</v>
      </c>
      <c r="AW331" s="1081"/>
      <c r="AX331" s="1081"/>
      <c r="AY331" s="1081"/>
      <c r="AZ331" s="1081"/>
      <c r="BA331" s="1081"/>
      <c r="BB331" s="1081"/>
      <c r="BC331" s="1081"/>
      <c r="BD331" s="1081"/>
    </row>
    <row r="332" spans="1:56" s="23" customFormat="1" ht="20.65" customHeight="1">
      <c r="A332" s="274"/>
      <c r="B332" s="208" t="s">
        <v>396</v>
      </c>
      <c r="C332" s="312" t="s">
        <v>95</v>
      </c>
      <c r="D332" s="37" t="s">
        <v>90</v>
      </c>
      <c r="E332" s="1323">
        <f>IF(E331="",0,+ E331/E338)</f>
        <v>0</v>
      </c>
      <c r="F332" s="1096">
        <f t="shared" ref="F332:AC332" si="769">IF(F331="",0, E332+F331/F338)</f>
        <v>0</v>
      </c>
      <c r="G332" s="1207">
        <f t="shared" si="769"/>
        <v>1750</v>
      </c>
      <c r="H332" s="1096">
        <f t="shared" si="769"/>
        <v>5000</v>
      </c>
      <c r="I332" s="1096">
        <f t="shared" si="769"/>
        <v>8250</v>
      </c>
      <c r="J332" s="1207">
        <f t="shared" si="769"/>
        <v>11500</v>
      </c>
      <c r="K332" s="1207">
        <f t="shared" si="769"/>
        <v>14750</v>
      </c>
      <c r="L332" s="1096">
        <f t="shared" si="769"/>
        <v>18000</v>
      </c>
      <c r="M332" s="1096">
        <f t="shared" si="769"/>
        <v>21250</v>
      </c>
      <c r="N332" s="1096">
        <f t="shared" si="769"/>
        <v>24500</v>
      </c>
      <c r="O332" s="1096">
        <f t="shared" si="769"/>
        <v>27750</v>
      </c>
      <c r="P332" s="1096">
        <f t="shared" si="769"/>
        <v>31000</v>
      </c>
      <c r="Q332" s="1207">
        <f t="shared" si="769"/>
        <v>34250</v>
      </c>
      <c r="R332" s="1207">
        <f t="shared" si="769"/>
        <v>37500</v>
      </c>
      <c r="S332" s="1096">
        <f t="shared" si="769"/>
        <v>37500</v>
      </c>
      <c r="T332" s="1096">
        <f t="shared" si="769"/>
        <v>37500</v>
      </c>
      <c r="U332" s="1096">
        <f t="shared" si="769"/>
        <v>39000</v>
      </c>
      <c r="V332" s="1096">
        <f t="shared" si="769"/>
        <v>42250</v>
      </c>
      <c r="W332" s="1096">
        <f t="shared" si="769"/>
        <v>45500</v>
      </c>
      <c r="X332" s="1207">
        <f t="shared" si="769"/>
        <v>48750</v>
      </c>
      <c r="Y332" s="1207">
        <f t="shared" si="769"/>
        <v>52000</v>
      </c>
      <c r="Z332" s="1096">
        <f t="shared" si="769"/>
        <v>55250</v>
      </c>
      <c r="AA332" s="1096">
        <f t="shared" si="769"/>
        <v>58500</v>
      </c>
      <c r="AB332" s="1096">
        <f t="shared" si="769"/>
        <v>61750</v>
      </c>
      <c r="AC332" s="1096">
        <f t="shared" si="769"/>
        <v>65000</v>
      </c>
      <c r="AD332" s="1096">
        <f>IF(AD331="",0, Z332+AD331/AD338)</f>
        <v>55250</v>
      </c>
      <c r="AE332" s="1207">
        <f>IF(AE331="",0, AA332+AE331/AE338)</f>
        <v>58500</v>
      </c>
      <c r="AF332" s="1207">
        <f>IF(AF331="",0, AB332+AF331/AF338)</f>
        <v>61750</v>
      </c>
      <c r="AG332" s="1096">
        <f>IF(AG331="",0, AC332+AG331/AG338)</f>
        <v>65000</v>
      </c>
      <c r="AH332" s="1096">
        <f>IF(AH331="",0, AD332+AH331/AH338)</f>
        <v>55250</v>
      </c>
      <c r="AI332" s="1324">
        <f>IF(AI331="",0, AH332+AI331/AI338)</f>
        <v>0</v>
      </c>
      <c r="AJ332" s="716"/>
      <c r="AK332" s="716"/>
      <c r="AL332" s="209"/>
      <c r="AM332" s="794"/>
      <c r="AN332" s="91"/>
      <c r="AO332" s="675"/>
      <c r="AP332" s="39" t="s">
        <v>91</v>
      </c>
      <c r="AQ332" s="40">
        <f>SUM(E331:H331)</f>
        <v>20000</v>
      </c>
      <c r="AR332" s="41">
        <f>SUM(I331:O331)</f>
        <v>91000</v>
      </c>
      <c r="AS332" s="41">
        <f>SUM(P331:V331)</f>
        <v>58000</v>
      </c>
      <c r="AT332" s="41">
        <f>SUM(W331:AC331)</f>
        <v>91000</v>
      </c>
      <c r="AU332" s="41">
        <f>SUM(AD331:AI331)</f>
        <v>0</v>
      </c>
      <c r="AV332" s="34">
        <f t="shared" ref="AV332:AV337" si="770">SUM(AQ332:AU332)</f>
        <v>260000</v>
      </c>
      <c r="AW332" s="1081"/>
      <c r="AX332" s="1081"/>
      <c r="AY332" s="1081"/>
      <c r="AZ332" s="1081"/>
      <c r="BA332" s="1081"/>
      <c r="BB332" s="1081"/>
      <c r="BC332" s="1081"/>
      <c r="BD332" s="1081"/>
    </row>
    <row r="333" spans="1:56" s="23" customFormat="1" ht="20.65" customHeight="1">
      <c r="A333" s="321"/>
      <c r="B333" s="89" t="s">
        <v>246</v>
      </c>
      <c r="C333" s="1258">
        <v>30000</v>
      </c>
      <c r="D333" s="43" t="s">
        <v>93</v>
      </c>
      <c r="E333" s="1108">
        <v>13248</v>
      </c>
      <c r="F333" s="1089">
        <v>13152</v>
      </c>
      <c r="G333" s="44">
        <v>13248</v>
      </c>
      <c r="H333" s="1089">
        <v>10368</v>
      </c>
      <c r="I333" s="1089">
        <v>13248</v>
      </c>
      <c r="J333" s="44">
        <v>13248</v>
      </c>
      <c r="K333" s="44">
        <v>13248</v>
      </c>
      <c r="L333" s="1089">
        <v>13248</v>
      </c>
      <c r="M333" s="1089">
        <v>13248</v>
      </c>
      <c r="N333" s="1089">
        <v>12672</v>
      </c>
      <c r="O333" s="1089">
        <v>13824</v>
      </c>
      <c r="P333" s="1089">
        <v>13248</v>
      </c>
      <c r="Q333" s="44">
        <v>13248</v>
      </c>
      <c r="R333" s="44">
        <v>13248</v>
      </c>
      <c r="S333" s="1089">
        <v>13248</v>
      </c>
      <c r="T333" s="1089">
        <v>13248</v>
      </c>
      <c r="U333" s="1089">
        <v>10944</v>
      </c>
      <c r="V333" s="1089">
        <v>13248</v>
      </c>
      <c r="W333" s="1089">
        <v>13248</v>
      </c>
      <c r="X333" s="44">
        <v>13248</v>
      </c>
      <c r="Y333" s="44">
        <v>13248</v>
      </c>
      <c r="Z333" s="1089">
        <v>13824</v>
      </c>
      <c r="AA333" s="1089">
        <v>13248</v>
      </c>
      <c r="AB333" s="1089"/>
      <c r="AC333" s="1089"/>
      <c r="AD333" s="1089"/>
      <c r="AE333" s="44"/>
      <c r="AF333" s="44"/>
      <c r="AG333" s="1089"/>
      <c r="AH333" s="1089"/>
      <c r="AI333" s="1326"/>
      <c r="AJ333" s="45">
        <f>SUM(E333:AI333)</f>
        <v>300000</v>
      </c>
      <c r="AK333" s="45"/>
      <c r="AL333" s="46">
        <f>+AJ333*AN331</f>
        <v>1754517</v>
      </c>
      <c r="AM333" s="934"/>
      <c r="AN333" s="277"/>
      <c r="AO333" s="632">
        <f>(AJ333+AJ335+AJ336+AJ337)*B335/1000</f>
        <v>912.12223200000005</v>
      </c>
      <c r="AP333" s="47" t="s">
        <v>94</v>
      </c>
      <c r="AQ333" s="48">
        <f>SUM(E333:H333)</f>
        <v>50016</v>
      </c>
      <c r="AR333" s="49">
        <f>SUM(I333:O333)</f>
        <v>92736</v>
      </c>
      <c r="AS333" s="49">
        <f>SUM(P333:V333)</f>
        <v>90432</v>
      </c>
      <c r="AT333" s="49">
        <f>SUM(W333:AC333)</f>
        <v>66816</v>
      </c>
      <c r="AU333" s="49">
        <f>SUM(AD333:AI333)</f>
        <v>0</v>
      </c>
      <c r="AV333" s="50">
        <f t="shared" si="770"/>
        <v>300000</v>
      </c>
      <c r="AW333" s="1081"/>
      <c r="AX333" s="1081"/>
      <c r="AY333" s="1081"/>
      <c r="AZ333" s="1081"/>
      <c r="BA333" s="1081"/>
      <c r="BB333" s="1081"/>
      <c r="BC333" s="1081"/>
      <c r="BD333" s="1081"/>
    </row>
    <row r="334" spans="1:56" s="23" customFormat="1" ht="20.65" customHeight="1">
      <c r="A334" s="321"/>
      <c r="B334" s="638" t="s">
        <v>247</v>
      </c>
      <c r="C334" s="89" t="s">
        <v>108</v>
      </c>
      <c r="D334" s="53" t="s">
        <v>96</v>
      </c>
      <c r="E334" s="1137">
        <f t="shared" ref="E334:AJ334" si="771">+E333-E331</f>
        <v>13248</v>
      </c>
      <c r="F334" s="1097">
        <f t="shared" si="771"/>
        <v>13152</v>
      </c>
      <c r="G334" s="1205">
        <f t="shared" si="771"/>
        <v>6248</v>
      </c>
      <c r="H334" s="1097">
        <f t="shared" si="771"/>
        <v>-2632</v>
      </c>
      <c r="I334" s="1097">
        <f t="shared" si="771"/>
        <v>248</v>
      </c>
      <c r="J334" s="1205">
        <f>+J333-J331</f>
        <v>248</v>
      </c>
      <c r="K334" s="1205">
        <f t="shared" si="771"/>
        <v>248</v>
      </c>
      <c r="L334" s="1097">
        <f t="shared" si="771"/>
        <v>248</v>
      </c>
      <c r="M334" s="1097">
        <f t="shared" si="771"/>
        <v>248</v>
      </c>
      <c r="N334" s="1097">
        <f t="shared" si="771"/>
        <v>-328</v>
      </c>
      <c r="O334" s="1097">
        <f t="shared" si="771"/>
        <v>824</v>
      </c>
      <c r="P334" s="1097">
        <f t="shared" si="771"/>
        <v>248</v>
      </c>
      <c r="Q334" s="1205">
        <f t="shared" si="771"/>
        <v>248</v>
      </c>
      <c r="R334" s="1205">
        <f t="shared" si="771"/>
        <v>248</v>
      </c>
      <c r="S334" s="1097">
        <f t="shared" si="771"/>
        <v>13248</v>
      </c>
      <c r="T334" s="1097">
        <f t="shared" si="771"/>
        <v>13248</v>
      </c>
      <c r="U334" s="1097">
        <f t="shared" si="771"/>
        <v>4944</v>
      </c>
      <c r="V334" s="1097">
        <f t="shared" si="771"/>
        <v>248</v>
      </c>
      <c r="W334" s="1097">
        <f t="shared" si="771"/>
        <v>248</v>
      </c>
      <c r="X334" s="1205">
        <f t="shared" si="771"/>
        <v>248</v>
      </c>
      <c r="Y334" s="1205">
        <f t="shared" si="771"/>
        <v>248</v>
      </c>
      <c r="Z334" s="1097">
        <f t="shared" si="771"/>
        <v>824</v>
      </c>
      <c r="AA334" s="1097">
        <f t="shared" si="771"/>
        <v>248</v>
      </c>
      <c r="AB334" s="1097">
        <f t="shared" si="771"/>
        <v>-13000</v>
      </c>
      <c r="AC334" s="1097">
        <f t="shared" si="771"/>
        <v>-13000</v>
      </c>
      <c r="AD334" s="1097">
        <f t="shared" si="771"/>
        <v>0</v>
      </c>
      <c r="AE334" s="1205">
        <f>+AE333-AE331</f>
        <v>0</v>
      </c>
      <c r="AF334" s="1205">
        <f t="shared" si="771"/>
        <v>0</v>
      </c>
      <c r="AG334" s="1097">
        <f t="shared" si="771"/>
        <v>0</v>
      </c>
      <c r="AH334" s="1097">
        <f t="shared" si="771"/>
        <v>0</v>
      </c>
      <c r="AI334" s="1328">
        <f t="shared" si="771"/>
        <v>0</v>
      </c>
      <c r="AJ334" s="79">
        <f t="shared" si="771"/>
        <v>40000</v>
      </c>
      <c r="AK334" s="79"/>
      <c r="AL334" s="55">
        <f>+AJ334*AN331</f>
        <v>233935.6</v>
      </c>
      <c r="AM334" s="935"/>
      <c r="AN334" s="277" t="s">
        <v>97</v>
      </c>
      <c r="AO334" s="622"/>
      <c r="AP334" s="39" t="s">
        <v>98</v>
      </c>
      <c r="AQ334" s="56">
        <f>AQ333-AQ332</f>
        <v>30016</v>
      </c>
      <c r="AR334" s="70">
        <f>AR333-AR332</f>
        <v>1736</v>
      </c>
      <c r="AS334" s="70">
        <f>AS333-AS332</f>
        <v>32432</v>
      </c>
      <c r="AT334" s="70">
        <f>AT333-AT332</f>
        <v>-24184</v>
      </c>
      <c r="AU334" s="70">
        <f>AU333-AU332</f>
        <v>0</v>
      </c>
      <c r="AV334" s="57">
        <f t="shared" si="770"/>
        <v>40000</v>
      </c>
      <c r="AW334" s="1081"/>
      <c r="AX334" s="1081"/>
      <c r="AY334" s="1081"/>
      <c r="AZ334" s="1081"/>
      <c r="BA334" s="1081"/>
      <c r="BB334" s="1081"/>
      <c r="BC334" s="1081"/>
      <c r="BD334" s="1081"/>
    </row>
    <row r="335" spans="1:56" s="23" customFormat="1" ht="20.65" customHeight="1">
      <c r="A335" s="321"/>
      <c r="B335" s="684">
        <v>2.9820000000000002</v>
      </c>
      <c r="C335" s="1248">
        <f>+C333*0.8</f>
        <v>24000</v>
      </c>
      <c r="D335" s="61" t="s">
        <v>101</v>
      </c>
      <c r="E335" s="1098">
        <v>0</v>
      </c>
      <c r="F335" s="1099">
        <v>0</v>
      </c>
      <c r="G335" s="1208">
        <v>0</v>
      </c>
      <c r="H335" s="1099">
        <v>240</v>
      </c>
      <c r="I335" s="1099">
        <v>0</v>
      </c>
      <c r="J335" s="1208">
        <v>0</v>
      </c>
      <c r="K335" s="1208">
        <v>0</v>
      </c>
      <c r="L335" s="1099">
        <v>0</v>
      </c>
      <c r="M335" s="1099">
        <v>0</v>
      </c>
      <c r="N335" s="1099">
        <v>0</v>
      </c>
      <c r="O335" s="1099">
        <v>0</v>
      </c>
      <c r="P335" s="1099">
        <v>0</v>
      </c>
      <c r="Q335" s="1208">
        <v>0</v>
      </c>
      <c r="R335" s="1208">
        <v>0</v>
      </c>
      <c r="S335" s="1099">
        <v>0</v>
      </c>
      <c r="T335" s="1099">
        <v>0</v>
      </c>
      <c r="U335" s="1099">
        <v>412</v>
      </c>
      <c r="V335" s="1099">
        <v>0</v>
      </c>
      <c r="W335" s="1099">
        <v>0</v>
      </c>
      <c r="X335" s="1208">
        <v>0</v>
      </c>
      <c r="Y335" s="1208">
        <v>0</v>
      </c>
      <c r="Z335" s="1099">
        <v>0</v>
      </c>
      <c r="AA335" s="1099">
        <v>0</v>
      </c>
      <c r="AB335" s="1099"/>
      <c r="AC335" s="1099"/>
      <c r="AD335" s="1099"/>
      <c r="AE335" s="1208"/>
      <c r="AF335" s="1208"/>
      <c r="AG335" s="1099"/>
      <c r="AH335" s="1099"/>
      <c r="AI335" s="1330"/>
      <c r="AJ335" s="62">
        <f>SUM(E335:AI335)</f>
        <v>652</v>
      </c>
      <c r="AK335" s="62"/>
      <c r="AL335" s="63">
        <f>+AJ335*AN331</f>
        <v>3813.1502800000003</v>
      </c>
      <c r="AM335" s="936"/>
      <c r="AN335" s="301">
        <f>+AJ335/AJ333*100</f>
        <v>0.21733333333333335</v>
      </c>
      <c r="AO335" s="635">
        <f>AO333/AO331</f>
        <v>1.1764461538461539</v>
      </c>
      <c r="AP335" s="39" t="s">
        <v>102</v>
      </c>
      <c r="AQ335" s="56">
        <f>SUM(E335:H335)</f>
        <v>240</v>
      </c>
      <c r="AR335" s="70">
        <f>SUM(I335:O335)</f>
        <v>0</v>
      </c>
      <c r="AS335" s="70">
        <f>SUM(P335:V335)</f>
        <v>412</v>
      </c>
      <c r="AT335" s="70">
        <f>SUM(W335:AC335)</f>
        <v>0</v>
      </c>
      <c r="AU335" s="70">
        <f>SUM(AD335:AI335)</f>
        <v>0</v>
      </c>
      <c r="AV335" s="57">
        <f t="shared" si="770"/>
        <v>652</v>
      </c>
      <c r="AW335" s="1081"/>
      <c r="AX335" s="1081"/>
      <c r="AY335" s="1081"/>
      <c r="AZ335" s="1081"/>
      <c r="BA335" s="1081"/>
      <c r="BB335" s="1081"/>
      <c r="BC335" s="1081"/>
      <c r="BD335" s="1081"/>
    </row>
    <row r="336" spans="1:56" s="23" customFormat="1" ht="20.65" customHeight="1">
      <c r="A336" s="321"/>
      <c r="B336" s="208"/>
      <c r="C336" s="52"/>
      <c r="D336" s="67" t="s">
        <v>103</v>
      </c>
      <c r="E336" s="1100">
        <v>144</v>
      </c>
      <c r="F336" s="1101">
        <v>144</v>
      </c>
      <c r="G336" s="1209">
        <v>144</v>
      </c>
      <c r="H336" s="1101">
        <v>144</v>
      </c>
      <c r="I336" s="1101">
        <v>144</v>
      </c>
      <c r="J336" s="1209">
        <v>144</v>
      </c>
      <c r="K336" s="1209">
        <v>144</v>
      </c>
      <c r="L336" s="1101">
        <v>144</v>
      </c>
      <c r="M336" s="1101">
        <v>144</v>
      </c>
      <c r="N336" s="1101">
        <v>144</v>
      </c>
      <c r="O336" s="1101">
        <v>144</v>
      </c>
      <c r="P336" s="1101">
        <v>144</v>
      </c>
      <c r="Q336" s="1209">
        <v>144</v>
      </c>
      <c r="R336" s="1209">
        <v>144</v>
      </c>
      <c r="S336" s="1101">
        <v>144</v>
      </c>
      <c r="T336" s="1101">
        <v>144</v>
      </c>
      <c r="U336" s="1101">
        <v>144</v>
      </c>
      <c r="V336" s="1101">
        <v>144</v>
      </c>
      <c r="W336" s="1101">
        <v>144</v>
      </c>
      <c r="X336" s="1209">
        <v>144</v>
      </c>
      <c r="Y336" s="1209">
        <v>144</v>
      </c>
      <c r="Z336" s="1101">
        <v>144</v>
      </c>
      <c r="AA336" s="1101">
        <v>144</v>
      </c>
      <c r="AB336" s="1101"/>
      <c r="AC336" s="1101"/>
      <c r="AD336" s="1101"/>
      <c r="AE336" s="1209"/>
      <c r="AF336" s="1209"/>
      <c r="AG336" s="1101"/>
      <c r="AH336" s="1101"/>
      <c r="AI336" s="1332"/>
      <c r="AJ336" s="68">
        <f>SUM(E336:AI336)</f>
        <v>3312</v>
      </c>
      <c r="AK336" s="68"/>
      <c r="AL336" s="69">
        <f>+AJ336*AN331</f>
        <v>19369.867679999999</v>
      </c>
      <c r="AM336" s="937"/>
      <c r="AN336" s="277"/>
      <c r="AO336" s="679"/>
      <c r="AP336" s="39" t="s">
        <v>19</v>
      </c>
      <c r="AQ336" s="56">
        <f>AQ335*AN331</f>
        <v>1403.6136000000001</v>
      </c>
      <c r="AR336" s="56">
        <f>AR335*AN331</f>
        <v>0</v>
      </c>
      <c r="AS336" s="56">
        <f>AS335*AN331</f>
        <v>2409.5366800000002</v>
      </c>
      <c r="AT336" s="56">
        <f>AT335*AN331</f>
        <v>0</v>
      </c>
      <c r="AU336" s="56">
        <f>AU335*AN331</f>
        <v>0</v>
      </c>
      <c r="AV336" s="57">
        <f t="shared" si="770"/>
        <v>3813.1502800000003</v>
      </c>
      <c r="AW336" s="1081"/>
      <c r="AX336" s="1081"/>
      <c r="AY336" s="1081"/>
      <c r="AZ336" s="1081"/>
      <c r="BA336" s="1081"/>
      <c r="BB336" s="1081"/>
      <c r="BC336" s="1081"/>
      <c r="BD336" s="1081"/>
    </row>
    <row r="337" spans="1:56" s="23" customFormat="1" ht="20.65" customHeight="1">
      <c r="A337" s="274"/>
      <c r="B337" s="208"/>
      <c r="C337" s="308"/>
      <c r="D337" s="73" t="s">
        <v>105</v>
      </c>
      <c r="E337" s="1102">
        <v>64</v>
      </c>
      <c r="F337" s="1103">
        <v>80</v>
      </c>
      <c r="G337" s="1210">
        <v>96</v>
      </c>
      <c r="H337" s="1103">
        <v>72</v>
      </c>
      <c r="I337" s="1103">
        <v>80</v>
      </c>
      <c r="J337" s="1210">
        <v>96</v>
      </c>
      <c r="K337" s="1210">
        <v>96</v>
      </c>
      <c r="L337" s="1103">
        <v>80</v>
      </c>
      <c r="M337" s="1103">
        <v>80</v>
      </c>
      <c r="N337" s="1103">
        <v>96</v>
      </c>
      <c r="O337" s="1103">
        <v>96</v>
      </c>
      <c r="P337" s="1103">
        <v>96</v>
      </c>
      <c r="Q337" s="1210">
        <v>96</v>
      </c>
      <c r="R337" s="1210">
        <v>96</v>
      </c>
      <c r="S337" s="1103">
        <v>80</v>
      </c>
      <c r="T337" s="1103">
        <v>80</v>
      </c>
      <c r="U337" s="1103">
        <v>64</v>
      </c>
      <c r="V337" s="1103">
        <v>80</v>
      </c>
      <c r="W337" s="1103">
        <v>80</v>
      </c>
      <c r="X337" s="1210">
        <v>96</v>
      </c>
      <c r="Y337" s="1210">
        <v>96</v>
      </c>
      <c r="Z337" s="1103">
        <v>32</v>
      </c>
      <c r="AA337" s="1103">
        <v>80</v>
      </c>
      <c r="AB337" s="1103"/>
      <c r="AC337" s="1103"/>
      <c r="AD337" s="1103"/>
      <c r="AE337" s="1210"/>
      <c r="AF337" s="1210"/>
      <c r="AG337" s="1103"/>
      <c r="AH337" s="1103"/>
      <c r="AI337" s="1352"/>
      <c r="AJ337" s="74">
        <f>SUM(E337:AI337)</f>
        <v>1912</v>
      </c>
      <c r="AK337" s="74"/>
      <c r="AL337" s="75">
        <f>+AJ337*AN331</f>
        <v>11182.12168</v>
      </c>
      <c r="AM337" s="938"/>
      <c r="AN337" s="91"/>
      <c r="AO337" s="630"/>
      <c r="AP337" s="47" t="s">
        <v>106</v>
      </c>
      <c r="AQ337" s="48">
        <f>AQ333*AN331</f>
        <v>292513.07423999999</v>
      </c>
      <c r="AR337" s="48">
        <f>AR333*AN331</f>
        <v>542356.29504</v>
      </c>
      <c r="AS337" s="48">
        <f>AS333*AN331</f>
        <v>528881.60447999998</v>
      </c>
      <c r="AT337" s="48">
        <f>AT333*AN331</f>
        <v>390766.02624000004</v>
      </c>
      <c r="AU337" s="48">
        <f>AU333*AN331</f>
        <v>0</v>
      </c>
      <c r="AV337" s="50">
        <f t="shared" si="770"/>
        <v>1754517</v>
      </c>
      <c r="AW337" s="1081"/>
      <c r="AX337" s="1081"/>
      <c r="AY337" s="1081"/>
      <c r="AZ337" s="1081"/>
      <c r="BA337" s="1081"/>
      <c r="BB337" s="1081"/>
      <c r="BC337" s="1081"/>
      <c r="BD337" s="1081"/>
    </row>
    <row r="338" spans="1:56" s="23" customFormat="1" ht="20.65" customHeight="1">
      <c r="A338" s="219"/>
      <c r="B338" s="208"/>
      <c r="C338" s="307"/>
      <c r="D338" s="78" t="s">
        <v>107</v>
      </c>
      <c r="E338" s="1137">
        <v>4</v>
      </c>
      <c r="F338" s="1097">
        <v>4</v>
      </c>
      <c r="G338" s="1205">
        <v>4</v>
      </c>
      <c r="H338" s="1097">
        <v>4</v>
      </c>
      <c r="I338" s="1097">
        <v>4</v>
      </c>
      <c r="J338" s="1205">
        <v>4</v>
      </c>
      <c r="K338" s="1205">
        <v>4</v>
      </c>
      <c r="L338" s="1097">
        <v>4</v>
      </c>
      <c r="M338" s="1097">
        <v>4</v>
      </c>
      <c r="N338" s="1097">
        <v>4</v>
      </c>
      <c r="O338" s="1097">
        <v>4</v>
      </c>
      <c r="P338" s="1097">
        <v>4</v>
      </c>
      <c r="Q338" s="1205">
        <v>4</v>
      </c>
      <c r="R338" s="1205">
        <v>4</v>
      </c>
      <c r="S338" s="1097">
        <v>4</v>
      </c>
      <c r="T338" s="1097">
        <v>4</v>
      </c>
      <c r="U338" s="1097">
        <v>4</v>
      </c>
      <c r="V338" s="1097">
        <v>4</v>
      </c>
      <c r="W338" s="1097">
        <v>4</v>
      </c>
      <c r="X338" s="1205">
        <v>4</v>
      </c>
      <c r="Y338" s="1205">
        <v>4</v>
      </c>
      <c r="Z338" s="1097">
        <v>4</v>
      </c>
      <c r="AA338" s="1097">
        <v>4</v>
      </c>
      <c r="AB338" s="1097">
        <v>4</v>
      </c>
      <c r="AC338" s="1097">
        <v>4</v>
      </c>
      <c r="AD338" s="1097">
        <v>4</v>
      </c>
      <c r="AE338" s="1205">
        <v>4</v>
      </c>
      <c r="AF338" s="1205">
        <v>4</v>
      </c>
      <c r="AG338" s="1097">
        <v>4</v>
      </c>
      <c r="AH338" s="1097">
        <v>4</v>
      </c>
      <c r="AI338" s="1328">
        <v>4</v>
      </c>
      <c r="AJ338" s="79"/>
      <c r="AK338" s="79"/>
      <c r="AL338" s="692"/>
      <c r="AM338" s="960"/>
      <c r="AN338" s="277"/>
      <c r="AO338" s="679"/>
      <c r="AP338" s="391"/>
      <c r="AQ338" s="48"/>
      <c r="AR338" s="48"/>
      <c r="AS338" s="48"/>
      <c r="AT338" s="48"/>
      <c r="AU338" s="48"/>
      <c r="AV338" s="4"/>
      <c r="AW338" s="1081"/>
      <c r="AX338" s="1081"/>
      <c r="AY338" s="1081"/>
      <c r="AZ338" s="1081"/>
      <c r="BA338" s="1081"/>
      <c r="BB338" s="1081"/>
      <c r="BC338" s="1081"/>
      <c r="BD338" s="1081"/>
    </row>
    <row r="339" spans="1:56" s="23" customFormat="1" ht="20.65" customHeight="1">
      <c r="A339" s="321"/>
      <c r="B339" s="208"/>
      <c r="C339" s="305"/>
      <c r="D339" s="81" t="s">
        <v>109</v>
      </c>
      <c r="E339" s="1125">
        <f>SUM(E333+E335+E336+E337)/E338</f>
        <v>3364</v>
      </c>
      <c r="F339" s="1126">
        <f>SUM(F333+F335+F336+F337)/F338</f>
        <v>3344</v>
      </c>
      <c r="G339" s="1235">
        <f t="shared" ref="G339:AH339" si="772">SUM(G333+G335+G336+G337)/G338</f>
        <v>3372</v>
      </c>
      <c r="H339" s="1126">
        <f t="shared" si="772"/>
        <v>2706</v>
      </c>
      <c r="I339" s="1126">
        <f t="shared" si="772"/>
        <v>3368</v>
      </c>
      <c r="J339" s="1235">
        <f t="shared" si="772"/>
        <v>3372</v>
      </c>
      <c r="K339" s="1235">
        <f t="shared" si="772"/>
        <v>3372</v>
      </c>
      <c r="L339" s="1126">
        <f t="shared" si="772"/>
        <v>3368</v>
      </c>
      <c r="M339" s="1126">
        <f t="shared" si="772"/>
        <v>3368</v>
      </c>
      <c r="N339" s="1126">
        <f t="shared" si="772"/>
        <v>3228</v>
      </c>
      <c r="O339" s="1126">
        <f t="shared" si="772"/>
        <v>3516</v>
      </c>
      <c r="P339" s="1126">
        <f t="shared" si="772"/>
        <v>3372</v>
      </c>
      <c r="Q339" s="1235">
        <f t="shared" si="772"/>
        <v>3372</v>
      </c>
      <c r="R339" s="1235">
        <f t="shared" si="772"/>
        <v>3372</v>
      </c>
      <c r="S339" s="1126">
        <f t="shared" si="772"/>
        <v>3368</v>
      </c>
      <c r="T339" s="1126">
        <f t="shared" si="772"/>
        <v>3368</v>
      </c>
      <c r="U339" s="1126">
        <f t="shared" si="772"/>
        <v>2891</v>
      </c>
      <c r="V339" s="1126">
        <f t="shared" si="772"/>
        <v>3368</v>
      </c>
      <c r="W339" s="1126">
        <f t="shared" si="772"/>
        <v>3368</v>
      </c>
      <c r="X339" s="1235">
        <f t="shared" si="772"/>
        <v>3372</v>
      </c>
      <c r="Y339" s="1235">
        <f t="shared" si="772"/>
        <v>3372</v>
      </c>
      <c r="Z339" s="1126">
        <f t="shared" si="772"/>
        <v>3500</v>
      </c>
      <c r="AA339" s="1126">
        <f t="shared" si="772"/>
        <v>3368</v>
      </c>
      <c r="AB339" s="1126">
        <f t="shared" si="772"/>
        <v>0</v>
      </c>
      <c r="AC339" s="1126">
        <f t="shared" si="772"/>
        <v>0</v>
      </c>
      <c r="AD339" s="1126">
        <f t="shared" si="772"/>
        <v>0</v>
      </c>
      <c r="AE339" s="1235">
        <f t="shared" si="772"/>
        <v>0</v>
      </c>
      <c r="AF339" s="1235">
        <f t="shared" si="772"/>
        <v>0</v>
      </c>
      <c r="AG339" s="1126">
        <f t="shared" si="772"/>
        <v>0</v>
      </c>
      <c r="AH339" s="1126">
        <f t="shared" si="772"/>
        <v>0</v>
      </c>
      <c r="AI339" s="1335">
        <f>SUM(AI333+AI335+AI336+AI337)/AI338</f>
        <v>0</v>
      </c>
      <c r="AJ339" s="515">
        <f>SUM(E339:AI339)</f>
        <v>76469</v>
      </c>
      <c r="AK339" s="515"/>
      <c r="AL339" s="689"/>
      <c r="AM339" s="940"/>
      <c r="AN339" s="277"/>
      <c r="AO339" s="679"/>
      <c r="AP339" s="285"/>
      <c r="AQ339" s="285"/>
      <c r="AR339" s="285"/>
      <c r="AS339" s="285"/>
      <c r="AT339" s="286"/>
      <c r="AU339" s="285"/>
      <c r="AV339" s="287"/>
      <c r="AW339" s="1081"/>
      <c r="AX339" s="1081"/>
      <c r="AY339" s="1081"/>
      <c r="AZ339" s="1081"/>
      <c r="BA339" s="1081"/>
      <c r="BB339" s="1081"/>
      <c r="BC339" s="1081"/>
      <c r="BD339" s="1081"/>
    </row>
    <row r="340" spans="1:56" s="23" customFormat="1" ht="20.65" customHeight="1">
      <c r="A340" s="321"/>
      <c r="B340" s="208" t="s">
        <v>549</v>
      </c>
      <c r="C340" s="72"/>
      <c r="D340" s="85" t="s">
        <v>110</v>
      </c>
      <c r="E340" s="1105"/>
      <c r="F340" s="1106"/>
      <c r="G340" s="1211"/>
      <c r="H340" s="1104" t="s">
        <v>534</v>
      </c>
      <c r="I340" s="1104"/>
      <c r="J340" s="1211"/>
      <c r="K340" s="1211"/>
      <c r="L340" s="1104"/>
      <c r="M340" s="1104"/>
      <c r="N340" s="1104"/>
      <c r="O340" s="1107"/>
      <c r="P340" s="1104"/>
      <c r="Q340" s="1211"/>
      <c r="R340" s="1211"/>
      <c r="S340" s="1104"/>
      <c r="T340" s="1104"/>
      <c r="U340" s="1104" t="s">
        <v>534</v>
      </c>
      <c r="V340" s="1104"/>
      <c r="W340" s="1104"/>
      <c r="X340" s="1211"/>
      <c r="Y340" s="1211"/>
      <c r="Z340" s="1107"/>
      <c r="AA340" s="1104"/>
      <c r="AB340" s="1104"/>
      <c r="AC340" s="1104"/>
      <c r="AD340" s="1104"/>
      <c r="AE340" s="1211"/>
      <c r="AF340" s="1211"/>
      <c r="AG340" s="1104"/>
      <c r="AH340" s="1104"/>
      <c r="AI340" s="1353"/>
      <c r="AJ340" s="86"/>
      <c r="AK340" s="86"/>
      <c r="AL340" s="690"/>
      <c r="AM340" s="940"/>
      <c r="AN340" s="277"/>
      <c r="AO340" s="679"/>
      <c r="AP340" s="285"/>
      <c r="AQ340" s="285"/>
      <c r="AR340" s="285"/>
      <c r="AS340" s="285"/>
      <c r="AT340" s="286"/>
      <c r="AU340" s="285"/>
      <c r="AV340" s="287"/>
      <c r="AW340" s="1081"/>
      <c r="AX340" s="1081"/>
      <c r="AY340" s="1081"/>
      <c r="AZ340" s="1081"/>
      <c r="BA340" s="1081"/>
      <c r="BB340" s="1081"/>
      <c r="BC340" s="1081"/>
      <c r="BD340" s="1081"/>
    </row>
    <row r="341" spans="1:56" s="23" customFormat="1" ht="20.65" customHeight="1">
      <c r="A341" s="321"/>
      <c r="B341" s="208"/>
      <c r="C341" s="72" t="s">
        <v>104</v>
      </c>
      <c r="D341" s="88" t="s">
        <v>111</v>
      </c>
      <c r="E341" s="1108">
        <f>IF(E340="O/H",E339,33019+E339)</f>
        <v>36383</v>
      </c>
      <c r="F341" s="1089">
        <f t="shared" ref="F341:AI341" si="773">IF(F340="O/H",F339,+E341+F339)</f>
        <v>39727</v>
      </c>
      <c r="G341" s="44">
        <f t="shared" si="773"/>
        <v>43099</v>
      </c>
      <c r="H341" s="1089">
        <f t="shared" si="773"/>
        <v>2706</v>
      </c>
      <c r="I341" s="1089">
        <f t="shared" si="773"/>
        <v>6074</v>
      </c>
      <c r="J341" s="44">
        <f t="shared" si="773"/>
        <v>9446</v>
      </c>
      <c r="K341" s="44">
        <f t="shared" si="773"/>
        <v>12818</v>
      </c>
      <c r="L341" s="1089">
        <f t="shared" si="773"/>
        <v>16186</v>
      </c>
      <c r="M341" s="1089">
        <f t="shared" si="773"/>
        <v>19554</v>
      </c>
      <c r="N341" s="1089">
        <f t="shared" si="773"/>
        <v>22782</v>
      </c>
      <c r="O341" s="1089">
        <f t="shared" si="773"/>
        <v>26298</v>
      </c>
      <c r="P341" s="1089">
        <f t="shared" si="773"/>
        <v>29670</v>
      </c>
      <c r="Q341" s="44">
        <f t="shared" si="773"/>
        <v>33042</v>
      </c>
      <c r="R341" s="44">
        <f t="shared" si="773"/>
        <v>36414</v>
      </c>
      <c r="S341" s="1089">
        <f t="shared" si="773"/>
        <v>39782</v>
      </c>
      <c r="T341" s="1089">
        <f t="shared" si="773"/>
        <v>43150</v>
      </c>
      <c r="U341" s="1089">
        <f t="shared" si="773"/>
        <v>2891</v>
      </c>
      <c r="V341" s="1089">
        <f t="shared" si="773"/>
        <v>6259</v>
      </c>
      <c r="W341" s="1089">
        <f t="shared" si="773"/>
        <v>9627</v>
      </c>
      <c r="X341" s="44">
        <f t="shared" si="773"/>
        <v>12999</v>
      </c>
      <c r="Y341" s="44">
        <f t="shared" si="773"/>
        <v>16371</v>
      </c>
      <c r="Z341" s="1089">
        <f t="shared" si="773"/>
        <v>19871</v>
      </c>
      <c r="AA341" s="1089">
        <f t="shared" si="773"/>
        <v>23239</v>
      </c>
      <c r="AB341" s="1089">
        <f t="shared" si="773"/>
        <v>23239</v>
      </c>
      <c r="AC341" s="1089">
        <f t="shared" si="773"/>
        <v>23239</v>
      </c>
      <c r="AD341" s="1089">
        <f t="shared" si="773"/>
        <v>23239</v>
      </c>
      <c r="AE341" s="44">
        <f t="shared" si="773"/>
        <v>23239</v>
      </c>
      <c r="AF341" s="44">
        <f t="shared" si="773"/>
        <v>23239</v>
      </c>
      <c r="AG341" s="1089">
        <f t="shared" si="773"/>
        <v>23239</v>
      </c>
      <c r="AH341" s="1089">
        <f t="shared" si="773"/>
        <v>23239</v>
      </c>
      <c r="AI341" s="1326">
        <f t="shared" si="773"/>
        <v>23239</v>
      </c>
      <c r="AJ341" s="79"/>
      <c r="AK341" s="79"/>
      <c r="AL341" s="690"/>
      <c r="AM341" s="940"/>
      <c r="AN341" s="277"/>
      <c r="AO341" s="679"/>
      <c r="AP341" s="285"/>
      <c r="AQ341" s="285"/>
      <c r="AR341" s="285"/>
      <c r="AS341" s="285"/>
      <c r="AT341" s="286"/>
      <c r="AU341" s="285"/>
      <c r="AV341" s="287"/>
      <c r="AW341" s="1081"/>
      <c r="AX341" s="1081"/>
      <c r="AY341" s="1081"/>
      <c r="AZ341" s="1081"/>
      <c r="BA341" s="1081"/>
      <c r="BB341" s="1081"/>
      <c r="BC341" s="1081"/>
      <c r="BD341" s="1081"/>
    </row>
    <row r="342" spans="1:56" s="23" customFormat="1" ht="20.45" customHeight="1">
      <c r="A342" s="312"/>
      <c r="B342" s="312"/>
      <c r="C342" s="308">
        <v>300000</v>
      </c>
      <c r="D342" s="795" t="s">
        <v>112</v>
      </c>
      <c r="E342" s="1117">
        <f>IF(AND(ISNUMBER(E333)),2120094+E339)</f>
        <v>2123458</v>
      </c>
      <c r="F342" s="1118">
        <f>IF(AND(ISNUMBER(F333)),E342+F339,"")</f>
        <v>2126802</v>
      </c>
      <c r="G342" s="1216">
        <f t="shared" ref="G342" si="774">IF(AND(ISNUMBER(G333)),F342+G339,"")</f>
        <v>2130174</v>
      </c>
      <c r="H342" s="1118">
        <f t="shared" ref="H342" si="775">IF(AND(ISNUMBER(H333)),G342+H339,"")</f>
        <v>2132880</v>
      </c>
      <c r="I342" s="1118">
        <f>IF(AND(ISNUMBER(I333)),H342+I339,"")</f>
        <v>2136248</v>
      </c>
      <c r="J342" s="1216">
        <f>IF(AND(ISNUMBER(J333)),I342+J339,"")</f>
        <v>2139620</v>
      </c>
      <c r="K342" s="1216">
        <f>IF(AND(ISNUMBER(K333)),J342+K339,"")</f>
        <v>2142992</v>
      </c>
      <c r="L342" s="1118">
        <f t="shared" ref="L342" si="776">IF(AND(ISNUMBER(L333)),K342+L339,"")</f>
        <v>2146360</v>
      </c>
      <c r="M342" s="1118">
        <f t="shared" ref="M342" si="777">IF(AND(ISNUMBER(M333)),L342+M339,"")</f>
        <v>2149728</v>
      </c>
      <c r="N342" s="1118">
        <f t="shared" ref="N342" si="778">IF(AND(ISNUMBER(N333)),M342+N339,"")</f>
        <v>2152956</v>
      </c>
      <c r="O342" s="1118">
        <f t="shared" ref="O342" si="779">IF(AND(ISNUMBER(O333)),N342+O339,"")</f>
        <v>2156472</v>
      </c>
      <c r="P342" s="1118">
        <f t="shared" ref="P342" si="780">IF(AND(ISNUMBER(P333)),O342+P339,"")</f>
        <v>2159844</v>
      </c>
      <c r="Q342" s="1216">
        <f t="shared" ref="Q342" si="781">IF(AND(ISNUMBER(Q333)),P342+Q339,"")</f>
        <v>2163216</v>
      </c>
      <c r="R342" s="1216">
        <f t="shared" ref="R342" si="782">IF(AND(ISNUMBER(R333)),Q342+R339,"")</f>
        <v>2166588</v>
      </c>
      <c r="S342" s="1118">
        <f t="shared" ref="S342" si="783">IF(AND(ISNUMBER(S333)),R342+S339,"")</f>
        <v>2169956</v>
      </c>
      <c r="T342" s="1118">
        <f t="shared" ref="T342" si="784">IF(AND(ISNUMBER(T333)),S342+T339,"")</f>
        <v>2173324</v>
      </c>
      <c r="U342" s="1118">
        <f t="shared" ref="U342" si="785">IF(AND(ISNUMBER(U333)),T342+U339,"")</f>
        <v>2176215</v>
      </c>
      <c r="V342" s="1118">
        <f t="shared" ref="V342" si="786">IF(AND(ISNUMBER(V333)),U342+V339,"")</f>
        <v>2179583</v>
      </c>
      <c r="W342" s="1118">
        <f t="shared" ref="W342" si="787">IF(AND(ISNUMBER(W333)),V342+W339,"")</f>
        <v>2182951</v>
      </c>
      <c r="X342" s="1216">
        <f t="shared" ref="X342" si="788">IF(AND(ISNUMBER(X333)),W342+X339,"")</f>
        <v>2186323</v>
      </c>
      <c r="Y342" s="1216">
        <f t="shared" ref="Y342" si="789">IF(AND(ISNUMBER(Y333)),X342+Y339,"")</f>
        <v>2189695</v>
      </c>
      <c r="Z342" s="1118">
        <f t="shared" ref="Z342" si="790">IF(AND(ISNUMBER(Z333)),Y342+Z339,"")</f>
        <v>2193195</v>
      </c>
      <c r="AA342" s="1118">
        <f t="shared" ref="AA342" si="791">IF(AND(ISNUMBER(AA333)),Z342+AA339,"")</f>
        <v>2196563</v>
      </c>
      <c r="AB342" s="1118" t="str">
        <f t="shared" ref="AB342" si="792">IF(AND(ISNUMBER(AB333)),AA342+AB339,"")</f>
        <v/>
      </c>
      <c r="AC342" s="1118" t="str">
        <f t="shared" ref="AC342" si="793">IF(AND(ISNUMBER(AC333)),AB342+AC339,"")</f>
        <v/>
      </c>
      <c r="AD342" s="1118" t="str">
        <f t="shared" ref="AD342" si="794">IF(AND(ISNUMBER(AD333)),AC342+AD339,"")</f>
        <v/>
      </c>
      <c r="AE342" s="1216" t="str">
        <f t="shared" ref="AE342" si="795">IF(AND(ISNUMBER(AE333)),AD342+AE339,"")</f>
        <v/>
      </c>
      <c r="AF342" s="1216" t="str">
        <f t="shared" ref="AF342" si="796">IF(AND(ISNUMBER(AF333)),AE342+AF339,"")</f>
        <v/>
      </c>
      <c r="AG342" s="1118" t="str">
        <f t="shared" ref="AG342" si="797">IF(AND(ISNUMBER(AG333)),AF342+AG339,"")</f>
        <v/>
      </c>
      <c r="AH342" s="1118" t="str">
        <f t="shared" ref="AH342" si="798">IF(AND(ISNUMBER(AH333)),AG342+AH339,"")</f>
        <v/>
      </c>
      <c r="AI342" s="1118" t="str">
        <f t="shared" ref="AI342" si="799">IF(AND(ISNUMBER(AI333)),AH342+AI339,"")</f>
        <v/>
      </c>
      <c r="AJ342" s="793"/>
      <c r="AK342" s="793"/>
      <c r="AL342" s="909"/>
      <c r="AM342" s="794"/>
      <c r="AN342" s="429"/>
      <c r="AO342" s="675"/>
      <c r="AP342" s="285"/>
      <c r="AQ342" s="285"/>
      <c r="AR342" s="285"/>
      <c r="AS342" s="285"/>
      <c r="AT342" s="286"/>
      <c r="AU342" s="285"/>
      <c r="AV342" s="287"/>
      <c r="AW342" s="1081"/>
      <c r="AX342" s="1081"/>
      <c r="AY342" s="1081"/>
      <c r="AZ342" s="1081"/>
      <c r="BA342" s="1081"/>
      <c r="BB342" s="1081"/>
      <c r="BC342" s="1081"/>
      <c r="BD342" s="1081"/>
    </row>
    <row r="343" spans="1:56" s="23" customFormat="1" ht="20.65" customHeight="1">
      <c r="A343" s="321"/>
      <c r="B343" s="208"/>
      <c r="C343" s="80" t="s">
        <v>108</v>
      </c>
      <c r="D343" s="90" t="s">
        <v>104</v>
      </c>
      <c r="E343" s="1338"/>
      <c r="F343" s="1106"/>
      <c r="G343" s="1253"/>
      <c r="H343" s="1106"/>
      <c r="I343" s="1106"/>
      <c r="J343" s="1253"/>
      <c r="K343" s="1253"/>
      <c r="L343" s="1106"/>
      <c r="M343" s="1106"/>
      <c r="N343" s="1106"/>
      <c r="O343" s="1106"/>
      <c r="P343" s="1106"/>
      <c r="Q343" s="1253"/>
      <c r="R343" s="1253"/>
      <c r="S343" s="1106"/>
      <c r="T343" s="1106"/>
      <c r="U343" s="1106"/>
      <c r="V343" s="1106"/>
      <c r="W343" s="1106"/>
      <c r="X343" s="1253"/>
      <c r="Y343" s="1253"/>
      <c r="Z343" s="1106"/>
      <c r="AA343" s="1106"/>
      <c r="AB343" s="1106"/>
      <c r="AC343" s="1106"/>
      <c r="AD343" s="1106"/>
      <c r="AE343" s="1253"/>
      <c r="AF343" s="1253"/>
      <c r="AG343" s="1106"/>
      <c r="AH343" s="1106"/>
      <c r="AI343" s="1339"/>
      <c r="AJ343" s="79"/>
      <c r="AK343" s="79"/>
      <c r="AL343" s="690"/>
      <c r="AM343" s="940"/>
      <c r="AN343" s="277"/>
      <c r="AO343" s="679"/>
      <c r="AP343" s="285"/>
      <c r="AQ343" s="285"/>
      <c r="AR343" s="285"/>
      <c r="AS343" s="285"/>
      <c r="AT343" s="286"/>
      <c r="AU343" s="285"/>
      <c r="AV343" s="287"/>
      <c r="AW343" s="1081"/>
      <c r="AX343" s="1081"/>
      <c r="AY343" s="1081"/>
      <c r="AZ343" s="1081"/>
      <c r="BA343" s="1081"/>
      <c r="BB343" s="1081"/>
      <c r="BC343" s="1081"/>
      <c r="BD343" s="1081"/>
    </row>
    <row r="344" spans="1:56" s="23" customFormat="1" ht="20.65" customHeight="1" thickBot="1">
      <c r="A344" s="322"/>
      <c r="B344" s="323"/>
      <c r="C344" s="94">
        <f>+C342*0.8</f>
        <v>240000</v>
      </c>
      <c r="D344" s="88" t="s">
        <v>111</v>
      </c>
      <c r="E344" s="1109">
        <f>IF(E343="O/H",E339,298045+E339)</f>
        <v>301409</v>
      </c>
      <c r="F344" s="1110">
        <f t="shared" ref="F344:AI344" si="800">IF(F343="O/H",F339,+E344+F339)</f>
        <v>304753</v>
      </c>
      <c r="G344" s="1212">
        <f t="shared" si="800"/>
        <v>308125</v>
      </c>
      <c r="H344" s="1110">
        <f t="shared" si="800"/>
        <v>310831</v>
      </c>
      <c r="I344" s="1110">
        <f t="shared" si="800"/>
        <v>314199</v>
      </c>
      <c r="J344" s="1212">
        <f t="shared" si="800"/>
        <v>317571</v>
      </c>
      <c r="K344" s="1212">
        <f t="shared" si="800"/>
        <v>320943</v>
      </c>
      <c r="L344" s="1110">
        <f t="shared" si="800"/>
        <v>324311</v>
      </c>
      <c r="M344" s="1110">
        <f t="shared" si="800"/>
        <v>327679</v>
      </c>
      <c r="N344" s="1110">
        <f t="shared" si="800"/>
        <v>330907</v>
      </c>
      <c r="O344" s="1110">
        <f t="shared" si="800"/>
        <v>334423</v>
      </c>
      <c r="P344" s="1110">
        <f t="shared" si="800"/>
        <v>337795</v>
      </c>
      <c r="Q344" s="1212">
        <f t="shared" si="800"/>
        <v>341167</v>
      </c>
      <c r="R344" s="1212">
        <f t="shared" si="800"/>
        <v>344539</v>
      </c>
      <c r="S344" s="1110">
        <f t="shared" si="800"/>
        <v>347907</v>
      </c>
      <c r="T344" s="1110">
        <f t="shared" si="800"/>
        <v>351275</v>
      </c>
      <c r="U344" s="1110">
        <f t="shared" si="800"/>
        <v>354166</v>
      </c>
      <c r="V344" s="1110">
        <f t="shared" si="800"/>
        <v>357534</v>
      </c>
      <c r="W344" s="1110">
        <f t="shared" si="800"/>
        <v>360902</v>
      </c>
      <c r="X344" s="1212">
        <f t="shared" si="800"/>
        <v>364274</v>
      </c>
      <c r="Y344" s="1212">
        <f t="shared" si="800"/>
        <v>367646</v>
      </c>
      <c r="Z344" s="1110">
        <f t="shared" si="800"/>
        <v>371146</v>
      </c>
      <c r="AA344" s="1110">
        <f t="shared" si="800"/>
        <v>374514</v>
      </c>
      <c r="AB344" s="1110">
        <f t="shared" si="800"/>
        <v>374514</v>
      </c>
      <c r="AC344" s="1110">
        <f t="shared" si="800"/>
        <v>374514</v>
      </c>
      <c r="AD344" s="1110">
        <f t="shared" si="800"/>
        <v>374514</v>
      </c>
      <c r="AE344" s="1212">
        <f t="shared" si="800"/>
        <v>374514</v>
      </c>
      <c r="AF344" s="1212">
        <f t="shared" si="800"/>
        <v>374514</v>
      </c>
      <c r="AG344" s="1110">
        <f t="shared" si="800"/>
        <v>374514</v>
      </c>
      <c r="AH344" s="1110">
        <f t="shared" si="800"/>
        <v>374514</v>
      </c>
      <c r="AI344" s="1110">
        <f t="shared" si="800"/>
        <v>374514</v>
      </c>
      <c r="AJ344" s="96"/>
      <c r="AK344" s="723"/>
      <c r="AL344" s="695"/>
      <c r="AM344" s="961"/>
      <c r="AN344" s="292"/>
      <c r="AO344" s="681"/>
      <c r="AP344" s="285"/>
      <c r="AQ344" s="285"/>
      <c r="AR344" s="285"/>
      <c r="AS344" s="285"/>
      <c r="AT344" s="286"/>
      <c r="AU344" s="285"/>
      <c r="AV344" s="287"/>
      <c r="AW344" s="1081"/>
      <c r="AX344" s="1081"/>
      <c r="AY344" s="1081"/>
      <c r="AZ344" s="1081"/>
      <c r="BA344" s="1081"/>
      <c r="BB344" s="1081"/>
      <c r="BC344" s="1081"/>
      <c r="BD344" s="1081"/>
    </row>
    <row r="345" spans="1:56" s="23" customFormat="1" ht="20.65" customHeight="1" thickTop="1">
      <c r="A345" s="219" t="s">
        <v>704</v>
      </c>
      <c r="B345" s="219" t="s">
        <v>621</v>
      </c>
      <c r="C345" s="1493" t="str">
        <f>Table2[[#This Row],[M/C No.]]</f>
        <v>H10(50ton)</v>
      </c>
      <c r="D345" s="28" t="s">
        <v>82</v>
      </c>
      <c r="E345" s="1139">
        <v>6300</v>
      </c>
      <c r="F345" s="1139">
        <v>6300</v>
      </c>
      <c r="G345" s="1231">
        <v>6300</v>
      </c>
      <c r="H345" s="1139">
        <v>6300</v>
      </c>
      <c r="I345" s="1139">
        <v>6300</v>
      </c>
      <c r="J345" s="1231">
        <v>0</v>
      </c>
      <c r="K345" s="1231">
        <v>0</v>
      </c>
      <c r="L345" s="1139">
        <v>2000</v>
      </c>
      <c r="M345" s="1139">
        <v>6300</v>
      </c>
      <c r="N345" s="1139">
        <v>6300</v>
      </c>
      <c r="O345" s="1139">
        <v>6300</v>
      </c>
      <c r="P345" s="1139">
        <v>6300</v>
      </c>
      <c r="Q345" s="1231">
        <v>0</v>
      </c>
      <c r="R345" s="1231">
        <v>0</v>
      </c>
      <c r="S345" s="1139">
        <v>2000</v>
      </c>
      <c r="T345" s="1139">
        <v>6300</v>
      </c>
      <c r="U345" s="1139">
        <v>6300</v>
      </c>
      <c r="V345" s="1139">
        <v>6300</v>
      </c>
      <c r="W345" s="1139">
        <v>6300</v>
      </c>
      <c r="X345" s="1231">
        <v>0</v>
      </c>
      <c r="Y345" s="1231">
        <v>0</v>
      </c>
      <c r="Z345" s="1139">
        <v>2000</v>
      </c>
      <c r="AA345" s="1139">
        <v>6300</v>
      </c>
      <c r="AB345" s="1139">
        <v>6300</v>
      </c>
      <c r="AC345" s="1139">
        <v>6300</v>
      </c>
      <c r="AD345" s="1139">
        <v>6300</v>
      </c>
      <c r="AE345" s="1231">
        <v>0</v>
      </c>
      <c r="AF345" s="1231">
        <v>0</v>
      </c>
      <c r="AG345" s="1139">
        <v>2000</v>
      </c>
      <c r="AH345" s="1139">
        <v>4900</v>
      </c>
      <c r="AI345" s="1139"/>
      <c r="AJ345" s="29">
        <f>SUM(E345:AI345)</f>
        <v>120000</v>
      </c>
      <c r="AK345" s="1020">
        <f>AJ347</f>
        <v>102144</v>
      </c>
      <c r="AL345" s="101">
        <f>+AJ345*AN345</f>
        <v>311809.2</v>
      </c>
      <c r="AM345" s="1019">
        <f>AL347</f>
        <v>265411.99103999999</v>
      </c>
      <c r="AN345" s="293">
        <v>2.5984099999999999</v>
      </c>
      <c r="AO345" s="633">
        <f>Table2[[#This Row],[Total]]*B349/1000</f>
        <v>474.69</v>
      </c>
      <c r="AP345" s="32" t="s">
        <v>407</v>
      </c>
      <c r="AQ345" s="33" t="s">
        <v>84</v>
      </c>
      <c r="AR345" s="33" t="s">
        <v>85</v>
      </c>
      <c r="AS345" s="33" t="s">
        <v>86</v>
      </c>
      <c r="AT345" s="33" t="s">
        <v>87</v>
      </c>
      <c r="AU345" s="33" t="s">
        <v>88</v>
      </c>
      <c r="AV345" s="34" t="s">
        <v>68</v>
      </c>
      <c r="AW345" s="1081"/>
      <c r="AX345" s="1081"/>
      <c r="AY345" s="1081"/>
      <c r="AZ345" s="1081"/>
      <c r="BA345" s="1081"/>
      <c r="BB345" s="1081"/>
      <c r="BC345" s="1081"/>
      <c r="BD345" s="1081"/>
    </row>
    <row r="346" spans="1:56" s="23" customFormat="1" ht="20.65" customHeight="1">
      <c r="A346" s="274"/>
      <c r="B346" s="219" t="s">
        <v>408</v>
      </c>
      <c r="C346" s="1244">
        <v>67500</v>
      </c>
      <c r="D346" s="37" t="s">
        <v>90</v>
      </c>
      <c r="E346" s="1323">
        <f>IF(E345="",0,+ E345/E352)</f>
        <v>1575</v>
      </c>
      <c r="F346" s="1096">
        <f t="shared" ref="F346:AC346" si="801">IF(F345="",0, E346+F345/F352)</f>
        <v>3150</v>
      </c>
      <c r="G346" s="1207">
        <f t="shared" si="801"/>
        <v>4725</v>
      </c>
      <c r="H346" s="1096">
        <f t="shared" si="801"/>
        <v>6300</v>
      </c>
      <c r="I346" s="1096">
        <f t="shared" si="801"/>
        <v>7875</v>
      </c>
      <c r="J346" s="1207">
        <f t="shared" si="801"/>
        <v>7875</v>
      </c>
      <c r="K346" s="1207">
        <f t="shared" si="801"/>
        <v>7875</v>
      </c>
      <c r="L346" s="1096">
        <f t="shared" si="801"/>
        <v>8375</v>
      </c>
      <c r="M346" s="1096">
        <f t="shared" si="801"/>
        <v>9950</v>
      </c>
      <c r="N346" s="1096">
        <f t="shared" si="801"/>
        <v>11525</v>
      </c>
      <c r="O346" s="1096">
        <f t="shared" si="801"/>
        <v>13100</v>
      </c>
      <c r="P346" s="1096">
        <f t="shared" si="801"/>
        <v>14675</v>
      </c>
      <c r="Q346" s="1207">
        <f t="shared" si="801"/>
        <v>14675</v>
      </c>
      <c r="R346" s="1207">
        <f t="shared" si="801"/>
        <v>14675</v>
      </c>
      <c r="S346" s="1096">
        <f t="shared" si="801"/>
        <v>15175</v>
      </c>
      <c r="T346" s="1096">
        <f t="shared" si="801"/>
        <v>16750</v>
      </c>
      <c r="U346" s="1096">
        <f t="shared" si="801"/>
        <v>18325</v>
      </c>
      <c r="V346" s="1096">
        <f t="shared" si="801"/>
        <v>19900</v>
      </c>
      <c r="W346" s="1096">
        <f t="shared" si="801"/>
        <v>21475</v>
      </c>
      <c r="X346" s="1207">
        <f t="shared" si="801"/>
        <v>21475</v>
      </c>
      <c r="Y346" s="1207">
        <f t="shared" si="801"/>
        <v>21475</v>
      </c>
      <c r="Z346" s="1096">
        <f t="shared" si="801"/>
        <v>21975</v>
      </c>
      <c r="AA346" s="1096">
        <f t="shared" si="801"/>
        <v>23550</v>
      </c>
      <c r="AB346" s="1096">
        <f t="shared" si="801"/>
        <v>25125</v>
      </c>
      <c r="AC346" s="1096">
        <f t="shared" si="801"/>
        <v>26700</v>
      </c>
      <c r="AD346" s="1096">
        <f>IF(AD345="",0, Z346+AD345/AD352)</f>
        <v>23550</v>
      </c>
      <c r="AE346" s="1207">
        <f>IF(AE345="",0, AA346+AE345/AE352)</f>
        <v>23550</v>
      </c>
      <c r="AF346" s="1207">
        <f>IF(AF345="",0, AB346+AF345/AF352)</f>
        <v>25125</v>
      </c>
      <c r="AG346" s="1096">
        <f>IF(AG345="",0, AC346+AG345/AG352)</f>
        <v>27200</v>
      </c>
      <c r="AH346" s="1096">
        <f>IF(AH345="",0, AD346+AH345/AH352)</f>
        <v>24775</v>
      </c>
      <c r="AI346" s="1324">
        <f>IF(AI345="",0, AH346+AI345/AI352)</f>
        <v>0</v>
      </c>
      <c r="AJ346" s="716"/>
      <c r="AK346" s="716"/>
      <c r="AL346" s="209"/>
      <c r="AM346" s="794"/>
      <c r="AN346" s="91"/>
      <c r="AO346" s="675"/>
      <c r="AP346" s="39" t="s">
        <v>91</v>
      </c>
      <c r="AQ346" s="40">
        <f>SUM(E345:H345)</f>
        <v>25200</v>
      </c>
      <c r="AR346" s="41">
        <f>SUM(I345:O345)</f>
        <v>27200</v>
      </c>
      <c r="AS346" s="41">
        <f>SUM(P345:V345)</f>
        <v>27200</v>
      </c>
      <c r="AT346" s="41">
        <f>SUM(W345:AC345)</f>
        <v>27200</v>
      </c>
      <c r="AU346" s="41">
        <f>SUM(AD345:AI345)</f>
        <v>13200</v>
      </c>
      <c r="AV346" s="34">
        <f t="shared" ref="AV346:AV351" si="802">SUM(AQ346:AU346)</f>
        <v>120000</v>
      </c>
      <c r="AW346" s="1081"/>
      <c r="AX346" s="1081"/>
      <c r="AY346" s="1081"/>
      <c r="AZ346" s="1081"/>
      <c r="BA346" s="1081"/>
      <c r="BB346" s="1081"/>
      <c r="BC346" s="1081"/>
      <c r="BD346" s="1081"/>
    </row>
    <row r="347" spans="1:56" s="23" customFormat="1" ht="20.65" customHeight="1">
      <c r="A347" s="321"/>
      <c r="B347" s="89" t="s">
        <v>246</v>
      </c>
      <c r="C347" s="656" t="s">
        <v>108</v>
      </c>
      <c r="D347" s="43" t="s">
        <v>93</v>
      </c>
      <c r="E347" s="1403">
        <v>4032</v>
      </c>
      <c r="F347" s="1119">
        <v>6336</v>
      </c>
      <c r="G347" s="1243">
        <v>6912</v>
      </c>
      <c r="H347" s="1119">
        <v>6336</v>
      </c>
      <c r="I347" s="1119">
        <v>6912</v>
      </c>
      <c r="J347" s="1243">
        <v>0</v>
      </c>
      <c r="K347" s="1243">
        <v>0</v>
      </c>
      <c r="L347" s="1119">
        <v>4608</v>
      </c>
      <c r="M347" s="1119">
        <v>6912</v>
      </c>
      <c r="N347" s="1119">
        <v>6336</v>
      </c>
      <c r="O347" s="1119">
        <v>6912</v>
      </c>
      <c r="P347" s="1119">
        <v>6336</v>
      </c>
      <c r="Q347" s="1243">
        <v>0</v>
      </c>
      <c r="R347" s="1243">
        <v>0</v>
      </c>
      <c r="S347" s="1119">
        <v>3840</v>
      </c>
      <c r="T347" s="1119">
        <v>6336</v>
      </c>
      <c r="U347" s="1119">
        <v>6912</v>
      </c>
      <c r="V347" s="1119">
        <v>6720</v>
      </c>
      <c r="W347" s="1119">
        <v>6336</v>
      </c>
      <c r="X347" s="1243">
        <v>0</v>
      </c>
      <c r="Y347" s="1243">
        <v>0</v>
      </c>
      <c r="Z347" s="1119">
        <v>3456</v>
      </c>
      <c r="AA347" s="1119">
        <v>6912</v>
      </c>
      <c r="AB347" s="1119"/>
      <c r="AC347" s="1119"/>
      <c r="AD347" s="1119"/>
      <c r="AE347" s="1431"/>
      <c r="AF347" s="1243"/>
      <c r="AG347" s="1119"/>
      <c r="AH347" s="1119"/>
      <c r="AI347" s="1351"/>
      <c r="AJ347" s="45">
        <f>SUM(E347:AI347)</f>
        <v>102144</v>
      </c>
      <c r="AK347" s="45"/>
      <c r="AL347" s="46">
        <f>+AJ347*AN345</f>
        <v>265411.99103999999</v>
      </c>
      <c r="AM347" s="934"/>
      <c r="AN347" s="277"/>
      <c r="AO347" s="632">
        <f>(AJ347+AJ349+AJ350+AJ351)*B349/1000</f>
        <v>419.594314</v>
      </c>
      <c r="AP347" s="47" t="s">
        <v>94</v>
      </c>
      <c r="AQ347" s="48">
        <f>SUM(E347:H347)</f>
        <v>23616</v>
      </c>
      <c r="AR347" s="49">
        <f>SUM(I347:O347)</f>
        <v>31680</v>
      </c>
      <c r="AS347" s="49">
        <f>SUM(P347:V347)</f>
        <v>30144</v>
      </c>
      <c r="AT347" s="49">
        <f>SUM(W347:AC347)</f>
        <v>16704</v>
      </c>
      <c r="AU347" s="49">
        <f>SUM(AD347:AI347)</f>
        <v>0</v>
      </c>
      <c r="AV347" s="50">
        <f t="shared" si="802"/>
        <v>102144</v>
      </c>
      <c r="AW347" s="1081"/>
      <c r="AX347" s="1081"/>
      <c r="AY347" s="1081"/>
      <c r="AZ347" s="1081"/>
      <c r="BA347" s="1081"/>
      <c r="BB347" s="1081"/>
      <c r="BC347" s="1081"/>
      <c r="BD347" s="1081"/>
    </row>
    <row r="348" spans="1:56" s="23" customFormat="1" ht="20.65" customHeight="1">
      <c r="A348" s="321"/>
      <c r="B348" s="763" t="s">
        <v>247</v>
      </c>
      <c r="C348" s="1245">
        <f>+C346*0.8</f>
        <v>54000</v>
      </c>
      <c r="D348" s="53" t="s">
        <v>96</v>
      </c>
      <c r="E348" s="1137">
        <f t="shared" ref="E348:AJ348" si="803">+E347-E345</f>
        <v>-2268</v>
      </c>
      <c r="F348" s="1097">
        <f t="shared" si="803"/>
        <v>36</v>
      </c>
      <c r="G348" s="1205">
        <f t="shared" si="803"/>
        <v>612</v>
      </c>
      <c r="H348" s="1097">
        <f t="shared" si="803"/>
        <v>36</v>
      </c>
      <c r="I348" s="1097">
        <f t="shared" si="803"/>
        <v>612</v>
      </c>
      <c r="J348" s="1205">
        <f t="shared" si="803"/>
        <v>0</v>
      </c>
      <c r="K348" s="1205">
        <f t="shared" si="803"/>
        <v>0</v>
      </c>
      <c r="L348" s="1097">
        <f t="shared" si="803"/>
        <v>2608</v>
      </c>
      <c r="M348" s="1097">
        <f t="shared" si="803"/>
        <v>612</v>
      </c>
      <c r="N348" s="1097">
        <f t="shared" si="803"/>
        <v>36</v>
      </c>
      <c r="O348" s="1097">
        <f t="shared" si="803"/>
        <v>612</v>
      </c>
      <c r="P348" s="1097">
        <f t="shared" si="803"/>
        <v>36</v>
      </c>
      <c r="Q348" s="1205">
        <f t="shared" si="803"/>
        <v>0</v>
      </c>
      <c r="R348" s="1205">
        <f t="shared" si="803"/>
        <v>0</v>
      </c>
      <c r="S348" s="1097">
        <f t="shared" si="803"/>
        <v>1840</v>
      </c>
      <c r="T348" s="1097">
        <f t="shared" si="803"/>
        <v>36</v>
      </c>
      <c r="U348" s="1097">
        <f>+U347-U345</f>
        <v>612</v>
      </c>
      <c r="V348" s="1097">
        <f>+V347-V345</f>
        <v>420</v>
      </c>
      <c r="W348" s="1097">
        <f t="shared" si="803"/>
        <v>36</v>
      </c>
      <c r="X348" s="1205">
        <f t="shared" si="803"/>
        <v>0</v>
      </c>
      <c r="Y348" s="1205">
        <f t="shared" si="803"/>
        <v>0</v>
      </c>
      <c r="Z348" s="1097">
        <f t="shared" si="803"/>
        <v>1456</v>
      </c>
      <c r="AA348" s="1097">
        <f t="shared" si="803"/>
        <v>612</v>
      </c>
      <c r="AB348" s="1097">
        <f t="shared" si="803"/>
        <v>-6300</v>
      </c>
      <c r="AC348" s="1097">
        <f t="shared" si="803"/>
        <v>-6300</v>
      </c>
      <c r="AD348" s="1097">
        <f t="shared" si="803"/>
        <v>-6300</v>
      </c>
      <c r="AE348" s="1205">
        <f t="shared" si="803"/>
        <v>0</v>
      </c>
      <c r="AF348" s="1205">
        <f t="shared" si="803"/>
        <v>0</v>
      </c>
      <c r="AG348" s="1097">
        <f t="shared" si="803"/>
        <v>-2000</v>
      </c>
      <c r="AH348" s="1097">
        <f t="shared" si="803"/>
        <v>-4900</v>
      </c>
      <c r="AI348" s="1328">
        <f t="shared" si="803"/>
        <v>0</v>
      </c>
      <c r="AJ348" s="79">
        <f t="shared" si="803"/>
        <v>-17856</v>
      </c>
      <c r="AK348" s="79"/>
      <c r="AL348" s="55">
        <f>+AJ348*AN345</f>
        <v>-46397.208959999996</v>
      </c>
      <c r="AM348" s="935"/>
      <c r="AN348" s="277" t="s">
        <v>97</v>
      </c>
      <c r="AO348" s="622"/>
      <c r="AP348" s="39" t="s">
        <v>98</v>
      </c>
      <c r="AQ348" s="56">
        <f>AQ347-AQ346</f>
        <v>-1584</v>
      </c>
      <c r="AR348" s="70">
        <f>AR347-AR346</f>
        <v>4480</v>
      </c>
      <c r="AS348" s="70">
        <f>AS347-AS346</f>
        <v>2944</v>
      </c>
      <c r="AT348" s="70">
        <f>AT347-AT346</f>
        <v>-10496</v>
      </c>
      <c r="AU348" s="70">
        <f>AU347-AU346</f>
        <v>-13200</v>
      </c>
      <c r="AV348" s="57">
        <f t="shared" si="802"/>
        <v>-17856</v>
      </c>
      <c r="AW348" s="1081"/>
      <c r="AX348" s="1081"/>
      <c r="AY348" s="1081"/>
      <c r="AZ348" s="1081"/>
      <c r="BA348" s="1081"/>
      <c r="BB348" s="1081"/>
      <c r="BC348" s="1081"/>
      <c r="BD348" s="1081"/>
    </row>
    <row r="349" spans="1:56" s="23" customFormat="1" ht="20.65" customHeight="1">
      <c r="A349" s="321"/>
      <c r="B349" s="764">
        <v>3.9557500000000001</v>
      </c>
      <c r="C349" s="305"/>
      <c r="D349" s="61" t="s">
        <v>101</v>
      </c>
      <c r="E349" s="1098">
        <v>120</v>
      </c>
      <c r="F349" s="1099">
        <v>0</v>
      </c>
      <c r="G349" s="1208">
        <v>0</v>
      </c>
      <c r="H349" s="1099">
        <v>0</v>
      </c>
      <c r="I349" s="1099">
        <v>0</v>
      </c>
      <c r="J349" s="1208">
        <v>0</v>
      </c>
      <c r="K349" s="1208">
        <v>0</v>
      </c>
      <c r="L349" s="1099">
        <v>120</v>
      </c>
      <c r="M349" s="1099">
        <v>0</v>
      </c>
      <c r="N349" s="1099">
        <v>0</v>
      </c>
      <c r="O349" s="1099">
        <v>0</v>
      </c>
      <c r="P349" s="1099">
        <v>0</v>
      </c>
      <c r="Q349" s="1208">
        <v>0</v>
      </c>
      <c r="R349" s="1208">
        <v>0</v>
      </c>
      <c r="S349" s="1099">
        <v>80</v>
      </c>
      <c r="T349" s="1099">
        <v>0</v>
      </c>
      <c r="U349" s="1099">
        <v>0</v>
      </c>
      <c r="V349" s="1099">
        <v>0</v>
      </c>
      <c r="W349" s="1099">
        <v>0</v>
      </c>
      <c r="X349" s="1208">
        <v>0</v>
      </c>
      <c r="Y349" s="1208">
        <v>0</v>
      </c>
      <c r="Z349" s="1099">
        <v>120</v>
      </c>
      <c r="AA349" s="1099">
        <v>0</v>
      </c>
      <c r="AB349" s="1099"/>
      <c r="AC349" s="1099"/>
      <c r="AD349" s="1099"/>
      <c r="AE349" s="1432"/>
      <c r="AF349" s="1208"/>
      <c r="AG349" s="1099"/>
      <c r="AH349" s="1099"/>
      <c r="AI349" s="1330"/>
      <c r="AJ349" s="62">
        <f>SUM(E349:AI349)</f>
        <v>440</v>
      </c>
      <c r="AK349" s="62"/>
      <c r="AL349" s="63">
        <f>+AJ349*AN345</f>
        <v>1143.3003999999999</v>
      </c>
      <c r="AM349" s="936"/>
      <c r="AN349" s="303">
        <f>+AJ349/AJ347</f>
        <v>4.307644110275689E-3</v>
      </c>
      <c r="AO349" s="635">
        <f>AO347/AO345</f>
        <v>0.88393333333333335</v>
      </c>
      <c r="AP349" s="39" t="s">
        <v>102</v>
      </c>
      <c r="AQ349" s="56">
        <f>SUM(E349:H349)</f>
        <v>120</v>
      </c>
      <c r="AR349" s="70">
        <f>SUM(I349:O349)</f>
        <v>120</v>
      </c>
      <c r="AS349" s="70">
        <f>SUM(P349:V349)</f>
        <v>80</v>
      </c>
      <c r="AT349" s="70">
        <f>SUM(W349:AC349)</f>
        <v>120</v>
      </c>
      <c r="AU349" s="70">
        <f>SUM(AD349:AI349)</f>
        <v>0</v>
      </c>
      <c r="AV349" s="57">
        <f t="shared" si="802"/>
        <v>440</v>
      </c>
      <c r="AW349" s="1081"/>
    </row>
    <row r="350" spans="1:56" s="23" customFormat="1" ht="20.65" customHeight="1">
      <c r="A350" s="321"/>
      <c r="B350" s="334" t="s">
        <v>390</v>
      </c>
      <c r="C350" s="52" t="s">
        <v>95</v>
      </c>
      <c r="D350" s="67" t="s">
        <v>103</v>
      </c>
      <c r="E350" s="1100">
        <v>96</v>
      </c>
      <c r="F350" s="1101">
        <v>144</v>
      </c>
      <c r="G350" s="1209">
        <v>144</v>
      </c>
      <c r="H350" s="1101">
        <v>144</v>
      </c>
      <c r="I350" s="1101">
        <v>144</v>
      </c>
      <c r="J350" s="1209">
        <v>0</v>
      </c>
      <c r="K350" s="1214">
        <v>0</v>
      </c>
      <c r="L350" s="1114">
        <v>108</v>
      </c>
      <c r="M350" s="1114">
        <v>132</v>
      </c>
      <c r="N350" s="1114">
        <v>144</v>
      </c>
      <c r="O350" s="1114">
        <v>144</v>
      </c>
      <c r="P350" s="1114">
        <v>144</v>
      </c>
      <c r="Q350" s="1214">
        <v>0</v>
      </c>
      <c r="R350" s="1214">
        <v>0</v>
      </c>
      <c r="S350" s="1114">
        <v>96</v>
      </c>
      <c r="T350" s="1114">
        <v>144</v>
      </c>
      <c r="U350" s="1114">
        <v>144</v>
      </c>
      <c r="V350" s="1114">
        <v>144</v>
      </c>
      <c r="W350" s="1114">
        <v>144</v>
      </c>
      <c r="X350" s="1214">
        <v>0</v>
      </c>
      <c r="Y350" s="1214">
        <v>0</v>
      </c>
      <c r="Z350" s="1114">
        <v>72</v>
      </c>
      <c r="AA350" s="1114">
        <v>144</v>
      </c>
      <c r="AB350" s="1114"/>
      <c r="AC350" s="1114"/>
      <c r="AD350" s="1114"/>
      <c r="AE350" s="1433"/>
      <c r="AF350" s="1214"/>
      <c r="AG350" s="1114"/>
      <c r="AH350" s="1114"/>
      <c r="AI350" s="1411"/>
      <c r="AJ350" s="68">
        <f>SUM(E350:AI350)</f>
        <v>2232</v>
      </c>
      <c r="AK350" s="68"/>
      <c r="AL350" s="69">
        <f>+AJ350*AN345</f>
        <v>5799.6511199999995</v>
      </c>
      <c r="AM350" s="937"/>
      <c r="AN350" s="277"/>
      <c r="AO350" s="679"/>
      <c r="AP350" s="39" t="s">
        <v>19</v>
      </c>
      <c r="AQ350" s="56">
        <f>AQ349*AN345</f>
        <v>311.80919999999998</v>
      </c>
      <c r="AR350" s="56">
        <f>AR349*AN345</f>
        <v>311.80919999999998</v>
      </c>
      <c r="AS350" s="56">
        <f>AS349*AN345</f>
        <v>207.87279999999998</v>
      </c>
      <c r="AT350" s="56">
        <f>AT349*AN345</f>
        <v>311.80919999999998</v>
      </c>
      <c r="AU350" s="56">
        <f>AU349*AN345</f>
        <v>0</v>
      </c>
      <c r="AV350" s="57">
        <f t="shared" si="802"/>
        <v>1143.3003999999999</v>
      </c>
      <c r="AW350" s="1081"/>
    </row>
    <row r="351" spans="1:56" s="23" customFormat="1" ht="20.65" customHeight="1">
      <c r="A351" s="219"/>
      <c r="B351" s="89"/>
      <c r="C351" s="60" t="s">
        <v>409</v>
      </c>
      <c r="D351" s="73" t="s">
        <v>105</v>
      </c>
      <c r="E351" s="1102">
        <v>32</v>
      </c>
      <c r="F351" s="1103">
        <v>80</v>
      </c>
      <c r="G351" s="1210">
        <v>96</v>
      </c>
      <c r="H351" s="1103">
        <v>96</v>
      </c>
      <c r="I351" s="1103">
        <v>80</v>
      </c>
      <c r="J351" s="1210">
        <v>0</v>
      </c>
      <c r="K351" s="1430">
        <v>0</v>
      </c>
      <c r="L351" s="1116">
        <v>56</v>
      </c>
      <c r="M351" s="1116">
        <v>80</v>
      </c>
      <c r="N351" s="1116">
        <v>96</v>
      </c>
      <c r="O351" s="1116">
        <v>96</v>
      </c>
      <c r="P351" s="1116">
        <v>96</v>
      </c>
      <c r="Q351" s="1215">
        <v>0</v>
      </c>
      <c r="R351" s="1215">
        <v>0</v>
      </c>
      <c r="S351" s="1116">
        <v>48</v>
      </c>
      <c r="T351" s="1116">
        <v>80</v>
      </c>
      <c r="U351" s="1116">
        <v>80</v>
      </c>
      <c r="V351" s="1116">
        <v>80</v>
      </c>
      <c r="W351" s="1116">
        <v>80</v>
      </c>
      <c r="X351" s="1215">
        <v>0</v>
      </c>
      <c r="Y351" s="1215">
        <v>0</v>
      </c>
      <c r="Z351" s="1116">
        <v>0</v>
      </c>
      <c r="AA351" s="1116">
        <v>80</v>
      </c>
      <c r="AB351" s="1116"/>
      <c r="AC351" s="1116"/>
      <c r="AD351" s="1116"/>
      <c r="AE351" s="1434"/>
      <c r="AF351" s="1215"/>
      <c r="AG351" s="1116"/>
      <c r="AH351" s="1116"/>
      <c r="AI351" s="1334"/>
      <c r="AJ351" s="74">
        <f>SUM(E351:AI351)</f>
        <v>1256</v>
      </c>
      <c r="AK351" s="74"/>
      <c r="AL351" s="75">
        <f>+AJ351*AN345</f>
        <v>3263.6029599999997</v>
      </c>
      <c r="AM351" s="938"/>
      <c r="AN351" s="91"/>
      <c r="AO351" s="630"/>
      <c r="AP351" s="47" t="s">
        <v>106</v>
      </c>
      <c r="AQ351" s="48">
        <f>AQ347*AN345</f>
        <v>61364.050559999996</v>
      </c>
      <c r="AR351" s="48">
        <f>AR347*AN345</f>
        <v>82317.628799999991</v>
      </c>
      <c r="AS351" s="48">
        <f>AS347*AN345</f>
        <v>78326.471039999989</v>
      </c>
      <c r="AT351" s="48">
        <f>AT347*AN345</f>
        <v>43403.840639999995</v>
      </c>
      <c r="AU351" s="48">
        <f>AU347*AN345</f>
        <v>0</v>
      </c>
      <c r="AV351" s="50">
        <f t="shared" si="802"/>
        <v>265411.99103999999</v>
      </c>
      <c r="AW351" s="1081"/>
    </row>
    <row r="352" spans="1:56" s="23" customFormat="1" ht="20.65" customHeight="1">
      <c r="A352" s="321"/>
      <c r="B352" s="89"/>
      <c r="C352" s="66"/>
      <c r="D352" s="78" t="s">
        <v>107</v>
      </c>
      <c r="E352" s="1137">
        <v>4</v>
      </c>
      <c r="F352" s="1097">
        <v>4</v>
      </c>
      <c r="G352" s="1205">
        <v>4</v>
      </c>
      <c r="H352" s="1097">
        <v>4</v>
      </c>
      <c r="I352" s="1097">
        <v>4</v>
      </c>
      <c r="J352" s="1205">
        <v>4</v>
      </c>
      <c r="K352" s="1205">
        <v>4</v>
      </c>
      <c r="L352" s="1097">
        <v>4</v>
      </c>
      <c r="M352" s="1097">
        <v>4</v>
      </c>
      <c r="N352" s="1097">
        <v>4</v>
      </c>
      <c r="O352" s="1097">
        <v>4</v>
      </c>
      <c r="P352" s="1097">
        <v>4</v>
      </c>
      <c r="Q352" s="1205">
        <v>4</v>
      </c>
      <c r="R352" s="1205">
        <v>4</v>
      </c>
      <c r="S352" s="1097">
        <v>4</v>
      </c>
      <c r="T352" s="1097">
        <v>4</v>
      </c>
      <c r="U352" s="1097">
        <v>4</v>
      </c>
      <c r="V352" s="1097">
        <v>4</v>
      </c>
      <c r="W352" s="1097">
        <v>4</v>
      </c>
      <c r="X352" s="1205">
        <v>4</v>
      </c>
      <c r="Y352" s="1205">
        <v>4</v>
      </c>
      <c r="Z352" s="1097">
        <v>4</v>
      </c>
      <c r="AA352" s="1097">
        <v>4</v>
      </c>
      <c r="AB352" s="1097">
        <v>4</v>
      </c>
      <c r="AC352" s="1097">
        <v>4</v>
      </c>
      <c r="AD352" s="1097">
        <v>4</v>
      </c>
      <c r="AE352" s="1205">
        <v>4</v>
      </c>
      <c r="AF352" s="1205">
        <v>4</v>
      </c>
      <c r="AG352" s="1097">
        <v>4</v>
      </c>
      <c r="AH352" s="1097">
        <v>4</v>
      </c>
      <c r="AI352" s="1328">
        <v>4</v>
      </c>
      <c r="AJ352" s="79"/>
      <c r="AK352" s="79"/>
      <c r="AL352" s="692"/>
      <c r="AM352" s="960"/>
      <c r="AN352" s="277"/>
      <c r="AO352" s="679"/>
      <c r="AP352" s="391"/>
      <c r="AQ352" s="48"/>
      <c r="AR352" s="48"/>
      <c r="AS352" s="48"/>
      <c r="AT352" s="48"/>
      <c r="AU352" s="48"/>
      <c r="AV352" s="4"/>
    </row>
    <row r="353" spans="1:48" s="23" customFormat="1" ht="20.65" customHeight="1">
      <c r="A353" s="321"/>
      <c r="B353" s="89"/>
      <c r="C353" s="305"/>
      <c r="D353" s="81" t="s">
        <v>109</v>
      </c>
      <c r="E353" s="1125">
        <f>SUM(E347+E349+E350+E351)/E352</f>
        <v>1070</v>
      </c>
      <c r="F353" s="1125">
        <f t="shared" ref="F353:AH353" si="804">SUM(F347+F349+F350+F351)/F352</f>
        <v>1640</v>
      </c>
      <c r="G353" s="1233">
        <f t="shared" si="804"/>
        <v>1788</v>
      </c>
      <c r="H353" s="1125">
        <f t="shared" si="804"/>
        <v>1644</v>
      </c>
      <c r="I353" s="1125">
        <f t="shared" si="804"/>
        <v>1784</v>
      </c>
      <c r="J353" s="1233">
        <f t="shared" si="804"/>
        <v>0</v>
      </c>
      <c r="K353" s="1233">
        <f t="shared" si="804"/>
        <v>0</v>
      </c>
      <c r="L353" s="1125">
        <f t="shared" si="804"/>
        <v>1223</v>
      </c>
      <c r="M353" s="1125">
        <f t="shared" si="804"/>
        <v>1781</v>
      </c>
      <c r="N353" s="1125">
        <f t="shared" si="804"/>
        <v>1644</v>
      </c>
      <c r="O353" s="1125">
        <f t="shared" si="804"/>
        <v>1788</v>
      </c>
      <c r="P353" s="1125">
        <f t="shared" si="804"/>
        <v>1644</v>
      </c>
      <c r="Q353" s="1233">
        <f t="shared" si="804"/>
        <v>0</v>
      </c>
      <c r="R353" s="1233">
        <f t="shared" si="804"/>
        <v>0</v>
      </c>
      <c r="S353" s="1125">
        <f t="shared" si="804"/>
        <v>1016</v>
      </c>
      <c r="T353" s="1125">
        <f t="shared" si="804"/>
        <v>1640</v>
      </c>
      <c r="U353" s="1125">
        <f t="shared" si="804"/>
        <v>1784</v>
      </c>
      <c r="V353" s="1125">
        <f t="shared" si="804"/>
        <v>1736</v>
      </c>
      <c r="W353" s="1125">
        <f t="shared" si="804"/>
        <v>1640</v>
      </c>
      <c r="X353" s="1233">
        <f t="shared" si="804"/>
        <v>0</v>
      </c>
      <c r="Y353" s="1233">
        <f t="shared" si="804"/>
        <v>0</v>
      </c>
      <c r="Z353" s="1125">
        <f t="shared" si="804"/>
        <v>912</v>
      </c>
      <c r="AA353" s="1125">
        <f t="shared" si="804"/>
        <v>1784</v>
      </c>
      <c r="AB353" s="1125">
        <f t="shared" si="804"/>
        <v>0</v>
      </c>
      <c r="AC353" s="1125">
        <f t="shared" si="804"/>
        <v>0</v>
      </c>
      <c r="AD353" s="1125">
        <f t="shared" si="804"/>
        <v>0</v>
      </c>
      <c r="AE353" s="1233">
        <f t="shared" si="804"/>
        <v>0</v>
      </c>
      <c r="AF353" s="1233">
        <f t="shared" si="804"/>
        <v>0</v>
      </c>
      <c r="AG353" s="1125">
        <f t="shared" si="804"/>
        <v>0</v>
      </c>
      <c r="AH353" s="1125">
        <f t="shared" si="804"/>
        <v>0</v>
      </c>
      <c r="AI353" s="1335">
        <f>SUM(AI347+AI349+AI350+AI351)/AI352</f>
        <v>0</v>
      </c>
      <c r="AJ353" s="515">
        <f>SUM(E353:AI353)</f>
        <v>26518</v>
      </c>
      <c r="AK353" s="515"/>
      <c r="AL353" s="689"/>
      <c r="AM353" s="940"/>
      <c r="AN353" s="277"/>
      <c r="AO353" s="679"/>
      <c r="AP353" s="285"/>
      <c r="AQ353" s="285"/>
      <c r="AR353" s="285"/>
      <c r="AS353" s="285"/>
      <c r="AT353" s="286"/>
      <c r="AU353" s="285"/>
      <c r="AV353" s="287"/>
    </row>
    <row r="354" spans="1:48" s="23" customFormat="1" ht="20.65" customHeight="1">
      <c r="A354" s="321"/>
      <c r="B354" s="89" t="s">
        <v>551</v>
      </c>
      <c r="C354" s="72"/>
      <c r="D354" s="85" t="s">
        <v>110</v>
      </c>
      <c r="E354" s="1336"/>
      <c r="F354" s="1106"/>
      <c r="G354" s="1228"/>
      <c r="H354" s="1107"/>
      <c r="I354" s="1107"/>
      <c r="J354" s="1228"/>
      <c r="K354" s="1228"/>
      <c r="L354" s="1107"/>
      <c r="M354" s="1107"/>
      <c r="N354" s="1107"/>
      <c r="O354" s="1107"/>
      <c r="P354" s="1107"/>
      <c r="Q354" s="1228"/>
      <c r="R354" s="1228"/>
      <c r="S354" s="1107"/>
      <c r="T354" s="1107"/>
      <c r="U354" s="1107"/>
      <c r="V354" s="1107"/>
      <c r="W354" s="1107"/>
      <c r="X354" s="1228" t="s">
        <v>534</v>
      </c>
      <c r="Y354" s="1228"/>
      <c r="Z354" s="1107"/>
      <c r="AA354" s="1107"/>
      <c r="AB354" s="1107"/>
      <c r="AC354" s="1107"/>
      <c r="AD354" s="1107"/>
      <c r="AE354" s="1228"/>
      <c r="AF354" s="1228"/>
      <c r="AG354" s="1107"/>
      <c r="AH354" s="1107"/>
      <c r="AI354" s="1337"/>
      <c r="AJ354" s="86"/>
      <c r="AK354" s="86"/>
      <c r="AL354" s="690"/>
      <c r="AM354" s="940"/>
      <c r="AN354" s="277"/>
      <c r="AO354" s="679"/>
      <c r="AP354" s="285"/>
      <c r="AQ354" s="285"/>
      <c r="AR354" s="285"/>
      <c r="AS354" s="285"/>
      <c r="AT354" s="286"/>
      <c r="AU354" s="285"/>
      <c r="AV354" s="287"/>
    </row>
    <row r="355" spans="1:48" s="23" customFormat="1" ht="20.65" customHeight="1">
      <c r="A355" s="321"/>
      <c r="B355" s="89"/>
      <c r="C355" s="72" t="s">
        <v>104</v>
      </c>
      <c r="D355" s="88" t="s">
        <v>111</v>
      </c>
      <c r="E355" s="1108">
        <f>IF(E354="O/H",E353,15786+E353)</f>
        <v>16856</v>
      </c>
      <c r="F355" s="1089">
        <f t="shared" ref="F355:AI355" si="805">IF(F354="O/H",F353,+E355+F353)</f>
        <v>18496</v>
      </c>
      <c r="G355" s="44">
        <f t="shared" si="805"/>
        <v>20284</v>
      </c>
      <c r="H355" s="1089">
        <f t="shared" si="805"/>
        <v>21928</v>
      </c>
      <c r="I355" s="1089">
        <f t="shared" si="805"/>
        <v>23712</v>
      </c>
      <c r="J355" s="44">
        <f t="shared" si="805"/>
        <v>23712</v>
      </c>
      <c r="K355" s="44">
        <f t="shared" si="805"/>
        <v>23712</v>
      </c>
      <c r="L355" s="1089">
        <f t="shared" si="805"/>
        <v>24935</v>
      </c>
      <c r="M355" s="1089">
        <f t="shared" si="805"/>
        <v>26716</v>
      </c>
      <c r="N355" s="1089">
        <f t="shared" si="805"/>
        <v>28360</v>
      </c>
      <c r="O355" s="1089">
        <f t="shared" si="805"/>
        <v>30148</v>
      </c>
      <c r="P355" s="1089">
        <f t="shared" si="805"/>
        <v>31792</v>
      </c>
      <c r="Q355" s="44">
        <f t="shared" si="805"/>
        <v>31792</v>
      </c>
      <c r="R355" s="44">
        <f t="shared" si="805"/>
        <v>31792</v>
      </c>
      <c r="S355" s="1089">
        <f t="shared" si="805"/>
        <v>32808</v>
      </c>
      <c r="T355" s="1089">
        <f t="shared" si="805"/>
        <v>34448</v>
      </c>
      <c r="U355" s="1089">
        <f t="shared" si="805"/>
        <v>36232</v>
      </c>
      <c r="V355" s="1089">
        <f t="shared" si="805"/>
        <v>37968</v>
      </c>
      <c r="W355" s="1089">
        <f t="shared" si="805"/>
        <v>39608</v>
      </c>
      <c r="X355" s="44">
        <f t="shared" si="805"/>
        <v>0</v>
      </c>
      <c r="Y355" s="44">
        <f t="shared" si="805"/>
        <v>0</v>
      </c>
      <c r="Z355" s="1089">
        <f t="shared" si="805"/>
        <v>912</v>
      </c>
      <c r="AA355" s="1089">
        <f t="shared" si="805"/>
        <v>2696</v>
      </c>
      <c r="AB355" s="1089">
        <f t="shared" si="805"/>
        <v>2696</v>
      </c>
      <c r="AC355" s="1089">
        <f t="shared" si="805"/>
        <v>2696</v>
      </c>
      <c r="AD355" s="1089">
        <f t="shared" si="805"/>
        <v>2696</v>
      </c>
      <c r="AE355" s="44">
        <f t="shared" si="805"/>
        <v>2696</v>
      </c>
      <c r="AF355" s="44">
        <f t="shared" si="805"/>
        <v>2696</v>
      </c>
      <c r="AG355" s="1089">
        <f t="shared" si="805"/>
        <v>2696</v>
      </c>
      <c r="AH355" s="1089">
        <f t="shared" si="805"/>
        <v>2696</v>
      </c>
      <c r="AI355" s="1326">
        <f t="shared" si="805"/>
        <v>2696</v>
      </c>
      <c r="AJ355" s="79"/>
      <c r="AK355" s="79"/>
      <c r="AL355" s="690"/>
      <c r="AM355" s="940"/>
      <c r="AN355" s="277"/>
      <c r="AO355" s="679"/>
      <c r="AP355" s="285"/>
      <c r="AQ355" s="285"/>
      <c r="AR355" s="285"/>
      <c r="AS355" s="285"/>
      <c r="AT355" s="286"/>
      <c r="AU355" s="285"/>
      <c r="AV355" s="287"/>
    </row>
    <row r="356" spans="1:48" s="23" customFormat="1" ht="20.65" customHeight="1">
      <c r="A356" s="312"/>
      <c r="B356" s="312"/>
      <c r="C356" s="308">
        <v>300000</v>
      </c>
      <c r="D356" s="795" t="s">
        <v>112</v>
      </c>
      <c r="E356" s="1117">
        <f>IF(AND(ISNUMBER(E347)),1295010+E353)</f>
        <v>1296080</v>
      </c>
      <c r="F356" s="1118">
        <f>IF(AND(ISNUMBER(F347)),E356+F353,"")</f>
        <v>1297720</v>
      </c>
      <c r="G356" s="1216">
        <f t="shared" ref="G356:H356" si="806">IF(AND(ISNUMBER(G347)),F356+G353,"")</f>
        <v>1299508</v>
      </c>
      <c r="H356" s="1118">
        <f t="shared" si="806"/>
        <v>1301152</v>
      </c>
      <c r="I356" s="1118">
        <f>IF(AND(ISNUMBER(I347)),H356+I353,"")</f>
        <v>1302936</v>
      </c>
      <c r="J356" s="1216">
        <f>IF(AND(ISNUMBER(J347)),I356+J353,"")</f>
        <v>1302936</v>
      </c>
      <c r="K356" s="1216">
        <f>IF(AND(ISNUMBER(K347)),J356+K353,"")</f>
        <v>1302936</v>
      </c>
      <c r="L356" s="1118">
        <f t="shared" ref="L356:AI356" si="807">IF(AND(ISNUMBER(L347)),K356+L353,"")</f>
        <v>1304159</v>
      </c>
      <c r="M356" s="1118">
        <f t="shared" si="807"/>
        <v>1305940</v>
      </c>
      <c r="N356" s="1118">
        <f t="shared" si="807"/>
        <v>1307584</v>
      </c>
      <c r="O356" s="1118">
        <f t="shared" si="807"/>
        <v>1309372</v>
      </c>
      <c r="P356" s="1118">
        <f t="shared" si="807"/>
        <v>1311016</v>
      </c>
      <c r="Q356" s="1216">
        <f t="shared" si="807"/>
        <v>1311016</v>
      </c>
      <c r="R356" s="1216">
        <f t="shared" si="807"/>
        <v>1311016</v>
      </c>
      <c r="S356" s="1118">
        <f t="shared" si="807"/>
        <v>1312032</v>
      </c>
      <c r="T356" s="1118">
        <f t="shared" si="807"/>
        <v>1313672</v>
      </c>
      <c r="U356" s="1118">
        <f t="shared" si="807"/>
        <v>1315456</v>
      </c>
      <c r="V356" s="1118">
        <f t="shared" si="807"/>
        <v>1317192</v>
      </c>
      <c r="W356" s="1118">
        <f t="shared" si="807"/>
        <v>1318832</v>
      </c>
      <c r="X356" s="1216">
        <f t="shared" si="807"/>
        <v>1318832</v>
      </c>
      <c r="Y356" s="1216">
        <f t="shared" si="807"/>
        <v>1318832</v>
      </c>
      <c r="Z356" s="1118">
        <f t="shared" si="807"/>
        <v>1319744</v>
      </c>
      <c r="AA356" s="1118">
        <f t="shared" si="807"/>
        <v>1321528</v>
      </c>
      <c r="AB356" s="1118" t="str">
        <f t="shared" si="807"/>
        <v/>
      </c>
      <c r="AC356" s="1118" t="str">
        <f t="shared" si="807"/>
        <v/>
      </c>
      <c r="AD356" s="1118" t="str">
        <f t="shared" si="807"/>
        <v/>
      </c>
      <c r="AE356" s="1216" t="str">
        <f t="shared" si="807"/>
        <v/>
      </c>
      <c r="AF356" s="1216" t="str">
        <f t="shared" si="807"/>
        <v/>
      </c>
      <c r="AG356" s="1118" t="str">
        <f t="shared" si="807"/>
        <v/>
      </c>
      <c r="AH356" s="1118" t="str">
        <f t="shared" si="807"/>
        <v/>
      </c>
      <c r="AI356" s="1089" t="str">
        <f t="shared" si="807"/>
        <v/>
      </c>
      <c r="AJ356" s="793"/>
      <c r="AK356" s="793"/>
      <c r="AL356" s="909"/>
      <c r="AM356" s="794"/>
      <c r="AN356" s="429"/>
      <c r="AO356" s="675"/>
      <c r="AP356" s="285"/>
      <c r="AQ356" s="285"/>
      <c r="AR356" s="285"/>
      <c r="AS356" s="285"/>
      <c r="AT356" s="286"/>
      <c r="AU356" s="285"/>
      <c r="AV356" s="287"/>
    </row>
    <row r="357" spans="1:48" s="23" customFormat="1" ht="20.65" customHeight="1">
      <c r="A357" s="321"/>
      <c r="B357" s="89"/>
      <c r="C357" s="80" t="s">
        <v>108</v>
      </c>
      <c r="D357" s="90" t="s">
        <v>104</v>
      </c>
      <c r="E357" s="1338"/>
      <c r="F357" s="1106"/>
      <c r="G357" s="1253"/>
      <c r="H357" s="1106"/>
      <c r="I357" s="1106"/>
      <c r="J357" s="1253"/>
      <c r="K357" s="1253"/>
      <c r="L357" s="1106"/>
      <c r="M357" s="1106"/>
      <c r="N357" s="1106"/>
      <c r="O357" s="1106"/>
      <c r="P357" s="1106"/>
      <c r="Q357" s="1253"/>
      <c r="R357" s="1253"/>
      <c r="S357" s="1106"/>
      <c r="T357" s="1106"/>
      <c r="U357" s="1106"/>
      <c r="V357" s="1106"/>
      <c r="W357" s="1106"/>
      <c r="X357" s="1253"/>
      <c r="Y357" s="1253"/>
      <c r="Z357" s="1106"/>
      <c r="AA357" s="1106"/>
      <c r="AB357" s="1106"/>
      <c r="AC357" s="1106"/>
      <c r="AD357" s="1106"/>
      <c r="AE357" s="1253"/>
      <c r="AF357" s="1253"/>
      <c r="AG357" s="1106"/>
      <c r="AH357" s="1106"/>
      <c r="AI357" s="1339"/>
      <c r="AJ357" s="79"/>
      <c r="AK357" s="79"/>
      <c r="AL357" s="690"/>
      <c r="AM357" s="940"/>
      <c r="AN357" s="277"/>
      <c r="AO357" s="679"/>
      <c r="AP357" s="285"/>
      <c r="AQ357" s="285"/>
      <c r="AR357" s="285"/>
      <c r="AS357" s="285"/>
      <c r="AT357" s="286"/>
      <c r="AU357" s="285"/>
      <c r="AV357" s="287"/>
    </row>
    <row r="358" spans="1:48" s="23" customFormat="1" ht="20.65" customHeight="1" thickBot="1">
      <c r="A358" s="322"/>
      <c r="B358" s="93"/>
      <c r="C358" s="94">
        <f>+C356*0.8</f>
        <v>240000</v>
      </c>
      <c r="D358" s="88" t="s">
        <v>111</v>
      </c>
      <c r="E358" s="1109">
        <f>IF(E357="O/H",E353,270355+E353)</f>
        <v>271425</v>
      </c>
      <c r="F358" s="1110">
        <f>IF(F357="O/H",F353,+E358+F353)</f>
        <v>273065</v>
      </c>
      <c r="G358" s="1212">
        <f t="shared" ref="G358:AI358" si="808">IF(G357="O/H",G353,+F358+G353)</f>
        <v>274853</v>
      </c>
      <c r="H358" s="1110">
        <f t="shared" si="808"/>
        <v>276497</v>
      </c>
      <c r="I358" s="1110">
        <f t="shared" si="808"/>
        <v>278281</v>
      </c>
      <c r="J358" s="1212">
        <f t="shared" si="808"/>
        <v>278281</v>
      </c>
      <c r="K358" s="1212">
        <f t="shared" si="808"/>
        <v>278281</v>
      </c>
      <c r="L358" s="1110">
        <f t="shared" si="808"/>
        <v>279504</v>
      </c>
      <c r="M358" s="1110">
        <f t="shared" si="808"/>
        <v>281285</v>
      </c>
      <c r="N358" s="1110">
        <f t="shared" si="808"/>
        <v>282929</v>
      </c>
      <c r="O358" s="1110">
        <f t="shared" si="808"/>
        <v>284717</v>
      </c>
      <c r="P358" s="1110">
        <f t="shared" si="808"/>
        <v>286361</v>
      </c>
      <c r="Q358" s="1212">
        <f t="shared" si="808"/>
        <v>286361</v>
      </c>
      <c r="R358" s="1212">
        <f t="shared" si="808"/>
        <v>286361</v>
      </c>
      <c r="S358" s="1110">
        <f t="shared" si="808"/>
        <v>287377</v>
      </c>
      <c r="T358" s="1110">
        <f t="shared" si="808"/>
        <v>289017</v>
      </c>
      <c r="U358" s="1110">
        <f t="shared" si="808"/>
        <v>290801</v>
      </c>
      <c r="V358" s="1110">
        <f t="shared" si="808"/>
        <v>292537</v>
      </c>
      <c r="W358" s="1110">
        <f t="shared" si="808"/>
        <v>294177</v>
      </c>
      <c r="X358" s="1212">
        <f t="shared" si="808"/>
        <v>294177</v>
      </c>
      <c r="Y358" s="1212">
        <f t="shared" si="808"/>
        <v>294177</v>
      </c>
      <c r="Z358" s="1110">
        <f t="shared" si="808"/>
        <v>295089</v>
      </c>
      <c r="AA358" s="1110">
        <f t="shared" si="808"/>
        <v>296873</v>
      </c>
      <c r="AB358" s="1110">
        <f t="shared" si="808"/>
        <v>296873</v>
      </c>
      <c r="AC358" s="1110">
        <f t="shared" si="808"/>
        <v>296873</v>
      </c>
      <c r="AD358" s="1110">
        <f t="shared" si="808"/>
        <v>296873</v>
      </c>
      <c r="AE358" s="1212">
        <f t="shared" si="808"/>
        <v>296873</v>
      </c>
      <c r="AF358" s="1212">
        <f t="shared" si="808"/>
        <v>296873</v>
      </c>
      <c r="AG358" s="1110">
        <f t="shared" si="808"/>
        <v>296873</v>
      </c>
      <c r="AH358" s="1110">
        <f t="shared" si="808"/>
        <v>296873</v>
      </c>
      <c r="AI358" s="1340">
        <f t="shared" si="808"/>
        <v>296873</v>
      </c>
      <c r="AJ358" s="96"/>
      <c r="AK358" s="723"/>
      <c r="AL358" s="695"/>
      <c r="AM358" s="961"/>
      <c r="AN358" s="292"/>
      <c r="AO358" s="681"/>
      <c r="AP358" s="285"/>
      <c r="AQ358" s="324"/>
      <c r="AR358" s="324"/>
      <c r="AS358" s="324"/>
      <c r="AT358" s="325"/>
      <c r="AU358" s="324"/>
      <c r="AV358" s="326"/>
    </row>
    <row r="359" spans="1:48" s="23" customFormat="1" ht="20.65" hidden="1" customHeight="1" thickTop="1">
      <c r="A359" s="219" t="s">
        <v>704</v>
      </c>
      <c r="B359" s="208"/>
      <c r="C359" s="1493" t="str">
        <f>Table2[[#This Row],[M/C No.]]</f>
        <v>H10(50ton)</v>
      </c>
      <c r="D359" s="28" t="s">
        <v>82</v>
      </c>
      <c r="E359" s="1124"/>
      <c r="F359" s="1124"/>
      <c r="G359" s="1242"/>
      <c r="H359" s="1124"/>
      <c r="I359" s="1124"/>
      <c r="J359" s="1242"/>
      <c r="K359" s="1242"/>
      <c r="L359" s="1124"/>
      <c r="M359" s="1124"/>
      <c r="N359" s="1124"/>
      <c r="O359" s="1124"/>
      <c r="P359" s="1124"/>
      <c r="Q359" s="1242"/>
      <c r="R359" s="1242"/>
      <c r="S359" s="1124"/>
      <c r="T359" s="1124"/>
      <c r="U359" s="1124"/>
      <c r="V359" s="1124"/>
      <c r="W359" s="1124"/>
      <c r="X359" s="1242"/>
      <c r="Y359" s="1242"/>
      <c r="Z359" s="1124"/>
      <c r="AA359" s="1124"/>
      <c r="AB359" s="1124"/>
      <c r="AC359" s="1124"/>
      <c r="AD359" s="1124"/>
      <c r="AE359" s="1242"/>
      <c r="AF359" s="1242"/>
      <c r="AG359" s="1124"/>
      <c r="AH359" s="1124"/>
      <c r="AI359" s="1350"/>
      <c r="AJ359" s="100">
        <f>SUM(E359:AI359)</f>
        <v>0</v>
      </c>
      <c r="AK359" s="1000">
        <f>AJ361</f>
        <v>0</v>
      </c>
      <c r="AL359" s="101">
        <f>+AJ359*AN359</f>
        <v>0</v>
      </c>
      <c r="AM359" s="1019">
        <f>AL361</f>
        <v>0</v>
      </c>
      <c r="AN359" s="293">
        <v>8.0529399999999995</v>
      </c>
      <c r="AO359" s="633">
        <f>Table2[[#This Row],[Total]]*B363/1000</f>
        <v>0</v>
      </c>
      <c r="AP359" s="32" t="s">
        <v>407</v>
      </c>
      <c r="AQ359" s="33" t="s">
        <v>84</v>
      </c>
      <c r="AR359" s="33" t="s">
        <v>85</v>
      </c>
      <c r="AS359" s="33" t="s">
        <v>86</v>
      </c>
      <c r="AT359" s="33" t="s">
        <v>87</v>
      </c>
      <c r="AU359" s="33" t="s">
        <v>88</v>
      </c>
      <c r="AV359" s="34" t="s">
        <v>68</v>
      </c>
    </row>
    <row r="360" spans="1:48" s="23" customFormat="1" ht="20.65" hidden="1" customHeight="1">
      <c r="A360" s="274"/>
      <c r="B360" s="89" t="s">
        <v>406</v>
      </c>
      <c r="C360" s="275"/>
      <c r="D360" s="37" t="s">
        <v>90</v>
      </c>
      <c r="E360" s="1323">
        <f>IF(E359="",0,+ E359/E366)</f>
        <v>0</v>
      </c>
      <c r="F360" s="1096">
        <f t="shared" ref="F360:AC360" si="809">IF(F359="",0, E360+F359/F366)</f>
        <v>0</v>
      </c>
      <c r="G360" s="1207">
        <f t="shared" si="809"/>
        <v>0</v>
      </c>
      <c r="H360" s="1096">
        <f t="shared" si="809"/>
        <v>0</v>
      </c>
      <c r="I360" s="1096">
        <f t="shared" si="809"/>
        <v>0</v>
      </c>
      <c r="J360" s="1207">
        <f t="shared" si="809"/>
        <v>0</v>
      </c>
      <c r="K360" s="1207">
        <f t="shared" si="809"/>
        <v>0</v>
      </c>
      <c r="L360" s="1096">
        <f t="shared" si="809"/>
        <v>0</v>
      </c>
      <c r="M360" s="1096">
        <f t="shared" si="809"/>
        <v>0</v>
      </c>
      <c r="N360" s="1096">
        <f t="shared" si="809"/>
        <v>0</v>
      </c>
      <c r="O360" s="1096">
        <f t="shared" si="809"/>
        <v>0</v>
      </c>
      <c r="P360" s="1096">
        <f t="shared" si="809"/>
        <v>0</v>
      </c>
      <c r="Q360" s="1207">
        <f t="shared" si="809"/>
        <v>0</v>
      </c>
      <c r="R360" s="1207">
        <f t="shared" si="809"/>
        <v>0</v>
      </c>
      <c r="S360" s="1096">
        <f t="shared" si="809"/>
        <v>0</v>
      </c>
      <c r="T360" s="1096">
        <f t="shared" si="809"/>
        <v>0</v>
      </c>
      <c r="U360" s="1096">
        <f t="shared" si="809"/>
        <v>0</v>
      </c>
      <c r="V360" s="1096">
        <f t="shared" si="809"/>
        <v>0</v>
      </c>
      <c r="W360" s="1096">
        <f t="shared" si="809"/>
        <v>0</v>
      </c>
      <c r="X360" s="1207">
        <f t="shared" si="809"/>
        <v>0</v>
      </c>
      <c r="Y360" s="1207">
        <f t="shared" si="809"/>
        <v>0</v>
      </c>
      <c r="Z360" s="1096">
        <f t="shared" si="809"/>
        <v>0</v>
      </c>
      <c r="AA360" s="1096">
        <f t="shared" si="809"/>
        <v>0</v>
      </c>
      <c r="AB360" s="1096">
        <f t="shared" si="809"/>
        <v>0</v>
      </c>
      <c r="AC360" s="1096">
        <f t="shared" si="809"/>
        <v>0</v>
      </c>
      <c r="AD360" s="1096">
        <f>IF(AD359="",0, Z360+AD359/AD366)</f>
        <v>0</v>
      </c>
      <c r="AE360" s="1207">
        <f>IF(AE359="",0, AA360+AE359/AE366)</f>
        <v>0</v>
      </c>
      <c r="AF360" s="1207">
        <f>IF(AF359="",0, AB360+AF359/AF366)</f>
        <v>0</v>
      </c>
      <c r="AG360" s="1096">
        <f>IF(AG359="",0, AC360+AG359/AG366)</f>
        <v>0</v>
      </c>
      <c r="AH360" s="1096">
        <f>IF(AH359="",0, AD360+AH359/AH366)</f>
        <v>0</v>
      </c>
      <c r="AI360" s="1324">
        <f>IF(AI359="",0, AH360+AI359/AI366)</f>
        <v>0</v>
      </c>
      <c r="AJ360" s="716"/>
      <c r="AK360" s="716"/>
      <c r="AL360" s="209"/>
      <c r="AM360" s="794"/>
      <c r="AN360" s="91"/>
      <c r="AO360" s="675"/>
      <c r="AP360" s="39" t="s">
        <v>91</v>
      </c>
      <c r="AQ360" s="40">
        <f>SUM(E359:K359)</f>
        <v>0</v>
      </c>
      <c r="AR360" s="41">
        <f>SUM(L359:R359)</f>
        <v>0</v>
      </c>
      <c r="AS360" s="41">
        <f>SUM(S359:Y359)</f>
        <v>0</v>
      </c>
      <c r="AT360" s="41">
        <f>SUM(Z359:AF359)</f>
        <v>0</v>
      </c>
      <c r="AU360" s="41">
        <f>SUM(AG359:AI359)</f>
        <v>0</v>
      </c>
      <c r="AV360" s="34">
        <f t="shared" ref="AV360:AV365" si="810">SUM(AQ360:AU360)</f>
        <v>0</v>
      </c>
    </row>
    <row r="361" spans="1:48" s="23" customFormat="1" ht="20.65" hidden="1" customHeight="1">
      <c r="A361" s="321" t="s">
        <v>410</v>
      </c>
      <c r="B361" s="89" t="s">
        <v>246</v>
      </c>
      <c r="C361" s="42"/>
      <c r="D361" s="43" t="s">
        <v>93</v>
      </c>
      <c r="E361" s="1108"/>
      <c r="F361" s="1089"/>
      <c r="G361" s="44"/>
      <c r="H361" s="1089"/>
      <c r="I361" s="1089"/>
      <c r="J361" s="44"/>
      <c r="K361" s="44"/>
      <c r="L361" s="1089"/>
      <c r="M361" s="1089"/>
      <c r="N361" s="1089"/>
      <c r="O361" s="1089"/>
      <c r="P361" s="1089"/>
      <c r="Q361" s="44"/>
      <c r="R361" s="44"/>
      <c r="S361" s="1089"/>
      <c r="T361" s="1089"/>
      <c r="U361" s="1089"/>
      <c r="V361" s="1089"/>
      <c r="W361" s="1089"/>
      <c r="X361" s="44"/>
      <c r="Y361" s="44"/>
      <c r="Z361" s="1089"/>
      <c r="AA361" s="1089"/>
      <c r="AB361" s="1089"/>
      <c r="AC361" s="1089"/>
      <c r="AD361" s="1089"/>
      <c r="AE361" s="44"/>
      <c r="AF361" s="44"/>
      <c r="AG361" s="1089"/>
      <c r="AH361" s="1089"/>
      <c r="AI361" s="1326"/>
      <c r="AJ361" s="45">
        <f>SUM(E361:AI361)</f>
        <v>0</v>
      </c>
      <c r="AK361" s="45"/>
      <c r="AL361" s="46">
        <f>+AJ361*AN359</f>
        <v>0</v>
      </c>
      <c r="AM361" s="934"/>
      <c r="AN361" s="277"/>
      <c r="AO361" s="632">
        <f>(AJ361+AJ363+AJ364+AJ365)*B363/1000</f>
        <v>0</v>
      </c>
      <c r="AP361" s="47" t="s">
        <v>94</v>
      </c>
      <c r="AQ361" s="48">
        <f>SUM(E361:K361)</f>
        <v>0</v>
      </c>
      <c r="AR361" s="49">
        <f>SUM(L361:R361)</f>
        <v>0</v>
      </c>
      <c r="AS361" s="49">
        <f>SUM(S361:Y361)</f>
        <v>0</v>
      </c>
      <c r="AT361" s="49">
        <f>SUM(Z361:AF361)</f>
        <v>0</v>
      </c>
      <c r="AU361" s="49">
        <f>SUM(AG361:AI361)</f>
        <v>0</v>
      </c>
      <c r="AV361" s="50">
        <f t="shared" si="810"/>
        <v>0</v>
      </c>
    </row>
    <row r="362" spans="1:48" s="23" customFormat="1" ht="20.65" hidden="1" customHeight="1">
      <c r="A362" s="321" t="s">
        <v>410</v>
      </c>
      <c r="B362" s="638" t="s">
        <v>247</v>
      </c>
      <c r="C362" s="280"/>
      <c r="D362" s="53" t="s">
        <v>96</v>
      </c>
      <c r="E362" s="1137">
        <f t="shared" ref="E362:K362" si="811">+E361-E359</f>
        <v>0</v>
      </c>
      <c r="F362" s="1097">
        <f t="shared" si="811"/>
        <v>0</v>
      </c>
      <c r="G362" s="1205">
        <f t="shared" si="811"/>
        <v>0</v>
      </c>
      <c r="H362" s="1097">
        <f t="shared" si="811"/>
        <v>0</v>
      </c>
      <c r="I362" s="1097">
        <f t="shared" si="811"/>
        <v>0</v>
      </c>
      <c r="J362" s="1205">
        <f t="shared" si="811"/>
        <v>0</v>
      </c>
      <c r="K362" s="1205">
        <f t="shared" si="811"/>
        <v>0</v>
      </c>
      <c r="L362" s="1097">
        <f>+L361-L359</f>
        <v>0</v>
      </c>
      <c r="M362" s="1097">
        <f>+M361-M359</f>
        <v>0</v>
      </c>
      <c r="N362" s="1097">
        <f t="shared" ref="N362:AE362" si="812">+N361-N359</f>
        <v>0</v>
      </c>
      <c r="O362" s="1097">
        <f t="shared" si="812"/>
        <v>0</v>
      </c>
      <c r="P362" s="1097">
        <f t="shared" si="812"/>
        <v>0</v>
      </c>
      <c r="Q362" s="1205">
        <f t="shared" si="812"/>
        <v>0</v>
      </c>
      <c r="R362" s="1205">
        <f t="shared" si="812"/>
        <v>0</v>
      </c>
      <c r="S362" s="1097">
        <f t="shared" si="812"/>
        <v>0</v>
      </c>
      <c r="T362" s="1097">
        <f t="shared" si="812"/>
        <v>0</v>
      </c>
      <c r="U362" s="1097">
        <f t="shared" si="812"/>
        <v>0</v>
      </c>
      <c r="V362" s="1097">
        <f t="shared" si="812"/>
        <v>0</v>
      </c>
      <c r="W362" s="1097">
        <f t="shared" si="812"/>
        <v>0</v>
      </c>
      <c r="X362" s="1205">
        <f t="shared" si="812"/>
        <v>0</v>
      </c>
      <c r="Y362" s="1205">
        <f t="shared" si="812"/>
        <v>0</v>
      </c>
      <c r="Z362" s="1097">
        <f t="shared" si="812"/>
        <v>0</v>
      </c>
      <c r="AA362" s="1097">
        <f t="shared" si="812"/>
        <v>0</v>
      </c>
      <c r="AB362" s="1097">
        <f t="shared" si="812"/>
        <v>0</v>
      </c>
      <c r="AC362" s="1097">
        <f t="shared" si="812"/>
        <v>0</v>
      </c>
      <c r="AD362" s="1097">
        <f t="shared" si="812"/>
        <v>0</v>
      </c>
      <c r="AE362" s="1205">
        <f t="shared" si="812"/>
        <v>0</v>
      </c>
      <c r="AF362" s="1205">
        <f t="shared" ref="AF362" si="813">+AF361-AF359</f>
        <v>0</v>
      </c>
      <c r="AG362" s="1097">
        <f>+AG361-AG359</f>
        <v>0</v>
      </c>
      <c r="AH362" s="1097">
        <f>+AH361-AH359</f>
        <v>0</v>
      </c>
      <c r="AI362" s="1328">
        <f>+AI361-AI359</f>
        <v>0</v>
      </c>
      <c r="AJ362" s="79">
        <f>+AJ361-AJ359</f>
        <v>0</v>
      </c>
      <c r="AK362" s="79"/>
      <c r="AL362" s="55">
        <f>+AJ362*AN359</f>
        <v>0</v>
      </c>
      <c r="AM362" s="935"/>
      <c r="AN362" s="277" t="s">
        <v>97</v>
      </c>
      <c r="AO362" s="622"/>
      <c r="AP362" s="39" t="s">
        <v>98</v>
      </c>
      <c r="AQ362" s="56">
        <f>AQ361-AQ360</f>
        <v>0</v>
      </c>
      <c r="AR362" s="70">
        <f>AR361-AR360</f>
        <v>0</v>
      </c>
      <c r="AS362" s="70">
        <f>AS361-AS360</f>
        <v>0</v>
      </c>
      <c r="AT362" s="70">
        <f>AT361-AT360</f>
        <v>0</v>
      </c>
      <c r="AU362" s="70">
        <f>AU361-AU360</f>
        <v>0</v>
      </c>
      <c r="AV362" s="57">
        <f t="shared" si="810"/>
        <v>0</v>
      </c>
    </row>
    <row r="363" spans="1:48" s="23" customFormat="1" ht="20.65" hidden="1" customHeight="1">
      <c r="A363" s="321" t="s">
        <v>410</v>
      </c>
      <c r="B363" s="659">
        <v>3.3027500000000001</v>
      </c>
      <c r="C363" s="305"/>
      <c r="D363" s="61" t="s">
        <v>101</v>
      </c>
      <c r="E363" s="1098"/>
      <c r="F363" s="1099"/>
      <c r="G363" s="1208"/>
      <c r="H363" s="1101"/>
      <c r="I363" s="1099"/>
      <c r="J363" s="1208"/>
      <c r="K363" s="1208"/>
      <c r="L363" s="1099"/>
      <c r="M363" s="1099"/>
      <c r="N363" s="1099"/>
      <c r="O363" s="1099"/>
      <c r="P363" s="1099"/>
      <c r="Q363" s="1208"/>
      <c r="R363" s="1208"/>
      <c r="S363" s="1099"/>
      <c r="T363" s="1099"/>
      <c r="U363" s="1099"/>
      <c r="V363" s="1099"/>
      <c r="W363" s="1099"/>
      <c r="X363" s="1208"/>
      <c r="Y363" s="1208"/>
      <c r="Z363" s="1099"/>
      <c r="AA363" s="1099"/>
      <c r="AB363" s="1099"/>
      <c r="AC363" s="1099"/>
      <c r="AD363" s="1099"/>
      <c r="AE363" s="1208"/>
      <c r="AF363" s="1208"/>
      <c r="AG363" s="1099"/>
      <c r="AH363" s="1099"/>
      <c r="AI363" s="1330"/>
      <c r="AJ363" s="62">
        <f>SUM(E363:AI363)</f>
        <v>0</v>
      </c>
      <c r="AK363" s="62"/>
      <c r="AL363" s="63">
        <f>+AJ363*AN359</f>
        <v>0</v>
      </c>
      <c r="AM363" s="936"/>
      <c r="AN363" s="301" t="e">
        <f>+AJ363/AJ361*100</f>
        <v>#DIV/0!</v>
      </c>
      <c r="AO363" s="635" t="e">
        <f>AO361/AO359</f>
        <v>#DIV/0!</v>
      </c>
      <c r="AP363" s="39" t="s">
        <v>102</v>
      </c>
      <c r="AQ363" s="56">
        <f>SUM(E363:K363)</f>
        <v>0</v>
      </c>
      <c r="AR363" s="70">
        <f>SUM(L363:R363)</f>
        <v>0</v>
      </c>
      <c r="AS363" s="70">
        <f>SUM(S363:Y363)</f>
        <v>0</v>
      </c>
      <c r="AT363" s="70">
        <f>SUM(Z363:AF363)</f>
        <v>0</v>
      </c>
      <c r="AU363" s="70">
        <f>SUM(AG363:AI363)</f>
        <v>0</v>
      </c>
      <c r="AV363" s="57">
        <f t="shared" si="810"/>
        <v>0</v>
      </c>
    </row>
    <row r="364" spans="1:48" s="23" customFormat="1" ht="20.65" hidden="1" customHeight="1">
      <c r="A364" s="321" t="s">
        <v>410</v>
      </c>
      <c r="B364" s="89"/>
      <c r="C364" s="52" t="s">
        <v>95</v>
      </c>
      <c r="D364" s="67" t="s">
        <v>103</v>
      </c>
      <c r="E364" s="1100"/>
      <c r="F364" s="1101"/>
      <c r="G364" s="1209"/>
      <c r="H364" s="1162"/>
      <c r="I364" s="1101"/>
      <c r="J364" s="1209"/>
      <c r="K364" s="1209"/>
      <c r="L364" s="1101"/>
      <c r="M364" s="1101"/>
      <c r="N364" s="1101"/>
      <c r="O364" s="1101"/>
      <c r="P364" s="1101"/>
      <c r="Q364" s="1209"/>
      <c r="R364" s="1209"/>
      <c r="S364" s="1101"/>
      <c r="T364" s="1101"/>
      <c r="U364" s="1101"/>
      <c r="V364" s="1101"/>
      <c r="W364" s="1101"/>
      <c r="X364" s="1209"/>
      <c r="Y364" s="1209"/>
      <c r="Z364" s="1101"/>
      <c r="AA364" s="1101"/>
      <c r="AB364" s="1101"/>
      <c r="AC364" s="1101"/>
      <c r="AD364" s="1101"/>
      <c r="AE364" s="1209"/>
      <c r="AF364" s="1209"/>
      <c r="AG364" s="1101"/>
      <c r="AH364" s="1101"/>
      <c r="AI364" s="1332"/>
      <c r="AJ364" s="68">
        <f>SUM(E364:AI364)</f>
        <v>0</v>
      </c>
      <c r="AK364" s="68"/>
      <c r="AL364" s="69">
        <f>+AJ364*AN359</f>
        <v>0</v>
      </c>
      <c r="AM364" s="937"/>
      <c r="AN364" s="277"/>
      <c r="AO364" s="679"/>
      <c r="AP364" s="39" t="s">
        <v>19</v>
      </c>
      <c r="AQ364" s="56">
        <f>AQ363*AN359</f>
        <v>0</v>
      </c>
      <c r="AR364" s="56">
        <f>AR363*AN359</f>
        <v>0</v>
      </c>
      <c r="AS364" s="56">
        <f>AS363*AN359</f>
        <v>0</v>
      </c>
      <c r="AT364" s="56">
        <f>AT363*AN359</f>
        <v>0</v>
      </c>
      <c r="AU364" s="56">
        <f>AU363*AN359</f>
        <v>0</v>
      </c>
      <c r="AV364" s="57">
        <f t="shared" si="810"/>
        <v>0</v>
      </c>
    </row>
    <row r="365" spans="1:48" s="23" customFormat="1" ht="20.65" hidden="1" customHeight="1">
      <c r="A365" s="327"/>
      <c r="B365" s="89"/>
      <c r="C365" s="306" t="s">
        <v>387</v>
      </c>
      <c r="D365" s="73" t="s">
        <v>105</v>
      </c>
      <c r="E365" s="1115"/>
      <c r="F365" s="1116"/>
      <c r="G365" s="1215"/>
      <c r="H365" s="1116"/>
      <c r="I365" s="1116"/>
      <c r="J365" s="1215"/>
      <c r="K365" s="1215"/>
      <c r="L365" s="1116"/>
      <c r="M365" s="1116"/>
      <c r="N365" s="1116"/>
      <c r="O365" s="1116"/>
      <c r="P365" s="1116"/>
      <c r="Q365" s="1215"/>
      <c r="R365" s="1215"/>
      <c r="S365" s="1116"/>
      <c r="T365" s="1116"/>
      <c r="U365" s="1116"/>
      <c r="V365" s="1116"/>
      <c r="W365" s="1116"/>
      <c r="X365" s="1215"/>
      <c r="Y365" s="1215"/>
      <c r="Z365" s="1116"/>
      <c r="AA365" s="1116"/>
      <c r="AB365" s="1116"/>
      <c r="AC365" s="1116"/>
      <c r="AD365" s="1116"/>
      <c r="AE365" s="1215"/>
      <c r="AF365" s="1215"/>
      <c r="AG365" s="1116"/>
      <c r="AH365" s="1116"/>
      <c r="AI365" s="1334"/>
      <c r="AJ365" s="717">
        <f>SUM(E365:AI365)</f>
        <v>0</v>
      </c>
      <c r="AK365" s="717"/>
      <c r="AL365" s="220">
        <f>+AJ365*AN359</f>
        <v>0</v>
      </c>
      <c r="AM365" s="962"/>
      <c r="AN365" s="91"/>
      <c r="AO365" s="630"/>
      <c r="AP365" s="47" t="s">
        <v>106</v>
      </c>
      <c r="AQ365" s="48">
        <f>AQ361*AN359</f>
        <v>0</v>
      </c>
      <c r="AR365" s="48">
        <f>AR361*AN359</f>
        <v>0</v>
      </c>
      <c r="AS365" s="48">
        <f>AS361*AN359</f>
        <v>0</v>
      </c>
      <c r="AT365" s="48">
        <f>AT361*AN359</f>
        <v>0</v>
      </c>
      <c r="AU365" s="48">
        <f>AU361*AN359</f>
        <v>0</v>
      </c>
      <c r="AV365" s="50">
        <f t="shared" si="810"/>
        <v>0</v>
      </c>
    </row>
    <row r="366" spans="1:48" s="23" customFormat="1" ht="20.65" hidden="1" customHeight="1">
      <c r="A366" s="321" t="s">
        <v>410</v>
      </c>
      <c r="B366" s="89"/>
      <c r="C366" s="307"/>
      <c r="D366" s="78" t="s">
        <v>107</v>
      </c>
      <c r="E366" s="1137">
        <v>4</v>
      </c>
      <c r="F366" s="1097">
        <v>4</v>
      </c>
      <c r="G366" s="1205">
        <v>4</v>
      </c>
      <c r="H366" s="1097">
        <v>4</v>
      </c>
      <c r="I366" s="1097">
        <v>4</v>
      </c>
      <c r="J366" s="1205">
        <v>4</v>
      </c>
      <c r="K366" s="1205">
        <v>4</v>
      </c>
      <c r="L366" s="1097">
        <v>4</v>
      </c>
      <c r="M366" s="1097">
        <v>4</v>
      </c>
      <c r="N366" s="1097">
        <v>4</v>
      </c>
      <c r="O366" s="1097">
        <v>4</v>
      </c>
      <c r="P366" s="1097">
        <v>4</v>
      </c>
      <c r="Q366" s="1205">
        <v>4</v>
      </c>
      <c r="R366" s="1205">
        <v>4</v>
      </c>
      <c r="S366" s="1097">
        <v>4</v>
      </c>
      <c r="T366" s="1097">
        <v>4</v>
      </c>
      <c r="U366" s="1097">
        <v>4</v>
      </c>
      <c r="V366" s="1097">
        <v>4</v>
      </c>
      <c r="W366" s="1097">
        <v>4</v>
      </c>
      <c r="X366" s="1205">
        <v>4</v>
      </c>
      <c r="Y366" s="1205">
        <v>4</v>
      </c>
      <c r="Z366" s="1097">
        <v>4</v>
      </c>
      <c r="AA366" s="1097">
        <v>4</v>
      </c>
      <c r="AB366" s="1097">
        <v>4</v>
      </c>
      <c r="AC366" s="1097">
        <v>4</v>
      </c>
      <c r="AD366" s="1097">
        <v>4</v>
      </c>
      <c r="AE366" s="1205">
        <v>4</v>
      </c>
      <c r="AF366" s="1205">
        <v>4</v>
      </c>
      <c r="AG366" s="1097">
        <v>4</v>
      </c>
      <c r="AH366" s="1097">
        <v>4</v>
      </c>
      <c r="AI366" s="1328">
        <v>4</v>
      </c>
      <c r="AJ366" s="79"/>
      <c r="AK366" s="79"/>
      <c r="AL366" s="692"/>
      <c r="AM366" s="960"/>
      <c r="AN366" s="277"/>
      <c r="AO366" s="679"/>
      <c r="AP366" s="47"/>
      <c r="AQ366" s="48"/>
      <c r="AR366" s="48"/>
      <c r="AS366" s="48"/>
      <c r="AT366" s="48"/>
      <c r="AU366" s="48"/>
      <c r="AV366" s="284"/>
    </row>
    <row r="367" spans="1:48" s="23" customFormat="1" ht="20.65" hidden="1" customHeight="1">
      <c r="A367" s="321" t="s">
        <v>410</v>
      </c>
      <c r="B367" s="89"/>
      <c r="C367" s="305"/>
      <c r="D367" s="81" t="s">
        <v>109</v>
      </c>
      <c r="E367" s="1125">
        <f>SUM(E361+E363+E364+E365)/E366</f>
        <v>0</v>
      </c>
      <c r="F367" s="1126">
        <f>SUM(F361+F363+F364+F365)/F366</f>
        <v>0</v>
      </c>
      <c r="G367" s="1235">
        <f t="shared" ref="G367:AH367" si="814">SUM(G361+G363+G364+G365)/G366</f>
        <v>0</v>
      </c>
      <c r="H367" s="1126">
        <f t="shared" si="814"/>
        <v>0</v>
      </c>
      <c r="I367" s="1126">
        <f t="shared" si="814"/>
        <v>0</v>
      </c>
      <c r="J367" s="1235">
        <f t="shared" si="814"/>
        <v>0</v>
      </c>
      <c r="K367" s="1235">
        <f t="shared" si="814"/>
        <v>0</v>
      </c>
      <c r="L367" s="1126">
        <f t="shared" si="814"/>
        <v>0</v>
      </c>
      <c r="M367" s="1126">
        <f t="shared" si="814"/>
        <v>0</v>
      </c>
      <c r="N367" s="1126">
        <f t="shared" si="814"/>
        <v>0</v>
      </c>
      <c r="O367" s="1126">
        <f t="shared" si="814"/>
        <v>0</v>
      </c>
      <c r="P367" s="1126">
        <f t="shared" si="814"/>
        <v>0</v>
      </c>
      <c r="Q367" s="1235">
        <f t="shared" si="814"/>
        <v>0</v>
      </c>
      <c r="R367" s="1235">
        <f t="shared" si="814"/>
        <v>0</v>
      </c>
      <c r="S367" s="1126">
        <f t="shared" si="814"/>
        <v>0</v>
      </c>
      <c r="T367" s="1126">
        <f t="shared" si="814"/>
        <v>0</v>
      </c>
      <c r="U367" s="1126">
        <f t="shared" si="814"/>
        <v>0</v>
      </c>
      <c r="V367" s="1126">
        <f t="shared" si="814"/>
        <v>0</v>
      </c>
      <c r="W367" s="1126">
        <f t="shared" si="814"/>
        <v>0</v>
      </c>
      <c r="X367" s="1235">
        <f t="shared" si="814"/>
        <v>0</v>
      </c>
      <c r="Y367" s="1235">
        <f t="shared" si="814"/>
        <v>0</v>
      </c>
      <c r="Z367" s="1126">
        <f t="shared" si="814"/>
        <v>0</v>
      </c>
      <c r="AA367" s="1126">
        <f t="shared" si="814"/>
        <v>0</v>
      </c>
      <c r="AB367" s="1126">
        <f t="shared" si="814"/>
        <v>0</v>
      </c>
      <c r="AC367" s="1126">
        <f t="shared" si="814"/>
        <v>0</v>
      </c>
      <c r="AD367" s="1126">
        <f t="shared" si="814"/>
        <v>0</v>
      </c>
      <c r="AE367" s="1235">
        <f t="shared" si="814"/>
        <v>0</v>
      </c>
      <c r="AF367" s="1235">
        <f t="shared" si="814"/>
        <v>0</v>
      </c>
      <c r="AG367" s="1126">
        <f t="shared" si="814"/>
        <v>0</v>
      </c>
      <c r="AH367" s="1126">
        <f t="shared" si="814"/>
        <v>0</v>
      </c>
      <c r="AI367" s="1335">
        <f>SUM(AI361+AI363+AI364+AI365)/AI366</f>
        <v>0</v>
      </c>
      <c r="AJ367" s="515">
        <f>SUM(E367:AI367)</f>
        <v>0</v>
      </c>
      <c r="AK367" s="515"/>
      <c r="AL367" s="689"/>
      <c r="AM367" s="940"/>
      <c r="AN367" s="277"/>
      <c r="AO367" s="679"/>
      <c r="AP367" s="285"/>
      <c r="AQ367" s="285"/>
      <c r="AR367" s="285"/>
      <c r="AS367" s="285"/>
      <c r="AT367" s="286"/>
      <c r="AU367" s="285"/>
      <c r="AV367" s="287"/>
    </row>
    <row r="368" spans="1:48" s="23" customFormat="1" ht="20.65" hidden="1" customHeight="1">
      <c r="A368" s="321" t="s">
        <v>410</v>
      </c>
      <c r="B368" s="89" t="s">
        <v>550</v>
      </c>
      <c r="C368" s="72"/>
      <c r="D368" s="85" t="s">
        <v>110</v>
      </c>
      <c r="E368" s="1105"/>
      <c r="F368" s="1106"/>
      <c r="G368" s="1211"/>
      <c r="H368" s="1104"/>
      <c r="I368" s="1104"/>
      <c r="J368" s="1211"/>
      <c r="K368" s="1211"/>
      <c r="L368" s="1104"/>
      <c r="M368" s="1104"/>
      <c r="N368" s="1104"/>
      <c r="O368" s="1104"/>
      <c r="P368" s="1104"/>
      <c r="Q368" s="1211"/>
      <c r="R368" s="1211"/>
      <c r="S368" s="1104"/>
      <c r="T368" s="1104"/>
      <c r="U368" s="1104"/>
      <c r="V368" s="1104"/>
      <c r="W368" s="1104"/>
      <c r="X368" s="1211"/>
      <c r="Y368" s="1211"/>
      <c r="Z368" s="1104"/>
      <c r="AA368" s="1104"/>
      <c r="AB368" s="1104"/>
      <c r="AC368" s="1104"/>
      <c r="AD368" s="1104"/>
      <c r="AE368" s="1211"/>
      <c r="AF368" s="1211"/>
      <c r="AG368" s="1104"/>
      <c r="AH368" s="1104"/>
      <c r="AI368" s="1353"/>
      <c r="AJ368" s="86"/>
      <c r="AK368" s="86"/>
      <c r="AL368" s="690"/>
      <c r="AM368" s="940"/>
      <c r="AN368" s="277"/>
      <c r="AO368" s="679"/>
      <c r="AP368" s="285"/>
      <c r="AQ368" s="285"/>
      <c r="AR368" s="285"/>
      <c r="AS368" s="285"/>
      <c r="AT368" s="286"/>
      <c r="AU368" s="285"/>
      <c r="AV368" s="287"/>
    </row>
    <row r="369" spans="1:48" s="23" customFormat="1" ht="20.45" hidden="1" customHeight="1">
      <c r="A369" s="321" t="s">
        <v>410</v>
      </c>
      <c r="B369" s="89"/>
      <c r="C369" s="72" t="s">
        <v>104</v>
      </c>
      <c r="D369" s="88" t="s">
        <v>111</v>
      </c>
      <c r="E369" s="1108">
        <f>IF(E368="O/H",E367,0+E367)</f>
        <v>0</v>
      </c>
      <c r="F369" s="1089">
        <f t="shared" ref="F369:AI369" si="815">IF(F368="O/H",F367,+E369+F367)</f>
        <v>0</v>
      </c>
      <c r="G369" s="44">
        <f t="shared" si="815"/>
        <v>0</v>
      </c>
      <c r="H369" s="1089">
        <f t="shared" si="815"/>
        <v>0</v>
      </c>
      <c r="I369" s="1089">
        <f t="shared" si="815"/>
        <v>0</v>
      </c>
      <c r="J369" s="44">
        <f t="shared" si="815"/>
        <v>0</v>
      </c>
      <c r="K369" s="44">
        <f t="shared" si="815"/>
        <v>0</v>
      </c>
      <c r="L369" s="1089">
        <f t="shared" si="815"/>
        <v>0</v>
      </c>
      <c r="M369" s="1089">
        <f t="shared" si="815"/>
        <v>0</v>
      </c>
      <c r="N369" s="1089">
        <f t="shared" si="815"/>
        <v>0</v>
      </c>
      <c r="O369" s="1089">
        <f t="shared" si="815"/>
        <v>0</v>
      </c>
      <c r="P369" s="1089">
        <f t="shared" si="815"/>
        <v>0</v>
      </c>
      <c r="Q369" s="44">
        <f t="shared" si="815"/>
        <v>0</v>
      </c>
      <c r="R369" s="44">
        <f t="shared" si="815"/>
        <v>0</v>
      </c>
      <c r="S369" s="1089">
        <f t="shared" si="815"/>
        <v>0</v>
      </c>
      <c r="T369" s="1089">
        <f t="shared" si="815"/>
        <v>0</v>
      </c>
      <c r="U369" s="1089">
        <f t="shared" si="815"/>
        <v>0</v>
      </c>
      <c r="V369" s="1089">
        <f t="shared" si="815"/>
        <v>0</v>
      </c>
      <c r="W369" s="1089">
        <f t="shared" si="815"/>
        <v>0</v>
      </c>
      <c r="X369" s="44">
        <f t="shared" si="815"/>
        <v>0</v>
      </c>
      <c r="Y369" s="44">
        <f t="shared" si="815"/>
        <v>0</v>
      </c>
      <c r="Z369" s="1089">
        <f t="shared" si="815"/>
        <v>0</v>
      </c>
      <c r="AA369" s="1089">
        <f t="shared" si="815"/>
        <v>0</v>
      </c>
      <c r="AB369" s="1089">
        <f t="shared" si="815"/>
        <v>0</v>
      </c>
      <c r="AC369" s="1089">
        <f t="shared" si="815"/>
        <v>0</v>
      </c>
      <c r="AD369" s="1089">
        <f t="shared" si="815"/>
        <v>0</v>
      </c>
      <c r="AE369" s="44">
        <f t="shared" si="815"/>
        <v>0</v>
      </c>
      <c r="AF369" s="44">
        <f t="shared" si="815"/>
        <v>0</v>
      </c>
      <c r="AG369" s="1089">
        <f t="shared" si="815"/>
        <v>0</v>
      </c>
      <c r="AH369" s="1089">
        <f t="shared" si="815"/>
        <v>0</v>
      </c>
      <c r="AI369" s="1326">
        <f t="shared" si="815"/>
        <v>0</v>
      </c>
      <c r="AJ369" s="79"/>
      <c r="AK369" s="79"/>
      <c r="AL369" s="690"/>
      <c r="AM369" s="940"/>
      <c r="AN369" s="277"/>
      <c r="AO369" s="679"/>
      <c r="AP369" s="285"/>
      <c r="AQ369" s="285"/>
      <c r="AR369" s="285"/>
      <c r="AS369" s="285"/>
      <c r="AT369" s="286"/>
      <c r="AU369" s="285"/>
      <c r="AV369" s="287"/>
    </row>
    <row r="370" spans="1:48" s="23" customFormat="1" ht="20.65" hidden="1" customHeight="1">
      <c r="A370" s="312"/>
      <c r="B370" s="312"/>
      <c r="C370" s="308">
        <v>300000</v>
      </c>
      <c r="D370" s="795" t="s">
        <v>112</v>
      </c>
      <c r="E370" s="1117" t="b">
        <f>IF(AND(ISNUMBER(E361)),1215075+E367)</f>
        <v>0</v>
      </c>
      <c r="F370" s="1118" t="str">
        <f>IF(AND(ISNUMBER(F361)),E370+F367,"")</f>
        <v/>
      </c>
      <c r="G370" s="1216" t="str">
        <f t="shared" ref="G370" si="816">IF(AND(ISNUMBER(G361)),F370+G367,"")</f>
        <v/>
      </c>
      <c r="H370" s="1118" t="str">
        <f t="shared" ref="H370" si="817">IF(AND(ISNUMBER(H361)),G370+H367,"")</f>
        <v/>
      </c>
      <c r="I370" s="1118" t="str">
        <f>IF(AND(ISNUMBER(I361)),H370+I367,"")</f>
        <v/>
      </c>
      <c r="J370" s="1216" t="str">
        <f>IF(AND(ISNUMBER(J361)),I370+J367,"")</f>
        <v/>
      </c>
      <c r="K370" s="1216" t="str">
        <f>IF(AND(ISNUMBER(K361)),J370+K367,"")</f>
        <v/>
      </c>
      <c r="L370" s="1118" t="str">
        <f t="shared" ref="L370" si="818">IF(AND(ISNUMBER(L361)),K370+L367,"")</f>
        <v/>
      </c>
      <c r="M370" s="1118" t="str">
        <f t="shared" ref="M370" si="819">IF(AND(ISNUMBER(M361)),L370+M367,"")</f>
        <v/>
      </c>
      <c r="N370" s="1118" t="str">
        <f t="shared" ref="N370" si="820">IF(AND(ISNUMBER(N361)),M370+N367,"")</f>
        <v/>
      </c>
      <c r="O370" s="1118" t="str">
        <f t="shared" ref="O370" si="821">IF(AND(ISNUMBER(O361)),N370+O367,"")</f>
        <v/>
      </c>
      <c r="P370" s="1118" t="str">
        <f t="shared" ref="P370" si="822">IF(AND(ISNUMBER(P361)),O370+P367,"")</f>
        <v/>
      </c>
      <c r="Q370" s="1216" t="str">
        <f t="shared" ref="Q370" si="823">IF(AND(ISNUMBER(Q361)),P370+Q367,"")</f>
        <v/>
      </c>
      <c r="R370" s="1216" t="str">
        <f t="shared" ref="R370" si="824">IF(AND(ISNUMBER(R361)),Q370+R367,"")</f>
        <v/>
      </c>
      <c r="S370" s="1118" t="str">
        <f t="shared" ref="S370" si="825">IF(AND(ISNUMBER(S361)),R370+S367,"")</f>
        <v/>
      </c>
      <c r="T370" s="1118" t="str">
        <f t="shared" ref="T370" si="826">IF(AND(ISNUMBER(T361)),S370+T367,"")</f>
        <v/>
      </c>
      <c r="U370" s="1118" t="str">
        <f t="shared" ref="U370" si="827">IF(AND(ISNUMBER(U361)),T370+U367,"")</f>
        <v/>
      </c>
      <c r="V370" s="1118" t="str">
        <f t="shared" ref="V370" si="828">IF(AND(ISNUMBER(V361)),U370+V367,"")</f>
        <v/>
      </c>
      <c r="W370" s="1118" t="str">
        <f t="shared" ref="W370" si="829">IF(AND(ISNUMBER(W361)),V370+W367,"")</f>
        <v/>
      </c>
      <c r="X370" s="1216" t="str">
        <f t="shared" ref="X370" si="830">IF(AND(ISNUMBER(X361)),W370+X367,"")</f>
        <v/>
      </c>
      <c r="Y370" s="1216" t="str">
        <f t="shared" ref="Y370" si="831">IF(AND(ISNUMBER(Y361)),X370+Y367,"")</f>
        <v/>
      </c>
      <c r="Z370" s="1118" t="str">
        <f t="shared" ref="Z370" si="832">IF(AND(ISNUMBER(Z361)),Y370+Z367,"")</f>
        <v/>
      </c>
      <c r="AA370" s="1118" t="str">
        <f t="shared" ref="AA370" si="833">IF(AND(ISNUMBER(AA361)),Z370+AA367,"")</f>
        <v/>
      </c>
      <c r="AB370" s="1118" t="str">
        <f t="shared" ref="AB370" si="834">IF(AND(ISNUMBER(AB361)),AA370+AB367,"")</f>
        <v/>
      </c>
      <c r="AC370" s="1118" t="str">
        <f t="shared" ref="AC370" si="835">IF(AND(ISNUMBER(AC361)),AB370+AC367,"")</f>
        <v/>
      </c>
      <c r="AD370" s="1118" t="str">
        <f t="shared" ref="AD370" si="836">IF(AND(ISNUMBER(AD361)),AC370+AD367,"")</f>
        <v/>
      </c>
      <c r="AE370" s="1216" t="str">
        <f t="shared" ref="AE370" si="837">IF(AND(ISNUMBER(AE361)),AD370+AE367,"")</f>
        <v/>
      </c>
      <c r="AF370" s="1216" t="str">
        <f t="shared" ref="AF370" si="838">IF(AND(ISNUMBER(AF361)),AE370+AF367,"")</f>
        <v/>
      </c>
      <c r="AG370" s="1118" t="str">
        <f t="shared" ref="AG370" si="839">IF(AND(ISNUMBER(AG361)),AF370+AG367,"")</f>
        <v/>
      </c>
      <c r="AH370" s="1118" t="str">
        <f t="shared" ref="AH370" si="840">IF(AND(ISNUMBER(AH361)),AG370+AH367,"")</f>
        <v/>
      </c>
      <c r="AI370" s="1118" t="str">
        <f t="shared" ref="AI370" si="841">IF(AND(ISNUMBER(AI361)),AH370+AI367,"")</f>
        <v/>
      </c>
      <c r="AJ370" s="793"/>
      <c r="AK370" s="793"/>
      <c r="AL370" s="909"/>
      <c r="AM370" s="794"/>
      <c r="AN370" s="429"/>
      <c r="AO370" s="675"/>
      <c r="AP370" s="285"/>
      <c r="AQ370" s="285"/>
      <c r="AR370" s="285"/>
      <c r="AS370" s="285"/>
      <c r="AT370" s="286"/>
      <c r="AU370" s="285"/>
      <c r="AV370" s="287"/>
    </row>
    <row r="371" spans="1:48" s="23" customFormat="1" ht="20.65" hidden="1" customHeight="1">
      <c r="A371" s="321"/>
      <c r="B371" s="89"/>
      <c r="C371" s="80" t="s">
        <v>108</v>
      </c>
      <c r="D371" s="90" t="s">
        <v>104</v>
      </c>
      <c r="E371" s="1108"/>
      <c r="F371" s="1089"/>
      <c r="G371" s="44"/>
      <c r="H371" s="1089"/>
      <c r="I371" s="1089"/>
      <c r="J371" s="44"/>
      <c r="K371" s="44"/>
      <c r="L371" s="1089"/>
      <c r="M371" s="1089"/>
      <c r="N371" s="1089"/>
      <c r="O371" s="1089"/>
      <c r="P371" s="1089"/>
      <c r="Q371" s="44"/>
      <c r="R371" s="44"/>
      <c r="S371" s="1089"/>
      <c r="T371" s="1089"/>
      <c r="U371" s="1089"/>
      <c r="V371" s="1089"/>
      <c r="W371" s="1089"/>
      <c r="X371" s="44"/>
      <c r="Y371" s="44"/>
      <c r="Z371" s="1089"/>
      <c r="AA371" s="1089"/>
      <c r="AB371" s="1089"/>
      <c r="AC371" s="1089"/>
      <c r="AD371" s="1089"/>
      <c r="AE371" s="44"/>
      <c r="AF371" s="44"/>
      <c r="AG371" s="1089"/>
      <c r="AH371" s="1089"/>
      <c r="AI371" s="1326"/>
      <c r="AJ371" s="79"/>
      <c r="AK371" s="79"/>
      <c r="AL371" s="690"/>
      <c r="AM371" s="940"/>
      <c r="AN371" s="277"/>
      <c r="AO371" s="679"/>
      <c r="AP371" s="285"/>
      <c r="AQ371" s="285"/>
      <c r="AR371" s="285"/>
      <c r="AS371" s="285"/>
      <c r="AT371" s="286"/>
      <c r="AU371" s="285"/>
      <c r="AV371" s="287"/>
    </row>
    <row r="372" spans="1:48" s="23" customFormat="1" ht="20.65" hidden="1" customHeight="1" thickBot="1">
      <c r="A372" s="322"/>
      <c r="B372" s="93"/>
      <c r="C372" s="291">
        <f>+C370*0.8</f>
        <v>240000</v>
      </c>
      <c r="D372" s="88" t="s">
        <v>111</v>
      </c>
      <c r="E372" s="1109">
        <f>IF(E371="O/H",E367,0+E367)</f>
        <v>0</v>
      </c>
      <c r="F372" s="1110">
        <f t="shared" ref="F372:AI372" si="842">IF(F371="O/H",F367,+E372+F367)</f>
        <v>0</v>
      </c>
      <c r="G372" s="1212">
        <f t="shared" si="842"/>
        <v>0</v>
      </c>
      <c r="H372" s="1110">
        <f t="shared" si="842"/>
        <v>0</v>
      </c>
      <c r="I372" s="1110">
        <f t="shared" si="842"/>
        <v>0</v>
      </c>
      <c r="J372" s="1212">
        <f t="shared" si="842"/>
        <v>0</v>
      </c>
      <c r="K372" s="1212">
        <f t="shared" si="842"/>
        <v>0</v>
      </c>
      <c r="L372" s="1110">
        <f t="shared" si="842"/>
        <v>0</v>
      </c>
      <c r="M372" s="1110">
        <f t="shared" si="842"/>
        <v>0</v>
      </c>
      <c r="N372" s="1110">
        <f t="shared" si="842"/>
        <v>0</v>
      </c>
      <c r="O372" s="1110">
        <f t="shared" si="842"/>
        <v>0</v>
      </c>
      <c r="P372" s="1110">
        <f t="shared" si="842"/>
        <v>0</v>
      </c>
      <c r="Q372" s="1212">
        <f t="shared" si="842"/>
        <v>0</v>
      </c>
      <c r="R372" s="1212">
        <f t="shared" si="842"/>
        <v>0</v>
      </c>
      <c r="S372" s="1110">
        <f t="shared" si="842"/>
        <v>0</v>
      </c>
      <c r="T372" s="1110">
        <f t="shared" si="842"/>
        <v>0</v>
      </c>
      <c r="U372" s="1110">
        <f t="shared" si="842"/>
        <v>0</v>
      </c>
      <c r="V372" s="1110">
        <f t="shared" si="842"/>
        <v>0</v>
      </c>
      <c r="W372" s="1110">
        <f t="shared" si="842"/>
        <v>0</v>
      </c>
      <c r="X372" s="1212">
        <f t="shared" si="842"/>
        <v>0</v>
      </c>
      <c r="Y372" s="1212">
        <f t="shared" si="842"/>
        <v>0</v>
      </c>
      <c r="Z372" s="1110">
        <f t="shared" si="842"/>
        <v>0</v>
      </c>
      <c r="AA372" s="1110">
        <f t="shared" si="842"/>
        <v>0</v>
      </c>
      <c r="AB372" s="1110">
        <f t="shared" si="842"/>
        <v>0</v>
      </c>
      <c r="AC372" s="1110">
        <f t="shared" si="842"/>
        <v>0</v>
      </c>
      <c r="AD372" s="1110">
        <f t="shared" si="842"/>
        <v>0</v>
      </c>
      <c r="AE372" s="1212">
        <f t="shared" si="842"/>
        <v>0</v>
      </c>
      <c r="AF372" s="1212">
        <f t="shared" si="842"/>
        <v>0</v>
      </c>
      <c r="AG372" s="1110">
        <f t="shared" si="842"/>
        <v>0</v>
      </c>
      <c r="AH372" s="1110">
        <f t="shared" si="842"/>
        <v>0</v>
      </c>
      <c r="AI372" s="1340">
        <f t="shared" si="842"/>
        <v>0</v>
      </c>
      <c r="AJ372" s="96"/>
      <c r="AK372" s="723"/>
      <c r="AL372" s="695"/>
      <c r="AM372" s="961"/>
      <c r="AN372" s="292"/>
      <c r="AO372" s="681"/>
      <c r="AP372" s="285"/>
      <c r="AQ372" s="285"/>
      <c r="AR372" s="285"/>
      <c r="AS372" s="285"/>
      <c r="AT372" s="286"/>
      <c r="AU372" s="285"/>
      <c r="AV372" s="287"/>
    </row>
    <row r="373" spans="1:48" s="23" customFormat="1" ht="20.65" hidden="1" customHeight="1" thickTop="1">
      <c r="A373" s="219" t="s">
        <v>704</v>
      </c>
      <c r="B373" s="89" t="s">
        <v>683</v>
      </c>
      <c r="C373" s="1493" t="str">
        <f>Table2[[#This Row],[M/C No.]]</f>
        <v>H10(50ton)</v>
      </c>
      <c r="D373" s="28" t="s">
        <v>82</v>
      </c>
      <c r="E373" s="1124"/>
      <c r="F373" s="1124"/>
      <c r="G373" s="1242"/>
      <c r="H373" s="1124"/>
      <c r="I373" s="1124"/>
      <c r="J373" s="1242"/>
      <c r="K373" s="1242"/>
      <c r="L373" s="1124"/>
      <c r="M373" s="1124"/>
      <c r="N373" s="1124"/>
      <c r="O373" s="1124"/>
      <c r="P373" s="1124"/>
      <c r="Q373" s="1242"/>
      <c r="R373" s="1242"/>
      <c r="S373" s="1124"/>
      <c r="T373" s="1124"/>
      <c r="U373" s="1124"/>
      <c r="V373" s="1124"/>
      <c r="W373" s="1124"/>
      <c r="X373" s="1242"/>
      <c r="Y373" s="1242"/>
      <c r="Z373" s="1124"/>
      <c r="AA373" s="1124"/>
      <c r="AB373" s="1124"/>
      <c r="AC373" s="1124"/>
      <c r="AD373" s="1124"/>
      <c r="AE373" s="1242"/>
      <c r="AF373" s="1242"/>
      <c r="AG373" s="1124"/>
      <c r="AH373" s="1124"/>
      <c r="AI373" s="1350"/>
      <c r="AJ373" s="100">
        <f>SUM(E373:AI373)</f>
        <v>0</v>
      </c>
      <c r="AK373" s="1000">
        <f>AJ375</f>
        <v>0</v>
      </c>
      <c r="AL373" s="101">
        <f>+AJ373*AN373</f>
        <v>0</v>
      </c>
      <c r="AM373" s="1019">
        <f>AL375</f>
        <v>0</v>
      </c>
      <c r="AN373" s="273">
        <v>4.4491499999999995</v>
      </c>
      <c r="AO373" s="633">
        <f>Table2[[#This Row],[Total]]*B377/1000</f>
        <v>0</v>
      </c>
      <c r="AP373" s="32" t="s">
        <v>407</v>
      </c>
      <c r="AQ373" s="33" t="s">
        <v>84</v>
      </c>
      <c r="AR373" s="33" t="s">
        <v>85</v>
      </c>
      <c r="AS373" s="33" t="s">
        <v>86</v>
      </c>
      <c r="AT373" s="33" t="s">
        <v>87</v>
      </c>
      <c r="AU373" s="33" t="s">
        <v>88</v>
      </c>
      <c r="AV373" s="34" t="s">
        <v>68</v>
      </c>
    </row>
    <row r="374" spans="1:48" s="23" customFormat="1" ht="20.65" hidden="1" customHeight="1">
      <c r="A374" s="274"/>
      <c r="B374" s="219" t="s">
        <v>411</v>
      </c>
      <c r="C374" s="275"/>
      <c r="D374" s="37" t="s">
        <v>90</v>
      </c>
      <c r="E374" s="1323">
        <f>IF(E373="",0,+ E373/E380)</f>
        <v>0</v>
      </c>
      <c r="F374" s="1096">
        <f t="shared" ref="F374:AC374" si="843">IF(F373="",0, E374+F373/F380)</f>
        <v>0</v>
      </c>
      <c r="G374" s="1207">
        <f t="shared" si="843"/>
        <v>0</v>
      </c>
      <c r="H374" s="1096">
        <f t="shared" si="843"/>
        <v>0</v>
      </c>
      <c r="I374" s="1096">
        <f t="shared" si="843"/>
        <v>0</v>
      </c>
      <c r="J374" s="1207">
        <f t="shared" si="843"/>
        <v>0</v>
      </c>
      <c r="K374" s="1207">
        <f t="shared" si="843"/>
        <v>0</v>
      </c>
      <c r="L374" s="1096">
        <f t="shared" si="843"/>
        <v>0</v>
      </c>
      <c r="M374" s="1096">
        <f t="shared" si="843"/>
        <v>0</v>
      </c>
      <c r="N374" s="1096">
        <f t="shared" si="843"/>
        <v>0</v>
      </c>
      <c r="O374" s="1096">
        <f t="shared" si="843"/>
        <v>0</v>
      </c>
      <c r="P374" s="1096">
        <f t="shared" si="843"/>
        <v>0</v>
      </c>
      <c r="Q374" s="1207">
        <f t="shared" si="843"/>
        <v>0</v>
      </c>
      <c r="R374" s="1207">
        <f t="shared" si="843"/>
        <v>0</v>
      </c>
      <c r="S374" s="1096">
        <f t="shared" si="843"/>
        <v>0</v>
      </c>
      <c r="T374" s="1096">
        <f t="shared" si="843"/>
        <v>0</v>
      </c>
      <c r="U374" s="1096">
        <f t="shared" si="843"/>
        <v>0</v>
      </c>
      <c r="V374" s="1096">
        <f t="shared" si="843"/>
        <v>0</v>
      </c>
      <c r="W374" s="1096">
        <f t="shared" si="843"/>
        <v>0</v>
      </c>
      <c r="X374" s="1207">
        <f t="shared" si="843"/>
        <v>0</v>
      </c>
      <c r="Y374" s="1207">
        <f t="shared" si="843"/>
        <v>0</v>
      </c>
      <c r="Z374" s="1096">
        <f t="shared" si="843"/>
        <v>0</v>
      </c>
      <c r="AA374" s="1096">
        <f t="shared" si="843"/>
        <v>0</v>
      </c>
      <c r="AB374" s="1096">
        <f t="shared" si="843"/>
        <v>0</v>
      </c>
      <c r="AC374" s="1096">
        <f t="shared" si="843"/>
        <v>0</v>
      </c>
      <c r="AD374" s="1096">
        <f>IF(AD373="",0, Z374+AD373/AD380)</f>
        <v>0</v>
      </c>
      <c r="AE374" s="1207">
        <f>IF(AE373="",0, AA374+AE373/AE380)</f>
        <v>0</v>
      </c>
      <c r="AF374" s="1207">
        <f>IF(AF373="",0, AB374+AF373/AF380)</f>
        <v>0</v>
      </c>
      <c r="AG374" s="1096">
        <f>IF(AG373="",0, AC374+AG373/AG380)</f>
        <v>0</v>
      </c>
      <c r="AH374" s="1096">
        <f>IF(AH373="",0, AD374+AH373/AH380)</f>
        <v>0</v>
      </c>
      <c r="AI374" s="1324">
        <f>IF(AI373="",0, AH374+AI373/AI380)</f>
        <v>0</v>
      </c>
      <c r="AJ374" s="716"/>
      <c r="AK374" s="716"/>
      <c r="AL374" s="209"/>
      <c r="AM374" s="794"/>
      <c r="AN374" s="91"/>
      <c r="AO374" s="675"/>
      <c r="AP374" s="39" t="s">
        <v>91</v>
      </c>
      <c r="AQ374" s="40">
        <f>SUM(E373:K373)</f>
        <v>0</v>
      </c>
      <c r="AR374" s="41">
        <f>SUM(L373:R373)</f>
        <v>0</v>
      </c>
      <c r="AS374" s="41">
        <f>SUM(S373:Y373)</f>
        <v>0</v>
      </c>
      <c r="AT374" s="41">
        <f>SUM(Z373:AF373)</f>
        <v>0</v>
      </c>
      <c r="AU374" s="41">
        <f>SUM(AG373:AI373)</f>
        <v>0</v>
      </c>
      <c r="AV374" s="34">
        <f t="shared" ref="AV374:AV379" si="844">SUM(AQ374:AU374)</f>
        <v>0</v>
      </c>
    </row>
    <row r="375" spans="1:48" s="23" customFormat="1" ht="20.65" hidden="1" customHeight="1">
      <c r="A375" s="321" t="s">
        <v>410</v>
      </c>
      <c r="B375" s="89" t="s">
        <v>246</v>
      </c>
      <c r="C375" s="42"/>
      <c r="D375" s="43" t="s">
        <v>93</v>
      </c>
      <c r="E375" s="1108"/>
      <c r="F375" s="1089"/>
      <c r="G375" s="44"/>
      <c r="H375" s="1089"/>
      <c r="I375" s="1089"/>
      <c r="J375" s="44"/>
      <c r="K375" s="44"/>
      <c r="L375" s="1089"/>
      <c r="M375" s="1089"/>
      <c r="N375" s="1089"/>
      <c r="O375" s="1089"/>
      <c r="P375" s="1089"/>
      <c r="Q375" s="44"/>
      <c r="R375" s="44"/>
      <c r="S375" s="1089"/>
      <c r="T375" s="1089"/>
      <c r="U375" s="1089"/>
      <c r="V375" s="1089"/>
      <c r="W375" s="1089"/>
      <c r="X375" s="44"/>
      <c r="Y375" s="44"/>
      <c r="Z375" s="1089"/>
      <c r="AA375" s="1089"/>
      <c r="AB375" s="1089"/>
      <c r="AC375" s="1089"/>
      <c r="AD375" s="1089"/>
      <c r="AE375" s="44"/>
      <c r="AF375" s="44"/>
      <c r="AG375" s="1089"/>
      <c r="AH375" s="1089"/>
      <c r="AI375" s="1326"/>
      <c r="AJ375" s="45">
        <f>SUM(E375:AI375)</f>
        <v>0</v>
      </c>
      <c r="AK375" s="45"/>
      <c r="AL375" s="46">
        <f>+AJ375*AN373</f>
        <v>0</v>
      </c>
      <c r="AM375" s="934"/>
      <c r="AN375" s="328"/>
      <c r="AO375" s="632">
        <f>(AJ375+AJ377+AJ378+AJ379)*B377/1000</f>
        <v>0</v>
      </c>
      <c r="AP375" s="47" t="s">
        <v>94</v>
      </c>
      <c r="AQ375" s="48">
        <f>SUM(E375:K375)</f>
        <v>0</v>
      </c>
      <c r="AR375" s="49">
        <f>SUM(L375:R375)</f>
        <v>0</v>
      </c>
      <c r="AS375" s="49">
        <f>SUM(S375:Y375)</f>
        <v>0</v>
      </c>
      <c r="AT375" s="49">
        <f>SUM(Z375:AF375)</f>
        <v>0</v>
      </c>
      <c r="AU375" s="49">
        <f>SUM(AG375:AI375)</f>
        <v>0</v>
      </c>
      <c r="AV375" s="50">
        <f t="shared" si="844"/>
        <v>0</v>
      </c>
    </row>
    <row r="376" spans="1:48" s="23" customFormat="1" ht="20.65" hidden="1" customHeight="1">
      <c r="A376" s="321" t="s">
        <v>410</v>
      </c>
      <c r="B376" s="211" t="s">
        <v>247</v>
      </c>
      <c r="C376" s="280"/>
      <c r="D376" s="53" t="s">
        <v>96</v>
      </c>
      <c r="E376" s="1137">
        <f t="shared" ref="E376:K376" si="845">+E375-E373</f>
        <v>0</v>
      </c>
      <c r="F376" s="1097">
        <f t="shared" si="845"/>
        <v>0</v>
      </c>
      <c r="G376" s="1205">
        <f t="shared" si="845"/>
        <v>0</v>
      </c>
      <c r="H376" s="1097">
        <f t="shared" si="845"/>
        <v>0</v>
      </c>
      <c r="I376" s="1097">
        <f t="shared" si="845"/>
        <v>0</v>
      </c>
      <c r="J376" s="1205">
        <f t="shared" si="845"/>
        <v>0</v>
      </c>
      <c r="K376" s="1205">
        <f t="shared" si="845"/>
        <v>0</v>
      </c>
      <c r="L376" s="1097">
        <f>+L375-L373</f>
        <v>0</v>
      </c>
      <c r="M376" s="1097">
        <f>+M375-M373</f>
        <v>0</v>
      </c>
      <c r="N376" s="1097">
        <f t="shared" ref="N376:AF376" si="846">+N375-N373</f>
        <v>0</v>
      </c>
      <c r="O376" s="1097">
        <f t="shared" si="846"/>
        <v>0</v>
      </c>
      <c r="P376" s="1097">
        <f t="shared" si="846"/>
        <v>0</v>
      </c>
      <c r="Q376" s="1205">
        <f t="shared" si="846"/>
        <v>0</v>
      </c>
      <c r="R376" s="1205">
        <f t="shared" si="846"/>
        <v>0</v>
      </c>
      <c r="S376" s="1097">
        <f t="shared" si="846"/>
        <v>0</v>
      </c>
      <c r="T376" s="1097">
        <f t="shared" si="846"/>
        <v>0</v>
      </c>
      <c r="U376" s="1097">
        <f t="shared" si="846"/>
        <v>0</v>
      </c>
      <c r="V376" s="1097">
        <f t="shared" si="846"/>
        <v>0</v>
      </c>
      <c r="W376" s="1097">
        <f t="shared" si="846"/>
        <v>0</v>
      </c>
      <c r="X376" s="1205">
        <f t="shared" si="846"/>
        <v>0</v>
      </c>
      <c r="Y376" s="1205">
        <f t="shared" si="846"/>
        <v>0</v>
      </c>
      <c r="Z376" s="1097">
        <f t="shared" si="846"/>
        <v>0</v>
      </c>
      <c r="AA376" s="1097">
        <f t="shared" si="846"/>
        <v>0</v>
      </c>
      <c r="AB376" s="1097">
        <f t="shared" si="846"/>
        <v>0</v>
      </c>
      <c r="AC376" s="1097">
        <f t="shared" si="846"/>
        <v>0</v>
      </c>
      <c r="AD376" s="1097">
        <f t="shared" si="846"/>
        <v>0</v>
      </c>
      <c r="AE376" s="1205">
        <f t="shared" si="846"/>
        <v>0</v>
      </c>
      <c r="AF376" s="1205">
        <f t="shared" si="846"/>
        <v>0</v>
      </c>
      <c r="AG376" s="1097">
        <f>+AG375-AG373</f>
        <v>0</v>
      </c>
      <c r="AH376" s="1097">
        <f>+AH375-AH373</f>
        <v>0</v>
      </c>
      <c r="AI376" s="1328">
        <f>+AI375-AI373</f>
        <v>0</v>
      </c>
      <c r="AJ376" s="79">
        <f>+AJ375-AJ373</f>
        <v>0</v>
      </c>
      <c r="AK376" s="79"/>
      <c r="AL376" s="55">
        <f>+AJ376*AN373</f>
        <v>0</v>
      </c>
      <c r="AM376" s="935"/>
      <c r="AN376" s="277" t="s">
        <v>97</v>
      </c>
      <c r="AO376" s="622"/>
      <c r="AP376" s="39" t="s">
        <v>98</v>
      </c>
      <c r="AQ376" s="56">
        <f>AQ375-AQ374</f>
        <v>0</v>
      </c>
      <c r="AR376" s="70">
        <f>AR375-AR374</f>
        <v>0</v>
      </c>
      <c r="AS376" s="70">
        <f>AS375-AS374</f>
        <v>0</v>
      </c>
      <c r="AT376" s="70">
        <f>AT375-AT374</f>
        <v>0</v>
      </c>
      <c r="AU376" s="70">
        <f>AU375-AU374</f>
        <v>0</v>
      </c>
      <c r="AV376" s="57">
        <f t="shared" si="844"/>
        <v>0</v>
      </c>
    </row>
    <row r="377" spans="1:48" s="23" customFormat="1" ht="20.65" hidden="1" customHeight="1">
      <c r="A377" s="321" t="s">
        <v>410</v>
      </c>
      <c r="B377" s="658"/>
      <c r="C377" s="305"/>
      <c r="D377" s="61" t="s">
        <v>101</v>
      </c>
      <c r="E377" s="1098"/>
      <c r="F377" s="1099"/>
      <c r="G377" s="1208"/>
      <c r="H377" s="1099"/>
      <c r="I377" s="1099"/>
      <c r="J377" s="1208"/>
      <c r="K377" s="1208"/>
      <c r="L377" s="1099"/>
      <c r="M377" s="1099"/>
      <c r="N377" s="1099"/>
      <c r="O377" s="1099"/>
      <c r="P377" s="1099"/>
      <c r="Q377" s="1208"/>
      <c r="R377" s="1208"/>
      <c r="S377" s="1099"/>
      <c r="T377" s="1099"/>
      <c r="U377" s="1099"/>
      <c r="V377" s="1099"/>
      <c r="W377" s="1099"/>
      <c r="X377" s="1208"/>
      <c r="Y377" s="1208"/>
      <c r="Z377" s="1099"/>
      <c r="AA377" s="1099"/>
      <c r="AB377" s="1099"/>
      <c r="AC377" s="1099"/>
      <c r="AD377" s="1099"/>
      <c r="AE377" s="1208"/>
      <c r="AF377" s="1208"/>
      <c r="AG377" s="1099"/>
      <c r="AH377" s="1099"/>
      <c r="AI377" s="1330"/>
      <c r="AJ377" s="62">
        <f>SUM(E377:AI377)</f>
        <v>0</v>
      </c>
      <c r="AK377" s="62"/>
      <c r="AL377" s="63">
        <f>+AJ377*AN373</f>
        <v>0</v>
      </c>
      <c r="AM377" s="936"/>
      <c r="AN377" s="301" t="e">
        <f>+AJ377/AJ375*100</f>
        <v>#DIV/0!</v>
      </c>
      <c r="AO377" s="635" t="e">
        <f>AO375/AO373</f>
        <v>#DIV/0!</v>
      </c>
      <c r="AP377" s="39" t="s">
        <v>102</v>
      </c>
      <c r="AQ377" s="56">
        <f>SUM(E377:K377)</f>
        <v>0</v>
      </c>
      <c r="AR377" s="70">
        <f>SUM(L377:R377)</f>
        <v>0</v>
      </c>
      <c r="AS377" s="70">
        <f>SUM(S377:Y377)</f>
        <v>0</v>
      </c>
      <c r="AT377" s="70">
        <f>SUM(Z377:AF377)</f>
        <v>0</v>
      </c>
      <c r="AU377" s="70">
        <f>SUM(AG377:AI377)</f>
        <v>0</v>
      </c>
      <c r="AV377" s="57">
        <f t="shared" si="844"/>
        <v>0</v>
      </c>
    </row>
    <row r="378" spans="1:48" s="23" customFormat="1" ht="20.65" hidden="1" customHeight="1">
      <c r="A378" s="219"/>
      <c r="B378" s="89"/>
      <c r="C378" s="52" t="s">
        <v>95</v>
      </c>
      <c r="D378" s="67" t="s">
        <v>103</v>
      </c>
      <c r="E378" s="1100"/>
      <c r="F378" s="1101"/>
      <c r="G378" s="1209"/>
      <c r="H378" s="1101"/>
      <c r="I378" s="1101"/>
      <c r="J378" s="1209"/>
      <c r="K378" s="1209"/>
      <c r="L378" s="1101"/>
      <c r="M378" s="1101"/>
      <c r="N378" s="1101"/>
      <c r="O378" s="1101"/>
      <c r="P378" s="1101"/>
      <c r="Q378" s="1209"/>
      <c r="R378" s="1209"/>
      <c r="S378" s="1101"/>
      <c r="T378" s="1101"/>
      <c r="U378" s="1101"/>
      <c r="V378" s="1101"/>
      <c r="W378" s="1101"/>
      <c r="X378" s="1209"/>
      <c r="Y378" s="1209"/>
      <c r="Z378" s="1101"/>
      <c r="AA378" s="1101"/>
      <c r="AB378" s="1101"/>
      <c r="AC378" s="1101"/>
      <c r="AD378" s="1101"/>
      <c r="AE378" s="1209"/>
      <c r="AF378" s="1209"/>
      <c r="AG378" s="1101"/>
      <c r="AH378" s="1101"/>
      <c r="AI378" s="1332"/>
      <c r="AJ378" s="68">
        <f>SUM(E378:AI378)</f>
        <v>0</v>
      </c>
      <c r="AK378" s="68"/>
      <c r="AL378" s="69">
        <f>+AJ378*AN373</f>
        <v>0</v>
      </c>
      <c r="AM378" s="937"/>
      <c r="AN378" s="277"/>
      <c r="AO378" s="679"/>
      <c r="AP378" s="39" t="s">
        <v>19</v>
      </c>
      <c r="AQ378" s="56">
        <f>AQ377*AN373</f>
        <v>0</v>
      </c>
      <c r="AR378" s="56">
        <f>AR377*AN373</f>
        <v>0</v>
      </c>
      <c r="AS378" s="56">
        <f>AS377*AN373</f>
        <v>0</v>
      </c>
      <c r="AT378" s="56">
        <f>AT377*AN373</f>
        <v>0</v>
      </c>
      <c r="AU378" s="56">
        <f>AU377*AN373</f>
        <v>0</v>
      </c>
      <c r="AV378" s="57">
        <f t="shared" si="844"/>
        <v>0</v>
      </c>
    </row>
    <row r="379" spans="1:48" s="23" customFormat="1" ht="20.65" hidden="1" customHeight="1">
      <c r="A379" s="327"/>
      <c r="B379" s="89"/>
      <c r="C379" s="306" t="s">
        <v>387</v>
      </c>
      <c r="D379" s="73" t="s">
        <v>105</v>
      </c>
      <c r="E379" s="1115"/>
      <c r="F379" s="1116"/>
      <c r="G379" s="1215"/>
      <c r="H379" s="1116"/>
      <c r="I379" s="1116"/>
      <c r="J379" s="1215"/>
      <c r="K379" s="1215"/>
      <c r="L379" s="1116"/>
      <c r="M379" s="1116"/>
      <c r="N379" s="1116"/>
      <c r="O379" s="1116"/>
      <c r="P379" s="1116"/>
      <c r="Q379" s="1215"/>
      <c r="R379" s="1215"/>
      <c r="S379" s="1116"/>
      <c r="T379" s="1116"/>
      <c r="U379" s="1116"/>
      <c r="V379" s="1116"/>
      <c r="W379" s="1116"/>
      <c r="X379" s="1215"/>
      <c r="Y379" s="1215"/>
      <c r="Z379" s="1116"/>
      <c r="AA379" s="1116"/>
      <c r="AB379" s="1116"/>
      <c r="AC379" s="1116"/>
      <c r="AD379" s="1116"/>
      <c r="AE379" s="1215"/>
      <c r="AF379" s="1215"/>
      <c r="AG379" s="1116"/>
      <c r="AH379" s="1116"/>
      <c r="AI379" s="1334"/>
      <c r="AJ379" s="717">
        <f>SUM(E379:AI379)</f>
        <v>0</v>
      </c>
      <c r="AK379" s="717"/>
      <c r="AL379" s="220">
        <f>+AJ379*AN373</f>
        <v>0</v>
      </c>
      <c r="AM379" s="962"/>
      <c r="AN379" s="91"/>
      <c r="AO379" s="630"/>
      <c r="AP379" s="47" t="s">
        <v>106</v>
      </c>
      <c r="AQ379" s="48">
        <f>AQ375*AN373</f>
        <v>0</v>
      </c>
      <c r="AR379" s="48">
        <f>AR375*AN373</f>
        <v>0</v>
      </c>
      <c r="AS379" s="48">
        <f>AS375*AN373</f>
        <v>0</v>
      </c>
      <c r="AT379" s="48">
        <f>AT375*AN373</f>
        <v>0</v>
      </c>
      <c r="AU379" s="48">
        <f>AU375*AN373</f>
        <v>0</v>
      </c>
      <c r="AV379" s="50">
        <f t="shared" si="844"/>
        <v>0</v>
      </c>
    </row>
    <row r="380" spans="1:48" s="23" customFormat="1" ht="20.65" hidden="1" customHeight="1">
      <c r="A380" s="321" t="s">
        <v>410</v>
      </c>
      <c r="B380" s="313"/>
      <c r="C380" s="307"/>
      <c r="D380" s="78" t="s">
        <v>107</v>
      </c>
      <c r="E380" s="1137">
        <v>4</v>
      </c>
      <c r="F380" s="1097">
        <v>4</v>
      </c>
      <c r="G380" s="1205">
        <v>4</v>
      </c>
      <c r="H380" s="1097">
        <v>4</v>
      </c>
      <c r="I380" s="1097">
        <v>4</v>
      </c>
      <c r="J380" s="1205">
        <v>4</v>
      </c>
      <c r="K380" s="1205">
        <v>4</v>
      </c>
      <c r="L380" s="1097">
        <v>4</v>
      </c>
      <c r="M380" s="1097">
        <v>4</v>
      </c>
      <c r="N380" s="1097">
        <v>4</v>
      </c>
      <c r="O380" s="1097">
        <v>4</v>
      </c>
      <c r="P380" s="1097">
        <v>4</v>
      </c>
      <c r="Q380" s="1205">
        <v>4</v>
      </c>
      <c r="R380" s="1205">
        <v>4</v>
      </c>
      <c r="S380" s="1097">
        <v>4</v>
      </c>
      <c r="T380" s="1097">
        <v>4</v>
      </c>
      <c r="U380" s="1097">
        <v>4</v>
      </c>
      <c r="V380" s="1097">
        <v>4</v>
      </c>
      <c r="W380" s="1097">
        <v>4</v>
      </c>
      <c r="X380" s="1205">
        <v>4</v>
      </c>
      <c r="Y380" s="1205">
        <v>4</v>
      </c>
      <c r="Z380" s="1097">
        <v>4</v>
      </c>
      <c r="AA380" s="1097">
        <v>4</v>
      </c>
      <c r="AB380" s="1097">
        <v>4</v>
      </c>
      <c r="AC380" s="1097">
        <v>4</v>
      </c>
      <c r="AD380" s="1097">
        <v>4</v>
      </c>
      <c r="AE380" s="1205">
        <v>4</v>
      </c>
      <c r="AF380" s="1205">
        <v>4</v>
      </c>
      <c r="AG380" s="1097">
        <v>4</v>
      </c>
      <c r="AH380" s="1097">
        <v>4</v>
      </c>
      <c r="AI380" s="1328">
        <v>4</v>
      </c>
      <c r="AJ380" s="79"/>
      <c r="AK380" s="79"/>
      <c r="AL380" s="692"/>
      <c r="AM380" s="960"/>
      <c r="AN380" s="277"/>
      <c r="AO380" s="679"/>
      <c r="AP380" s="47"/>
      <c r="AQ380" s="48"/>
      <c r="AR380" s="48"/>
      <c r="AS380" s="48"/>
      <c r="AT380" s="48"/>
      <c r="AU380" s="48"/>
      <c r="AV380" s="284"/>
    </row>
    <row r="381" spans="1:48" s="23" customFormat="1" ht="20.65" hidden="1" customHeight="1">
      <c r="A381" s="321" t="s">
        <v>410</v>
      </c>
      <c r="B381" s="89"/>
      <c r="C381" s="305"/>
      <c r="D381" s="81" t="s">
        <v>109</v>
      </c>
      <c r="E381" s="1125">
        <f>SUM(E375+E377+E378+E379)/E380</f>
        <v>0</v>
      </c>
      <c r="F381" s="1126">
        <f>SUM(F375+F377+F378+F379)/F380</f>
        <v>0</v>
      </c>
      <c r="G381" s="1235">
        <f t="shared" ref="G381:AH381" si="847">SUM(G375+G377+G378+G379)/G380</f>
        <v>0</v>
      </c>
      <c r="H381" s="1126">
        <f t="shared" si="847"/>
        <v>0</v>
      </c>
      <c r="I381" s="1126">
        <f t="shared" si="847"/>
        <v>0</v>
      </c>
      <c r="J381" s="1235">
        <f t="shared" si="847"/>
        <v>0</v>
      </c>
      <c r="K381" s="1235">
        <f t="shared" si="847"/>
        <v>0</v>
      </c>
      <c r="L381" s="1126">
        <f t="shared" si="847"/>
        <v>0</v>
      </c>
      <c r="M381" s="1126">
        <f t="shared" si="847"/>
        <v>0</v>
      </c>
      <c r="N381" s="1126">
        <f t="shared" si="847"/>
        <v>0</v>
      </c>
      <c r="O381" s="1126">
        <f t="shared" si="847"/>
        <v>0</v>
      </c>
      <c r="P381" s="1126">
        <f t="shared" si="847"/>
        <v>0</v>
      </c>
      <c r="Q381" s="1235">
        <f t="shared" si="847"/>
        <v>0</v>
      </c>
      <c r="R381" s="1235">
        <f t="shared" si="847"/>
        <v>0</v>
      </c>
      <c r="S381" s="1126">
        <f t="shared" si="847"/>
        <v>0</v>
      </c>
      <c r="T381" s="1126">
        <f t="shared" si="847"/>
        <v>0</v>
      </c>
      <c r="U381" s="1126">
        <f t="shared" si="847"/>
        <v>0</v>
      </c>
      <c r="V381" s="1126">
        <f t="shared" si="847"/>
        <v>0</v>
      </c>
      <c r="W381" s="1126">
        <f t="shared" si="847"/>
        <v>0</v>
      </c>
      <c r="X381" s="1235">
        <f t="shared" si="847"/>
        <v>0</v>
      </c>
      <c r="Y381" s="1235">
        <f t="shared" si="847"/>
        <v>0</v>
      </c>
      <c r="Z381" s="1126">
        <f t="shared" si="847"/>
        <v>0</v>
      </c>
      <c r="AA381" s="1126">
        <f t="shared" si="847"/>
        <v>0</v>
      </c>
      <c r="AB381" s="1126">
        <f t="shared" si="847"/>
        <v>0</v>
      </c>
      <c r="AC381" s="1126">
        <f t="shared" si="847"/>
        <v>0</v>
      </c>
      <c r="AD381" s="1126">
        <f t="shared" si="847"/>
        <v>0</v>
      </c>
      <c r="AE381" s="1235">
        <f t="shared" si="847"/>
        <v>0</v>
      </c>
      <c r="AF381" s="1235">
        <f t="shared" si="847"/>
        <v>0</v>
      </c>
      <c r="AG381" s="1126">
        <f t="shared" si="847"/>
        <v>0</v>
      </c>
      <c r="AH381" s="1126">
        <f t="shared" si="847"/>
        <v>0</v>
      </c>
      <c r="AI381" s="1335">
        <f>SUM(AI375+AI377+AI378)/AI380</f>
        <v>0</v>
      </c>
      <c r="AJ381" s="515">
        <f>SUM(E381:AI381)</f>
        <v>0</v>
      </c>
      <c r="AK381" s="515"/>
      <c r="AL381" s="689"/>
      <c r="AM381" s="940"/>
      <c r="AN381" s="277"/>
      <c r="AO381" s="679"/>
      <c r="AP381" s="285"/>
      <c r="AQ381" s="285"/>
      <c r="AR381" s="285"/>
      <c r="AS381" s="285"/>
      <c r="AT381" s="286"/>
      <c r="AU381" s="285"/>
      <c r="AV381" s="287"/>
    </row>
    <row r="382" spans="1:48" s="23" customFormat="1" ht="20.65" hidden="1" customHeight="1">
      <c r="A382" s="321" t="s">
        <v>410</v>
      </c>
      <c r="B382" s="89" t="s">
        <v>552</v>
      </c>
      <c r="C382" s="72"/>
      <c r="D382" s="85" t="s">
        <v>110</v>
      </c>
      <c r="E382" s="1105"/>
      <c r="F382" s="1106"/>
      <c r="G382" s="1211"/>
      <c r="H382" s="1104"/>
      <c r="I382" s="1104"/>
      <c r="J382" s="1211"/>
      <c r="K382" s="1211"/>
      <c r="L382" s="1104"/>
      <c r="M382" s="1104"/>
      <c r="N382" s="1104"/>
      <c r="O382" s="1104"/>
      <c r="P382" s="1104"/>
      <c r="Q382" s="1211"/>
      <c r="R382" s="1211"/>
      <c r="S382" s="1104"/>
      <c r="T382" s="1104"/>
      <c r="U382" s="1104"/>
      <c r="V382" s="1104"/>
      <c r="W382" s="1104"/>
      <c r="X382" s="1211"/>
      <c r="Y382" s="1211"/>
      <c r="Z382" s="1104"/>
      <c r="AA382" s="1104"/>
      <c r="AB382" s="1104"/>
      <c r="AC382" s="1104"/>
      <c r="AD382" s="1104"/>
      <c r="AE382" s="1211"/>
      <c r="AF382" s="1211"/>
      <c r="AG382" s="1104"/>
      <c r="AH382" s="1104"/>
      <c r="AI382" s="1353"/>
      <c r="AJ382" s="86"/>
      <c r="AK382" s="86"/>
      <c r="AL382" s="690"/>
      <c r="AM382" s="940"/>
      <c r="AN382" s="277"/>
      <c r="AO382" s="679"/>
      <c r="AP382" s="285"/>
      <c r="AQ382" s="285"/>
      <c r="AR382" s="285"/>
      <c r="AS382" s="285"/>
      <c r="AT382" s="286"/>
      <c r="AU382" s="285"/>
      <c r="AV382" s="287"/>
    </row>
    <row r="383" spans="1:48" s="23" customFormat="1" ht="20.65" hidden="1" customHeight="1">
      <c r="A383" s="321" t="s">
        <v>410</v>
      </c>
      <c r="B383" s="89"/>
      <c r="C383" s="72" t="s">
        <v>104</v>
      </c>
      <c r="D383" s="88" t="s">
        <v>111</v>
      </c>
      <c r="E383" s="1108">
        <f>IF(E382="O/H",E381,+E381)</f>
        <v>0</v>
      </c>
      <c r="F383" s="1089">
        <f t="shared" ref="F383:AD383" si="848">IF(F382="O/H",F381,+E383+F381)</f>
        <v>0</v>
      </c>
      <c r="G383" s="44">
        <f t="shared" si="848"/>
        <v>0</v>
      </c>
      <c r="H383" s="1089">
        <f t="shared" si="848"/>
        <v>0</v>
      </c>
      <c r="I383" s="1089">
        <f t="shared" si="848"/>
        <v>0</v>
      </c>
      <c r="J383" s="44">
        <f t="shared" si="848"/>
        <v>0</v>
      </c>
      <c r="K383" s="44">
        <f t="shared" si="848"/>
        <v>0</v>
      </c>
      <c r="L383" s="1089">
        <f t="shared" si="848"/>
        <v>0</v>
      </c>
      <c r="M383" s="1089">
        <f t="shared" si="848"/>
        <v>0</v>
      </c>
      <c r="N383" s="1089">
        <f t="shared" si="848"/>
        <v>0</v>
      </c>
      <c r="O383" s="1089">
        <f t="shared" si="848"/>
        <v>0</v>
      </c>
      <c r="P383" s="1089">
        <f t="shared" si="848"/>
        <v>0</v>
      </c>
      <c r="Q383" s="44">
        <f t="shared" si="848"/>
        <v>0</v>
      </c>
      <c r="R383" s="44">
        <f t="shared" si="848"/>
        <v>0</v>
      </c>
      <c r="S383" s="1089">
        <f t="shared" si="848"/>
        <v>0</v>
      </c>
      <c r="T383" s="1089">
        <f t="shared" si="848"/>
        <v>0</v>
      </c>
      <c r="U383" s="1089">
        <f t="shared" si="848"/>
        <v>0</v>
      </c>
      <c r="V383" s="1089">
        <f t="shared" si="848"/>
        <v>0</v>
      </c>
      <c r="W383" s="1089">
        <f t="shared" si="848"/>
        <v>0</v>
      </c>
      <c r="X383" s="44">
        <f t="shared" si="848"/>
        <v>0</v>
      </c>
      <c r="Y383" s="44">
        <f t="shared" si="848"/>
        <v>0</v>
      </c>
      <c r="Z383" s="1089">
        <f t="shared" si="848"/>
        <v>0</v>
      </c>
      <c r="AA383" s="1089">
        <f t="shared" si="848"/>
        <v>0</v>
      </c>
      <c r="AB383" s="1089">
        <f t="shared" si="848"/>
        <v>0</v>
      </c>
      <c r="AC383" s="1089">
        <f t="shared" si="848"/>
        <v>0</v>
      </c>
      <c r="AD383" s="1089">
        <f t="shared" si="848"/>
        <v>0</v>
      </c>
      <c r="AE383" s="44">
        <f>IF(AE382="O/H",AE381,+AD383+AE381)</f>
        <v>0</v>
      </c>
      <c r="AF383" s="44">
        <f>IF(AF382="O/H",AF381,+AE383+AF381)</f>
        <v>0</v>
      </c>
      <c r="AG383" s="1089">
        <f>IF(AG382="O/H",AG381,+AF383+AG381)</f>
        <v>0</v>
      </c>
      <c r="AH383" s="1089">
        <f>IF(AH382="O/H",AH381,+AG383+AH381)</f>
        <v>0</v>
      </c>
      <c r="AI383" s="1326">
        <f>IF(AI382="O/H",AI381,+AH383+AI381)</f>
        <v>0</v>
      </c>
      <c r="AJ383" s="79"/>
      <c r="AK383" s="79"/>
      <c r="AL383" s="690"/>
      <c r="AM383" s="940"/>
      <c r="AN383" s="277"/>
      <c r="AO383" s="679"/>
      <c r="AP383" s="285"/>
      <c r="AQ383" s="285"/>
      <c r="AR383" s="285"/>
      <c r="AS383" s="285"/>
      <c r="AT383" s="286"/>
      <c r="AU383" s="285"/>
      <c r="AV383" s="287"/>
    </row>
    <row r="384" spans="1:48" s="23" customFormat="1" ht="20.65" hidden="1" customHeight="1">
      <c r="A384" s="312"/>
      <c r="B384" s="312"/>
      <c r="C384" s="308">
        <v>300000</v>
      </c>
      <c r="D384" s="795" t="s">
        <v>112</v>
      </c>
      <c r="E384" s="1117" t="b">
        <f>IF(AND(ISNUMBER(E375)),1215075+E381)</f>
        <v>0</v>
      </c>
      <c r="F384" s="1118" t="str">
        <f>IF(AND(ISNUMBER(F375)),E384+F381,"")</f>
        <v/>
      </c>
      <c r="G384" s="1216" t="str">
        <f t="shared" ref="G384" si="849">IF(AND(ISNUMBER(G375)),F384+G381,"")</f>
        <v/>
      </c>
      <c r="H384" s="1118" t="str">
        <f t="shared" ref="H384" si="850">IF(AND(ISNUMBER(H375)),G384+H381,"")</f>
        <v/>
      </c>
      <c r="I384" s="1118" t="str">
        <f>IF(AND(ISNUMBER(I375)),H384+I381,"")</f>
        <v/>
      </c>
      <c r="J384" s="1216" t="str">
        <f>IF(AND(ISNUMBER(J375)),I384+J381,"")</f>
        <v/>
      </c>
      <c r="K384" s="1216" t="str">
        <f>IF(AND(ISNUMBER(K375)),J384+K381,"")</f>
        <v/>
      </c>
      <c r="L384" s="1118" t="str">
        <f t="shared" ref="L384" si="851">IF(AND(ISNUMBER(L375)),K384+L381,"")</f>
        <v/>
      </c>
      <c r="M384" s="1118" t="str">
        <f t="shared" ref="M384" si="852">IF(AND(ISNUMBER(M375)),L384+M381,"")</f>
        <v/>
      </c>
      <c r="N384" s="1118" t="str">
        <f t="shared" ref="N384" si="853">IF(AND(ISNUMBER(N375)),M384+N381,"")</f>
        <v/>
      </c>
      <c r="O384" s="1118" t="str">
        <f t="shared" ref="O384" si="854">IF(AND(ISNUMBER(O375)),N384+O381,"")</f>
        <v/>
      </c>
      <c r="P384" s="1118" t="str">
        <f t="shared" ref="P384" si="855">IF(AND(ISNUMBER(P375)),O384+P381,"")</f>
        <v/>
      </c>
      <c r="Q384" s="1216" t="str">
        <f t="shared" ref="Q384" si="856">IF(AND(ISNUMBER(Q375)),P384+Q381,"")</f>
        <v/>
      </c>
      <c r="R384" s="1216" t="str">
        <f t="shared" ref="R384" si="857">IF(AND(ISNUMBER(R375)),Q384+R381,"")</f>
        <v/>
      </c>
      <c r="S384" s="1118" t="str">
        <f t="shared" ref="S384" si="858">IF(AND(ISNUMBER(S375)),R384+S381,"")</f>
        <v/>
      </c>
      <c r="T384" s="1118" t="str">
        <f t="shared" ref="T384" si="859">IF(AND(ISNUMBER(T375)),S384+T381,"")</f>
        <v/>
      </c>
      <c r="U384" s="1118" t="str">
        <f t="shared" ref="U384" si="860">IF(AND(ISNUMBER(U375)),T384+U381,"")</f>
        <v/>
      </c>
      <c r="V384" s="1118" t="str">
        <f t="shared" ref="V384" si="861">IF(AND(ISNUMBER(V375)),U384+V381,"")</f>
        <v/>
      </c>
      <c r="W384" s="1118" t="str">
        <f t="shared" ref="W384" si="862">IF(AND(ISNUMBER(W375)),V384+W381,"")</f>
        <v/>
      </c>
      <c r="X384" s="1216" t="str">
        <f t="shared" ref="X384" si="863">IF(AND(ISNUMBER(X375)),W384+X381,"")</f>
        <v/>
      </c>
      <c r="Y384" s="1216" t="str">
        <f t="shared" ref="Y384" si="864">IF(AND(ISNUMBER(Y375)),X384+Y381,"")</f>
        <v/>
      </c>
      <c r="Z384" s="1118" t="str">
        <f t="shared" ref="Z384" si="865">IF(AND(ISNUMBER(Z375)),Y384+Z381,"")</f>
        <v/>
      </c>
      <c r="AA384" s="1118" t="str">
        <f t="shared" ref="AA384" si="866">IF(AND(ISNUMBER(AA375)),Z384+AA381,"")</f>
        <v/>
      </c>
      <c r="AB384" s="1118" t="str">
        <f t="shared" ref="AB384" si="867">IF(AND(ISNUMBER(AB375)),AA384+AB381,"")</f>
        <v/>
      </c>
      <c r="AC384" s="1118" t="str">
        <f t="shared" ref="AC384" si="868">IF(AND(ISNUMBER(AC375)),AB384+AC381,"")</f>
        <v/>
      </c>
      <c r="AD384" s="1118" t="str">
        <f t="shared" ref="AD384" si="869">IF(AND(ISNUMBER(AD375)),AC384+AD381,"")</f>
        <v/>
      </c>
      <c r="AE384" s="1216" t="str">
        <f t="shared" ref="AE384" si="870">IF(AND(ISNUMBER(AE375)),AD384+AE381,"")</f>
        <v/>
      </c>
      <c r="AF384" s="1216" t="str">
        <f t="shared" ref="AF384" si="871">IF(AND(ISNUMBER(AF375)),AE384+AF381,"")</f>
        <v/>
      </c>
      <c r="AG384" s="1118" t="str">
        <f t="shared" ref="AG384" si="872">IF(AND(ISNUMBER(AG375)),AF384+AG381,"")</f>
        <v/>
      </c>
      <c r="AH384" s="1118" t="str">
        <f t="shared" ref="AH384" si="873">IF(AND(ISNUMBER(AH375)),AG384+AH381,"")</f>
        <v/>
      </c>
      <c r="AI384" s="1118" t="str">
        <f t="shared" ref="AI384" si="874">IF(AND(ISNUMBER(AI375)),AH384+AI381,"")</f>
        <v/>
      </c>
      <c r="AJ384" s="793"/>
      <c r="AK384" s="793"/>
      <c r="AL384" s="909"/>
      <c r="AM384" s="794"/>
      <c r="AN384" s="429"/>
      <c r="AO384" s="675"/>
      <c r="AP384" s="285"/>
      <c r="AQ384" s="285"/>
      <c r="AR384" s="285"/>
      <c r="AS384" s="285"/>
      <c r="AT384" s="286"/>
      <c r="AU384" s="285"/>
      <c r="AV384" s="287"/>
    </row>
    <row r="385" spans="1:48" s="23" customFormat="1" ht="20.65" hidden="1" customHeight="1">
      <c r="A385" s="321"/>
      <c r="B385" s="89"/>
      <c r="C385" s="80" t="s">
        <v>108</v>
      </c>
      <c r="D385" s="90" t="s">
        <v>104</v>
      </c>
      <c r="E385" s="1108"/>
      <c r="F385" s="1089"/>
      <c r="G385" s="44"/>
      <c r="H385" s="1089"/>
      <c r="I385" s="1089"/>
      <c r="J385" s="44"/>
      <c r="K385" s="44"/>
      <c r="L385" s="1089"/>
      <c r="M385" s="1089"/>
      <c r="N385" s="1089"/>
      <c r="O385" s="1089"/>
      <c r="P385" s="1089"/>
      <c r="Q385" s="44"/>
      <c r="R385" s="44"/>
      <c r="S385" s="1089"/>
      <c r="T385" s="1089"/>
      <c r="U385" s="1089"/>
      <c r="V385" s="1089"/>
      <c r="W385" s="1089"/>
      <c r="X385" s="44"/>
      <c r="Y385" s="44"/>
      <c r="Z385" s="1089"/>
      <c r="AA385" s="1089"/>
      <c r="AB385" s="1089"/>
      <c r="AC385" s="1089"/>
      <c r="AD385" s="1089"/>
      <c r="AE385" s="44"/>
      <c r="AF385" s="44"/>
      <c r="AG385" s="1089"/>
      <c r="AH385" s="1089"/>
      <c r="AI385" s="1326"/>
      <c r="AJ385" s="79"/>
      <c r="AK385" s="79"/>
      <c r="AL385" s="690"/>
      <c r="AM385" s="940"/>
      <c r="AN385" s="277"/>
      <c r="AO385" s="679"/>
      <c r="AP385" s="285"/>
      <c r="AQ385" s="285"/>
      <c r="AR385" s="285"/>
      <c r="AS385" s="285"/>
      <c r="AT385" s="286"/>
      <c r="AU385" s="285"/>
      <c r="AV385" s="287"/>
    </row>
    <row r="386" spans="1:48" s="23" customFormat="1" ht="20.65" hidden="1" customHeight="1" thickBot="1">
      <c r="A386" s="322"/>
      <c r="B386" s="93"/>
      <c r="C386" s="291">
        <f>+C384*0.8</f>
        <v>240000</v>
      </c>
      <c r="D386" s="88" t="s">
        <v>111</v>
      </c>
      <c r="E386" s="1109">
        <f>IF(E385="O/H",E381,0+E381)</f>
        <v>0</v>
      </c>
      <c r="F386" s="1110">
        <f t="shared" ref="F386:AI386" si="875">IF(F385="O/H",F381,+E386+F381)</f>
        <v>0</v>
      </c>
      <c r="G386" s="1212">
        <f t="shared" si="875"/>
        <v>0</v>
      </c>
      <c r="H386" s="1110">
        <f t="shared" si="875"/>
        <v>0</v>
      </c>
      <c r="I386" s="1110">
        <f t="shared" si="875"/>
        <v>0</v>
      </c>
      <c r="J386" s="1212">
        <f t="shared" si="875"/>
        <v>0</v>
      </c>
      <c r="K386" s="1212">
        <f t="shared" si="875"/>
        <v>0</v>
      </c>
      <c r="L386" s="1110">
        <f t="shared" si="875"/>
        <v>0</v>
      </c>
      <c r="M386" s="1110">
        <f t="shared" si="875"/>
        <v>0</v>
      </c>
      <c r="N386" s="1110">
        <f t="shared" si="875"/>
        <v>0</v>
      </c>
      <c r="O386" s="1110">
        <f t="shared" si="875"/>
        <v>0</v>
      </c>
      <c r="P386" s="1110">
        <f t="shared" si="875"/>
        <v>0</v>
      </c>
      <c r="Q386" s="1212">
        <f t="shared" si="875"/>
        <v>0</v>
      </c>
      <c r="R386" s="1212">
        <f t="shared" si="875"/>
        <v>0</v>
      </c>
      <c r="S386" s="1110">
        <f t="shared" si="875"/>
        <v>0</v>
      </c>
      <c r="T386" s="1110">
        <f t="shared" si="875"/>
        <v>0</v>
      </c>
      <c r="U386" s="1110">
        <f t="shared" si="875"/>
        <v>0</v>
      </c>
      <c r="V386" s="1110">
        <f t="shared" si="875"/>
        <v>0</v>
      </c>
      <c r="W386" s="1110">
        <f t="shared" si="875"/>
        <v>0</v>
      </c>
      <c r="X386" s="1212">
        <f t="shared" si="875"/>
        <v>0</v>
      </c>
      <c r="Y386" s="1212">
        <f t="shared" si="875"/>
        <v>0</v>
      </c>
      <c r="Z386" s="1110">
        <f t="shared" si="875"/>
        <v>0</v>
      </c>
      <c r="AA386" s="1110">
        <f t="shared" si="875"/>
        <v>0</v>
      </c>
      <c r="AB386" s="1110">
        <f t="shared" si="875"/>
        <v>0</v>
      </c>
      <c r="AC386" s="1110">
        <f t="shared" si="875"/>
        <v>0</v>
      </c>
      <c r="AD386" s="1110">
        <f t="shared" si="875"/>
        <v>0</v>
      </c>
      <c r="AE386" s="1212">
        <f t="shared" si="875"/>
        <v>0</v>
      </c>
      <c r="AF386" s="1212">
        <f t="shared" si="875"/>
        <v>0</v>
      </c>
      <c r="AG386" s="1110">
        <f t="shared" si="875"/>
        <v>0</v>
      </c>
      <c r="AH386" s="1110">
        <f t="shared" si="875"/>
        <v>0</v>
      </c>
      <c r="AI386" s="1340">
        <f t="shared" si="875"/>
        <v>0</v>
      </c>
      <c r="AJ386" s="96"/>
      <c r="AK386" s="723"/>
      <c r="AL386" s="695"/>
      <c r="AM386" s="961"/>
      <c r="AN386" s="292"/>
      <c r="AO386" s="681"/>
      <c r="AP386" s="285"/>
      <c r="AQ386" s="285"/>
      <c r="AR386" s="285"/>
      <c r="AS386" s="285"/>
      <c r="AT386" s="286"/>
      <c r="AU386" s="285"/>
      <c r="AV386" s="287"/>
    </row>
    <row r="387" spans="1:48" s="23" customFormat="1" ht="20.65" hidden="1" customHeight="1" thickTop="1">
      <c r="A387" s="219" t="s">
        <v>704</v>
      </c>
      <c r="B387" s="89" t="s">
        <v>684</v>
      </c>
      <c r="C387" s="1493" t="str">
        <f>Table2[[#This Row],[M/C No.]]</f>
        <v>H10(50ton)</v>
      </c>
      <c r="D387" s="28" t="s">
        <v>82</v>
      </c>
      <c r="E387" s="1095"/>
      <c r="F387" s="1095"/>
      <c r="G387" s="1194"/>
      <c r="H387" s="1095"/>
      <c r="I387" s="1095"/>
      <c r="J387" s="1194"/>
      <c r="K387" s="1194"/>
      <c r="L387" s="1095"/>
      <c r="M387" s="1095"/>
      <c r="N387" s="1095"/>
      <c r="O387" s="1095"/>
      <c r="P387" s="1095"/>
      <c r="Q387" s="1194"/>
      <c r="R387" s="1194"/>
      <c r="S387" s="1095"/>
      <c r="T387" s="1095"/>
      <c r="U387" s="1095"/>
      <c r="V387" s="1095"/>
      <c r="W387" s="1095"/>
      <c r="X387" s="1194"/>
      <c r="Y387" s="1194"/>
      <c r="Z387" s="1095"/>
      <c r="AA387" s="1095"/>
      <c r="AB387" s="1095"/>
      <c r="AC387" s="1095"/>
      <c r="AD387" s="1095"/>
      <c r="AE387" s="1194"/>
      <c r="AF387" s="1194"/>
      <c r="AG387" s="1095"/>
      <c r="AH387" s="1095"/>
      <c r="AI387" s="1418"/>
      <c r="AJ387" s="29">
        <f>SUM(E387:AI387)</f>
        <v>0</v>
      </c>
      <c r="AK387" s="1020">
        <f>AJ389</f>
        <v>0</v>
      </c>
      <c r="AL387" s="101">
        <f>+AJ387*AN387</f>
        <v>0</v>
      </c>
      <c r="AM387" s="1019">
        <f>AL389</f>
        <v>0</v>
      </c>
      <c r="AN387" s="293">
        <v>4.4491499999999995</v>
      </c>
      <c r="AO387" s="633">
        <f>Table2[[#This Row],[Total]]*B391/1000</f>
        <v>0</v>
      </c>
      <c r="AP387" s="32" t="s">
        <v>407</v>
      </c>
      <c r="AQ387" s="33" t="s">
        <v>84</v>
      </c>
      <c r="AR387" s="33" t="s">
        <v>85</v>
      </c>
      <c r="AS387" s="33" t="s">
        <v>86</v>
      </c>
      <c r="AT387" s="33" t="s">
        <v>87</v>
      </c>
      <c r="AU387" s="33" t="s">
        <v>88</v>
      </c>
      <c r="AV387" s="34" t="s">
        <v>68</v>
      </c>
    </row>
    <row r="388" spans="1:48" s="23" customFormat="1" ht="20.65" hidden="1" customHeight="1">
      <c r="A388" s="274"/>
      <c r="B388" s="219" t="s">
        <v>411</v>
      </c>
      <c r="C388" s="275"/>
      <c r="D388" s="37" t="s">
        <v>90</v>
      </c>
      <c r="E388" s="1323">
        <f>IF(E387="",0,+ E387/E394)</f>
        <v>0</v>
      </c>
      <c r="F388" s="1096">
        <f t="shared" ref="F388:AC388" si="876">IF(F387="",0, E388+F387/F394)</f>
        <v>0</v>
      </c>
      <c r="G388" s="1207">
        <f t="shared" si="876"/>
        <v>0</v>
      </c>
      <c r="H388" s="1096">
        <f t="shared" si="876"/>
        <v>0</v>
      </c>
      <c r="I388" s="1096">
        <f t="shared" si="876"/>
        <v>0</v>
      </c>
      <c r="J388" s="1207">
        <f t="shared" si="876"/>
        <v>0</v>
      </c>
      <c r="K388" s="1207">
        <f t="shared" si="876"/>
        <v>0</v>
      </c>
      <c r="L388" s="1096">
        <f t="shared" si="876"/>
        <v>0</v>
      </c>
      <c r="M388" s="1096">
        <f t="shared" si="876"/>
        <v>0</v>
      </c>
      <c r="N388" s="1096">
        <f t="shared" si="876"/>
        <v>0</v>
      </c>
      <c r="O388" s="1096">
        <f t="shared" si="876"/>
        <v>0</v>
      </c>
      <c r="P388" s="1096">
        <f t="shared" si="876"/>
        <v>0</v>
      </c>
      <c r="Q388" s="1207">
        <f t="shared" si="876"/>
        <v>0</v>
      </c>
      <c r="R388" s="1207">
        <f t="shared" si="876"/>
        <v>0</v>
      </c>
      <c r="S388" s="1096">
        <f t="shared" si="876"/>
        <v>0</v>
      </c>
      <c r="T388" s="1096">
        <f t="shared" si="876"/>
        <v>0</v>
      </c>
      <c r="U388" s="1096">
        <f t="shared" si="876"/>
        <v>0</v>
      </c>
      <c r="V388" s="1096">
        <f t="shared" si="876"/>
        <v>0</v>
      </c>
      <c r="W388" s="1096">
        <f t="shared" si="876"/>
        <v>0</v>
      </c>
      <c r="X388" s="1207">
        <f t="shared" si="876"/>
        <v>0</v>
      </c>
      <c r="Y388" s="1207">
        <f t="shared" si="876"/>
        <v>0</v>
      </c>
      <c r="Z388" s="1096">
        <f t="shared" si="876"/>
        <v>0</v>
      </c>
      <c r="AA388" s="1096">
        <f t="shared" si="876"/>
        <v>0</v>
      </c>
      <c r="AB388" s="1096">
        <f t="shared" si="876"/>
        <v>0</v>
      </c>
      <c r="AC388" s="1096">
        <f t="shared" si="876"/>
        <v>0</v>
      </c>
      <c r="AD388" s="1096">
        <f>IF(AD387="",0, Z388+AD387/AD394)</f>
        <v>0</v>
      </c>
      <c r="AE388" s="1207">
        <f>IF(AE387="",0, AA388+AE387/AE394)</f>
        <v>0</v>
      </c>
      <c r="AF388" s="1207">
        <f>IF(AF387="",0, AB388+AF387/AF394)</f>
        <v>0</v>
      </c>
      <c r="AG388" s="1096">
        <f>IF(AG387="",0, AC388+AG387/AG394)</f>
        <v>0</v>
      </c>
      <c r="AH388" s="1096">
        <f>IF(AH387="",0, AD388+AH387/AH394)</f>
        <v>0</v>
      </c>
      <c r="AI388" s="1324">
        <f>IF(AI387="",0, AH388+AI387/AI394)</f>
        <v>0</v>
      </c>
      <c r="AJ388" s="716"/>
      <c r="AK388" s="716"/>
      <c r="AL388" s="209"/>
      <c r="AM388" s="794"/>
      <c r="AN388" s="91"/>
      <c r="AO388" s="675"/>
      <c r="AP388" s="39" t="s">
        <v>91</v>
      </c>
      <c r="AQ388" s="40">
        <f>SUM(E387:K387)</f>
        <v>0</v>
      </c>
      <c r="AR388" s="41">
        <f>SUM(L387:R387)</f>
        <v>0</v>
      </c>
      <c r="AS388" s="41">
        <f>SUM(S387:Y387)</f>
        <v>0</v>
      </c>
      <c r="AT388" s="41">
        <f>SUM(Z387:AF387)</f>
        <v>0</v>
      </c>
      <c r="AU388" s="41">
        <f>SUM(AG387:AI387)</f>
        <v>0</v>
      </c>
      <c r="AV388" s="34">
        <f t="shared" ref="AV388:AV393" si="877">SUM(AQ388:AU388)</f>
        <v>0</v>
      </c>
    </row>
    <row r="389" spans="1:48" s="23" customFormat="1" ht="20.65" hidden="1" customHeight="1">
      <c r="A389" s="321" t="s">
        <v>410</v>
      </c>
      <c r="B389" s="89" t="s">
        <v>246</v>
      </c>
      <c r="C389" s="42"/>
      <c r="D389" s="43" t="s">
        <v>93</v>
      </c>
      <c r="E389" s="1108"/>
      <c r="F389" s="1089"/>
      <c r="G389" s="44"/>
      <c r="H389" s="1089"/>
      <c r="I389" s="1089"/>
      <c r="J389" s="44"/>
      <c r="K389" s="44"/>
      <c r="L389" s="1089"/>
      <c r="M389" s="1089"/>
      <c r="N389" s="1089"/>
      <c r="O389" s="1089"/>
      <c r="P389" s="1089"/>
      <c r="Q389" s="44"/>
      <c r="R389" s="44"/>
      <c r="S389" s="1089"/>
      <c r="T389" s="1089"/>
      <c r="U389" s="1089"/>
      <c r="V389" s="1089"/>
      <c r="W389" s="1089"/>
      <c r="X389" s="44"/>
      <c r="Y389" s="44"/>
      <c r="Z389" s="1089"/>
      <c r="AA389" s="1089"/>
      <c r="AB389" s="1089"/>
      <c r="AC389" s="1089"/>
      <c r="AD389" s="1089"/>
      <c r="AE389" s="44"/>
      <c r="AF389" s="44"/>
      <c r="AG389" s="1089"/>
      <c r="AH389" s="1089"/>
      <c r="AI389" s="1326"/>
      <c r="AJ389" s="45">
        <f>SUM(E389:AI389)</f>
        <v>0</v>
      </c>
      <c r="AK389" s="45"/>
      <c r="AL389" s="46">
        <f>+AJ389*AN387</f>
        <v>0</v>
      </c>
      <c r="AM389" s="934"/>
      <c r="AN389" s="277"/>
      <c r="AO389" s="632">
        <f>(AJ389+AJ391+AJ392+AJ393)*B391/1000</f>
        <v>0</v>
      </c>
      <c r="AP389" s="47" t="s">
        <v>94</v>
      </c>
      <c r="AQ389" s="48">
        <f>SUM(E389:K389)</f>
        <v>0</v>
      </c>
      <c r="AR389" s="49">
        <f>SUM(L389:R389)</f>
        <v>0</v>
      </c>
      <c r="AS389" s="49">
        <f>SUM(S389:Y389)</f>
        <v>0</v>
      </c>
      <c r="AT389" s="49">
        <f>SUM(Z389:AF389)</f>
        <v>0</v>
      </c>
      <c r="AU389" s="49">
        <f>SUM(AG389:AI389)</f>
        <v>0</v>
      </c>
      <c r="AV389" s="50">
        <f t="shared" si="877"/>
        <v>0</v>
      </c>
    </row>
    <row r="390" spans="1:48" s="23" customFormat="1" ht="20.65" hidden="1" customHeight="1">
      <c r="A390" s="321" t="s">
        <v>410</v>
      </c>
      <c r="B390" s="211" t="s">
        <v>247</v>
      </c>
      <c r="C390" s="280"/>
      <c r="D390" s="53" t="s">
        <v>96</v>
      </c>
      <c r="E390" s="1137">
        <f t="shared" ref="E390:AF390" si="878">+E389-E387</f>
        <v>0</v>
      </c>
      <c r="F390" s="1097">
        <f t="shared" si="878"/>
        <v>0</v>
      </c>
      <c r="G390" s="1205">
        <f t="shared" si="878"/>
        <v>0</v>
      </c>
      <c r="H390" s="1097">
        <f t="shared" si="878"/>
        <v>0</v>
      </c>
      <c r="I390" s="1097">
        <f t="shared" si="878"/>
        <v>0</v>
      </c>
      <c r="J390" s="1205">
        <f t="shared" si="878"/>
        <v>0</v>
      </c>
      <c r="K390" s="1205">
        <f t="shared" si="878"/>
        <v>0</v>
      </c>
      <c r="L390" s="1097">
        <f t="shared" si="878"/>
        <v>0</v>
      </c>
      <c r="M390" s="1097">
        <f t="shared" si="878"/>
        <v>0</v>
      </c>
      <c r="N390" s="1097">
        <f t="shared" si="878"/>
        <v>0</v>
      </c>
      <c r="O390" s="1097">
        <f t="shared" si="878"/>
        <v>0</v>
      </c>
      <c r="P390" s="1097">
        <f t="shared" si="878"/>
        <v>0</v>
      </c>
      <c r="Q390" s="1205">
        <f t="shared" si="878"/>
        <v>0</v>
      </c>
      <c r="R390" s="1205">
        <f t="shared" si="878"/>
        <v>0</v>
      </c>
      <c r="S390" s="1097">
        <f t="shared" si="878"/>
        <v>0</v>
      </c>
      <c r="T390" s="1097">
        <f t="shared" si="878"/>
        <v>0</v>
      </c>
      <c r="U390" s="1097">
        <f t="shared" si="878"/>
        <v>0</v>
      </c>
      <c r="V390" s="1097">
        <f t="shared" si="878"/>
        <v>0</v>
      </c>
      <c r="W390" s="1097">
        <f t="shared" si="878"/>
        <v>0</v>
      </c>
      <c r="X390" s="1205">
        <f t="shared" si="878"/>
        <v>0</v>
      </c>
      <c r="Y390" s="1205">
        <f t="shared" si="878"/>
        <v>0</v>
      </c>
      <c r="Z390" s="1097">
        <f t="shared" si="878"/>
        <v>0</v>
      </c>
      <c r="AA390" s="1097">
        <f t="shared" si="878"/>
        <v>0</v>
      </c>
      <c r="AB390" s="1097">
        <f t="shared" si="878"/>
        <v>0</v>
      </c>
      <c r="AC390" s="1097">
        <f t="shared" si="878"/>
        <v>0</v>
      </c>
      <c r="AD390" s="1097">
        <f t="shared" si="878"/>
        <v>0</v>
      </c>
      <c r="AE390" s="1205">
        <f t="shared" si="878"/>
        <v>0</v>
      </c>
      <c r="AF390" s="1205">
        <f t="shared" si="878"/>
        <v>0</v>
      </c>
      <c r="AG390" s="1097">
        <f>+AG389-AG387</f>
        <v>0</v>
      </c>
      <c r="AH390" s="1097">
        <f>+AH389-AH387</f>
        <v>0</v>
      </c>
      <c r="AI390" s="1328">
        <f>+AI389-AI387</f>
        <v>0</v>
      </c>
      <c r="AJ390" s="79">
        <f>+AJ389-AJ387</f>
        <v>0</v>
      </c>
      <c r="AK390" s="79"/>
      <c r="AL390" s="55">
        <f>+AJ390*AN387</f>
        <v>0</v>
      </c>
      <c r="AM390" s="935"/>
      <c r="AN390" s="277" t="s">
        <v>97</v>
      </c>
      <c r="AO390" s="622"/>
      <c r="AP390" s="39" t="s">
        <v>98</v>
      </c>
      <c r="AQ390" s="56">
        <f>AQ389-AQ388</f>
        <v>0</v>
      </c>
      <c r="AR390" s="70">
        <f>AR389-AR388</f>
        <v>0</v>
      </c>
      <c r="AS390" s="70">
        <f>AS389-AS388</f>
        <v>0</v>
      </c>
      <c r="AT390" s="70">
        <f>AT389-AT388</f>
        <v>0</v>
      </c>
      <c r="AU390" s="70">
        <f>AU389-AU388</f>
        <v>0</v>
      </c>
      <c r="AV390" s="57">
        <f t="shared" si="877"/>
        <v>0</v>
      </c>
    </row>
    <row r="391" spans="1:48" s="23" customFormat="1" ht="20.65" hidden="1" customHeight="1">
      <c r="A391" s="321" t="s">
        <v>410</v>
      </c>
      <c r="B391" s="658"/>
      <c r="C391" s="305"/>
      <c r="D391" s="61" t="s">
        <v>101</v>
      </c>
      <c r="E391" s="1098"/>
      <c r="F391" s="1099"/>
      <c r="G391" s="1208"/>
      <c r="H391" s="1099"/>
      <c r="I391" s="1099"/>
      <c r="J391" s="1208"/>
      <c r="K391" s="1208"/>
      <c r="L391" s="1099"/>
      <c r="M391" s="1099"/>
      <c r="N391" s="1099"/>
      <c r="O391" s="1099"/>
      <c r="P391" s="1099"/>
      <c r="Q391" s="1208"/>
      <c r="R391" s="1208"/>
      <c r="S391" s="1099"/>
      <c r="T391" s="1099"/>
      <c r="U391" s="1099"/>
      <c r="V391" s="1099"/>
      <c r="W391" s="1099"/>
      <c r="X391" s="1208"/>
      <c r="Y391" s="1208"/>
      <c r="Z391" s="1099"/>
      <c r="AA391" s="1099"/>
      <c r="AB391" s="1099"/>
      <c r="AC391" s="1099"/>
      <c r="AD391" s="1099"/>
      <c r="AE391" s="1208"/>
      <c r="AF391" s="1208"/>
      <c r="AG391" s="1099"/>
      <c r="AH391" s="1099"/>
      <c r="AI391" s="1330"/>
      <c r="AJ391" s="62">
        <f>SUM(E391:AI391)</f>
        <v>0</v>
      </c>
      <c r="AK391" s="62"/>
      <c r="AL391" s="63">
        <f>+AJ391*AN387</f>
        <v>0</v>
      </c>
      <c r="AM391" s="936"/>
      <c r="AN391" s="301" t="e">
        <f>+AJ391/AJ389*100</f>
        <v>#DIV/0!</v>
      </c>
      <c r="AO391" s="635" t="e">
        <f>AO389/AO387</f>
        <v>#DIV/0!</v>
      </c>
      <c r="AP391" s="39" t="s">
        <v>102</v>
      </c>
      <c r="AQ391" s="56">
        <f>SUM(E391:K391)</f>
        <v>0</v>
      </c>
      <c r="AR391" s="70">
        <f>SUM(L391:R391)</f>
        <v>0</v>
      </c>
      <c r="AS391" s="70">
        <f>SUM(S391:Y391)</f>
        <v>0</v>
      </c>
      <c r="AT391" s="70">
        <f>SUM(Z391:AF391)</f>
        <v>0</v>
      </c>
      <c r="AU391" s="70">
        <f>SUM(AG391:AI391)</f>
        <v>0</v>
      </c>
      <c r="AV391" s="57">
        <f t="shared" si="877"/>
        <v>0</v>
      </c>
    </row>
    <row r="392" spans="1:48" s="23" customFormat="1" ht="20.65" hidden="1" customHeight="1">
      <c r="A392" s="321" t="s">
        <v>410</v>
      </c>
      <c r="B392" s="89"/>
      <c r="C392" s="52" t="s">
        <v>95</v>
      </c>
      <c r="D392" s="67" t="s">
        <v>103</v>
      </c>
      <c r="E392" s="1100"/>
      <c r="F392" s="1101"/>
      <c r="G392" s="1209"/>
      <c r="H392" s="1101"/>
      <c r="I392" s="1101"/>
      <c r="J392" s="1209"/>
      <c r="K392" s="1209"/>
      <c r="L392" s="1101"/>
      <c r="M392" s="1101"/>
      <c r="N392" s="1101"/>
      <c r="O392" s="1101"/>
      <c r="P392" s="1101"/>
      <c r="Q392" s="1209"/>
      <c r="R392" s="1209"/>
      <c r="S392" s="1101"/>
      <c r="T392" s="1101"/>
      <c r="U392" s="1101"/>
      <c r="V392" s="1101"/>
      <c r="W392" s="1101"/>
      <c r="X392" s="1209"/>
      <c r="Y392" s="1209"/>
      <c r="Z392" s="1101"/>
      <c r="AA392" s="1101"/>
      <c r="AB392" s="1101"/>
      <c r="AC392" s="1101"/>
      <c r="AD392" s="1101"/>
      <c r="AE392" s="1209"/>
      <c r="AF392" s="1209"/>
      <c r="AG392" s="1101"/>
      <c r="AH392" s="1101"/>
      <c r="AI392" s="1332"/>
      <c r="AJ392" s="68">
        <f>SUM(E392:AI392)</f>
        <v>0</v>
      </c>
      <c r="AK392" s="68"/>
      <c r="AL392" s="69">
        <f>+AJ392*AN387</f>
        <v>0</v>
      </c>
      <c r="AM392" s="937"/>
      <c r="AN392" s="277"/>
      <c r="AO392" s="679"/>
      <c r="AP392" s="39" t="s">
        <v>19</v>
      </c>
      <c r="AQ392" s="56">
        <f>AQ391*AN387</f>
        <v>0</v>
      </c>
      <c r="AR392" s="56">
        <f>AR391*AN387</f>
        <v>0</v>
      </c>
      <c r="AS392" s="56">
        <f>AS391*AN387</f>
        <v>0</v>
      </c>
      <c r="AT392" s="56">
        <f>AT391*AN387</f>
        <v>0</v>
      </c>
      <c r="AU392" s="56">
        <f>AU391*AN387</f>
        <v>0</v>
      </c>
      <c r="AV392" s="57">
        <f t="shared" si="877"/>
        <v>0</v>
      </c>
    </row>
    <row r="393" spans="1:48" s="23" customFormat="1" ht="20.65" hidden="1" customHeight="1">
      <c r="A393" s="327"/>
      <c r="B393" s="89"/>
      <c r="C393" s="306" t="s">
        <v>387</v>
      </c>
      <c r="D393" s="73" t="s">
        <v>105</v>
      </c>
      <c r="E393" s="1115"/>
      <c r="F393" s="1116"/>
      <c r="G393" s="1215"/>
      <c r="H393" s="1116"/>
      <c r="I393" s="1116"/>
      <c r="J393" s="1215"/>
      <c r="K393" s="1215"/>
      <c r="L393" s="1116"/>
      <c r="M393" s="1116"/>
      <c r="N393" s="1116"/>
      <c r="O393" s="1116"/>
      <c r="P393" s="1116"/>
      <c r="Q393" s="1215"/>
      <c r="R393" s="1215"/>
      <c r="S393" s="1116"/>
      <c r="T393" s="1116"/>
      <c r="U393" s="1116"/>
      <c r="V393" s="1116"/>
      <c r="W393" s="1116"/>
      <c r="X393" s="1215"/>
      <c r="Y393" s="1215"/>
      <c r="Z393" s="1116"/>
      <c r="AA393" s="1116"/>
      <c r="AB393" s="1116"/>
      <c r="AC393" s="1116"/>
      <c r="AD393" s="1116"/>
      <c r="AE393" s="1215"/>
      <c r="AF393" s="1215"/>
      <c r="AG393" s="1116"/>
      <c r="AH393" s="1116"/>
      <c r="AI393" s="1334"/>
      <c r="AJ393" s="717">
        <f>SUM(E393:AI393)</f>
        <v>0</v>
      </c>
      <c r="AK393" s="717"/>
      <c r="AL393" s="220">
        <f>+AJ393*AN387</f>
        <v>0</v>
      </c>
      <c r="AM393" s="962"/>
      <c r="AN393" s="91"/>
      <c r="AO393" s="630"/>
      <c r="AP393" s="47" t="s">
        <v>106</v>
      </c>
      <c r="AQ393" s="48">
        <f>AQ389*AN387</f>
        <v>0</v>
      </c>
      <c r="AR393" s="48">
        <f>AR389*AN387</f>
        <v>0</v>
      </c>
      <c r="AS393" s="48">
        <f>AS389*AN387</f>
        <v>0</v>
      </c>
      <c r="AT393" s="48">
        <f>AT389*AN387</f>
        <v>0</v>
      </c>
      <c r="AU393" s="48">
        <f>AU389*AN387</f>
        <v>0</v>
      </c>
      <c r="AV393" s="50">
        <f t="shared" si="877"/>
        <v>0</v>
      </c>
    </row>
    <row r="394" spans="1:48" s="23" customFormat="1" ht="20.65" hidden="1" customHeight="1">
      <c r="A394" s="321" t="s">
        <v>410</v>
      </c>
      <c r="B394" s="313"/>
      <c r="C394" s="307"/>
      <c r="D394" s="78" t="s">
        <v>107</v>
      </c>
      <c r="E394" s="1137">
        <v>4</v>
      </c>
      <c r="F394" s="1097">
        <v>4</v>
      </c>
      <c r="G394" s="1205">
        <v>4</v>
      </c>
      <c r="H394" s="1097">
        <v>4</v>
      </c>
      <c r="I394" s="1097">
        <v>4</v>
      </c>
      <c r="J394" s="1205">
        <v>4</v>
      </c>
      <c r="K394" s="1205">
        <v>4</v>
      </c>
      <c r="L394" s="1097">
        <v>4</v>
      </c>
      <c r="M394" s="1097">
        <v>4</v>
      </c>
      <c r="N394" s="1097">
        <v>4</v>
      </c>
      <c r="O394" s="1097">
        <v>4</v>
      </c>
      <c r="P394" s="1097">
        <v>4</v>
      </c>
      <c r="Q394" s="1205">
        <v>4</v>
      </c>
      <c r="R394" s="1205">
        <v>4</v>
      </c>
      <c r="S394" s="1097">
        <v>4</v>
      </c>
      <c r="T394" s="1097">
        <v>4</v>
      </c>
      <c r="U394" s="1097">
        <v>4</v>
      </c>
      <c r="V394" s="1097">
        <v>4</v>
      </c>
      <c r="W394" s="1097">
        <v>4</v>
      </c>
      <c r="X394" s="1205">
        <v>4</v>
      </c>
      <c r="Y394" s="1205">
        <v>4</v>
      </c>
      <c r="Z394" s="1097">
        <v>4</v>
      </c>
      <c r="AA394" s="1097">
        <v>4</v>
      </c>
      <c r="AB394" s="1097">
        <v>4</v>
      </c>
      <c r="AC394" s="1097">
        <v>4</v>
      </c>
      <c r="AD394" s="1097">
        <v>4</v>
      </c>
      <c r="AE394" s="1205">
        <v>4</v>
      </c>
      <c r="AF394" s="1205">
        <v>4</v>
      </c>
      <c r="AG394" s="1097">
        <v>4</v>
      </c>
      <c r="AH394" s="1097">
        <v>4</v>
      </c>
      <c r="AI394" s="1328">
        <v>4</v>
      </c>
      <c r="AJ394" s="79"/>
      <c r="AK394" s="79"/>
      <c r="AL394" s="69"/>
      <c r="AM394" s="937"/>
      <c r="AN394" s="277"/>
      <c r="AO394" s="679"/>
      <c r="AP394" s="47"/>
      <c r="AQ394" s="48"/>
      <c r="AR394" s="48"/>
      <c r="AS394" s="48"/>
      <c r="AT394" s="48"/>
      <c r="AU394" s="48"/>
      <c r="AV394" s="284"/>
    </row>
    <row r="395" spans="1:48" s="23" customFormat="1" ht="20.65" hidden="1" customHeight="1">
      <c r="A395" s="321" t="s">
        <v>410</v>
      </c>
      <c r="B395" s="89" t="s">
        <v>552</v>
      </c>
      <c r="C395" s="305"/>
      <c r="D395" s="81" t="s">
        <v>109</v>
      </c>
      <c r="E395" s="1125">
        <f>SUM(E389+E391+E392+E393)/E394</f>
        <v>0</v>
      </c>
      <c r="F395" s="1126">
        <f>SUM(F389+F391+F392+F393)/F394</f>
        <v>0</v>
      </c>
      <c r="G395" s="1235">
        <f t="shared" ref="G395:AH395" si="879">SUM(G389+G391+G392+G393)/G394</f>
        <v>0</v>
      </c>
      <c r="H395" s="1126">
        <f t="shared" si="879"/>
        <v>0</v>
      </c>
      <c r="I395" s="1126">
        <f t="shared" si="879"/>
        <v>0</v>
      </c>
      <c r="J395" s="1235">
        <f t="shared" si="879"/>
        <v>0</v>
      </c>
      <c r="K395" s="1235">
        <f t="shared" si="879"/>
        <v>0</v>
      </c>
      <c r="L395" s="1126">
        <f t="shared" si="879"/>
        <v>0</v>
      </c>
      <c r="M395" s="1126">
        <f t="shared" si="879"/>
        <v>0</v>
      </c>
      <c r="N395" s="1126">
        <f t="shared" si="879"/>
        <v>0</v>
      </c>
      <c r="O395" s="1126">
        <f t="shared" si="879"/>
        <v>0</v>
      </c>
      <c r="P395" s="1126">
        <f t="shared" si="879"/>
        <v>0</v>
      </c>
      <c r="Q395" s="1235">
        <f t="shared" si="879"/>
        <v>0</v>
      </c>
      <c r="R395" s="1235">
        <f t="shared" si="879"/>
        <v>0</v>
      </c>
      <c r="S395" s="1126">
        <f t="shared" si="879"/>
        <v>0</v>
      </c>
      <c r="T395" s="1126">
        <f t="shared" si="879"/>
        <v>0</v>
      </c>
      <c r="U395" s="1126">
        <f t="shared" si="879"/>
        <v>0</v>
      </c>
      <c r="V395" s="1126">
        <f t="shared" si="879"/>
        <v>0</v>
      </c>
      <c r="W395" s="1126">
        <f t="shared" si="879"/>
        <v>0</v>
      </c>
      <c r="X395" s="1235">
        <f t="shared" si="879"/>
        <v>0</v>
      </c>
      <c r="Y395" s="1235">
        <f t="shared" si="879"/>
        <v>0</v>
      </c>
      <c r="Z395" s="1126">
        <f t="shared" si="879"/>
        <v>0</v>
      </c>
      <c r="AA395" s="1126">
        <f t="shared" si="879"/>
        <v>0</v>
      </c>
      <c r="AB395" s="1126">
        <f t="shared" si="879"/>
        <v>0</v>
      </c>
      <c r="AC395" s="1126">
        <f t="shared" si="879"/>
        <v>0</v>
      </c>
      <c r="AD395" s="1126">
        <f t="shared" si="879"/>
        <v>0</v>
      </c>
      <c r="AE395" s="1235">
        <f t="shared" si="879"/>
        <v>0</v>
      </c>
      <c r="AF395" s="1235">
        <f t="shared" si="879"/>
        <v>0</v>
      </c>
      <c r="AG395" s="1126">
        <f t="shared" si="879"/>
        <v>0</v>
      </c>
      <c r="AH395" s="1126">
        <f t="shared" si="879"/>
        <v>0</v>
      </c>
      <c r="AI395" s="1335">
        <f>SUM(AI389+AI391+AI392)/AI394</f>
        <v>0</v>
      </c>
      <c r="AJ395" s="515">
        <f>SUM(E395:AI395)</f>
        <v>0</v>
      </c>
      <c r="AK395" s="515"/>
      <c r="AL395" s="689"/>
      <c r="AM395" s="940"/>
      <c r="AN395" s="277"/>
      <c r="AO395" s="679"/>
      <c r="AP395" s="285"/>
      <c r="AQ395" s="285"/>
      <c r="AR395" s="285"/>
      <c r="AS395" s="285"/>
      <c r="AT395" s="286"/>
      <c r="AU395" s="285"/>
      <c r="AV395" s="287"/>
    </row>
    <row r="396" spans="1:48" s="23" customFormat="1" ht="20.65" hidden="1" customHeight="1">
      <c r="A396" s="321" t="s">
        <v>410</v>
      </c>
      <c r="B396" s="89"/>
      <c r="C396" s="72"/>
      <c r="D396" s="85" t="s">
        <v>110</v>
      </c>
      <c r="E396" s="1336"/>
      <c r="F396" s="1106"/>
      <c r="G396" s="1228"/>
      <c r="H396" s="1104"/>
      <c r="I396" s="1104"/>
      <c r="J396" s="1228"/>
      <c r="K396" s="1211"/>
      <c r="L396" s="1104"/>
      <c r="M396" s="1104"/>
      <c r="N396" s="1104"/>
      <c r="O396" s="1104"/>
      <c r="P396" s="1104"/>
      <c r="Q396" s="1211"/>
      <c r="R396" s="1211"/>
      <c r="S396" s="1104"/>
      <c r="T396" s="1104"/>
      <c r="U396" s="1104"/>
      <c r="V396" s="1104"/>
      <c r="W396" s="1104"/>
      <c r="X396" s="1211"/>
      <c r="Y396" s="1211"/>
      <c r="Z396" s="1104"/>
      <c r="AA396" s="1104"/>
      <c r="AB396" s="1104"/>
      <c r="AC396" s="1104"/>
      <c r="AD396" s="1104"/>
      <c r="AE396" s="1211"/>
      <c r="AF396" s="1211"/>
      <c r="AG396" s="1104"/>
      <c r="AH396" s="1104"/>
      <c r="AI396" s="1353"/>
      <c r="AJ396" s="86"/>
      <c r="AK396" s="86"/>
      <c r="AL396" s="690"/>
      <c r="AM396" s="940"/>
      <c r="AN396" s="277"/>
      <c r="AO396" s="679"/>
      <c r="AP396" s="285"/>
      <c r="AQ396" s="285"/>
      <c r="AR396" s="285"/>
      <c r="AS396" s="285"/>
      <c r="AT396" s="286"/>
      <c r="AU396" s="285"/>
      <c r="AV396" s="287"/>
    </row>
    <row r="397" spans="1:48" s="23" customFormat="1" ht="20.65" hidden="1" customHeight="1">
      <c r="A397" s="321" t="s">
        <v>410</v>
      </c>
      <c r="B397" s="89"/>
      <c r="C397" s="72" t="s">
        <v>104</v>
      </c>
      <c r="D397" s="88" t="s">
        <v>111</v>
      </c>
      <c r="E397" s="1108">
        <f>IF(E396="O/H",E395,+E395)</f>
        <v>0</v>
      </c>
      <c r="F397" s="1089">
        <f t="shared" ref="F397:AI397" si="880">IF(F396="O/H",F395,+E397+F395)</f>
        <v>0</v>
      </c>
      <c r="G397" s="44">
        <f t="shared" si="880"/>
        <v>0</v>
      </c>
      <c r="H397" s="1089">
        <f t="shared" si="880"/>
        <v>0</v>
      </c>
      <c r="I397" s="1089">
        <f t="shared" si="880"/>
        <v>0</v>
      </c>
      <c r="J397" s="44">
        <f t="shared" si="880"/>
        <v>0</v>
      </c>
      <c r="K397" s="44">
        <f t="shared" si="880"/>
        <v>0</v>
      </c>
      <c r="L397" s="1089">
        <f t="shared" si="880"/>
        <v>0</v>
      </c>
      <c r="M397" s="1089">
        <f t="shared" si="880"/>
        <v>0</v>
      </c>
      <c r="N397" s="1089">
        <f t="shared" si="880"/>
        <v>0</v>
      </c>
      <c r="O397" s="1089">
        <f t="shared" si="880"/>
        <v>0</v>
      </c>
      <c r="P397" s="1089">
        <f t="shared" si="880"/>
        <v>0</v>
      </c>
      <c r="Q397" s="44">
        <f t="shared" si="880"/>
        <v>0</v>
      </c>
      <c r="R397" s="44">
        <f t="shared" si="880"/>
        <v>0</v>
      </c>
      <c r="S397" s="1089">
        <f t="shared" si="880"/>
        <v>0</v>
      </c>
      <c r="T397" s="1089">
        <f t="shared" si="880"/>
        <v>0</v>
      </c>
      <c r="U397" s="1089">
        <f t="shared" si="880"/>
        <v>0</v>
      </c>
      <c r="V397" s="1089">
        <f t="shared" si="880"/>
        <v>0</v>
      </c>
      <c r="W397" s="1089">
        <f t="shared" si="880"/>
        <v>0</v>
      </c>
      <c r="X397" s="44">
        <f t="shared" si="880"/>
        <v>0</v>
      </c>
      <c r="Y397" s="44">
        <f t="shared" si="880"/>
        <v>0</v>
      </c>
      <c r="Z397" s="1089">
        <f t="shared" si="880"/>
        <v>0</v>
      </c>
      <c r="AA397" s="1089">
        <f t="shared" si="880"/>
        <v>0</v>
      </c>
      <c r="AB397" s="1089">
        <f t="shared" si="880"/>
        <v>0</v>
      </c>
      <c r="AC397" s="1089">
        <f t="shared" si="880"/>
        <v>0</v>
      </c>
      <c r="AD397" s="1089">
        <f t="shared" si="880"/>
        <v>0</v>
      </c>
      <c r="AE397" s="44">
        <f t="shared" si="880"/>
        <v>0</v>
      </c>
      <c r="AF397" s="44">
        <f t="shared" si="880"/>
        <v>0</v>
      </c>
      <c r="AG397" s="1089">
        <f t="shared" si="880"/>
        <v>0</v>
      </c>
      <c r="AH397" s="1089">
        <f t="shared" si="880"/>
        <v>0</v>
      </c>
      <c r="AI397" s="1326">
        <f t="shared" si="880"/>
        <v>0</v>
      </c>
      <c r="AJ397" s="79"/>
      <c r="AK397" s="79"/>
      <c r="AL397" s="690"/>
      <c r="AM397" s="940"/>
      <c r="AN397" s="277"/>
      <c r="AO397" s="679"/>
      <c r="AP397" s="285"/>
      <c r="AQ397" s="285"/>
      <c r="AR397" s="285"/>
      <c r="AS397" s="285"/>
      <c r="AT397" s="286"/>
      <c r="AU397" s="285"/>
      <c r="AV397" s="287"/>
    </row>
    <row r="398" spans="1:48" s="23" customFormat="1" ht="20.65" hidden="1" customHeight="1">
      <c r="A398" s="312"/>
      <c r="B398" s="312"/>
      <c r="C398" s="308">
        <v>300000</v>
      </c>
      <c r="D398" s="795" t="s">
        <v>112</v>
      </c>
      <c r="E398" s="1117" t="b">
        <f>IF(AND(ISNUMBER(E389)),1215075+E395)</f>
        <v>0</v>
      </c>
      <c r="F398" s="1118" t="str">
        <f>IF(AND(ISNUMBER(F389)),E398+F395,"")</f>
        <v/>
      </c>
      <c r="G398" s="1216" t="str">
        <f t="shared" ref="G398" si="881">IF(AND(ISNUMBER(G389)),F398+G395,"")</f>
        <v/>
      </c>
      <c r="H398" s="1118" t="str">
        <f t="shared" ref="H398" si="882">IF(AND(ISNUMBER(H389)),G398+H395,"")</f>
        <v/>
      </c>
      <c r="I398" s="1118" t="str">
        <f>IF(AND(ISNUMBER(I389)),H398+I395,"")</f>
        <v/>
      </c>
      <c r="J398" s="1216" t="str">
        <f>IF(AND(ISNUMBER(J389)),I398+J395,"")</f>
        <v/>
      </c>
      <c r="K398" s="1216" t="str">
        <f>IF(AND(ISNUMBER(K389)),J398+K395,"")</f>
        <v/>
      </c>
      <c r="L398" s="1118" t="str">
        <f t="shared" ref="L398" si="883">IF(AND(ISNUMBER(L389)),K398+L395,"")</f>
        <v/>
      </c>
      <c r="M398" s="1118" t="str">
        <f t="shared" ref="M398" si="884">IF(AND(ISNUMBER(M389)),L398+M395,"")</f>
        <v/>
      </c>
      <c r="N398" s="1118" t="str">
        <f t="shared" ref="N398" si="885">IF(AND(ISNUMBER(N389)),M398+N395,"")</f>
        <v/>
      </c>
      <c r="O398" s="1118" t="str">
        <f t="shared" ref="O398" si="886">IF(AND(ISNUMBER(O389)),N398+O395,"")</f>
        <v/>
      </c>
      <c r="P398" s="1118" t="str">
        <f t="shared" ref="P398" si="887">IF(AND(ISNUMBER(P389)),O398+P395,"")</f>
        <v/>
      </c>
      <c r="Q398" s="1216" t="str">
        <f t="shared" ref="Q398" si="888">IF(AND(ISNUMBER(Q389)),P398+Q395,"")</f>
        <v/>
      </c>
      <c r="R398" s="1216" t="str">
        <f t="shared" ref="R398" si="889">IF(AND(ISNUMBER(R389)),Q398+R395,"")</f>
        <v/>
      </c>
      <c r="S398" s="1118" t="str">
        <f t="shared" ref="S398" si="890">IF(AND(ISNUMBER(S389)),R398+S395,"")</f>
        <v/>
      </c>
      <c r="T398" s="1118" t="str">
        <f t="shared" ref="T398" si="891">IF(AND(ISNUMBER(T389)),S398+T395,"")</f>
        <v/>
      </c>
      <c r="U398" s="1118" t="str">
        <f t="shared" ref="U398" si="892">IF(AND(ISNUMBER(U389)),T398+U395,"")</f>
        <v/>
      </c>
      <c r="V398" s="1118" t="str">
        <f t="shared" ref="V398" si="893">IF(AND(ISNUMBER(V389)),U398+V395,"")</f>
        <v/>
      </c>
      <c r="W398" s="1118" t="str">
        <f t="shared" ref="W398" si="894">IF(AND(ISNUMBER(W389)),V398+W395,"")</f>
        <v/>
      </c>
      <c r="X398" s="1216" t="str">
        <f t="shared" ref="X398" si="895">IF(AND(ISNUMBER(X389)),W398+X395,"")</f>
        <v/>
      </c>
      <c r="Y398" s="1216" t="str">
        <f t="shared" ref="Y398" si="896">IF(AND(ISNUMBER(Y389)),X398+Y395,"")</f>
        <v/>
      </c>
      <c r="Z398" s="1118" t="str">
        <f t="shared" ref="Z398" si="897">IF(AND(ISNUMBER(Z389)),Y398+Z395,"")</f>
        <v/>
      </c>
      <c r="AA398" s="1118" t="str">
        <f t="shared" ref="AA398" si="898">IF(AND(ISNUMBER(AA389)),Z398+AA395,"")</f>
        <v/>
      </c>
      <c r="AB398" s="1118" t="str">
        <f t="shared" ref="AB398" si="899">IF(AND(ISNUMBER(AB389)),AA398+AB395,"")</f>
        <v/>
      </c>
      <c r="AC398" s="1118" t="str">
        <f t="shared" ref="AC398" si="900">IF(AND(ISNUMBER(AC389)),AB398+AC395,"")</f>
        <v/>
      </c>
      <c r="AD398" s="1118" t="str">
        <f t="shared" ref="AD398" si="901">IF(AND(ISNUMBER(AD389)),AC398+AD395,"")</f>
        <v/>
      </c>
      <c r="AE398" s="1216" t="str">
        <f t="shared" ref="AE398" si="902">IF(AND(ISNUMBER(AE389)),AD398+AE395,"")</f>
        <v/>
      </c>
      <c r="AF398" s="1216" t="str">
        <f t="shared" ref="AF398" si="903">IF(AND(ISNUMBER(AF389)),AE398+AF395,"")</f>
        <v/>
      </c>
      <c r="AG398" s="1118" t="str">
        <f t="shared" ref="AG398" si="904">IF(AND(ISNUMBER(AG389)),AF398+AG395,"")</f>
        <v/>
      </c>
      <c r="AH398" s="1118" t="str">
        <f t="shared" ref="AH398" si="905">IF(AND(ISNUMBER(AH389)),AG398+AH395,"")</f>
        <v/>
      </c>
      <c r="AI398" s="1118" t="str">
        <f t="shared" ref="AI398" si="906">IF(AND(ISNUMBER(AI389)),AH398+AI395,"")</f>
        <v/>
      </c>
      <c r="AJ398" s="793"/>
      <c r="AK398" s="793"/>
      <c r="AL398" s="909"/>
      <c r="AM398" s="794"/>
      <c r="AN398" s="429"/>
      <c r="AO398" s="675"/>
      <c r="AP398" s="285"/>
      <c r="AQ398" s="285"/>
      <c r="AR398" s="285"/>
      <c r="AS398" s="285"/>
      <c r="AT398" s="286"/>
      <c r="AU398" s="285"/>
      <c r="AV398" s="287"/>
    </row>
    <row r="399" spans="1:48" s="23" customFormat="1" ht="20.65" hidden="1" customHeight="1">
      <c r="A399" s="321"/>
      <c r="B399" s="89"/>
      <c r="C399" s="80" t="s">
        <v>108</v>
      </c>
      <c r="D399" s="90" t="s">
        <v>104</v>
      </c>
      <c r="E399" s="1108"/>
      <c r="F399" s="1089"/>
      <c r="G399" s="44"/>
      <c r="H399" s="1089"/>
      <c r="I399" s="1089"/>
      <c r="J399" s="44"/>
      <c r="K399" s="44"/>
      <c r="L399" s="1089"/>
      <c r="M399" s="1089"/>
      <c r="N399" s="1089"/>
      <c r="O399" s="1089"/>
      <c r="P399" s="1089"/>
      <c r="Q399" s="44"/>
      <c r="R399" s="44"/>
      <c r="S399" s="1089"/>
      <c r="T399" s="1089"/>
      <c r="U399" s="1089"/>
      <c r="V399" s="1089"/>
      <c r="W399" s="1089"/>
      <c r="X399" s="44"/>
      <c r="Y399" s="44"/>
      <c r="Z399" s="1089"/>
      <c r="AA399" s="1089"/>
      <c r="AB399" s="1089"/>
      <c r="AC399" s="1089"/>
      <c r="AD399" s="1089"/>
      <c r="AE399" s="44"/>
      <c r="AF399" s="44"/>
      <c r="AG399" s="1089"/>
      <c r="AH399" s="1089"/>
      <c r="AI399" s="1326"/>
      <c r="AJ399" s="79"/>
      <c r="AK399" s="79"/>
      <c r="AL399" s="690"/>
      <c r="AM399" s="940"/>
      <c r="AN399" s="301"/>
      <c r="AO399" s="680"/>
      <c r="AP399" s="285"/>
      <c r="AQ399" s="285"/>
      <c r="AR399" s="285"/>
      <c r="AS399" s="285"/>
      <c r="AT399" s="286"/>
      <c r="AU399" s="285"/>
      <c r="AV399" s="287"/>
    </row>
    <row r="400" spans="1:48" s="23" customFormat="1" ht="20.65" hidden="1" customHeight="1" thickBot="1">
      <c r="A400" s="322"/>
      <c r="B400" s="93"/>
      <c r="C400" s="291">
        <f>+C398*0.8</f>
        <v>240000</v>
      </c>
      <c r="D400" s="88" t="s">
        <v>111</v>
      </c>
      <c r="E400" s="1109">
        <f>IF(E399="O/H",E395,0+E395)</f>
        <v>0</v>
      </c>
      <c r="F400" s="1110">
        <f t="shared" ref="F400:AI400" si="907">IF(F399="O/H",F395,+E400+F395)</f>
        <v>0</v>
      </c>
      <c r="G400" s="1212">
        <f t="shared" si="907"/>
        <v>0</v>
      </c>
      <c r="H400" s="1110">
        <f t="shared" si="907"/>
        <v>0</v>
      </c>
      <c r="I400" s="1110">
        <f t="shared" si="907"/>
        <v>0</v>
      </c>
      <c r="J400" s="1212">
        <f t="shared" si="907"/>
        <v>0</v>
      </c>
      <c r="K400" s="1212">
        <f t="shared" si="907"/>
        <v>0</v>
      </c>
      <c r="L400" s="1110">
        <f t="shared" si="907"/>
        <v>0</v>
      </c>
      <c r="M400" s="1110">
        <f t="shared" si="907"/>
        <v>0</v>
      </c>
      <c r="N400" s="1110">
        <f t="shared" si="907"/>
        <v>0</v>
      </c>
      <c r="O400" s="1110">
        <f t="shared" si="907"/>
        <v>0</v>
      </c>
      <c r="P400" s="1110">
        <f t="shared" si="907"/>
        <v>0</v>
      </c>
      <c r="Q400" s="1212">
        <f t="shared" si="907"/>
        <v>0</v>
      </c>
      <c r="R400" s="1212">
        <f t="shared" si="907"/>
        <v>0</v>
      </c>
      <c r="S400" s="1110">
        <f t="shared" si="907"/>
        <v>0</v>
      </c>
      <c r="T400" s="1110">
        <f t="shared" si="907"/>
        <v>0</v>
      </c>
      <c r="U400" s="1110">
        <f t="shared" si="907"/>
        <v>0</v>
      </c>
      <c r="V400" s="1110">
        <f t="shared" si="907"/>
        <v>0</v>
      </c>
      <c r="W400" s="1110">
        <f t="shared" si="907"/>
        <v>0</v>
      </c>
      <c r="X400" s="1212">
        <f t="shared" si="907"/>
        <v>0</v>
      </c>
      <c r="Y400" s="1212">
        <f t="shared" si="907"/>
        <v>0</v>
      </c>
      <c r="Z400" s="1110">
        <f t="shared" si="907"/>
        <v>0</v>
      </c>
      <c r="AA400" s="1110">
        <f t="shared" si="907"/>
        <v>0</v>
      </c>
      <c r="AB400" s="1110">
        <f t="shared" si="907"/>
        <v>0</v>
      </c>
      <c r="AC400" s="1110">
        <f t="shared" si="907"/>
        <v>0</v>
      </c>
      <c r="AD400" s="1110">
        <f t="shared" si="907"/>
        <v>0</v>
      </c>
      <c r="AE400" s="1212">
        <f t="shared" si="907"/>
        <v>0</v>
      </c>
      <c r="AF400" s="1212">
        <f t="shared" si="907"/>
        <v>0</v>
      </c>
      <c r="AG400" s="1110">
        <f t="shared" si="907"/>
        <v>0</v>
      </c>
      <c r="AH400" s="1110">
        <f t="shared" si="907"/>
        <v>0</v>
      </c>
      <c r="AI400" s="1340">
        <f t="shared" si="907"/>
        <v>0</v>
      </c>
      <c r="AJ400" s="96"/>
      <c r="AK400" s="723"/>
      <c r="AL400" s="695"/>
      <c r="AM400" s="961"/>
      <c r="AN400" s="292"/>
      <c r="AO400" s="681"/>
      <c r="AP400" s="285"/>
      <c r="AQ400" s="285"/>
      <c r="AR400" s="285"/>
      <c r="AS400" s="285"/>
      <c r="AT400" s="286"/>
      <c r="AU400" s="285"/>
      <c r="AV400" s="287"/>
    </row>
    <row r="401" spans="1:48" s="23" customFormat="1" ht="20.65" customHeight="1" thickTop="1">
      <c r="A401" s="283" t="s">
        <v>703</v>
      </c>
      <c r="B401" s="89" t="s">
        <v>622</v>
      </c>
      <c r="C401" s="1493" t="str">
        <f>Table2[[#This Row],[M/C No.]]</f>
        <v>H11(50ton)</v>
      </c>
      <c r="D401" s="28" t="s">
        <v>82</v>
      </c>
      <c r="E401" s="1139">
        <v>1300</v>
      </c>
      <c r="F401" s="1139">
        <v>1300</v>
      </c>
      <c r="G401" s="1231">
        <v>13000</v>
      </c>
      <c r="H401" s="1139">
        <v>13000</v>
      </c>
      <c r="I401" s="1139">
        <v>13000</v>
      </c>
      <c r="J401" s="1231">
        <v>0</v>
      </c>
      <c r="K401" s="1231">
        <v>0</v>
      </c>
      <c r="L401" s="1139">
        <v>6000</v>
      </c>
      <c r="M401" s="1139">
        <v>13000</v>
      </c>
      <c r="N401" s="1139">
        <v>13000</v>
      </c>
      <c r="O401" s="1139">
        <v>13000</v>
      </c>
      <c r="P401" s="1139">
        <v>13000</v>
      </c>
      <c r="Q401" s="1231">
        <v>0</v>
      </c>
      <c r="R401" s="1231">
        <v>0</v>
      </c>
      <c r="S401" s="1139">
        <v>6000</v>
      </c>
      <c r="T401" s="1139">
        <v>13000</v>
      </c>
      <c r="U401" s="1139">
        <v>13000</v>
      </c>
      <c r="V401" s="1139">
        <v>9400</v>
      </c>
      <c r="W401" s="1139">
        <v>0</v>
      </c>
      <c r="X401" s="1231">
        <v>0</v>
      </c>
      <c r="Y401" s="1231">
        <v>0</v>
      </c>
      <c r="Z401" s="1139">
        <v>0</v>
      </c>
      <c r="AA401" s="1139">
        <v>0</v>
      </c>
      <c r="AB401" s="1139">
        <v>0</v>
      </c>
      <c r="AC401" s="1139">
        <v>0</v>
      </c>
      <c r="AD401" s="1139">
        <v>0</v>
      </c>
      <c r="AE401" s="1231">
        <v>0</v>
      </c>
      <c r="AF401" s="1231">
        <v>0</v>
      </c>
      <c r="AG401" s="1139">
        <v>0</v>
      </c>
      <c r="AH401" s="1139">
        <v>0</v>
      </c>
      <c r="AI401" s="1322"/>
      <c r="AJ401" s="29">
        <f>SUM(E401:AI401)</f>
        <v>141000</v>
      </c>
      <c r="AK401" s="1020">
        <f>AJ403</f>
        <v>144480</v>
      </c>
      <c r="AL401" s="101">
        <f>+AJ401*AN401</f>
        <v>593105.22000000009</v>
      </c>
      <c r="AM401" s="1019">
        <f>AL403</f>
        <v>607743.56160000002</v>
      </c>
      <c r="AN401" s="293">
        <v>4.2064200000000005</v>
      </c>
      <c r="AO401" s="633">
        <f>Table2[[#This Row],[Total]]*B405/1000</f>
        <v>299.79419999999993</v>
      </c>
      <c r="AP401" s="32" t="s">
        <v>412</v>
      </c>
      <c r="AQ401" s="33" t="s">
        <v>84</v>
      </c>
      <c r="AR401" s="33" t="s">
        <v>85</v>
      </c>
      <c r="AS401" s="33" t="s">
        <v>86</v>
      </c>
      <c r="AT401" s="33" t="s">
        <v>87</v>
      </c>
      <c r="AU401" s="33" t="s">
        <v>88</v>
      </c>
      <c r="AV401" s="34" t="s">
        <v>68</v>
      </c>
    </row>
    <row r="402" spans="1:48" s="23" customFormat="1" ht="20.65" customHeight="1">
      <c r="A402" s="274"/>
      <c r="B402" s="89" t="s">
        <v>385</v>
      </c>
      <c r="C402" s="275"/>
      <c r="D402" s="37" t="s">
        <v>90</v>
      </c>
      <c r="E402" s="1323">
        <f>IF(E401="",0,+ E401/E408)</f>
        <v>325</v>
      </c>
      <c r="F402" s="1096">
        <f t="shared" ref="F402:AC402" si="908">IF(F401="",0, E402+F401/F408)</f>
        <v>650</v>
      </c>
      <c r="G402" s="1207">
        <f t="shared" si="908"/>
        <v>3900</v>
      </c>
      <c r="H402" s="1096">
        <f t="shared" si="908"/>
        <v>7150</v>
      </c>
      <c r="I402" s="1096">
        <f t="shared" si="908"/>
        <v>10400</v>
      </c>
      <c r="J402" s="1207">
        <f t="shared" si="908"/>
        <v>10400</v>
      </c>
      <c r="K402" s="1207">
        <f t="shared" si="908"/>
        <v>10400</v>
      </c>
      <c r="L402" s="1096">
        <f t="shared" si="908"/>
        <v>11900</v>
      </c>
      <c r="M402" s="1096">
        <f t="shared" si="908"/>
        <v>15150</v>
      </c>
      <c r="N402" s="1096">
        <f t="shared" si="908"/>
        <v>18400</v>
      </c>
      <c r="O402" s="1096">
        <f t="shared" si="908"/>
        <v>21650</v>
      </c>
      <c r="P402" s="1096">
        <f t="shared" si="908"/>
        <v>24900</v>
      </c>
      <c r="Q402" s="1207">
        <f t="shared" si="908"/>
        <v>24900</v>
      </c>
      <c r="R402" s="1207">
        <f t="shared" si="908"/>
        <v>24900</v>
      </c>
      <c r="S402" s="1096">
        <f t="shared" si="908"/>
        <v>26400</v>
      </c>
      <c r="T402" s="1096">
        <f t="shared" si="908"/>
        <v>29650</v>
      </c>
      <c r="U402" s="1096">
        <f t="shared" si="908"/>
        <v>32900</v>
      </c>
      <c r="V402" s="1096">
        <f t="shared" si="908"/>
        <v>35250</v>
      </c>
      <c r="W402" s="1096">
        <f t="shared" si="908"/>
        <v>35250</v>
      </c>
      <c r="X402" s="1207">
        <f t="shared" si="908"/>
        <v>35250</v>
      </c>
      <c r="Y402" s="1207">
        <f t="shared" si="908"/>
        <v>35250</v>
      </c>
      <c r="Z402" s="1096">
        <f t="shared" si="908"/>
        <v>35250</v>
      </c>
      <c r="AA402" s="1096">
        <f t="shared" si="908"/>
        <v>35250</v>
      </c>
      <c r="AB402" s="1096">
        <f t="shared" si="908"/>
        <v>35250</v>
      </c>
      <c r="AC402" s="1096">
        <f t="shared" si="908"/>
        <v>35250</v>
      </c>
      <c r="AD402" s="1096">
        <f>IF(AD401="",0, Z402+AD401/AD408)</f>
        <v>35250</v>
      </c>
      <c r="AE402" s="1207">
        <f>IF(AE401="",0, AA402+AE401/AE408)</f>
        <v>35250</v>
      </c>
      <c r="AF402" s="1207">
        <f>IF(AF401="",0, AB402+AF401/AF408)</f>
        <v>35250</v>
      </c>
      <c r="AG402" s="1096">
        <f>IF(AG401="",0, AC402+AG401/AG408)</f>
        <v>35250</v>
      </c>
      <c r="AH402" s="1096">
        <f>IF(AH401="",0, AD402+AH401/AH408)</f>
        <v>35250</v>
      </c>
      <c r="AI402" s="1324">
        <f>IF(AI401="",0, AH402+AI401/AI408)</f>
        <v>0</v>
      </c>
      <c r="AJ402" s="716"/>
      <c r="AK402" s="716"/>
      <c r="AL402" s="209"/>
      <c r="AM402" s="794"/>
      <c r="AN402" s="91"/>
      <c r="AO402" s="675"/>
      <c r="AP402" s="39" t="s">
        <v>91</v>
      </c>
      <c r="AQ402" s="40">
        <f>SUM(E401:H401)</f>
        <v>28600</v>
      </c>
      <c r="AR402" s="41">
        <f>SUM(I401:O401)</f>
        <v>58000</v>
      </c>
      <c r="AS402" s="41">
        <f>SUM(P401:V401)</f>
        <v>54400</v>
      </c>
      <c r="AT402" s="41">
        <f>SUM(W401:AC401)</f>
        <v>0</v>
      </c>
      <c r="AU402" s="41">
        <f>SUM(AD401:AI401)</f>
        <v>0</v>
      </c>
      <c r="AV402" s="34">
        <f t="shared" ref="AV402:AV407" si="909">SUM(AQ402:AU402)</f>
        <v>141000</v>
      </c>
    </row>
    <row r="403" spans="1:48" s="23" customFormat="1" ht="20.65" customHeight="1">
      <c r="A403" s="276" t="s">
        <v>413</v>
      </c>
      <c r="B403" s="89" t="s">
        <v>246</v>
      </c>
      <c r="C403" s="42"/>
      <c r="D403" s="43" t="s">
        <v>93</v>
      </c>
      <c r="E403" s="1108">
        <v>14112</v>
      </c>
      <c r="F403" s="1089">
        <v>13104</v>
      </c>
      <c r="G403" s="44">
        <v>13104</v>
      </c>
      <c r="H403" s="1089">
        <v>13104</v>
      </c>
      <c r="I403" s="1089">
        <v>13104</v>
      </c>
      <c r="J403" s="44">
        <v>0</v>
      </c>
      <c r="K403" s="44">
        <v>0</v>
      </c>
      <c r="L403" s="1089">
        <v>0</v>
      </c>
      <c r="M403" s="1089">
        <v>10080</v>
      </c>
      <c r="N403" s="1089">
        <v>12096</v>
      </c>
      <c r="O403" s="1089">
        <v>12096</v>
      </c>
      <c r="P403" s="1089">
        <v>12096</v>
      </c>
      <c r="Q403" s="44">
        <v>0</v>
      </c>
      <c r="R403" s="44">
        <v>0</v>
      </c>
      <c r="S403" s="1089">
        <v>0</v>
      </c>
      <c r="T403" s="1089">
        <v>2688</v>
      </c>
      <c r="U403" s="1089">
        <v>11088</v>
      </c>
      <c r="V403" s="1089">
        <v>13104</v>
      </c>
      <c r="W403" s="1089">
        <v>4704</v>
      </c>
      <c r="X403" s="44">
        <v>0</v>
      </c>
      <c r="Y403" s="44">
        <v>0</v>
      </c>
      <c r="Z403" s="1089">
        <v>0</v>
      </c>
      <c r="AA403" s="1089">
        <v>0</v>
      </c>
      <c r="AB403" s="1089"/>
      <c r="AC403" s="1089"/>
      <c r="AD403" s="1089"/>
      <c r="AE403" s="44"/>
      <c r="AF403" s="44"/>
      <c r="AG403" s="1089"/>
      <c r="AH403" s="1089"/>
      <c r="AI403" s="1326"/>
      <c r="AJ403" s="45">
        <f>SUM(E403:AI403)</f>
        <v>144480</v>
      </c>
      <c r="AK403" s="45"/>
      <c r="AL403" s="46">
        <f>+AJ403*AN401</f>
        <v>607743.56160000002</v>
      </c>
      <c r="AM403" s="934"/>
      <c r="AN403" s="328"/>
      <c r="AO403" s="632">
        <f>(AJ403+AJ405+AJ406+AJ407)*B405/1000</f>
        <v>318.58980799999995</v>
      </c>
      <c r="AP403" s="47" t="s">
        <v>94</v>
      </c>
      <c r="AQ403" s="48">
        <f>SUM(E403:H403)</f>
        <v>53424</v>
      </c>
      <c r="AR403" s="49">
        <f>SUM(I403:O403)</f>
        <v>47376</v>
      </c>
      <c r="AS403" s="49">
        <f>SUM(P403:V403)</f>
        <v>38976</v>
      </c>
      <c r="AT403" s="49">
        <f>SUM(W403:AC403)</f>
        <v>4704</v>
      </c>
      <c r="AU403" s="49">
        <f>SUM(AD403:AI403)</f>
        <v>0</v>
      </c>
      <c r="AV403" s="50">
        <f t="shared" si="909"/>
        <v>144480</v>
      </c>
    </row>
    <row r="404" spans="1:48" s="23" customFormat="1" ht="20.65" customHeight="1">
      <c r="A404" s="276" t="s">
        <v>413</v>
      </c>
      <c r="B404" s="638" t="s">
        <v>247</v>
      </c>
      <c r="C404" s="280"/>
      <c r="D404" s="53" t="s">
        <v>96</v>
      </c>
      <c r="E404" s="1137">
        <f>+E403-E401</f>
        <v>12812</v>
      </c>
      <c r="F404" s="1097">
        <f t="shared" ref="F404:AJ404" si="910">+F403-F401</f>
        <v>11804</v>
      </c>
      <c r="G404" s="1205">
        <f t="shared" si="910"/>
        <v>104</v>
      </c>
      <c r="H404" s="1097">
        <f t="shared" si="910"/>
        <v>104</v>
      </c>
      <c r="I404" s="1097">
        <f t="shared" si="910"/>
        <v>104</v>
      </c>
      <c r="J404" s="1205">
        <f t="shared" si="910"/>
        <v>0</v>
      </c>
      <c r="K404" s="1205">
        <f t="shared" si="910"/>
        <v>0</v>
      </c>
      <c r="L404" s="1097">
        <f t="shared" si="910"/>
        <v>-6000</v>
      </c>
      <c r="M404" s="1097">
        <f t="shared" si="910"/>
        <v>-2920</v>
      </c>
      <c r="N404" s="1097">
        <f t="shared" si="910"/>
        <v>-904</v>
      </c>
      <c r="O404" s="1097">
        <f t="shared" si="910"/>
        <v>-904</v>
      </c>
      <c r="P404" s="1097">
        <f t="shared" si="910"/>
        <v>-904</v>
      </c>
      <c r="Q404" s="1205">
        <f t="shared" si="910"/>
        <v>0</v>
      </c>
      <c r="R404" s="1205">
        <f t="shared" si="910"/>
        <v>0</v>
      </c>
      <c r="S404" s="1097">
        <f t="shared" si="910"/>
        <v>-6000</v>
      </c>
      <c r="T404" s="1097">
        <f t="shared" si="910"/>
        <v>-10312</v>
      </c>
      <c r="U404" s="1097">
        <f t="shared" si="910"/>
        <v>-1912</v>
      </c>
      <c r="V404" s="1097">
        <f t="shared" si="910"/>
        <v>3704</v>
      </c>
      <c r="W404" s="1097">
        <f t="shared" si="910"/>
        <v>4704</v>
      </c>
      <c r="X404" s="1205">
        <f t="shared" si="910"/>
        <v>0</v>
      </c>
      <c r="Y404" s="1205">
        <f t="shared" si="910"/>
        <v>0</v>
      </c>
      <c r="Z404" s="1097">
        <f t="shared" si="910"/>
        <v>0</v>
      </c>
      <c r="AA404" s="1097">
        <f t="shared" si="910"/>
        <v>0</v>
      </c>
      <c r="AB404" s="1097">
        <f t="shared" si="910"/>
        <v>0</v>
      </c>
      <c r="AC404" s="1097">
        <f t="shared" si="910"/>
        <v>0</v>
      </c>
      <c r="AD404" s="1097">
        <f t="shared" si="910"/>
        <v>0</v>
      </c>
      <c r="AE404" s="1205">
        <f t="shared" si="910"/>
        <v>0</v>
      </c>
      <c r="AF404" s="1205">
        <f t="shared" si="910"/>
        <v>0</v>
      </c>
      <c r="AG404" s="1097">
        <f t="shared" si="910"/>
        <v>0</v>
      </c>
      <c r="AH404" s="1097">
        <f t="shared" si="910"/>
        <v>0</v>
      </c>
      <c r="AI404" s="1328">
        <f t="shared" si="910"/>
        <v>0</v>
      </c>
      <c r="AJ404" s="79">
        <f t="shared" si="910"/>
        <v>3480</v>
      </c>
      <c r="AK404" s="79"/>
      <c r="AL404" s="55">
        <f>+AJ404*AN401</f>
        <v>14638.341600000002</v>
      </c>
      <c r="AM404" s="935"/>
      <c r="AN404" s="277" t="s">
        <v>97</v>
      </c>
      <c r="AO404" s="622"/>
      <c r="AP404" s="39" t="s">
        <v>98</v>
      </c>
      <c r="AQ404" s="56">
        <f>AQ403-AQ402</f>
        <v>24824</v>
      </c>
      <c r="AR404" s="70">
        <f>AR403-AR402</f>
        <v>-10624</v>
      </c>
      <c r="AS404" s="70">
        <f>AS403-AS402</f>
        <v>-15424</v>
      </c>
      <c r="AT404" s="70">
        <f>AT403-AT402</f>
        <v>4704</v>
      </c>
      <c r="AU404" s="70">
        <f>AU403-AU402</f>
        <v>0</v>
      </c>
      <c r="AV404" s="57">
        <f t="shared" si="909"/>
        <v>3480</v>
      </c>
    </row>
    <row r="405" spans="1:48" s="23" customFormat="1" ht="20.65" customHeight="1">
      <c r="A405" s="276" t="s">
        <v>413</v>
      </c>
      <c r="B405" s="659">
        <v>2.1261999999999999</v>
      </c>
      <c r="C405" s="305"/>
      <c r="D405" s="61" t="s">
        <v>101</v>
      </c>
      <c r="E405" s="1098">
        <v>0</v>
      </c>
      <c r="F405" s="1099">
        <v>0</v>
      </c>
      <c r="G405" s="1208">
        <v>0</v>
      </c>
      <c r="H405" s="1099">
        <v>0</v>
      </c>
      <c r="I405" s="1099">
        <v>260</v>
      </c>
      <c r="J405" s="1208">
        <v>0</v>
      </c>
      <c r="K405" s="1208">
        <v>0</v>
      </c>
      <c r="L405" s="1099">
        <v>1240</v>
      </c>
      <c r="M405" s="1099">
        <v>120</v>
      </c>
      <c r="N405" s="1099">
        <v>0</v>
      </c>
      <c r="O405" s="1099">
        <v>80</v>
      </c>
      <c r="P405" s="1099">
        <v>0</v>
      </c>
      <c r="Q405" s="1208">
        <v>0</v>
      </c>
      <c r="R405" s="1208">
        <v>0</v>
      </c>
      <c r="S405" s="1099">
        <v>656</v>
      </c>
      <c r="T405" s="1099">
        <v>240</v>
      </c>
      <c r="U405" s="1099">
        <v>80</v>
      </c>
      <c r="V405" s="1099">
        <v>0</v>
      </c>
      <c r="W405" s="1099">
        <v>0</v>
      </c>
      <c r="X405" s="1208">
        <v>0</v>
      </c>
      <c r="Y405" s="1208">
        <v>0</v>
      </c>
      <c r="Z405" s="1099">
        <v>0</v>
      </c>
      <c r="AA405" s="1099">
        <v>0</v>
      </c>
      <c r="AB405" s="1099"/>
      <c r="AC405" s="1099"/>
      <c r="AD405" s="1099"/>
      <c r="AE405" s="1208"/>
      <c r="AF405" s="1208"/>
      <c r="AG405" s="1099"/>
      <c r="AH405" s="1099"/>
      <c r="AI405" s="1330"/>
      <c r="AJ405" s="62">
        <f>SUM(E405:AI405)</f>
        <v>2676</v>
      </c>
      <c r="AK405" s="62"/>
      <c r="AL405" s="63">
        <f>+AJ405*AN401</f>
        <v>11256.379920000001</v>
      </c>
      <c r="AM405" s="936"/>
      <c r="AN405" s="301">
        <f>+AJ405/AJ403*100</f>
        <v>1.8521594684385381</v>
      </c>
      <c r="AO405" s="635">
        <f>AO403/AO401</f>
        <v>1.062695035460993</v>
      </c>
      <c r="AP405" s="39" t="s">
        <v>102</v>
      </c>
      <c r="AQ405" s="56">
        <f>SUM(E405:H405)</f>
        <v>0</v>
      </c>
      <c r="AR405" s="70">
        <f>SUM(I405:O405)</f>
        <v>1700</v>
      </c>
      <c r="AS405" s="70">
        <f>SUM(P405:V405)</f>
        <v>976</v>
      </c>
      <c r="AT405" s="70">
        <f>SUM(W405:AC405)</f>
        <v>0</v>
      </c>
      <c r="AU405" s="70">
        <f>SUM(AD405:AI405)</f>
        <v>0</v>
      </c>
      <c r="AV405" s="57">
        <f t="shared" si="909"/>
        <v>2676</v>
      </c>
    </row>
    <row r="406" spans="1:48" s="23" customFormat="1" ht="20.65" customHeight="1">
      <c r="A406" s="276" t="s">
        <v>413</v>
      </c>
      <c r="B406" s="89"/>
      <c r="C406" s="52" t="s">
        <v>95</v>
      </c>
      <c r="D406" s="67" t="s">
        <v>103</v>
      </c>
      <c r="E406" s="1100">
        <v>144</v>
      </c>
      <c r="F406" s="1101">
        <v>144</v>
      </c>
      <c r="G406" s="1209">
        <v>144</v>
      </c>
      <c r="H406" s="1101">
        <v>144</v>
      </c>
      <c r="I406" s="1101">
        <v>144</v>
      </c>
      <c r="J406" s="1209">
        <v>0</v>
      </c>
      <c r="K406" s="1209">
        <v>0</v>
      </c>
      <c r="L406" s="1101">
        <v>0</v>
      </c>
      <c r="M406" s="1101">
        <v>144</v>
      </c>
      <c r="N406" s="1101">
        <v>144</v>
      </c>
      <c r="O406" s="1101">
        <v>144</v>
      </c>
      <c r="P406" s="1101">
        <v>144</v>
      </c>
      <c r="Q406" s="1209">
        <v>0</v>
      </c>
      <c r="R406" s="1209">
        <v>0</v>
      </c>
      <c r="S406" s="1101">
        <v>0</v>
      </c>
      <c r="T406" s="1101">
        <v>60</v>
      </c>
      <c r="U406" s="1101">
        <v>144</v>
      </c>
      <c r="V406" s="1101">
        <v>144</v>
      </c>
      <c r="W406" s="1101">
        <v>48</v>
      </c>
      <c r="X406" s="1209">
        <v>0</v>
      </c>
      <c r="Y406" s="1209">
        <v>0</v>
      </c>
      <c r="Z406" s="1101">
        <v>0</v>
      </c>
      <c r="AA406" s="1101">
        <v>0</v>
      </c>
      <c r="AB406" s="1101"/>
      <c r="AC406" s="1101"/>
      <c r="AD406" s="1101"/>
      <c r="AE406" s="1209"/>
      <c r="AF406" s="1209"/>
      <c r="AG406" s="1101"/>
      <c r="AH406" s="1101"/>
      <c r="AI406" s="1332"/>
      <c r="AJ406" s="68">
        <f>SUM(E406:AI406)</f>
        <v>1692</v>
      </c>
      <c r="AK406" s="68"/>
      <c r="AL406" s="69">
        <f>+AJ406*AN401</f>
        <v>7117.2626400000008</v>
      </c>
      <c r="AM406" s="937"/>
      <c r="AN406" s="277"/>
      <c r="AO406" s="679"/>
      <c r="AP406" s="39" t="s">
        <v>19</v>
      </c>
      <c r="AQ406" s="56">
        <f>AQ405*AN401</f>
        <v>0</v>
      </c>
      <c r="AR406" s="56">
        <f>AR405*AN401</f>
        <v>7150.9140000000007</v>
      </c>
      <c r="AS406" s="56">
        <f>AS405*AN401</f>
        <v>4105.4659200000006</v>
      </c>
      <c r="AT406" s="56">
        <f>AT405*AN401</f>
        <v>0</v>
      </c>
      <c r="AU406" s="56">
        <f>AU405*AN401</f>
        <v>0</v>
      </c>
      <c r="AV406" s="57">
        <f t="shared" si="909"/>
        <v>11256.379920000001</v>
      </c>
    </row>
    <row r="407" spans="1:48" s="23" customFormat="1" ht="20.65" customHeight="1">
      <c r="A407" s="329"/>
      <c r="B407" s="89"/>
      <c r="C407" s="306" t="s">
        <v>387</v>
      </c>
      <c r="D407" s="73" t="s">
        <v>105</v>
      </c>
      <c r="E407" s="1158">
        <v>64</v>
      </c>
      <c r="F407" s="1140">
        <v>80</v>
      </c>
      <c r="G407" s="1289">
        <v>96</v>
      </c>
      <c r="H407" s="1140">
        <v>96</v>
      </c>
      <c r="I407" s="1140">
        <v>80</v>
      </c>
      <c r="J407" s="1289">
        <v>0</v>
      </c>
      <c r="K407" s="1289">
        <v>0</v>
      </c>
      <c r="L407" s="1140">
        <v>0</v>
      </c>
      <c r="M407" s="1140">
        <v>72</v>
      </c>
      <c r="N407" s="1140">
        <v>96</v>
      </c>
      <c r="O407" s="1140">
        <v>96</v>
      </c>
      <c r="P407" s="1140">
        <v>96</v>
      </c>
      <c r="Q407" s="1289">
        <v>0</v>
      </c>
      <c r="R407" s="1289">
        <v>0</v>
      </c>
      <c r="S407" s="1140">
        <v>0</v>
      </c>
      <c r="T407" s="1140">
        <v>24</v>
      </c>
      <c r="U407" s="1140">
        <v>80</v>
      </c>
      <c r="V407" s="1140">
        <v>80</v>
      </c>
      <c r="W407" s="1140">
        <v>32</v>
      </c>
      <c r="X407" s="1289">
        <v>0</v>
      </c>
      <c r="Y407" s="1289">
        <v>0</v>
      </c>
      <c r="Z407" s="1140">
        <v>0</v>
      </c>
      <c r="AA407" s="1140">
        <v>0</v>
      </c>
      <c r="AB407" s="1140"/>
      <c r="AC407" s="1140"/>
      <c r="AD407" s="1140"/>
      <c r="AE407" s="1289"/>
      <c r="AF407" s="1289"/>
      <c r="AG407" s="1140"/>
      <c r="AH407" s="1140"/>
      <c r="AI407" s="1408"/>
      <c r="AJ407" s="718">
        <f>SUM(E407:AI407)</f>
        <v>992</v>
      </c>
      <c r="AK407" s="718"/>
      <c r="AL407" s="691">
        <f>+AJ407*AN401</f>
        <v>4172.7686400000002</v>
      </c>
      <c r="AM407" s="959"/>
      <c r="AN407" s="91"/>
      <c r="AO407" s="630"/>
      <c r="AP407" s="47" t="s">
        <v>106</v>
      </c>
      <c r="AQ407" s="48">
        <f>AQ403*AN401</f>
        <v>224723.78208000003</v>
      </c>
      <c r="AR407" s="48">
        <f>AR403*AN401</f>
        <v>199283.35392000002</v>
      </c>
      <c r="AS407" s="48">
        <f>AS403*AN401</f>
        <v>163949.42592000001</v>
      </c>
      <c r="AT407" s="48">
        <f>AT403*AN401</f>
        <v>19786.999680000001</v>
      </c>
      <c r="AU407" s="48">
        <f>AU403*AN401</f>
        <v>0</v>
      </c>
      <c r="AV407" s="50">
        <f t="shared" si="909"/>
        <v>607743.56160000002</v>
      </c>
    </row>
    <row r="408" spans="1:48" s="23" customFormat="1" ht="20.65" customHeight="1">
      <c r="A408" s="276" t="s">
        <v>413</v>
      </c>
      <c r="B408" s="89"/>
      <c r="C408" s="307"/>
      <c r="D408" s="78" t="s">
        <v>107</v>
      </c>
      <c r="E408" s="1137">
        <v>4</v>
      </c>
      <c r="F408" s="1097">
        <v>4</v>
      </c>
      <c r="G408" s="1205">
        <v>4</v>
      </c>
      <c r="H408" s="1097">
        <v>4</v>
      </c>
      <c r="I408" s="1097">
        <v>4</v>
      </c>
      <c r="J408" s="1205">
        <v>4</v>
      </c>
      <c r="K408" s="1205">
        <v>4</v>
      </c>
      <c r="L408" s="1097">
        <v>4</v>
      </c>
      <c r="M408" s="1097">
        <v>4</v>
      </c>
      <c r="N408" s="1097">
        <v>4</v>
      </c>
      <c r="O408" s="1097">
        <v>4</v>
      </c>
      <c r="P408" s="1097">
        <v>4</v>
      </c>
      <c r="Q408" s="1205">
        <v>4</v>
      </c>
      <c r="R408" s="1205">
        <v>4</v>
      </c>
      <c r="S408" s="1097">
        <v>4</v>
      </c>
      <c r="T408" s="1097">
        <v>4</v>
      </c>
      <c r="U408" s="1097">
        <v>4</v>
      </c>
      <c r="V408" s="1097">
        <v>4</v>
      </c>
      <c r="W408" s="1097">
        <v>4</v>
      </c>
      <c r="X408" s="1205">
        <v>4</v>
      </c>
      <c r="Y408" s="1205">
        <v>4</v>
      </c>
      <c r="Z408" s="1097">
        <v>4</v>
      </c>
      <c r="AA408" s="1097">
        <v>4</v>
      </c>
      <c r="AB408" s="1097">
        <v>4</v>
      </c>
      <c r="AC408" s="1097">
        <v>4</v>
      </c>
      <c r="AD408" s="1097">
        <v>4</v>
      </c>
      <c r="AE408" s="1205">
        <v>4</v>
      </c>
      <c r="AF408" s="1205">
        <v>4</v>
      </c>
      <c r="AG408" s="1097">
        <v>4</v>
      </c>
      <c r="AH408" s="1097">
        <v>4</v>
      </c>
      <c r="AI408" s="1328">
        <v>4</v>
      </c>
      <c r="AJ408" s="79"/>
      <c r="AK408" s="79"/>
      <c r="AL408" s="692"/>
      <c r="AM408" s="960"/>
      <c r="AN408" s="277"/>
      <c r="AO408" s="679"/>
      <c r="AP408" s="47"/>
      <c r="AQ408" s="48"/>
      <c r="AR408" s="48"/>
      <c r="AS408" s="48"/>
      <c r="AT408" s="48"/>
      <c r="AU408" s="48"/>
      <c r="AV408" s="284"/>
    </row>
    <row r="409" spans="1:48" s="23" customFormat="1" ht="20.65" customHeight="1">
      <c r="A409" s="276" t="s">
        <v>413</v>
      </c>
      <c r="B409" s="89"/>
      <c r="C409" s="305"/>
      <c r="D409" s="81" t="s">
        <v>109</v>
      </c>
      <c r="E409" s="1125">
        <f>SUM(E403+E405+E406+E407)/E408</f>
        <v>3580</v>
      </c>
      <c r="F409" s="1126">
        <f>SUM(F403+F405+F406+F407)/F408</f>
        <v>3332</v>
      </c>
      <c r="G409" s="1235">
        <f t="shared" ref="G409:AH409" si="911">SUM(G403+G405+G406+G407)/G408</f>
        <v>3336</v>
      </c>
      <c r="H409" s="1126">
        <f t="shared" si="911"/>
        <v>3336</v>
      </c>
      <c r="I409" s="1126">
        <f t="shared" si="911"/>
        <v>3397</v>
      </c>
      <c r="J409" s="1235">
        <f t="shared" si="911"/>
        <v>0</v>
      </c>
      <c r="K409" s="1235">
        <f t="shared" si="911"/>
        <v>0</v>
      </c>
      <c r="L409" s="1126">
        <f t="shared" si="911"/>
        <v>310</v>
      </c>
      <c r="M409" s="1126">
        <f t="shared" si="911"/>
        <v>2604</v>
      </c>
      <c r="N409" s="1126">
        <f t="shared" si="911"/>
        <v>3084</v>
      </c>
      <c r="O409" s="1126">
        <f t="shared" si="911"/>
        <v>3104</v>
      </c>
      <c r="P409" s="1126">
        <f t="shared" si="911"/>
        <v>3084</v>
      </c>
      <c r="Q409" s="1235">
        <f t="shared" si="911"/>
        <v>0</v>
      </c>
      <c r="R409" s="1235">
        <f t="shared" si="911"/>
        <v>0</v>
      </c>
      <c r="S409" s="1126">
        <f t="shared" si="911"/>
        <v>164</v>
      </c>
      <c r="T409" s="1126">
        <f t="shared" si="911"/>
        <v>753</v>
      </c>
      <c r="U409" s="1126">
        <f t="shared" si="911"/>
        <v>2848</v>
      </c>
      <c r="V409" s="1126">
        <f t="shared" si="911"/>
        <v>3332</v>
      </c>
      <c r="W409" s="1126">
        <f t="shared" si="911"/>
        <v>1196</v>
      </c>
      <c r="X409" s="1235">
        <f t="shared" si="911"/>
        <v>0</v>
      </c>
      <c r="Y409" s="1235">
        <f t="shared" si="911"/>
        <v>0</v>
      </c>
      <c r="Z409" s="1126">
        <f t="shared" si="911"/>
        <v>0</v>
      </c>
      <c r="AA409" s="1126">
        <f t="shared" si="911"/>
        <v>0</v>
      </c>
      <c r="AB409" s="1126">
        <f t="shared" si="911"/>
        <v>0</v>
      </c>
      <c r="AC409" s="1126">
        <f t="shared" si="911"/>
        <v>0</v>
      </c>
      <c r="AD409" s="1126">
        <f t="shared" si="911"/>
        <v>0</v>
      </c>
      <c r="AE409" s="1235">
        <f t="shared" si="911"/>
        <v>0</v>
      </c>
      <c r="AF409" s="1235">
        <f t="shared" si="911"/>
        <v>0</v>
      </c>
      <c r="AG409" s="1126">
        <f t="shared" si="911"/>
        <v>0</v>
      </c>
      <c r="AH409" s="1126">
        <f t="shared" si="911"/>
        <v>0</v>
      </c>
      <c r="AI409" s="1335">
        <f>SUM(AI403+AI405+AI406)/AI408</f>
        <v>0</v>
      </c>
      <c r="AJ409" s="515">
        <f>SUM(E409:AI409)</f>
        <v>37460</v>
      </c>
      <c r="AK409" s="515"/>
      <c r="AL409" s="689"/>
      <c r="AM409" s="940"/>
      <c r="AN409" s="277"/>
      <c r="AO409" s="679"/>
      <c r="AP409" s="285"/>
      <c r="AQ409" s="285"/>
      <c r="AR409" s="285"/>
      <c r="AS409" s="285"/>
      <c r="AT409" s="286"/>
      <c r="AU409" s="285"/>
      <c r="AV409" s="287"/>
    </row>
    <row r="410" spans="1:48" s="23" customFormat="1" ht="20.65" customHeight="1">
      <c r="A410" s="276" t="s">
        <v>413</v>
      </c>
      <c r="B410" s="89"/>
      <c r="C410" s="72"/>
      <c r="D410" s="85" t="s">
        <v>110</v>
      </c>
      <c r="E410" s="1105"/>
      <c r="F410" s="1106"/>
      <c r="G410" s="1211"/>
      <c r="H410" s="1104"/>
      <c r="I410" s="1104"/>
      <c r="J410" s="1211"/>
      <c r="K410" s="1211"/>
      <c r="L410" s="1104"/>
      <c r="M410" s="1104"/>
      <c r="N410" s="1104"/>
      <c r="O410" s="1104"/>
      <c r="P410" s="1104"/>
      <c r="Q410" s="1211"/>
      <c r="R410" s="1211"/>
      <c r="S410" s="1104"/>
      <c r="T410" s="1104"/>
      <c r="U410" s="1104"/>
      <c r="V410" s="1104"/>
      <c r="W410" s="1104"/>
      <c r="X410" s="1211"/>
      <c r="Y410" s="1211"/>
      <c r="Z410" s="1104"/>
      <c r="AA410" s="1104"/>
      <c r="AB410" s="1104"/>
      <c r="AC410" s="1104"/>
      <c r="AD410" s="1104"/>
      <c r="AE410" s="1211"/>
      <c r="AF410" s="1211"/>
      <c r="AG410" s="1104"/>
      <c r="AH410" s="1104"/>
      <c r="AI410" s="1353"/>
      <c r="AJ410" s="86"/>
      <c r="AK410" s="86"/>
      <c r="AL410" s="690"/>
      <c r="AM410" s="940"/>
      <c r="AN410" s="277"/>
      <c r="AO410" s="679"/>
      <c r="AP410" s="285"/>
      <c r="AQ410" s="285"/>
      <c r="AR410" s="285"/>
      <c r="AS410" s="285"/>
      <c r="AT410" s="286"/>
      <c r="AU410" s="285"/>
      <c r="AV410" s="287"/>
    </row>
    <row r="411" spans="1:48" s="23" customFormat="1" ht="20.65" customHeight="1">
      <c r="A411" s="276" t="s">
        <v>413</v>
      </c>
      <c r="B411" s="89"/>
      <c r="C411" s="72" t="s">
        <v>104</v>
      </c>
      <c r="D411" s="88" t="s">
        <v>111</v>
      </c>
      <c r="E411" s="1108">
        <f>IF(E410="O/H",E409,15092+E409)</f>
        <v>18672</v>
      </c>
      <c r="F411" s="1089">
        <f t="shared" ref="F411:AI411" si="912">IF(F410="O/H",F409,+E411+F409)</f>
        <v>22004</v>
      </c>
      <c r="G411" s="44">
        <f t="shared" si="912"/>
        <v>25340</v>
      </c>
      <c r="H411" s="1089">
        <f t="shared" si="912"/>
        <v>28676</v>
      </c>
      <c r="I411" s="1089">
        <f t="shared" si="912"/>
        <v>32073</v>
      </c>
      <c r="J411" s="44">
        <f t="shared" si="912"/>
        <v>32073</v>
      </c>
      <c r="K411" s="44">
        <f t="shared" si="912"/>
        <v>32073</v>
      </c>
      <c r="L411" s="1089">
        <f t="shared" si="912"/>
        <v>32383</v>
      </c>
      <c r="M411" s="1089">
        <f t="shared" si="912"/>
        <v>34987</v>
      </c>
      <c r="N411" s="1089">
        <f t="shared" si="912"/>
        <v>38071</v>
      </c>
      <c r="O411" s="1089">
        <f t="shared" si="912"/>
        <v>41175</v>
      </c>
      <c r="P411" s="1089">
        <f t="shared" si="912"/>
        <v>44259</v>
      </c>
      <c r="Q411" s="44">
        <f t="shared" si="912"/>
        <v>44259</v>
      </c>
      <c r="R411" s="44">
        <f t="shared" si="912"/>
        <v>44259</v>
      </c>
      <c r="S411" s="1089">
        <f t="shared" si="912"/>
        <v>44423</v>
      </c>
      <c r="T411" s="1089">
        <f t="shared" si="912"/>
        <v>45176</v>
      </c>
      <c r="U411" s="1089">
        <f t="shared" si="912"/>
        <v>48024</v>
      </c>
      <c r="V411" s="1089">
        <f t="shared" si="912"/>
        <v>51356</v>
      </c>
      <c r="W411" s="1089">
        <f t="shared" si="912"/>
        <v>52552</v>
      </c>
      <c r="X411" s="44">
        <f t="shared" si="912"/>
        <v>52552</v>
      </c>
      <c r="Y411" s="44">
        <f t="shared" si="912"/>
        <v>52552</v>
      </c>
      <c r="Z411" s="1089">
        <f t="shared" si="912"/>
        <v>52552</v>
      </c>
      <c r="AA411" s="1089">
        <f t="shared" si="912"/>
        <v>52552</v>
      </c>
      <c r="AB411" s="1089">
        <f t="shared" si="912"/>
        <v>52552</v>
      </c>
      <c r="AC411" s="1089">
        <f t="shared" si="912"/>
        <v>52552</v>
      </c>
      <c r="AD411" s="1089">
        <f t="shared" si="912"/>
        <v>52552</v>
      </c>
      <c r="AE411" s="44">
        <f t="shared" si="912"/>
        <v>52552</v>
      </c>
      <c r="AF411" s="44">
        <f t="shared" si="912"/>
        <v>52552</v>
      </c>
      <c r="AG411" s="1089">
        <f t="shared" si="912"/>
        <v>52552</v>
      </c>
      <c r="AH411" s="1089">
        <f t="shared" si="912"/>
        <v>52552</v>
      </c>
      <c r="AI411" s="1326">
        <f t="shared" si="912"/>
        <v>52552</v>
      </c>
      <c r="AJ411" s="79"/>
      <c r="AK411" s="79"/>
      <c r="AL411" s="690"/>
      <c r="AM411" s="940"/>
      <c r="AN411" s="277"/>
      <c r="AO411" s="679"/>
      <c r="AP411" s="285"/>
      <c r="AQ411" s="285"/>
      <c r="AR411" s="285"/>
      <c r="AS411" s="285"/>
      <c r="AT411" s="286"/>
      <c r="AU411" s="285"/>
      <c r="AV411" s="287"/>
    </row>
    <row r="412" spans="1:48" s="23" customFormat="1" ht="20.65" customHeight="1">
      <c r="A412" s="312"/>
      <c r="B412" s="312"/>
      <c r="C412" s="308">
        <v>300000</v>
      </c>
      <c r="D412" s="795" t="s">
        <v>112</v>
      </c>
      <c r="E412" s="1117">
        <f>IF(AND(ISNUMBER(E403)),1215075+E409)</f>
        <v>1218655</v>
      </c>
      <c r="F412" s="1118">
        <f>IF(AND(ISNUMBER(F403)),E412+F409,"")</f>
        <v>1221987</v>
      </c>
      <c r="G412" s="1216">
        <f t="shared" ref="G412" si="913">IF(AND(ISNUMBER(G403)),F412+G409,"")</f>
        <v>1225323</v>
      </c>
      <c r="H412" s="1118">
        <f t="shared" ref="H412" si="914">IF(AND(ISNUMBER(H403)),G412+H409,"")</f>
        <v>1228659</v>
      </c>
      <c r="I412" s="1118">
        <f>IF(AND(ISNUMBER(I403)),H412+I409,"")</f>
        <v>1232056</v>
      </c>
      <c r="J412" s="1216">
        <f>IF(AND(ISNUMBER(J403)),I412+J409,"")</f>
        <v>1232056</v>
      </c>
      <c r="K412" s="1216">
        <f>IF(AND(ISNUMBER(K403)),J412+K409,"")</f>
        <v>1232056</v>
      </c>
      <c r="L412" s="1118">
        <f t="shared" ref="L412" si="915">IF(AND(ISNUMBER(L403)),K412+L409,"")</f>
        <v>1232366</v>
      </c>
      <c r="M412" s="1118">
        <f t="shared" ref="M412" si="916">IF(AND(ISNUMBER(M403)),L412+M409,"")</f>
        <v>1234970</v>
      </c>
      <c r="N412" s="1118">
        <f t="shared" ref="N412" si="917">IF(AND(ISNUMBER(N403)),M412+N409,"")</f>
        <v>1238054</v>
      </c>
      <c r="O412" s="1118">
        <f t="shared" ref="O412" si="918">IF(AND(ISNUMBER(O403)),N412+O409,"")</f>
        <v>1241158</v>
      </c>
      <c r="P412" s="1118">
        <f t="shared" ref="P412" si="919">IF(AND(ISNUMBER(P403)),O412+P409,"")</f>
        <v>1244242</v>
      </c>
      <c r="Q412" s="1216">
        <f t="shared" ref="Q412" si="920">IF(AND(ISNUMBER(Q403)),P412+Q409,"")</f>
        <v>1244242</v>
      </c>
      <c r="R412" s="1216">
        <f t="shared" ref="R412" si="921">IF(AND(ISNUMBER(R403)),Q412+R409,"")</f>
        <v>1244242</v>
      </c>
      <c r="S412" s="1118">
        <f t="shared" ref="S412" si="922">IF(AND(ISNUMBER(S403)),R412+S409,"")</f>
        <v>1244406</v>
      </c>
      <c r="T412" s="1118">
        <f t="shared" ref="T412" si="923">IF(AND(ISNUMBER(T403)),S412+T409,"")</f>
        <v>1245159</v>
      </c>
      <c r="U412" s="1118">
        <f t="shared" ref="U412" si="924">IF(AND(ISNUMBER(U403)),T412+U409,"")</f>
        <v>1248007</v>
      </c>
      <c r="V412" s="1118">
        <f t="shared" ref="V412" si="925">IF(AND(ISNUMBER(V403)),U412+V409,"")</f>
        <v>1251339</v>
      </c>
      <c r="W412" s="1118">
        <f t="shared" ref="W412" si="926">IF(AND(ISNUMBER(W403)),V412+W409,"")</f>
        <v>1252535</v>
      </c>
      <c r="X412" s="1216">
        <f t="shared" ref="X412" si="927">IF(AND(ISNUMBER(X403)),W412+X409,"")</f>
        <v>1252535</v>
      </c>
      <c r="Y412" s="1216">
        <f t="shared" ref="Y412" si="928">IF(AND(ISNUMBER(Y403)),X412+Y409,"")</f>
        <v>1252535</v>
      </c>
      <c r="Z412" s="1118">
        <f t="shared" ref="Z412" si="929">IF(AND(ISNUMBER(Z403)),Y412+Z409,"")</f>
        <v>1252535</v>
      </c>
      <c r="AA412" s="1118">
        <f t="shared" ref="AA412" si="930">IF(AND(ISNUMBER(AA403)),Z412+AA409,"")</f>
        <v>1252535</v>
      </c>
      <c r="AB412" s="1118" t="str">
        <f t="shared" ref="AB412" si="931">IF(AND(ISNUMBER(AB403)),AA412+AB409,"")</f>
        <v/>
      </c>
      <c r="AC412" s="1118" t="str">
        <f t="shared" ref="AC412" si="932">IF(AND(ISNUMBER(AC403)),AB412+AC409,"")</f>
        <v/>
      </c>
      <c r="AD412" s="1118" t="str">
        <f t="shared" ref="AD412" si="933">IF(AND(ISNUMBER(AD403)),AC412+AD409,"")</f>
        <v/>
      </c>
      <c r="AE412" s="1216" t="str">
        <f t="shared" ref="AE412" si="934">IF(AND(ISNUMBER(AE403)),AD412+AE409,"")</f>
        <v/>
      </c>
      <c r="AF412" s="1216" t="str">
        <f t="shared" ref="AF412" si="935">IF(AND(ISNUMBER(AF403)),AE412+AF409,"")</f>
        <v/>
      </c>
      <c r="AG412" s="1118" t="str">
        <f t="shared" ref="AG412" si="936">IF(AND(ISNUMBER(AG403)),AF412+AG409,"")</f>
        <v/>
      </c>
      <c r="AH412" s="1118" t="str">
        <f t="shared" ref="AH412" si="937">IF(AND(ISNUMBER(AH403)),AG412+AH409,"")</f>
        <v/>
      </c>
      <c r="AI412" s="1118" t="str">
        <f t="shared" ref="AI412" si="938">IF(AND(ISNUMBER(AI403)),AH412+AI409,"")</f>
        <v/>
      </c>
      <c r="AJ412" s="793"/>
      <c r="AK412" s="793"/>
      <c r="AL412" s="909"/>
      <c r="AM412" s="794"/>
      <c r="AN412" s="429"/>
      <c r="AO412" s="675"/>
      <c r="AP412" s="285"/>
      <c r="AQ412" s="285"/>
      <c r="AR412" s="285"/>
      <c r="AS412" s="285"/>
      <c r="AT412" s="286"/>
      <c r="AU412" s="285"/>
      <c r="AV412" s="287"/>
    </row>
    <row r="413" spans="1:48" s="23" customFormat="1" ht="20.65" customHeight="1">
      <c r="A413" s="276"/>
      <c r="B413" s="89"/>
      <c r="C413" s="80" t="s">
        <v>108</v>
      </c>
      <c r="D413" s="90" t="s">
        <v>104</v>
      </c>
      <c r="E413" s="1108"/>
      <c r="F413" s="1089"/>
      <c r="G413" s="44"/>
      <c r="H413" s="1089"/>
      <c r="I413" s="1089"/>
      <c r="J413" s="44"/>
      <c r="K413" s="44"/>
      <c r="L413" s="1089"/>
      <c r="M413" s="1089"/>
      <c r="N413" s="1089"/>
      <c r="O413" s="1089"/>
      <c r="P413" s="1089"/>
      <c r="Q413" s="44"/>
      <c r="R413" s="44"/>
      <c r="S413" s="1089"/>
      <c r="T413" s="1089"/>
      <c r="U413" s="1089"/>
      <c r="V413" s="1089"/>
      <c r="W413" s="1089"/>
      <c r="X413" s="44"/>
      <c r="Y413" s="44"/>
      <c r="Z413" s="1089"/>
      <c r="AA413" s="1089"/>
      <c r="AB413" s="1089"/>
      <c r="AC413" s="1089"/>
      <c r="AD413" s="1089"/>
      <c r="AE413" s="44"/>
      <c r="AF413" s="44"/>
      <c r="AG413" s="1089"/>
      <c r="AH413" s="1089"/>
      <c r="AI413" s="1326"/>
      <c r="AJ413" s="79"/>
      <c r="AK413" s="79"/>
      <c r="AL413" s="690"/>
      <c r="AM413" s="940"/>
      <c r="AN413" s="277"/>
      <c r="AO413" s="679"/>
      <c r="AP413" s="285"/>
      <c r="AQ413" s="285"/>
      <c r="AR413" s="285"/>
      <c r="AS413" s="285"/>
      <c r="AT413" s="286"/>
      <c r="AU413" s="285"/>
      <c r="AV413" s="287"/>
    </row>
    <row r="414" spans="1:48" s="23" customFormat="1" ht="20.65" customHeight="1" thickBot="1">
      <c r="A414" s="289"/>
      <c r="B414" s="93"/>
      <c r="C414" s="291">
        <f>+C412*0.8</f>
        <v>240000</v>
      </c>
      <c r="D414" s="88" t="s">
        <v>111</v>
      </c>
      <c r="E414" s="1109">
        <f>IF(E413="O/H",E409,15092+E409)</f>
        <v>18672</v>
      </c>
      <c r="F414" s="1110">
        <f t="shared" ref="F414:AI414" si="939">IF(F413="O/H",F409,+E414+F409)</f>
        <v>22004</v>
      </c>
      <c r="G414" s="1212">
        <f t="shared" si="939"/>
        <v>25340</v>
      </c>
      <c r="H414" s="1110">
        <f t="shared" si="939"/>
        <v>28676</v>
      </c>
      <c r="I414" s="1110">
        <f t="shared" si="939"/>
        <v>32073</v>
      </c>
      <c r="J414" s="1212">
        <f t="shared" si="939"/>
        <v>32073</v>
      </c>
      <c r="K414" s="1212">
        <f t="shared" si="939"/>
        <v>32073</v>
      </c>
      <c r="L414" s="1110">
        <f t="shared" si="939"/>
        <v>32383</v>
      </c>
      <c r="M414" s="1110">
        <f t="shared" si="939"/>
        <v>34987</v>
      </c>
      <c r="N414" s="1110">
        <f t="shared" si="939"/>
        <v>38071</v>
      </c>
      <c r="O414" s="1110">
        <f t="shared" si="939"/>
        <v>41175</v>
      </c>
      <c r="P414" s="1110">
        <f t="shared" si="939"/>
        <v>44259</v>
      </c>
      <c r="Q414" s="1212">
        <f t="shared" si="939"/>
        <v>44259</v>
      </c>
      <c r="R414" s="1212">
        <f t="shared" si="939"/>
        <v>44259</v>
      </c>
      <c r="S414" s="1110">
        <f t="shared" si="939"/>
        <v>44423</v>
      </c>
      <c r="T414" s="1110">
        <f t="shared" si="939"/>
        <v>45176</v>
      </c>
      <c r="U414" s="1110">
        <f t="shared" si="939"/>
        <v>48024</v>
      </c>
      <c r="V414" s="1110">
        <f t="shared" si="939"/>
        <v>51356</v>
      </c>
      <c r="W414" s="1110">
        <f t="shared" si="939"/>
        <v>52552</v>
      </c>
      <c r="X414" s="1212">
        <f t="shared" si="939"/>
        <v>52552</v>
      </c>
      <c r="Y414" s="1212">
        <f t="shared" si="939"/>
        <v>52552</v>
      </c>
      <c r="Z414" s="1110">
        <f t="shared" si="939"/>
        <v>52552</v>
      </c>
      <c r="AA414" s="1110">
        <f t="shared" si="939"/>
        <v>52552</v>
      </c>
      <c r="AB414" s="1110">
        <f t="shared" si="939"/>
        <v>52552</v>
      </c>
      <c r="AC414" s="1110">
        <f t="shared" si="939"/>
        <v>52552</v>
      </c>
      <c r="AD414" s="1110">
        <f t="shared" si="939"/>
        <v>52552</v>
      </c>
      <c r="AE414" s="1212">
        <f t="shared" si="939"/>
        <v>52552</v>
      </c>
      <c r="AF414" s="1212">
        <f t="shared" si="939"/>
        <v>52552</v>
      </c>
      <c r="AG414" s="1110">
        <f t="shared" si="939"/>
        <v>52552</v>
      </c>
      <c r="AH414" s="1110">
        <f t="shared" si="939"/>
        <v>52552</v>
      </c>
      <c r="AI414" s="1340">
        <f t="shared" si="939"/>
        <v>52552</v>
      </c>
      <c r="AJ414" s="96"/>
      <c r="AK414" s="723"/>
      <c r="AL414" s="695"/>
      <c r="AM414" s="961"/>
      <c r="AN414" s="292"/>
      <c r="AO414" s="681"/>
      <c r="AP414" s="285"/>
      <c r="AQ414" s="285"/>
      <c r="AR414" s="285"/>
      <c r="AS414" s="285"/>
      <c r="AT414" s="286"/>
      <c r="AU414" s="285"/>
      <c r="AV414" s="287"/>
    </row>
    <row r="415" spans="1:48" s="23" customFormat="1" ht="20.65" customHeight="1" thickTop="1">
      <c r="A415" s="270" t="s">
        <v>702</v>
      </c>
      <c r="B415" s="89" t="s">
        <v>623</v>
      </c>
      <c r="C415" s="1493" t="str">
        <f>Table2[[#This Row],[M/C No.]]</f>
        <v>H15(50ton)</v>
      </c>
      <c r="D415" s="28" t="s">
        <v>82</v>
      </c>
      <c r="E415" s="1124">
        <v>11000</v>
      </c>
      <c r="F415" s="1124">
        <v>11000</v>
      </c>
      <c r="G415" s="1242">
        <v>11000</v>
      </c>
      <c r="H415" s="1124">
        <v>11000</v>
      </c>
      <c r="I415" s="1124">
        <v>11000</v>
      </c>
      <c r="J415" s="1242">
        <v>0</v>
      </c>
      <c r="K415" s="1242">
        <v>0</v>
      </c>
      <c r="L415" s="1124">
        <v>0</v>
      </c>
      <c r="M415" s="1124">
        <v>0</v>
      </c>
      <c r="N415" s="1124">
        <v>11000</v>
      </c>
      <c r="O415" s="1124">
        <v>11000</v>
      </c>
      <c r="P415" s="1124">
        <v>11000</v>
      </c>
      <c r="Q415" s="1242">
        <v>0</v>
      </c>
      <c r="R415" s="1242">
        <v>0</v>
      </c>
      <c r="S415" s="1124">
        <v>4000</v>
      </c>
      <c r="T415" s="1124">
        <v>11000</v>
      </c>
      <c r="U415" s="1124">
        <v>11000</v>
      </c>
      <c r="V415" s="1124">
        <v>11000</v>
      </c>
      <c r="W415" s="1124">
        <v>11000</v>
      </c>
      <c r="X415" s="1242">
        <v>0</v>
      </c>
      <c r="Y415" s="1242">
        <v>0</v>
      </c>
      <c r="Z415" s="1124">
        <v>4000</v>
      </c>
      <c r="AA415" s="1124">
        <v>11000</v>
      </c>
      <c r="AB415" s="1124">
        <v>11000</v>
      </c>
      <c r="AC415" s="1124">
        <v>11000</v>
      </c>
      <c r="AD415" s="1124">
        <v>11000</v>
      </c>
      <c r="AE415" s="1242">
        <v>0</v>
      </c>
      <c r="AF415" s="1242">
        <v>0</v>
      </c>
      <c r="AG415" s="1124">
        <v>5000</v>
      </c>
      <c r="AH415" s="1124">
        <v>11000</v>
      </c>
      <c r="AI415" s="1322"/>
      <c r="AJ415" s="29">
        <f>SUM(E415:AI415)</f>
        <v>200000</v>
      </c>
      <c r="AK415" s="1020">
        <f>AJ417</f>
        <v>162400</v>
      </c>
      <c r="AL415" s="101">
        <f>+AJ415*AN415</f>
        <v>889829.99999999988</v>
      </c>
      <c r="AM415" s="1019">
        <f>AL417</f>
        <v>722541.96</v>
      </c>
      <c r="AN415" s="293">
        <v>4.4491499999999995</v>
      </c>
      <c r="AO415" s="633">
        <f>Table2[[#This Row],[Total]]*B419/1000</f>
        <v>479.39999999999992</v>
      </c>
      <c r="AP415" s="32" t="s">
        <v>422</v>
      </c>
      <c r="AQ415" s="33" t="s">
        <v>84</v>
      </c>
      <c r="AR415" s="33" t="s">
        <v>85</v>
      </c>
      <c r="AS415" s="33" t="s">
        <v>86</v>
      </c>
      <c r="AT415" s="33" t="s">
        <v>87</v>
      </c>
      <c r="AU415" s="33" t="s">
        <v>88</v>
      </c>
      <c r="AV415" s="34" t="s">
        <v>68</v>
      </c>
    </row>
    <row r="416" spans="1:48" s="23" customFormat="1" ht="20.65" customHeight="1">
      <c r="A416" s="274"/>
      <c r="B416" s="219" t="s">
        <v>411</v>
      </c>
      <c r="C416" s="89" t="s">
        <v>95</v>
      </c>
      <c r="D416" s="37" t="s">
        <v>90</v>
      </c>
      <c r="E416" s="1323">
        <f>IF(E415="",0,+ E415/E422)</f>
        <v>2750</v>
      </c>
      <c r="F416" s="1096">
        <f t="shared" ref="F416:AC416" si="940">IF(F415="",0, E416+F415/F422)</f>
        <v>5500</v>
      </c>
      <c r="G416" s="1207">
        <f t="shared" si="940"/>
        <v>8250</v>
      </c>
      <c r="H416" s="1096">
        <f t="shared" si="940"/>
        <v>11000</v>
      </c>
      <c r="I416" s="1096">
        <f t="shared" si="940"/>
        <v>13750</v>
      </c>
      <c r="J416" s="1207">
        <f t="shared" si="940"/>
        <v>13750</v>
      </c>
      <c r="K416" s="1207">
        <f t="shared" si="940"/>
        <v>13750</v>
      </c>
      <c r="L416" s="1096">
        <f t="shared" si="940"/>
        <v>13750</v>
      </c>
      <c r="M416" s="1096">
        <f t="shared" si="940"/>
        <v>13750</v>
      </c>
      <c r="N416" s="1096">
        <f t="shared" si="940"/>
        <v>16500</v>
      </c>
      <c r="O416" s="1096">
        <f t="shared" si="940"/>
        <v>19250</v>
      </c>
      <c r="P416" s="1096">
        <f t="shared" si="940"/>
        <v>22000</v>
      </c>
      <c r="Q416" s="1207">
        <f t="shared" si="940"/>
        <v>22000</v>
      </c>
      <c r="R416" s="1207">
        <f t="shared" si="940"/>
        <v>22000</v>
      </c>
      <c r="S416" s="1096">
        <f t="shared" si="940"/>
        <v>23000</v>
      </c>
      <c r="T416" s="1096">
        <f t="shared" si="940"/>
        <v>25750</v>
      </c>
      <c r="U416" s="1096">
        <f t="shared" si="940"/>
        <v>28500</v>
      </c>
      <c r="V416" s="1096">
        <f t="shared" si="940"/>
        <v>31250</v>
      </c>
      <c r="W416" s="1096">
        <f t="shared" si="940"/>
        <v>34000</v>
      </c>
      <c r="X416" s="1207">
        <f t="shared" si="940"/>
        <v>34000</v>
      </c>
      <c r="Y416" s="1207">
        <f t="shared" si="940"/>
        <v>34000</v>
      </c>
      <c r="Z416" s="1096">
        <f t="shared" si="940"/>
        <v>35000</v>
      </c>
      <c r="AA416" s="1096">
        <f t="shared" si="940"/>
        <v>37750</v>
      </c>
      <c r="AB416" s="1096">
        <f t="shared" si="940"/>
        <v>40500</v>
      </c>
      <c r="AC416" s="1096">
        <f t="shared" si="940"/>
        <v>43250</v>
      </c>
      <c r="AD416" s="1096">
        <f>IF(AD415="",0, Z416+AD415/AD422)</f>
        <v>37750</v>
      </c>
      <c r="AE416" s="1207">
        <f>IF(AE415="",0, AA416+AE415/AE422)</f>
        <v>37750</v>
      </c>
      <c r="AF416" s="1207">
        <f>IF(AF415="",0, AB416+AF415/AF422)</f>
        <v>40500</v>
      </c>
      <c r="AG416" s="1096">
        <f>IF(AG415="",0, AC416+AG415/AG422)</f>
        <v>44500</v>
      </c>
      <c r="AH416" s="1096">
        <f>IF(AH415="",0, AD416+AH415/AH422)</f>
        <v>40500</v>
      </c>
      <c r="AI416" s="1324">
        <f>IF(AI415="",0, AH416+AI415/AI422)</f>
        <v>0</v>
      </c>
      <c r="AJ416" s="716"/>
      <c r="AK416" s="716"/>
      <c r="AL416" s="209"/>
      <c r="AM416" s="794"/>
      <c r="AN416" s="91"/>
      <c r="AO416" s="675"/>
      <c r="AP416" s="39" t="s">
        <v>91</v>
      </c>
      <c r="AQ416" s="40">
        <f>SUM(E415:H415)</f>
        <v>44000</v>
      </c>
      <c r="AR416" s="41">
        <f>SUM(I415:O415)</f>
        <v>33000</v>
      </c>
      <c r="AS416" s="41">
        <f>SUM(P415:V415)</f>
        <v>48000</v>
      </c>
      <c r="AT416" s="41">
        <f>SUM(W415:AC415)</f>
        <v>48000</v>
      </c>
      <c r="AU416" s="41">
        <f>SUM(AD415:AI415)</f>
        <v>27000</v>
      </c>
      <c r="AV416" s="34">
        <f t="shared" ref="AV416:AV421" si="941">SUM(AQ416:AU416)</f>
        <v>200000</v>
      </c>
    </row>
    <row r="417" spans="1:48" s="23" customFormat="1" ht="20.65" customHeight="1">
      <c r="A417" s="296" t="s">
        <v>420</v>
      </c>
      <c r="B417" s="89" t="s">
        <v>246</v>
      </c>
      <c r="C417" s="1258">
        <v>27500</v>
      </c>
      <c r="D417" s="43" t="s">
        <v>93</v>
      </c>
      <c r="E417" s="1108">
        <v>6800</v>
      </c>
      <c r="F417" s="1089">
        <v>11200</v>
      </c>
      <c r="G417" s="44">
        <v>12000</v>
      </c>
      <c r="H417" s="1089">
        <v>11600</v>
      </c>
      <c r="I417" s="1089">
        <v>11600</v>
      </c>
      <c r="J417" s="44">
        <v>0</v>
      </c>
      <c r="K417" s="44">
        <v>0</v>
      </c>
      <c r="L417" s="1089">
        <v>8800</v>
      </c>
      <c r="M417" s="1089">
        <v>12000</v>
      </c>
      <c r="N417" s="1089">
        <v>11600</v>
      </c>
      <c r="O417" s="1089">
        <v>12000</v>
      </c>
      <c r="P417" s="1089">
        <v>11600</v>
      </c>
      <c r="Q417" s="44">
        <v>0</v>
      </c>
      <c r="R417" s="44">
        <v>0</v>
      </c>
      <c r="S417" s="1089">
        <v>7200</v>
      </c>
      <c r="T417" s="1089">
        <v>12000</v>
      </c>
      <c r="U417" s="1089">
        <v>11200</v>
      </c>
      <c r="V417" s="1089">
        <v>12000</v>
      </c>
      <c r="W417" s="1089">
        <v>10800</v>
      </c>
      <c r="X417" s="44">
        <v>0</v>
      </c>
      <c r="Y417" s="44">
        <v>0</v>
      </c>
      <c r="Z417" s="1089">
        <v>0</v>
      </c>
      <c r="AA417" s="1089">
        <v>0</v>
      </c>
      <c r="AB417" s="1089"/>
      <c r="AC417" s="1089"/>
      <c r="AD417" s="1089"/>
      <c r="AE417" s="44"/>
      <c r="AF417" s="44"/>
      <c r="AG417" s="1089"/>
      <c r="AH417" s="1089"/>
      <c r="AI417" s="1326"/>
      <c r="AJ417" s="45">
        <f>SUM(E417:AI417)</f>
        <v>162400</v>
      </c>
      <c r="AK417" s="45"/>
      <c r="AL417" s="46">
        <f>+AJ417*AN415</f>
        <v>722541.96</v>
      </c>
      <c r="AM417" s="934"/>
      <c r="AN417" s="277"/>
      <c r="AO417" s="632">
        <f>(AJ417+AJ419+AJ420+AJ421)*B419/1000</f>
        <v>398.58514499999995</v>
      </c>
      <c r="AP417" s="47" t="s">
        <v>94</v>
      </c>
      <c r="AQ417" s="48">
        <f>SUM(E417:H417)</f>
        <v>41600</v>
      </c>
      <c r="AR417" s="49">
        <f>SUM(I417:O417)</f>
        <v>56000</v>
      </c>
      <c r="AS417" s="49">
        <f>SUM(P417:V417)</f>
        <v>54000</v>
      </c>
      <c r="AT417" s="49">
        <f>SUM(W417:AC417)</f>
        <v>10800</v>
      </c>
      <c r="AU417" s="49">
        <f>SUM(AD417:AI417)</f>
        <v>0</v>
      </c>
      <c r="AV417" s="50">
        <f t="shared" si="941"/>
        <v>162400</v>
      </c>
    </row>
    <row r="418" spans="1:48" s="23" customFormat="1" ht="20.65" customHeight="1">
      <c r="A418" s="296" t="s">
        <v>420</v>
      </c>
      <c r="B418" s="763" t="s">
        <v>247</v>
      </c>
      <c r="C418" s="89" t="s">
        <v>108</v>
      </c>
      <c r="D418" s="53" t="s">
        <v>96</v>
      </c>
      <c r="E418" s="1137">
        <f t="shared" ref="E418:AJ418" si="942">+E417-E415</f>
        <v>-4200</v>
      </c>
      <c r="F418" s="1097">
        <f t="shared" si="942"/>
        <v>200</v>
      </c>
      <c r="G418" s="1205">
        <f t="shared" si="942"/>
        <v>1000</v>
      </c>
      <c r="H418" s="1097">
        <f t="shared" si="942"/>
        <v>600</v>
      </c>
      <c r="I418" s="1097">
        <f t="shared" si="942"/>
        <v>600</v>
      </c>
      <c r="J418" s="1205">
        <f t="shared" si="942"/>
        <v>0</v>
      </c>
      <c r="K418" s="1205">
        <f t="shared" si="942"/>
        <v>0</v>
      </c>
      <c r="L418" s="1097">
        <f t="shared" si="942"/>
        <v>8800</v>
      </c>
      <c r="M418" s="1097">
        <f t="shared" si="942"/>
        <v>12000</v>
      </c>
      <c r="N418" s="1097">
        <f t="shared" si="942"/>
        <v>600</v>
      </c>
      <c r="O418" s="1097">
        <f t="shared" si="942"/>
        <v>1000</v>
      </c>
      <c r="P418" s="1097">
        <f t="shared" si="942"/>
        <v>600</v>
      </c>
      <c r="Q418" s="1205">
        <f>+Q417-Q415</f>
        <v>0</v>
      </c>
      <c r="R418" s="1205">
        <f>+R417-R415</f>
        <v>0</v>
      </c>
      <c r="S418" s="1097">
        <f t="shared" si="942"/>
        <v>3200</v>
      </c>
      <c r="T418" s="1097">
        <f t="shared" si="942"/>
        <v>1000</v>
      </c>
      <c r="U418" s="1097">
        <f t="shared" si="942"/>
        <v>200</v>
      </c>
      <c r="V418" s="1097">
        <f t="shared" si="942"/>
        <v>1000</v>
      </c>
      <c r="W418" s="1097">
        <f t="shared" si="942"/>
        <v>-200</v>
      </c>
      <c r="X418" s="1205">
        <f t="shared" si="942"/>
        <v>0</v>
      </c>
      <c r="Y418" s="1205">
        <f t="shared" si="942"/>
        <v>0</v>
      </c>
      <c r="Z418" s="1097">
        <f t="shared" si="942"/>
        <v>-4000</v>
      </c>
      <c r="AA418" s="1097">
        <f t="shared" si="942"/>
        <v>-11000</v>
      </c>
      <c r="AB418" s="1097">
        <f t="shared" si="942"/>
        <v>-11000</v>
      </c>
      <c r="AC418" s="1097">
        <f t="shared" si="942"/>
        <v>-11000</v>
      </c>
      <c r="AD418" s="1097">
        <f t="shared" si="942"/>
        <v>-11000</v>
      </c>
      <c r="AE418" s="1205">
        <f t="shared" si="942"/>
        <v>0</v>
      </c>
      <c r="AF418" s="1205">
        <f t="shared" si="942"/>
        <v>0</v>
      </c>
      <c r="AG418" s="1097">
        <f t="shared" si="942"/>
        <v>-5000</v>
      </c>
      <c r="AH418" s="1097">
        <f t="shared" si="942"/>
        <v>-11000</v>
      </c>
      <c r="AI418" s="1328">
        <f t="shared" si="942"/>
        <v>0</v>
      </c>
      <c r="AJ418" s="79">
        <f t="shared" si="942"/>
        <v>-37600</v>
      </c>
      <c r="AK418" s="79"/>
      <c r="AL418" s="55">
        <f>+AJ418*AN415</f>
        <v>-167288.03999999998</v>
      </c>
      <c r="AM418" s="935"/>
      <c r="AN418" s="277" t="s">
        <v>97</v>
      </c>
      <c r="AO418" s="622"/>
      <c r="AP418" s="39" t="s">
        <v>98</v>
      </c>
      <c r="AQ418" s="56">
        <f>AQ417-AQ416</f>
        <v>-2400</v>
      </c>
      <c r="AR418" s="70">
        <f>AR417-AR416</f>
        <v>23000</v>
      </c>
      <c r="AS418" s="70">
        <f>AS417-AS416</f>
        <v>6000</v>
      </c>
      <c r="AT418" s="70">
        <f>AT417-AT416</f>
        <v>-37200</v>
      </c>
      <c r="AU418" s="70">
        <f>AU417-AU416</f>
        <v>-27000</v>
      </c>
      <c r="AV418" s="57">
        <f t="shared" si="941"/>
        <v>-37600</v>
      </c>
    </row>
    <row r="419" spans="1:48" s="23" customFormat="1" ht="20.65" customHeight="1">
      <c r="A419" s="296" t="s">
        <v>420</v>
      </c>
      <c r="B419" s="764">
        <v>2.3969999999999998</v>
      </c>
      <c r="C419" s="1248">
        <f>+C417*0.8</f>
        <v>22000</v>
      </c>
      <c r="D419" s="61" t="s">
        <v>101</v>
      </c>
      <c r="E419" s="1098">
        <v>120</v>
      </c>
      <c r="F419" s="1099">
        <v>0</v>
      </c>
      <c r="G419" s="1208">
        <v>0</v>
      </c>
      <c r="H419" s="1099">
        <v>0</v>
      </c>
      <c r="I419" s="1099">
        <v>0</v>
      </c>
      <c r="J419" s="1208">
        <v>0</v>
      </c>
      <c r="K419" s="1208">
        <v>0</v>
      </c>
      <c r="L419" s="1099">
        <v>120</v>
      </c>
      <c r="M419" s="1099">
        <v>0</v>
      </c>
      <c r="N419" s="1099">
        <v>0</v>
      </c>
      <c r="O419" s="1099">
        <v>0</v>
      </c>
      <c r="P419" s="1099">
        <v>0</v>
      </c>
      <c r="Q419" s="1208">
        <v>0</v>
      </c>
      <c r="R419" s="1208">
        <v>0</v>
      </c>
      <c r="S419" s="1099">
        <v>80</v>
      </c>
      <c r="T419" s="1099">
        <v>0</v>
      </c>
      <c r="U419" s="1099">
        <v>84</v>
      </c>
      <c r="V419" s="1099">
        <v>0</v>
      </c>
      <c r="W419" s="1099">
        <v>0</v>
      </c>
      <c r="X419" s="1208">
        <v>0</v>
      </c>
      <c r="Y419" s="1208">
        <v>0</v>
      </c>
      <c r="Z419" s="1099">
        <v>240</v>
      </c>
      <c r="AA419" s="1099">
        <v>0</v>
      </c>
      <c r="AB419" s="1099"/>
      <c r="AC419" s="1099"/>
      <c r="AD419" s="1099"/>
      <c r="AE419" s="1208"/>
      <c r="AF419" s="1208"/>
      <c r="AG419" s="1099"/>
      <c r="AH419" s="1099"/>
      <c r="AI419" s="1330"/>
      <c r="AJ419" s="62">
        <f>SUM(E419:AI419)</f>
        <v>644</v>
      </c>
      <c r="AK419" s="62"/>
      <c r="AL419" s="63">
        <f>+AJ419*AN415</f>
        <v>2865.2525999999998</v>
      </c>
      <c r="AM419" s="936"/>
      <c r="AN419" s="301">
        <f>+AJ419/AJ417*100</f>
        <v>0.39655172413793105</v>
      </c>
      <c r="AO419" s="635">
        <f>AO417/AO415</f>
        <v>0.83142500000000008</v>
      </c>
      <c r="AP419" s="39" t="s">
        <v>102</v>
      </c>
      <c r="AQ419" s="56">
        <f>SUM(E419:H419)</f>
        <v>120</v>
      </c>
      <c r="AR419" s="70">
        <f>SUM(I419:O419)</f>
        <v>120</v>
      </c>
      <c r="AS419" s="70">
        <f>SUM(P419:V419)</f>
        <v>164</v>
      </c>
      <c r="AT419" s="70">
        <f>SUM(W419:AC419)</f>
        <v>240</v>
      </c>
      <c r="AU419" s="70">
        <f>SUM(AD419:AI419)</f>
        <v>0</v>
      </c>
      <c r="AV419" s="57">
        <f t="shared" si="941"/>
        <v>644</v>
      </c>
    </row>
    <row r="420" spans="1:48" s="23" customFormat="1" ht="20.65" customHeight="1">
      <c r="A420" s="296" t="s">
        <v>424</v>
      </c>
      <c r="B420" s="334" t="s">
        <v>390</v>
      </c>
      <c r="C420" s="52" t="s">
        <v>95</v>
      </c>
      <c r="D420" s="67" t="s">
        <v>103</v>
      </c>
      <c r="E420" s="1100">
        <v>96</v>
      </c>
      <c r="F420" s="1101">
        <v>144</v>
      </c>
      <c r="G420" s="1209">
        <v>144</v>
      </c>
      <c r="H420" s="1101">
        <v>144</v>
      </c>
      <c r="I420" s="1101">
        <v>168</v>
      </c>
      <c r="J420" s="1209">
        <v>0</v>
      </c>
      <c r="K420" s="1209">
        <v>0</v>
      </c>
      <c r="L420" s="1101">
        <v>108</v>
      </c>
      <c r="M420" s="1101">
        <v>144</v>
      </c>
      <c r="N420" s="1101">
        <v>144</v>
      </c>
      <c r="O420" s="1101">
        <v>144</v>
      </c>
      <c r="P420" s="1101">
        <v>144</v>
      </c>
      <c r="Q420" s="1209">
        <v>0</v>
      </c>
      <c r="R420" s="1209">
        <v>0</v>
      </c>
      <c r="S420" s="1101">
        <v>109</v>
      </c>
      <c r="T420" s="1101">
        <v>144</v>
      </c>
      <c r="U420" s="1101">
        <v>144</v>
      </c>
      <c r="V420" s="1101">
        <v>144</v>
      </c>
      <c r="W420" s="1101">
        <v>144</v>
      </c>
      <c r="X420" s="1209">
        <v>0</v>
      </c>
      <c r="Y420" s="1209">
        <v>0</v>
      </c>
      <c r="Z420" s="1101">
        <v>0</v>
      </c>
      <c r="AA420" s="1101">
        <v>0</v>
      </c>
      <c r="AB420" s="1101"/>
      <c r="AC420" s="1101"/>
      <c r="AD420" s="1101"/>
      <c r="AE420" s="1209"/>
      <c r="AF420" s="1209"/>
      <c r="AG420" s="1101"/>
      <c r="AH420" s="1101"/>
      <c r="AI420" s="1332"/>
      <c r="AJ420" s="68">
        <f>SUM(E420:AI420)</f>
        <v>2065</v>
      </c>
      <c r="AK420" s="68"/>
      <c r="AL420" s="69">
        <f>+AJ420*AN415</f>
        <v>9187.4947499999998</v>
      </c>
      <c r="AM420" s="937"/>
      <c r="AN420" s="277"/>
      <c r="AO420" s="679"/>
      <c r="AP420" s="39" t="s">
        <v>19</v>
      </c>
      <c r="AQ420" s="56">
        <f>AQ419*AN415</f>
        <v>533.89799999999991</v>
      </c>
      <c r="AR420" s="56">
        <f>AR419*AN415</f>
        <v>533.89799999999991</v>
      </c>
      <c r="AS420" s="56">
        <f>AS419*AN415</f>
        <v>729.66059999999993</v>
      </c>
      <c r="AT420" s="56">
        <f>AT419*AN415</f>
        <v>1067.7959999999998</v>
      </c>
      <c r="AU420" s="56">
        <f>AU419*AN415</f>
        <v>0</v>
      </c>
      <c r="AV420" s="57">
        <f t="shared" si="941"/>
        <v>2865.2525999999998</v>
      </c>
    </row>
    <row r="421" spans="1:48" s="23" customFormat="1" ht="20.65" customHeight="1">
      <c r="A421" s="330"/>
      <c r="B421" s="89"/>
      <c r="C421" s="306" t="s">
        <v>387</v>
      </c>
      <c r="D421" s="73" t="s">
        <v>105</v>
      </c>
      <c r="E421" s="1102">
        <v>32</v>
      </c>
      <c r="F421" s="1103">
        <v>80</v>
      </c>
      <c r="G421" s="1210">
        <v>96</v>
      </c>
      <c r="H421" s="1103">
        <v>96</v>
      </c>
      <c r="I421" s="1103">
        <v>80</v>
      </c>
      <c r="J421" s="1210">
        <v>0</v>
      </c>
      <c r="K421" s="1210">
        <v>0</v>
      </c>
      <c r="L421" s="1103">
        <v>56</v>
      </c>
      <c r="M421" s="1103">
        <v>80</v>
      </c>
      <c r="N421" s="1103">
        <v>96</v>
      </c>
      <c r="O421" s="1103">
        <v>96</v>
      </c>
      <c r="P421" s="1103">
        <v>96</v>
      </c>
      <c r="Q421" s="1210">
        <v>0</v>
      </c>
      <c r="R421" s="1210">
        <v>0</v>
      </c>
      <c r="S421" s="1103">
        <v>48</v>
      </c>
      <c r="T421" s="1103">
        <v>80</v>
      </c>
      <c r="U421" s="1103">
        <v>80</v>
      </c>
      <c r="V421" s="1103">
        <v>80</v>
      </c>
      <c r="W421" s="1103">
        <v>80</v>
      </c>
      <c r="X421" s="1210">
        <v>0</v>
      </c>
      <c r="Y421" s="1210">
        <v>0</v>
      </c>
      <c r="Z421" s="1103">
        <v>0</v>
      </c>
      <c r="AA421" s="1103">
        <v>0</v>
      </c>
      <c r="AB421" s="1103"/>
      <c r="AC421" s="1103"/>
      <c r="AD421" s="1103"/>
      <c r="AE421" s="1210"/>
      <c r="AF421" s="1210"/>
      <c r="AG421" s="1103"/>
      <c r="AH421" s="1103"/>
      <c r="AI421" s="1352"/>
      <c r="AJ421" s="74">
        <f>SUM(E421:AI421)</f>
        <v>1176</v>
      </c>
      <c r="AK421" s="74"/>
      <c r="AL421" s="75">
        <f>+AJ421*AN415</f>
        <v>5232.2003999999997</v>
      </c>
      <c r="AM421" s="938"/>
      <c r="AN421" s="91"/>
      <c r="AO421" s="630"/>
      <c r="AP421" s="47" t="s">
        <v>106</v>
      </c>
      <c r="AQ421" s="48">
        <f>AQ417*AN415</f>
        <v>185084.63999999998</v>
      </c>
      <c r="AR421" s="48">
        <f>AR417*AN415</f>
        <v>249152.39999999997</v>
      </c>
      <c r="AS421" s="48">
        <f>AS417*AN415</f>
        <v>240254.09999999998</v>
      </c>
      <c r="AT421" s="48">
        <f>AT417*AN415</f>
        <v>48050.819999999992</v>
      </c>
      <c r="AU421" s="48">
        <f>AU417*AN415</f>
        <v>0</v>
      </c>
      <c r="AV421" s="50">
        <f t="shared" si="941"/>
        <v>722541.95999999985</v>
      </c>
    </row>
    <row r="422" spans="1:48" s="23" customFormat="1" ht="20.65" customHeight="1">
      <c r="A422" s="296" t="s">
        <v>420</v>
      </c>
      <c r="B422" s="89"/>
      <c r="C422" s="307"/>
      <c r="D422" s="78" t="s">
        <v>107</v>
      </c>
      <c r="E422" s="1137">
        <v>4</v>
      </c>
      <c r="F422" s="1097">
        <v>4</v>
      </c>
      <c r="G422" s="1205">
        <v>4</v>
      </c>
      <c r="H422" s="1097">
        <v>4</v>
      </c>
      <c r="I422" s="1097">
        <v>4</v>
      </c>
      <c r="J422" s="1205">
        <v>4</v>
      </c>
      <c r="K422" s="1205">
        <v>4</v>
      </c>
      <c r="L422" s="1097">
        <v>4</v>
      </c>
      <c r="M422" s="1097">
        <v>4</v>
      </c>
      <c r="N422" s="1097">
        <v>4</v>
      </c>
      <c r="O422" s="1097">
        <v>4</v>
      </c>
      <c r="P422" s="1097">
        <v>4</v>
      </c>
      <c r="Q422" s="1205">
        <v>4</v>
      </c>
      <c r="R422" s="1205">
        <v>4</v>
      </c>
      <c r="S422" s="1097">
        <v>4</v>
      </c>
      <c r="T422" s="1097">
        <v>4</v>
      </c>
      <c r="U422" s="1097">
        <v>4</v>
      </c>
      <c r="V422" s="1097">
        <v>4</v>
      </c>
      <c r="W422" s="1097">
        <v>4</v>
      </c>
      <c r="X422" s="1205">
        <v>4</v>
      </c>
      <c r="Y422" s="1205">
        <v>4</v>
      </c>
      <c r="Z422" s="1097">
        <v>4</v>
      </c>
      <c r="AA422" s="1097">
        <v>4</v>
      </c>
      <c r="AB422" s="1097">
        <v>4</v>
      </c>
      <c r="AC422" s="1097">
        <v>4</v>
      </c>
      <c r="AD422" s="1097">
        <v>4</v>
      </c>
      <c r="AE422" s="1205">
        <v>4</v>
      </c>
      <c r="AF422" s="1205">
        <v>4</v>
      </c>
      <c r="AG422" s="1097">
        <v>4</v>
      </c>
      <c r="AH422" s="1097">
        <v>4</v>
      </c>
      <c r="AI422" s="1328">
        <v>4</v>
      </c>
      <c r="AJ422" s="79"/>
      <c r="AK422" s="79"/>
      <c r="AL422" s="692"/>
      <c r="AM422" s="960"/>
      <c r="AN422" s="277"/>
      <c r="AO422" s="679"/>
      <c r="AP422" s="47"/>
      <c r="AQ422" s="48"/>
      <c r="AR422" s="48"/>
      <c r="AS422" s="48"/>
      <c r="AT422" s="48"/>
      <c r="AU422" s="48"/>
      <c r="AV422" s="284"/>
    </row>
    <row r="423" spans="1:48" s="23" customFormat="1" ht="20.65" customHeight="1">
      <c r="A423" s="296" t="s">
        <v>420</v>
      </c>
      <c r="B423" s="89"/>
      <c r="C423" s="305"/>
      <c r="D423" s="81" t="s">
        <v>109</v>
      </c>
      <c r="E423" s="1125">
        <f>SUM(E417+E419+E420+E421)/E422</f>
        <v>1762</v>
      </c>
      <c r="F423" s="1126">
        <f>SUM(F417+F419+F420+F421)/F422</f>
        <v>2856</v>
      </c>
      <c r="G423" s="1235">
        <f t="shared" ref="G423:AH423" si="943">SUM(G417+G419+G420+G421)/G422</f>
        <v>3060</v>
      </c>
      <c r="H423" s="1126">
        <f t="shared" si="943"/>
        <v>2960</v>
      </c>
      <c r="I423" s="1126">
        <f t="shared" si="943"/>
        <v>2962</v>
      </c>
      <c r="J423" s="1235">
        <f t="shared" si="943"/>
        <v>0</v>
      </c>
      <c r="K423" s="1235">
        <f t="shared" si="943"/>
        <v>0</v>
      </c>
      <c r="L423" s="1126">
        <f t="shared" si="943"/>
        <v>2271</v>
      </c>
      <c r="M423" s="1126">
        <f t="shared" si="943"/>
        <v>3056</v>
      </c>
      <c r="N423" s="1126">
        <f t="shared" si="943"/>
        <v>2960</v>
      </c>
      <c r="O423" s="1126">
        <f t="shared" si="943"/>
        <v>3060</v>
      </c>
      <c r="P423" s="1126">
        <f t="shared" si="943"/>
        <v>2960</v>
      </c>
      <c r="Q423" s="1235">
        <f t="shared" si="943"/>
        <v>0</v>
      </c>
      <c r="R423" s="1235">
        <f t="shared" si="943"/>
        <v>0</v>
      </c>
      <c r="S423" s="1126">
        <f t="shared" si="943"/>
        <v>1859.25</v>
      </c>
      <c r="T423" s="1126">
        <f t="shared" si="943"/>
        <v>3056</v>
      </c>
      <c r="U423" s="1126">
        <f t="shared" si="943"/>
        <v>2877</v>
      </c>
      <c r="V423" s="1126">
        <f t="shared" si="943"/>
        <v>3056</v>
      </c>
      <c r="W423" s="1126">
        <f t="shared" si="943"/>
        <v>2756</v>
      </c>
      <c r="X423" s="1235">
        <f t="shared" si="943"/>
        <v>0</v>
      </c>
      <c r="Y423" s="1235">
        <f t="shared" si="943"/>
        <v>0</v>
      </c>
      <c r="Z423" s="1126">
        <f t="shared" si="943"/>
        <v>60</v>
      </c>
      <c r="AA423" s="1126">
        <f t="shared" si="943"/>
        <v>0</v>
      </c>
      <c r="AB423" s="1126">
        <f t="shared" si="943"/>
        <v>0</v>
      </c>
      <c r="AC423" s="1126">
        <f t="shared" si="943"/>
        <v>0</v>
      </c>
      <c r="AD423" s="1126">
        <f t="shared" si="943"/>
        <v>0</v>
      </c>
      <c r="AE423" s="1235">
        <f t="shared" si="943"/>
        <v>0</v>
      </c>
      <c r="AF423" s="1235">
        <f t="shared" si="943"/>
        <v>0</v>
      </c>
      <c r="AG423" s="1126">
        <f t="shared" si="943"/>
        <v>0</v>
      </c>
      <c r="AH423" s="1126">
        <f t="shared" si="943"/>
        <v>0</v>
      </c>
      <c r="AI423" s="1335">
        <f>SUM(AI417+AI419+AI420)/AI422</f>
        <v>0</v>
      </c>
      <c r="AJ423" s="515">
        <f>SUM(E423:AI423)</f>
        <v>41571.25</v>
      </c>
      <c r="AK423" s="515"/>
      <c r="AL423" s="689"/>
      <c r="AM423" s="940"/>
      <c r="AN423" s="277"/>
      <c r="AO423" s="679"/>
      <c r="AP423" s="285"/>
      <c r="AQ423" s="285"/>
      <c r="AR423" s="285"/>
      <c r="AS423" s="285"/>
      <c r="AT423" s="286"/>
      <c r="AU423" s="285"/>
      <c r="AV423" s="287"/>
    </row>
    <row r="424" spans="1:48" s="23" customFormat="1" ht="20.65" customHeight="1">
      <c r="A424" s="296" t="s">
        <v>420</v>
      </c>
      <c r="B424" s="89"/>
      <c r="C424" s="72"/>
      <c r="D424" s="85" t="s">
        <v>110</v>
      </c>
      <c r="E424" s="1105"/>
      <c r="F424" s="1106"/>
      <c r="G424" s="1228"/>
      <c r="H424" s="1104"/>
      <c r="I424" s="1104"/>
      <c r="J424" s="1211"/>
      <c r="K424" s="1211"/>
      <c r="L424" s="1104"/>
      <c r="M424" s="1107"/>
      <c r="N424" s="1104"/>
      <c r="O424" s="1104"/>
      <c r="P424" s="1104"/>
      <c r="Q424" s="1211"/>
      <c r="R424" s="1211"/>
      <c r="S424" s="1104"/>
      <c r="T424" s="1104"/>
      <c r="U424" s="1104"/>
      <c r="V424" s="1104"/>
      <c r="W424" s="1104"/>
      <c r="X424" s="1211" t="s">
        <v>534</v>
      </c>
      <c r="Y424" s="1211"/>
      <c r="Z424" s="1104"/>
      <c r="AA424" s="1104"/>
      <c r="AB424" s="1104"/>
      <c r="AC424" s="1104"/>
      <c r="AD424" s="1104"/>
      <c r="AE424" s="1211"/>
      <c r="AF424" s="1211"/>
      <c r="AG424" s="1104"/>
      <c r="AH424" s="1107"/>
      <c r="AI424" s="1353"/>
      <c r="AJ424" s="86"/>
      <c r="AK424" s="86"/>
      <c r="AL424" s="690"/>
      <c r="AM424" s="940"/>
      <c r="AN424" s="277"/>
      <c r="AO424" s="679"/>
      <c r="AP424" s="285"/>
      <c r="AQ424" s="285"/>
      <c r="AR424" s="285"/>
      <c r="AS424" s="285"/>
      <c r="AT424" s="286"/>
      <c r="AU424" s="285"/>
      <c r="AV424" s="287"/>
    </row>
    <row r="425" spans="1:48" s="23" customFormat="1" ht="20.65" customHeight="1">
      <c r="A425" s="296" t="s">
        <v>420</v>
      </c>
      <c r="B425" s="89" t="s">
        <v>552</v>
      </c>
      <c r="C425" s="72" t="s">
        <v>104</v>
      </c>
      <c r="D425" s="88" t="s">
        <v>111</v>
      </c>
      <c r="E425" s="1108">
        <f>IF(E424="O/H",E423,0+E423)</f>
        <v>1762</v>
      </c>
      <c r="F425" s="1089">
        <f t="shared" ref="F425:AI425" si="944">IF(F424="O/H",F423,+E425+F423)</f>
        <v>4618</v>
      </c>
      <c r="G425" s="44">
        <f t="shared" si="944"/>
        <v>7678</v>
      </c>
      <c r="H425" s="1089">
        <f t="shared" si="944"/>
        <v>10638</v>
      </c>
      <c r="I425" s="1089">
        <f t="shared" si="944"/>
        <v>13600</v>
      </c>
      <c r="J425" s="44">
        <f t="shared" si="944"/>
        <v>13600</v>
      </c>
      <c r="K425" s="44">
        <f t="shared" si="944"/>
        <v>13600</v>
      </c>
      <c r="L425" s="1089">
        <f t="shared" si="944"/>
        <v>15871</v>
      </c>
      <c r="M425" s="1089">
        <f t="shared" si="944"/>
        <v>18927</v>
      </c>
      <c r="N425" s="1089">
        <f t="shared" si="944"/>
        <v>21887</v>
      </c>
      <c r="O425" s="1089">
        <f t="shared" si="944"/>
        <v>24947</v>
      </c>
      <c r="P425" s="1089">
        <f t="shared" si="944"/>
        <v>27907</v>
      </c>
      <c r="Q425" s="44">
        <f t="shared" si="944"/>
        <v>27907</v>
      </c>
      <c r="R425" s="44">
        <f t="shared" si="944"/>
        <v>27907</v>
      </c>
      <c r="S425" s="1089">
        <f t="shared" si="944"/>
        <v>29766.25</v>
      </c>
      <c r="T425" s="1089">
        <f t="shared" si="944"/>
        <v>32822.25</v>
      </c>
      <c r="U425" s="1089">
        <f t="shared" si="944"/>
        <v>35699.25</v>
      </c>
      <c r="V425" s="1089">
        <f t="shared" si="944"/>
        <v>38755.25</v>
      </c>
      <c r="W425" s="1089">
        <f t="shared" si="944"/>
        <v>41511.25</v>
      </c>
      <c r="X425" s="44">
        <f t="shared" si="944"/>
        <v>0</v>
      </c>
      <c r="Y425" s="44">
        <f t="shared" si="944"/>
        <v>0</v>
      </c>
      <c r="Z425" s="1089">
        <f t="shared" si="944"/>
        <v>60</v>
      </c>
      <c r="AA425" s="1089">
        <f t="shared" si="944"/>
        <v>60</v>
      </c>
      <c r="AB425" s="1089">
        <f t="shared" si="944"/>
        <v>60</v>
      </c>
      <c r="AC425" s="1089">
        <f t="shared" si="944"/>
        <v>60</v>
      </c>
      <c r="AD425" s="1089">
        <f t="shared" si="944"/>
        <v>60</v>
      </c>
      <c r="AE425" s="44">
        <f t="shared" si="944"/>
        <v>60</v>
      </c>
      <c r="AF425" s="44">
        <f t="shared" si="944"/>
        <v>60</v>
      </c>
      <c r="AG425" s="1089">
        <f t="shared" si="944"/>
        <v>60</v>
      </c>
      <c r="AH425" s="1089">
        <f t="shared" si="944"/>
        <v>60</v>
      </c>
      <c r="AI425" s="1326">
        <f t="shared" si="944"/>
        <v>60</v>
      </c>
      <c r="AJ425" s="79"/>
      <c r="AK425" s="79"/>
      <c r="AL425" s="690"/>
      <c r="AM425" s="940"/>
      <c r="AN425" s="277"/>
      <c r="AO425" s="679"/>
      <c r="AP425" s="285"/>
      <c r="AQ425" s="285"/>
      <c r="AR425" s="285"/>
      <c r="AS425" s="285"/>
      <c r="AT425" s="286"/>
      <c r="AU425" s="285"/>
      <c r="AV425" s="287"/>
    </row>
    <row r="426" spans="1:48" s="23" customFormat="1" ht="20.65" customHeight="1">
      <c r="A426" s="312"/>
      <c r="B426" s="312"/>
      <c r="C426" s="308">
        <v>300000</v>
      </c>
      <c r="D426" s="795" t="s">
        <v>112</v>
      </c>
      <c r="E426" s="1117">
        <f>IF(AND(ISNUMBER(E417)),1215075+E423)</f>
        <v>1216837</v>
      </c>
      <c r="F426" s="1118">
        <f>IF(AND(ISNUMBER(F417)),E426+F423,"")</f>
        <v>1219693</v>
      </c>
      <c r="G426" s="1216">
        <f t="shared" ref="G426" si="945">IF(AND(ISNUMBER(G417)),F426+G423,"")</f>
        <v>1222753</v>
      </c>
      <c r="H426" s="1118">
        <f t="shared" ref="H426" si="946">IF(AND(ISNUMBER(H417)),G426+H423,"")</f>
        <v>1225713</v>
      </c>
      <c r="I426" s="1118">
        <f>IF(AND(ISNUMBER(I417)),H426+I423,"")</f>
        <v>1228675</v>
      </c>
      <c r="J426" s="1216">
        <f>IF(AND(ISNUMBER(J417)),I426+J423,"")</f>
        <v>1228675</v>
      </c>
      <c r="K426" s="1216">
        <f>IF(AND(ISNUMBER(K417)),J426+K423,"")</f>
        <v>1228675</v>
      </c>
      <c r="L426" s="1118">
        <f t="shared" ref="L426" si="947">IF(AND(ISNUMBER(L417)),K426+L423,"")</f>
        <v>1230946</v>
      </c>
      <c r="M426" s="1118">
        <f t="shared" ref="M426" si="948">IF(AND(ISNUMBER(M417)),L426+M423,"")</f>
        <v>1234002</v>
      </c>
      <c r="N426" s="1118">
        <f t="shared" ref="N426" si="949">IF(AND(ISNUMBER(N417)),M426+N423,"")</f>
        <v>1236962</v>
      </c>
      <c r="O426" s="1118">
        <f t="shared" ref="O426" si="950">IF(AND(ISNUMBER(O417)),N426+O423,"")</f>
        <v>1240022</v>
      </c>
      <c r="P426" s="1118">
        <f t="shared" ref="P426" si="951">IF(AND(ISNUMBER(P417)),O426+P423,"")</f>
        <v>1242982</v>
      </c>
      <c r="Q426" s="1216">
        <f t="shared" ref="Q426" si="952">IF(AND(ISNUMBER(Q417)),P426+Q423,"")</f>
        <v>1242982</v>
      </c>
      <c r="R426" s="1216">
        <f t="shared" ref="R426" si="953">IF(AND(ISNUMBER(R417)),Q426+R423,"")</f>
        <v>1242982</v>
      </c>
      <c r="S426" s="1118">
        <f t="shared" ref="S426" si="954">IF(AND(ISNUMBER(S417)),R426+S423,"")</f>
        <v>1244841.25</v>
      </c>
      <c r="T426" s="1118">
        <f t="shared" ref="T426" si="955">IF(AND(ISNUMBER(T417)),S426+T423,"")</f>
        <v>1247897.25</v>
      </c>
      <c r="U426" s="1118">
        <f t="shared" ref="U426" si="956">IF(AND(ISNUMBER(U417)),T426+U423,"")</f>
        <v>1250774.25</v>
      </c>
      <c r="V426" s="1118">
        <f t="shared" ref="V426" si="957">IF(AND(ISNUMBER(V417)),U426+V423,"")</f>
        <v>1253830.25</v>
      </c>
      <c r="W426" s="1118">
        <f t="shared" ref="W426" si="958">IF(AND(ISNUMBER(W417)),V426+W423,"")</f>
        <v>1256586.25</v>
      </c>
      <c r="X426" s="1216">
        <f t="shared" ref="X426" si="959">IF(AND(ISNUMBER(X417)),W426+X423,"")</f>
        <v>1256586.25</v>
      </c>
      <c r="Y426" s="1216">
        <f t="shared" ref="Y426" si="960">IF(AND(ISNUMBER(Y417)),X426+Y423,"")</f>
        <v>1256586.25</v>
      </c>
      <c r="Z426" s="1118">
        <f t="shared" ref="Z426" si="961">IF(AND(ISNUMBER(Z417)),Y426+Z423,"")</f>
        <v>1256646.25</v>
      </c>
      <c r="AA426" s="1118">
        <f t="shared" ref="AA426" si="962">IF(AND(ISNUMBER(AA417)),Z426+AA423,"")</f>
        <v>1256646.25</v>
      </c>
      <c r="AB426" s="1118" t="str">
        <f t="shared" ref="AB426" si="963">IF(AND(ISNUMBER(AB417)),AA426+AB423,"")</f>
        <v/>
      </c>
      <c r="AC426" s="1118" t="str">
        <f t="shared" ref="AC426" si="964">IF(AND(ISNUMBER(AC417)),AB426+AC423,"")</f>
        <v/>
      </c>
      <c r="AD426" s="1118" t="str">
        <f t="shared" ref="AD426" si="965">IF(AND(ISNUMBER(AD417)),AC426+AD423,"")</f>
        <v/>
      </c>
      <c r="AE426" s="1216" t="str">
        <f t="shared" ref="AE426" si="966">IF(AND(ISNUMBER(AE417)),AD426+AE423,"")</f>
        <v/>
      </c>
      <c r="AF426" s="1216" t="str">
        <f t="shared" ref="AF426" si="967">IF(AND(ISNUMBER(AF417)),AE426+AF423,"")</f>
        <v/>
      </c>
      <c r="AG426" s="1118" t="str">
        <f t="shared" ref="AG426" si="968">IF(AND(ISNUMBER(AG417)),AF426+AG423,"")</f>
        <v/>
      </c>
      <c r="AH426" s="1118" t="str">
        <f t="shared" ref="AH426" si="969">IF(AND(ISNUMBER(AH417)),AG426+AH423,"")</f>
        <v/>
      </c>
      <c r="AI426" s="1118" t="str">
        <f t="shared" ref="AI426" si="970">IF(AND(ISNUMBER(AI417)),AH426+AI423,"")</f>
        <v/>
      </c>
      <c r="AJ426" s="793"/>
      <c r="AK426" s="793"/>
      <c r="AL426" s="909"/>
      <c r="AM426" s="794"/>
      <c r="AN426" s="429"/>
      <c r="AO426" s="675"/>
      <c r="AP426" s="285"/>
      <c r="AQ426" s="285"/>
      <c r="AR426" s="285"/>
      <c r="AS426" s="285"/>
      <c r="AT426" s="286"/>
      <c r="AU426" s="285"/>
      <c r="AV426" s="287"/>
    </row>
    <row r="427" spans="1:48" s="23" customFormat="1" ht="20.65" customHeight="1">
      <c r="A427" s="296"/>
      <c r="B427" s="89"/>
      <c r="C427" s="80" t="s">
        <v>108</v>
      </c>
      <c r="D427" s="90" t="s">
        <v>104</v>
      </c>
      <c r="E427" s="1108"/>
      <c r="F427" s="1089"/>
      <c r="G427" s="44"/>
      <c r="H427" s="1089"/>
      <c r="I427" s="1089"/>
      <c r="J427" s="44"/>
      <c r="K427" s="44"/>
      <c r="L427" s="1089"/>
      <c r="M427" s="1106"/>
      <c r="N427" s="1089"/>
      <c r="O427" s="1089"/>
      <c r="P427" s="1089"/>
      <c r="Q427" s="44"/>
      <c r="R427" s="44"/>
      <c r="S427" s="1089"/>
      <c r="T427" s="1089"/>
      <c r="U427" s="1089"/>
      <c r="V427" s="1089"/>
      <c r="W427" s="1089"/>
      <c r="X427" s="44"/>
      <c r="Y427" s="44"/>
      <c r="Z427" s="1089"/>
      <c r="AA427" s="1089" t="s">
        <v>534</v>
      </c>
      <c r="AB427" s="1089"/>
      <c r="AC427" s="1089"/>
      <c r="AD427" s="1089"/>
      <c r="AE427" s="44"/>
      <c r="AF427" s="44"/>
      <c r="AG427" s="1089"/>
      <c r="AH427" s="1089"/>
      <c r="AI427" s="1326"/>
      <c r="AJ427" s="79"/>
      <c r="AK427" s="79"/>
      <c r="AL427" s="690"/>
      <c r="AM427" s="940"/>
      <c r="AN427" s="277"/>
      <c r="AO427" s="679"/>
      <c r="AP427" s="285"/>
      <c r="AQ427" s="285"/>
      <c r="AR427" s="285"/>
      <c r="AS427" s="285"/>
      <c r="AT427" s="286"/>
      <c r="AU427" s="285"/>
      <c r="AV427" s="287"/>
    </row>
    <row r="428" spans="1:48" s="23" customFormat="1" ht="20.65" customHeight="1" thickBot="1">
      <c r="A428" s="310"/>
      <c r="B428" s="93"/>
      <c r="C428" s="291">
        <f>+C426*0.8</f>
        <v>240000</v>
      </c>
      <c r="D428" s="88" t="s">
        <v>111</v>
      </c>
      <c r="E428" s="1109">
        <f>IF(E427="O/H",E423,517061+E423)</f>
        <v>518823</v>
      </c>
      <c r="F428" s="1110">
        <f t="shared" ref="F428:AI428" si="971">IF(F427="O/H",F423,+E428+F423)</f>
        <v>521679</v>
      </c>
      <c r="G428" s="1212">
        <f t="shared" si="971"/>
        <v>524739</v>
      </c>
      <c r="H428" s="1110">
        <f t="shared" si="971"/>
        <v>527699</v>
      </c>
      <c r="I428" s="1110">
        <f t="shared" si="971"/>
        <v>530661</v>
      </c>
      <c r="J428" s="1212">
        <f t="shared" si="971"/>
        <v>530661</v>
      </c>
      <c r="K428" s="1212">
        <f t="shared" si="971"/>
        <v>530661</v>
      </c>
      <c r="L428" s="1110">
        <f t="shared" si="971"/>
        <v>532932</v>
      </c>
      <c r="M428" s="1110">
        <f t="shared" si="971"/>
        <v>535988</v>
      </c>
      <c r="N428" s="1110">
        <f t="shared" si="971"/>
        <v>538948</v>
      </c>
      <c r="O428" s="1110">
        <f t="shared" si="971"/>
        <v>542008</v>
      </c>
      <c r="P428" s="1110">
        <f t="shared" si="971"/>
        <v>544968</v>
      </c>
      <c r="Q428" s="1212">
        <f t="shared" si="971"/>
        <v>544968</v>
      </c>
      <c r="R428" s="1212">
        <f t="shared" si="971"/>
        <v>544968</v>
      </c>
      <c r="S428" s="1110">
        <f t="shared" si="971"/>
        <v>546827.25</v>
      </c>
      <c r="T428" s="1110">
        <f t="shared" si="971"/>
        <v>549883.25</v>
      </c>
      <c r="U428" s="1110">
        <f t="shared" si="971"/>
        <v>552760.25</v>
      </c>
      <c r="V428" s="1110">
        <f t="shared" si="971"/>
        <v>555816.25</v>
      </c>
      <c r="W428" s="1110">
        <f t="shared" si="971"/>
        <v>558572.25</v>
      </c>
      <c r="X428" s="1212">
        <f t="shared" si="971"/>
        <v>558572.25</v>
      </c>
      <c r="Y428" s="1212">
        <f t="shared" si="971"/>
        <v>558572.25</v>
      </c>
      <c r="Z428" s="1110">
        <f t="shared" si="971"/>
        <v>558632.25</v>
      </c>
      <c r="AA428" s="1110">
        <f t="shared" si="971"/>
        <v>0</v>
      </c>
      <c r="AB428" s="1110">
        <f t="shared" si="971"/>
        <v>0</v>
      </c>
      <c r="AC428" s="1110">
        <f t="shared" si="971"/>
        <v>0</v>
      </c>
      <c r="AD428" s="1110">
        <f t="shared" si="971"/>
        <v>0</v>
      </c>
      <c r="AE428" s="1212">
        <f t="shared" si="971"/>
        <v>0</v>
      </c>
      <c r="AF428" s="1212">
        <f t="shared" si="971"/>
        <v>0</v>
      </c>
      <c r="AG428" s="1110">
        <f t="shared" si="971"/>
        <v>0</v>
      </c>
      <c r="AH428" s="1110">
        <f t="shared" si="971"/>
        <v>0</v>
      </c>
      <c r="AI428" s="1340">
        <f t="shared" si="971"/>
        <v>0</v>
      </c>
      <c r="AJ428" s="96"/>
      <c r="AK428" s="723"/>
      <c r="AL428" s="695"/>
      <c r="AM428" s="961"/>
      <c r="AN428" s="292"/>
      <c r="AO428" s="681"/>
      <c r="AP428" s="285"/>
      <c r="AQ428" s="285"/>
      <c r="AR428" s="285"/>
      <c r="AS428" s="285"/>
      <c r="AT428" s="286"/>
      <c r="AU428" s="285"/>
      <c r="AV428" s="287"/>
    </row>
    <row r="429" spans="1:48" s="23" customFormat="1" ht="20.65" hidden="1" customHeight="1" thickTop="1">
      <c r="A429" s="283" t="s">
        <v>414</v>
      </c>
      <c r="B429" s="219" t="s">
        <v>619</v>
      </c>
      <c r="C429" s="1493" t="str">
        <f>Table2[[#This Row],[M/C No.]]</f>
        <v>H11(50Ton)</v>
      </c>
      <c r="D429" s="28" t="s">
        <v>82</v>
      </c>
      <c r="E429" s="1139"/>
      <c r="F429" s="1139"/>
      <c r="G429" s="1231"/>
      <c r="H429" s="1139"/>
      <c r="I429" s="1139"/>
      <c r="J429" s="1231"/>
      <c r="K429" s="1231"/>
      <c r="L429" s="1139"/>
      <c r="M429" s="1139"/>
      <c r="N429" s="1139"/>
      <c r="O429" s="1139"/>
      <c r="P429" s="1139"/>
      <c r="Q429" s="1231"/>
      <c r="R429" s="1231"/>
      <c r="S429" s="1139"/>
      <c r="T429" s="1139"/>
      <c r="U429" s="1139"/>
      <c r="V429" s="1139"/>
      <c r="W429" s="1139"/>
      <c r="X429" s="1231"/>
      <c r="Y429" s="1231"/>
      <c r="Z429" s="1139"/>
      <c r="AA429" s="1139"/>
      <c r="AB429" s="1139"/>
      <c r="AC429" s="1139"/>
      <c r="AD429" s="1139"/>
      <c r="AE429" s="1231"/>
      <c r="AF429" s="1231"/>
      <c r="AG429" s="1139"/>
      <c r="AH429" s="1139"/>
      <c r="AI429" s="1322"/>
      <c r="AJ429" s="29">
        <f>SUM(E429:AI429)</f>
        <v>0</v>
      </c>
      <c r="AK429" s="1020">
        <f>AJ431</f>
        <v>0</v>
      </c>
      <c r="AL429" s="101">
        <f>+AJ429*AN429</f>
        <v>0</v>
      </c>
      <c r="AM429" s="1019">
        <f>AL431</f>
        <v>0</v>
      </c>
      <c r="AN429" s="293">
        <v>5.8483900000000002</v>
      </c>
      <c r="AO429" s="633">
        <f>Table2[[#This Row],[Total]]*B433/1000</f>
        <v>0</v>
      </c>
      <c r="AP429" s="32" t="s">
        <v>412</v>
      </c>
      <c r="AQ429" s="33" t="s">
        <v>84</v>
      </c>
      <c r="AR429" s="33" t="s">
        <v>85</v>
      </c>
      <c r="AS429" s="33" t="s">
        <v>86</v>
      </c>
      <c r="AT429" s="33" t="s">
        <v>87</v>
      </c>
      <c r="AU429" s="33" t="s">
        <v>88</v>
      </c>
      <c r="AV429" s="34" t="s">
        <v>68</v>
      </c>
    </row>
    <row r="430" spans="1:48" s="23" customFormat="1" ht="20.65" hidden="1" customHeight="1">
      <c r="A430" s="274"/>
      <c r="B430" s="219" t="s">
        <v>396</v>
      </c>
      <c r="C430" s="275"/>
      <c r="D430" s="37" t="s">
        <v>90</v>
      </c>
      <c r="E430" s="1323">
        <f>IF(E429="",0,+ E429/E436)</f>
        <v>0</v>
      </c>
      <c r="F430" s="1096">
        <f t="shared" ref="F430:AC430" si="972">IF(F429="",0, E430+F429/F436)</f>
        <v>0</v>
      </c>
      <c r="G430" s="1207">
        <f t="shared" si="972"/>
        <v>0</v>
      </c>
      <c r="H430" s="1096">
        <f t="shared" si="972"/>
        <v>0</v>
      </c>
      <c r="I430" s="1096">
        <f t="shared" si="972"/>
        <v>0</v>
      </c>
      <c r="J430" s="1207">
        <f t="shared" si="972"/>
        <v>0</v>
      </c>
      <c r="K430" s="1207">
        <f t="shared" si="972"/>
        <v>0</v>
      </c>
      <c r="L430" s="1096">
        <f t="shared" si="972"/>
        <v>0</v>
      </c>
      <c r="M430" s="1096">
        <f t="shared" si="972"/>
        <v>0</v>
      </c>
      <c r="N430" s="1096">
        <f t="shared" si="972"/>
        <v>0</v>
      </c>
      <c r="O430" s="1096">
        <f t="shared" si="972"/>
        <v>0</v>
      </c>
      <c r="P430" s="1096">
        <f t="shared" si="972"/>
        <v>0</v>
      </c>
      <c r="Q430" s="1207">
        <f t="shared" si="972"/>
        <v>0</v>
      </c>
      <c r="R430" s="1207">
        <f t="shared" si="972"/>
        <v>0</v>
      </c>
      <c r="S430" s="1096">
        <f t="shared" si="972"/>
        <v>0</v>
      </c>
      <c r="T430" s="1096">
        <f t="shared" si="972"/>
        <v>0</v>
      </c>
      <c r="U430" s="1096">
        <f t="shared" si="972"/>
        <v>0</v>
      </c>
      <c r="V430" s="1096">
        <f t="shared" si="972"/>
        <v>0</v>
      </c>
      <c r="W430" s="1096">
        <f t="shared" si="972"/>
        <v>0</v>
      </c>
      <c r="X430" s="1207">
        <f t="shared" si="972"/>
        <v>0</v>
      </c>
      <c r="Y430" s="1207">
        <f t="shared" si="972"/>
        <v>0</v>
      </c>
      <c r="Z430" s="1096">
        <f t="shared" si="972"/>
        <v>0</v>
      </c>
      <c r="AA430" s="1096">
        <f t="shared" si="972"/>
        <v>0</v>
      </c>
      <c r="AB430" s="1096">
        <f t="shared" si="972"/>
        <v>0</v>
      </c>
      <c r="AC430" s="1096">
        <f t="shared" si="972"/>
        <v>0</v>
      </c>
      <c r="AD430" s="1096">
        <f>IF(AD429="",0, Z430+AD429/AD436)</f>
        <v>0</v>
      </c>
      <c r="AE430" s="1207">
        <f>IF(AE429="",0, AA430+AE429/AE436)</f>
        <v>0</v>
      </c>
      <c r="AF430" s="1207">
        <f>IF(AF429="",0, AB430+AF429/AF436)</f>
        <v>0</v>
      </c>
      <c r="AG430" s="1096">
        <f>IF(AG429="",0, AC430+AG429/AG436)</f>
        <v>0</v>
      </c>
      <c r="AH430" s="1096">
        <f>IF(AH429="",0, AD430+AH429/AH436)</f>
        <v>0</v>
      </c>
      <c r="AI430" s="1324">
        <f>IF(AI429="",0, AH430+AI429/AI436)</f>
        <v>0</v>
      </c>
      <c r="AJ430" s="716"/>
      <c r="AK430" s="716"/>
      <c r="AL430" s="209"/>
      <c r="AM430" s="794"/>
      <c r="AN430" s="91"/>
      <c r="AO430" s="675"/>
      <c r="AP430" s="39" t="s">
        <v>91</v>
      </c>
      <c r="AQ430" s="40">
        <f>SUM(E429:K429)</f>
        <v>0</v>
      </c>
      <c r="AR430" s="41">
        <f>SUM(L429:R429)</f>
        <v>0</v>
      </c>
      <c r="AS430" s="41">
        <f>SUM(S429:Y429)</f>
        <v>0</v>
      </c>
      <c r="AT430" s="41">
        <f>SUM(Z429:AF429)</f>
        <v>0</v>
      </c>
      <c r="AU430" s="41">
        <f>SUM(AG429:AI429)</f>
        <v>0</v>
      </c>
      <c r="AV430" s="34">
        <f t="shared" ref="AV430:AV435" si="973">SUM(AQ430:AU430)</f>
        <v>0</v>
      </c>
    </row>
    <row r="431" spans="1:48" s="23" customFormat="1" ht="20.65" hidden="1" customHeight="1">
      <c r="A431" s="276" t="s">
        <v>413</v>
      </c>
      <c r="B431" s="89" t="s">
        <v>246</v>
      </c>
      <c r="C431" s="42"/>
      <c r="D431" s="43" t="s">
        <v>93</v>
      </c>
      <c r="E431" s="1108"/>
      <c r="F431" s="1089"/>
      <c r="G431" s="44"/>
      <c r="H431" s="1089"/>
      <c r="I431" s="1089"/>
      <c r="J431" s="44"/>
      <c r="K431" s="44"/>
      <c r="L431" s="1089"/>
      <c r="M431" s="1089"/>
      <c r="N431" s="1089"/>
      <c r="O431" s="1089"/>
      <c r="P431" s="1089"/>
      <c r="Q431" s="44"/>
      <c r="R431" s="44"/>
      <c r="S431" s="1089"/>
      <c r="T431" s="1089"/>
      <c r="U431" s="1089"/>
      <c r="V431" s="1089"/>
      <c r="W431" s="1089"/>
      <c r="X431" s="44"/>
      <c r="Y431" s="44"/>
      <c r="Z431" s="1089"/>
      <c r="AA431" s="1089"/>
      <c r="AB431" s="1089"/>
      <c r="AC431" s="1089"/>
      <c r="AD431" s="1089"/>
      <c r="AE431" s="44"/>
      <c r="AF431" s="44"/>
      <c r="AG431" s="1089"/>
      <c r="AH431" s="1089"/>
      <c r="AI431" s="1326"/>
      <c r="AJ431" s="45">
        <f>SUM(E431:AI431)</f>
        <v>0</v>
      </c>
      <c r="AK431" s="45"/>
      <c r="AL431" s="46">
        <f>+AJ431*AN429</f>
        <v>0</v>
      </c>
      <c r="AM431" s="934"/>
      <c r="AN431" s="277"/>
      <c r="AO431" s="632">
        <f>(AJ431+AJ433+AJ434+AJ435)*B433/1000</f>
        <v>0</v>
      </c>
      <c r="AP431" s="47" t="s">
        <v>94</v>
      </c>
      <c r="AQ431" s="48">
        <f>SUM(E431:K431)</f>
        <v>0</v>
      </c>
      <c r="AR431" s="49">
        <f>SUM(L431:R431)</f>
        <v>0</v>
      </c>
      <c r="AS431" s="49">
        <f>SUM(S431:Y431)</f>
        <v>0</v>
      </c>
      <c r="AT431" s="49">
        <f>SUM(Z431:AF431)</f>
        <v>0</v>
      </c>
      <c r="AU431" s="49">
        <f>SUM(AG431:AI431)</f>
        <v>0</v>
      </c>
      <c r="AV431" s="50">
        <f t="shared" si="973"/>
        <v>0</v>
      </c>
    </row>
    <row r="432" spans="1:48" s="23" customFormat="1" ht="20.65" hidden="1" customHeight="1">
      <c r="A432" s="276" t="s">
        <v>413</v>
      </c>
      <c r="B432" s="211" t="s">
        <v>247</v>
      </c>
      <c r="C432" s="280"/>
      <c r="D432" s="53" t="s">
        <v>96</v>
      </c>
      <c r="E432" s="1137">
        <f t="shared" ref="E432:AJ432" si="974">+E431-E429</f>
        <v>0</v>
      </c>
      <c r="F432" s="1097">
        <f t="shared" si="974"/>
        <v>0</v>
      </c>
      <c r="G432" s="1205">
        <f t="shared" si="974"/>
        <v>0</v>
      </c>
      <c r="H432" s="1097">
        <f t="shared" si="974"/>
        <v>0</v>
      </c>
      <c r="I432" s="1097">
        <f t="shared" si="974"/>
        <v>0</v>
      </c>
      <c r="J432" s="1205">
        <f t="shared" si="974"/>
        <v>0</v>
      </c>
      <c r="K432" s="1205">
        <f t="shared" si="974"/>
        <v>0</v>
      </c>
      <c r="L432" s="1097">
        <f t="shared" si="974"/>
        <v>0</v>
      </c>
      <c r="M432" s="1097">
        <f t="shared" si="974"/>
        <v>0</v>
      </c>
      <c r="N432" s="1097">
        <f t="shared" si="974"/>
        <v>0</v>
      </c>
      <c r="O432" s="1097">
        <f t="shared" si="974"/>
        <v>0</v>
      </c>
      <c r="P432" s="1097">
        <f t="shared" si="974"/>
        <v>0</v>
      </c>
      <c r="Q432" s="1205">
        <f t="shared" si="974"/>
        <v>0</v>
      </c>
      <c r="R432" s="1205">
        <f t="shared" si="974"/>
        <v>0</v>
      </c>
      <c r="S432" s="1097">
        <f t="shared" si="974"/>
        <v>0</v>
      </c>
      <c r="T432" s="1097">
        <f t="shared" si="974"/>
        <v>0</v>
      </c>
      <c r="U432" s="1097">
        <f t="shared" si="974"/>
        <v>0</v>
      </c>
      <c r="V432" s="1097">
        <f t="shared" si="974"/>
        <v>0</v>
      </c>
      <c r="W432" s="1097">
        <f t="shared" si="974"/>
        <v>0</v>
      </c>
      <c r="X432" s="1205">
        <f t="shared" si="974"/>
        <v>0</v>
      </c>
      <c r="Y432" s="1205">
        <f t="shared" si="974"/>
        <v>0</v>
      </c>
      <c r="Z432" s="1097">
        <f t="shared" si="974"/>
        <v>0</v>
      </c>
      <c r="AA432" s="1097">
        <f t="shared" si="974"/>
        <v>0</v>
      </c>
      <c r="AB432" s="1097">
        <f t="shared" si="974"/>
        <v>0</v>
      </c>
      <c r="AC432" s="1097">
        <f t="shared" si="974"/>
        <v>0</v>
      </c>
      <c r="AD432" s="1097">
        <f t="shared" si="974"/>
        <v>0</v>
      </c>
      <c r="AE432" s="1205">
        <f t="shared" si="974"/>
        <v>0</v>
      </c>
      <c r="AF432" s="1205">
        <f t="shared" si="974"/>
        <v>0</v>
      </c>
      <c r="AG432" s="1097">
        <f t="shared" si="974"/>
        <v>0</v>
      </c>
      <c r="AH432" s="1097">
        <f t="shared" si="974"/>
        <v>0</v>
      </c>
      <c r="AI432" s="1328">
        <f t="shared" si="974"/>
        <v>0</v>
      </c>
      <c r="AJ432" s="79">
        <f t="shared" si="974"/>
        <v>0</v>
      </c>
      <c r="AK432" s="79"/>
      <c r="AL432" s="55">
        <f>+AJ432*AN429</f>
        <v>0</v>
      </c>
      <c r="AM432" s="935"/>
      <c r="AN432" s="277" t="s">
        <v>97</v>
      </c>
      <c r="AO432" s="622"/>
      <c r="AP432" s="39" t="s">
        <v>98</v>
      </c>
      <c r="AQ432" s="56">
        <f>AQ431-AQ430</f>
        <v>0</v>
      </c>
      <c r="AR432" s="70">
        <f>AR431-AR430</f>
        <v>0</v>
      </c>
      <c r="AS432" s="70">
        <f>AS431-AS430</f>
        <v>0</v>
      </c>
      <c r="AT432" s="70">
        <f>AT431-AT430</f>
        <v>0</v>
      </c>
      <c r="AU432" s="70">
        <f>AU431-AU430</f>
        <v>0</v>
      </c>
      <c r="AV432" s="57">
        <f t="shared" si="973"/>
        <v>0</v>
      </c>
    </row>
    <row r="433" spans="1:48" s="23" customFormat="1" ht="20.65" hidden="1" customHeight="1">
      <c r="A433" s="276" t="s">
        <v>413</v>
      </c>
      <c r="B433" s="658">
        <v>2.9820000000000002</v>
      </c>
      <c r="C433" s="305"/>
      <c r="D433" s="61" t="s">
        <v>101</v>
      </c>
      <c r="E433" s="1098"/>
      <c r="F433" s="1099"/>
      <c r="G433" s="1208"/>
      <c r="H433" s="1099"/>
      <c r="I433" s="1099"/>
      <c r="J433" s="1208"/>
      <c r="K433" s="1208"/>
      <c r="L433" s="1099"/>
      <c r="M433" s="1099"/>
      <c r="N433" s="1099"/>
      <c r="O433" s="1099"/>
      <c r="P433" s="1099"/>
      <c r="Q433" s="1208"/>
      <c r="R433" s="1208"/>
      <c r="S433" s="1099"/>
      <c r="T433" s="1099"/>
      <c r="U433" s="1099"/>
      <c r="V433" s="1099"/>
      <c r="W433" s="1099"/>
      <c r="X433" s="1208"/>
      <c r="Y433" s="1208"/>
      <c r="Z433" s="1099"/>
      <c r="AA433" s="1099"/>
      <c r="AB433" s="1099"/>
      <c r="AC433" s="1099"/>
      <c r="AD433" s="1099"/>
      <c r="AE433" s="1208"/>
      <c r="AF433" s="1208"/>
      <c r="AG433" s="1099"/>
      <c r="AH433" s="1099"/>
      <c r="AI433" s="1330"/>
      <c r="AJ433" s="62">
        <f>SUM(E433:AI433)</f>
        <v>0</v>
      </c>
      <c r="AK433" s="62"/>
      <c r="AL433" s="63">
        <f>+AJ433*AN429</f>
        <v>0</v>
      </c>
      <c r="AM433" s="936"/>
      <c r="AN433" s="301" t="e">
        <f>+AJ433/AJ431*100</f>
        <v>#DIV/0!</v>
      </c>
      <c r="AO433" s="635" t="e">
        <f>AO431/AO429</f>
        <v>#DIV/0!</v>
      </c>
      <c r="AP433" s="39" t="s">
        <v>102</v>
      </c>
      <c r="AQ433" s="56">
        <f>SUM(E433:K433)</f>
        <v>0</v>
      </c>
      <c r="AR433" s="70">
        <f>SUM(L433:R433)</f>
        <v>0</v>
      </c>
      <c r="AS433" s="70">
        <f>SUM(S433:Y433)</f>
        <v>0</v>
      </c>
      <c r="AT433" s="70">
        <f>SUM(Z433:AF433)</f>
        <v>0</v>
      </c>
      <c r="AU433" s="70">
        <f>SUM(AG433:AI433)</f>
        <v>0</v>
      </c>
      <c r="AV433" s="57">
        <f t="shared" si="973"/>
        <v>0</v>
      </c>
    </row>
    <row r="434" spans="1:48" s="23" customFormat="1" ht="20.65" hidden="1" customHeight="1">
      <c r="A434" s="276" t="s">
        <v>413</v>
      </c>
      <c r="B434" s="89"/>
      <c r="C434" s="52" t="s">
        <v>95</v>
      </c>
      <c r="D434" s="67" t="s">
        <v>103</v>
      </c>
      <c r="E434" s="1100"/>
      <c r="F434" s="1101"/>
      <c r="G434" s="1209"/>
      <c r="H434" s="1101"/>
      <c r="I434" s="1101"/>
      <c r="J434" s="1209"/>
      <c r="K434" s="1209"/>
      <c r="L434" s="1101"/>
      <c r="M434" s="1101"/>
      <c r="N434" s="1101"/>
      <c r="O434" s="1101"/>
      <c r="P434" s="1101"/>
      <c r="Q434" s="1209"/>
      <c r="R434" s="1209"/>
      <c r="S434" s="1101"/>
      <c r="T434" s="1101"/>
      <c r="U434" s="1101"/>
      <c r="V434" s="1101"/>
      <c r="W434" s="1101"/>
      <c r="X434" s="1209"/>
      <c r="Y434" s="1209"/>
      <c r="Z434" s="1101"/>
      <c r="AA434" s="1101"/>
      <c r="AB434" s="1101"/>
      <c r="AC434" s="1101"/>
      <c r="AD434" s="1101"/>
      <c r="AE434" s="1209"/>
      <c r="AF434" s="1209"/>
      <c r="AG434" s="1101"/>
      <c r="AH434" s="1101"/>
      <c r="AI434" s="1332"/>
      <c r="AJ434" s="68">
        <f>SUM(E434:AI434)</f>
        <v>0</v>
      </c>
      <c r="AK434" s="68"/>
      <c r="AL434" s="69">
        <f>+AJ434*AN429</f>
        <v>0</v>
      </c>
      <c r="AM434" s="937"/>
      <c r="AN434" s="277"/>
      <c r="AO434" s="679"/>
      <c r="AP434" s="39" t="s">
        <v>19</v>
      </c>
      <c r="AQ434" s="56">
        <f>AQ433*AN429</f>
        <v>0</v>
      </c>
      <c r="AR434" s="56">
        <f>AR433*AN429</f>
        <v>0</v>
      </c>
      <c r="AS434" s="56">
        <f>AS433*AN429</f>
        <v>0</v>
      </c>
      <c r="AT434" s="56">
        <f>AT433*AN429</f>
        <v>0</v>
      </c>
      <c r="AU434" s="56">
        <f>AU433*AN429</f>
        <v>0</v>
      </c>
      <c r="AV434" s="57">
        <f t="shared" si="973"/>
        <v>0</v>
      </c>
    </row>
    <row r="435" spans="1:48" s="23" customFormat="1" ht="20.65" hidden="1" customHeight="1">
      <c r="A435" s="329" t="s">
        <v>414</v>
      </c>
      <c r="B435" s="89"/>
      <c r="C435" s="306" t="s">
        <v>387</v>
      </c>
      <c r="D435" s="73" t="s">
        <v>105</v>
      </c>
      <c r="E435" s="1102"/>
      <c r="F435" s="1103"/>
      <c r="G435" s="1210"/>
      <c r="H435" s="1103"/>
      <c r="I435" s="1103"/>
      <c r="J435" s="1210"/>
      <c r="K435" s="1210"/>
      <c r="L435" s="1103"/>
      <c r="M435" s="1103"/>
      <c r="N435" s="1103"/>
      <c r="O435" s="1103"/>
      <c r="P435" s="1103"/>
      <c r="Q435" s="1210"/>
      <c r="R435" s="1210"/>
      <c r="S435" s="1103"/>
      <c r="T435" s="1103"/>
      <c r="U435" s="1103"/>
      <c r="V435" s="1103"/>
      <c r="W435" s="1103"/>
      <c r="X435" s="1210"/>
      <c r="Y435" s="1210"/>
      <c r="Z435" s="1103"/>
      <c r="AA435" s="1103"/>
      <c r="AB435" s="1103"/>
      <c r="AC435" s="1103"/>
      <c r="AD435" s="1103"/>
      <c r="AE435" s="1210"/>
      <c r="AF435" s="1210"/>
      <c r="AG435" s="1103"/>
      <c r="AH435" s="1103"/>
      <c r="AI435" s="1352"/>
      <c r="AJ435" s="74">
        <f>SUM(E435:AI435)</f>
        <v>0</v>
      </c>
      <c r="AK435" s="74"/>
      <c r="AL435" s="75">
        <f>+AJ435*AN429</f>
        <v>0</v>
      </c>
      <c r="AM435" s="938"/>
      <c r="AN435" s="91"/>
      <c r="AO435" s="630"/>
      <c r="AP435" s="47" t="s">
        <v>106</v>
      </c>
      <c r="AQ435" s="48">
        <f>AQ431*AN429</f>
        <v>0</v>
      </c>
      <c r="AR435" s="48">
        <f>AR431*AN429</f>
        <v>0</v>
      </c>
      <c r="AS435" s="48">
        <f>AS431*AN429</f>
        <v>0</v>
      </c>
      <c r="AT435" s="48">
        <f>AT431*AN429</f>
        <v>0</v>
      </c>
      <c r="AU435" s="48">
        <f>AU431*AN429</f>
        <v>0</v>
      </c>
      <c r="AV435" s="50">
        <f t="shared" si="973"/>
        <v>0</v>
      </c>
    </row>
    <row r="436" spans="1:48" s="23" customFormat="1" ht="20.65" hidden="1" customHeight="1">
      <c r="A436" s="276" t="s">
        <v>413</v>
      </c>
      <c r="B436" s="89"/>
      <c r="C436" s="307"/>
      <c r="D436" s="78" t="s">
        <v>107</v>
      </c>
      <c r="E436" s="1137">
        <v>4</v>
      </c>
      <c r="F436" s="1097">
        <v>4</v>
      </c>
      <c r="G436" s="1205">
        <v>4</v>
      </c>
      <c r="H436" s="1097">
        <v>4</v>
      </c>
      <c r="I436" s="1097">
        <v>4</v>
      </c>
      <c r="J436" s="1205">
        <v>4</v>
      </c>
      <c r="K436" s="1205">
        <v>4</v>
      </c>
      <c r="L436" s="1097">
        <v>4</v>
      </c>
      <c r="M436" s="1097">
        <v>4</v>
      </c>
      <c r="N436" s="1097">
        <v>4</v>
      </c>
      <c r="O436" s="1097">
        <v>4</v>
      </c>
      <c r="P436" s="1097">
        <v>4</v>
      </c>
      <c r="Q436" s="1205">
        <v>4</v>
      </c>
      <c r="R436" s="1205">
        <v>4</v>
      </c>
      <c r="S436" s="1097">
        <v>4</v>
      </c>
      <c r="T436" s="1097">
        <v>4</v>
      </c>
      <c r="U436" s="1097">
        <v>4</v>
      </c>
      <c r="V436" s="1097">
        <v>4</v>
      </c>
      <c r="W436" s="1097">
        <v>4</v>
      </c>
      <c r="X436" s="1205">
        <v>4</v>
      </c>
      <c r="Y436" s="1205">
        <v>4</v>
      </c>
      <c r="Z436" s="1097">
        <v>4</v>
      </c>
      <c r="AA436" s="1097">
        <v>4</v>
      </c>
      <c r="AB436" s="1097">
        <v>4</v>
      </c>
      <c r="AC436" s="1097">
        <v>4</v>
      </c>
      <c r="AD436" s="1097">
        <v>4</v>
      </c>
      <c r="AE436" s="1205">
        <v>4</v>
      </c>
      <c r="AF436" s="1205">
        <v>4</v>
      </c>
      <c r="AG436" s="1097">
        <v>4</v>
      </c>
      <c r="AH436" s="1097">
        <v>4</v>
      </c>
      <c r="AI436" s="1328">
        <v>4</v>
      </c>
      <c r="AJ436" s="79"/>
      <c r="AK436" s="79"/>
      <c r="AL436" s="692"/>
      <c r="AM436" s="960"/>
      <c r="AN436" s="277"/>
      <c r="AO436" s="679"/>
      <c r="AP436" s="47"/>
      <c r="AQ436" s="48"/>
      <c r="AR436" s="48"/>
      <c r="AS436" s="48"/>
      <c r="AT436" s="48"/>
      <c r="AU436" s="48"/>
      <c r="AV436" s="284"/>
    </row>
    <row r="437" spans="1:48" s="23" customFormat="1" ht="20.65" hidden="1" customHeight="1">
      <c r="A437" s="276" t="s">
        <v>413</v>
      </c>
      <c r="B437" s="89"/>
      <c r="C437" s="305"/>
      <c r="D437" s="81" t="s">
        <v>109</v>
      </c>
      <c r="E437" s="1125">
        <f>SUM(E431+E433+E434+E435)/E436</f>
        <v>0</v>
      </c>
      <c r="F437" s="1126">
        <f>SUM(F431+F433+F434+F435)/F436</f>
        <v>0</v>
      </c>
      <c r="G437" s="1235">
        <f t="shared" ref="G437:AH437" si="975">SUM(G431+G433+G434+G435)/G436</f>
        <v>0</v>
      </c>
      <c r="H437" s="1126">
        <f t="shared" si="975"/>
        <v>0</v>
      </c>
      <c r="I437" s="1126">
        <f t="shared" si="975"/>
        <v>0</v>
      </c>
      <c r="J437" s="1235">
        <f t="shared" si="975"/>
        <v>0</v>
      </c>
      <c r="K437" s="1235">
        <f t="shared" si="975"/>
        <v>0</v>
      </c>
      <c r="L437" s="1126">
        <f t="shared" si="975"/>
        <v>0</v>
      </c>
      <c r="M437" s="1126">
        <f t="shared" si="975"/>
        <v>0</v>
      </c>
      <c r="N437" s="1126">
        <f t="shared" si="975"/>
        <v>0</v>
      </c>
      <c r="O437" s="1126">
        <f t="shared" si="975"/>
        <v>0</v>
      </c>
      <c r="P437" s="1126">
        <f t="shared" si="975"/>
        <v>0</v>
      </c>
      <c r="Q437" s="1235">
        <f t="shared" si="975"/>
        <v>0</v>
      </c>
      <c r="R437" s="1235">
        <f t="shared" si="975"/>
        <v>0</v>
      </c>
      <c r="S437" s="1126">
        <f t="shared" si="975"/>
        <v>0</v>
      </c>
      <c r="T437" s="1126">
        <f t="shared" si="975"/>
        <v>0</v>
      </c>
      <c r="U437" s="1126">
        <f t="shared" si="975"/>
        <v>0</v>
      </c>
      <c r="V437" s="1126">
        <f t="shared" si="975"/>
        <v>0</v>
      </c>
      <c r="W437" s="1126">
        <f t="shared" si="975"/>
        <v>0</v>
      </c>
      <c r="X437" s="1235">
        <f t="shared" si="975"/>
        <v>0</v>
      </c>
      <c r="Y437" s="1235">
        <f t="shared" si="975"/>
        <v>0</v>
      </c>
      <c r="Z437" s="1126">
        <f t="shared" si="975"/>
        <v>0</v>
      </c>
      <c r="AA437" s="1126">
        <f t="shared" si="975"/>
        <v>0</v>
      </c>
      <c r="AB437" s="1126">
        <f t="shared" si="975"/>
        <v>0</v>
      </c>
      <c r="AC437" s="1126">
        <f t="shared" si="975"/>
        <v>0</v>
      </c>
      <c r="AD437" s="1126">
        <f t="shared" si="975"/>
        <v>0</v>
      </c>
      <c r="AE437" s="1235">
        <f t="shared" si="975"/>
        <v>0</v>
      </c>
      <c r="AF437" s="1235">
        <f t="shared" si="975"/>
        <v>0</v>
      </c>
      <c r="AG437" s="1126">
        <f t="shared" si="975"/>
        <v>0</v>
      </c>
      <c r="AH437" s="1126">
        <f t="shared" si="975"/>
        <v>0</v>
      </c>
      <c r="AI437" s="1335">
        <f>SUM(AI431+AI433+AI434)/AI436</f>
        <v>0</v>
      </c>
      <c r="AJ437" s="515">
        <f>SUM(E437:AI437)</f>
        <v>0</v>
      </c>
      <c r="AK437" s="515"/>
      <c r="AL437" s="689"/>
      <c r="AM437" s="940"/>
      <c r="AN437" s="277"/>
      <c r="AO437" s="679"/>
      <c r="AP437" s="285"/>
      <c r="AQ437" s="285"/>
      <c r="AR437" s="285"/>
      <c r="AS437" s="285"/>
      <c r="AT437" s="286"/>
      <c r="AU437" s="285"/>
      <c r="AV437" s="287"/>
    </row>
    <row r="438" spans="1:48" s="23" customFormat="1" ht="20.65" hidden="1" customHeight="1">
      <c r="A438" s="276" t="s">
        <v>413</v>
      </c>
      <c r="B438" s="89"/>
      <c r="C438" s="72"/>
      <c r="D438" s="85" t="s">
        <v>110</v>
      </c>
      <c r="E438" s="1105"/>
      <c r="F438" s="1106"/>
      <c r="G438" s="1211"/>
      <c r="H438" s="1104"/>
      <c r="I438" s="1104"/>
      <c r="J438" s="1211"/>
      <c r="K438" s="1211"/>
      <c r="L438" s="1104"/>
      <c r="M438" s="1104"/>
      <c r="N438" s="1104"/>
      <c r="O438" s="1104"/>
      <c r="P438" s="1104"/>
      <c r="Q438" s="1211"/>
      <c r="R438" s="1211"/>
      <c r="S438" s="1104"/>
      <c r="T438" s="1104"/>
      <c r="U438" s="1104"/>
      <c r="V438" s="1104"/>
      <c r="W438" s="1104"/>
      <c r="X438" s="1211"/>
      <c r="Y438" s="1211"/>
      <c r="Z438" s="1104"/>
      <c r="AA438" s="1104"/>
      <c r="AB438" s="1104"/>
      <c r="AC438" s="1104"/>
      <c r="AD438" s="1104"/>
      <c r="AE438" s="1211"/>
      <c r="AF438" s="1211"/>
      <c r="AG438" s="1104"/>
      <c r="AH438" s="1104"/>
      <c r="AI438" s="1353"/>
      <c r="AJ438" s="86"/>
      <c r="AK438" s="86"/>
      <c r="AL438" s="690"/>
      <c r="AM438" s="940"/>
      <c r="AN438" s="277"/>
      <c r="AO438" s="679"/>
      <c r="AP438" s="285"/>
      <c r="AQ438" s="285"/>
      <c r="AR438" s="285"/>
      <c r="AS438" s="285"/>
      <c r="AT438" s="286"/>
      <c r="AU438" s="285"/>
      <c r="AV438" s="287"/>
    </row>
    <row r="439" spans="1:48" s="23" customFormat="1" ht="20.65" hidden="1" customHeight="1">
      <c r="A439" s="276" t="s">
        <v>413</v>
      </c>
      <c r="B439" s="89"/>
      <c r="C439" s="72" t="s">
        <v>104</v>
      </c>
      <c r="D439" s="88" t="s">
        <v>111</v>
      </c>
      <c r="E439" s="1108">
        <f>IF(E438="O/H",E437,0+E437)</f>
        <v>0</v>
      </c>
      <c r="F439" s="1089">
        <f t="shared" ref="F439:AI439" si="976">IF(F438="O/H",F437,+E439+F437)</f>
        <v>0</v>
      </c>
      <c r="G439" s="44">
        <f t="shared" si="976"/>
        <v>0</v>
      </c>
      <c r="H439" s="1089">
        <f t="shared" si="976"/>
        <v>0</v>
      </c>
      <c r="I439" s="1089">
        <f t="shared" si="976"/>
        <v>0</v>
      </c>
      <c r="J439" s="44">
        <f t="shared" si="976"/>
        <v>0</v>
      </c>
      <c r="K439" s="44">
        <f t="shared" si="976"/>
        <v>0</v>
      </c>
      <c r="L439" s="1089">
        <f t="shared" si="976"/>
        <v>0</v>
      </c>
      <c r="M439" s="1089">
        <f t="shared" si="976"/>
        <v>0</v>
      </c>
      <c r="N439" s="1089">
        <f t="shared" si="976"/>
        <v>0</v>
      </c>
      <c r="O439" s="1089">
        <f t="shared" si="976"/>
        <v>0</v>
      </c>
      <c r="P439" s="1089">
        <f t="shared" si="976"/>
        <v>0</v>
      </c>
      <c r="Q439" s="44">
        <f t="shared" si="976"/>
        <v>0</v>
      </c>
      <c r="R439" s="44">
        <f t="shared" si="976"/>
        <v>0</v>
      </c>
      <c r="S439" s="1089">
        <f t="shared" si="976"/>
        <v>0</v>
      </c>
      <c r="T439" s="1089">
        <f t="shared" si="976"/>
        <v>0</v>
      </c>
      <c r="U439" s="1089">
        <f t="shared" si="976"/>
        <v>0</v>
      </c>
      <c r="V439" s="1089">
        <f t="shared" si="976"/>
        <v>0</v>
      </c>
      <c r="W439" s="1089">
        <f t="shared" si="976"/>
        <v>0</v>
      </c>
      <c r="X439" s="44">
        <f t="shared" si="976"/>
        <v>0</v>
      </c>
      <c r="Y439" s="44">
        <f t="shared" si="976"/>
        <v>0</v>
      </c>
      <c r="Z439" s="1089">
        <f t="shared" si="976"/>
        <v>0</v>
      </c>
      <c r="AA439" s="1089">
        <f t="shared" si="976"/>
        <v>0</v>
      </c>
      <c r="AB439" s="1089">
        <f t="shared" si="976"/>
        <v>0</v>
      </c>
      <c r="AC439" s="1089">
        <f t="shared" si="976"/>
        <v>0</v>
      </c>
      <c r="AD439" s="1089">
        <f t="shared" si="976"/>
        <v>0</v>
      </c>
      <c r="AE439" s="44">
        <f t="shared" si="976"/>
        <v>0</v>
      </c>
      <c r="AF439" s="44">
        <f t="shared" si="976"/>
        <v>0</v>
      </c>
      <c r="AG439" s="1089">
        <f t="shared" si="976"/>
        <v>0</v>
      </c>
      <c r="AH439" s="1089">
        <f t="shared" si="976"/>
        <v>0</v>
      </c>
      <c r="AI439" s="1326">
        <f t="shared" si="976"/>
        <v>0</v>
      </c>
      <c r="AJ439" s="79"/>
      <c r="AK439" s="79"/>
      <c r="AL439" s="690"/>
      <c r="AM439" s="940"/>
      <c r="AN439" s="277"/>
      <c r="AO439" s="679"/>
      <c r="AP439" s="285"/>
      <c r="AQ439" s="285"/>
      <c r="AR439" s="285"/>
      <c r="AS439" s="285"/>
      <c r="AT439" s="286"/>
      <c r="AU439" s="285"/>
      <c r="AV439" s="287"/>
    </row>
    <row r="440" spans="1:48" s="23" customFormat="1" ht="20.65" hidden="1" customHeight="1">
      <c r="A440" s="312"/>
      <c r="B440" s="312"/>
      <c r="C440" s="308">
        <v>300000</v>
      </c>
      <c r="D440" s="795" t="s">
        <v>112</v>
      </c>
      <c r="E440" s="1117" t="b">
        <f>IF(AND(ISNUMBER(E431)),1215075+E437)</f>
        <v>0</v>
      </c>
      <c r="F440" s="1118" t="str">
        <f>IF(AND(ISNUMBER(F431)),E440+F437,"")</f>
        <v/>
      </c>
      <c r="G440" s="1216" t="str">
        <f t="shared" ref="G440" si="977">IF(AND(ISNUMBER(G431)),F440+G437,"")</f>
        <v/>
      </c>
      <c r="H440" s="1118" t="str">
        <f t="shared" ref="H440" si="978">IF(AND(ISNUMBER(H431)),G440+H437,"")</f>
        <v/>
      </c>
      <c r="I440" s="1118" t="str">
        <f>IF(AND(ISNUMBER(I431)),H440+I437,"")</f>
        <v/>
      </c>
      <c r="J440" s="1216" t="str">
        <f>IF(AND(ISNUMBER(J431)),I440+J437,"")</f>
        <v/>
      </c>
      <c r="K440" s="1216" t="str">
        <f>IF(AND(ISNUMBER(K431)),J440+K437,"")</f>
        <v/>
      </c>
      <c r="L440" s="1118" t="str">
        <f t="shared" ref="L440" si="979">IF(AND(ISNUMBER(L431)),K440+L437,"")</f>
        <v/>
      </c>
      <c r="M440" s="1118" t="str">
        <f t="shared" ref="M440" si="980">IF(AND(ISNUMBER(M431)),L440+M437,"")</f>
        <v/>
      </c>
      <c r="N440" s="1118" t="str">
        <f t="shared" ref="N440" si="981">IF(AND(ISNUMBER(N431)),M440+N437,"")</f>
        <v/>
      </c>
      <c r="O440" s="1118" t="str">
        <f t="shared" ref="O440" si="982">IF(AND(ISNUMBER(O431)),N440+O437,"")</f>
        <v/>
      </c>
      <c r="P440" s="1118" t="str">
        <f t="shared" ref="P440" si="983">IF(AND(ISNUMBER(P431)),O440+P437,"")</f>
        <v/>
      </c>
      <c r="Q440" s="1216" t="str">
        <f t="shared" ref="Q440" si="984">IF(AND(ISNUMBER(Q431)),P440+Q437,"")</f>
        <v/>
      </c>
      <c r="R440" s="1216" t="str">
        <f t="shared" ref="R440" si="985">IF(AND(ISNUMBER(R431)),Q440+R437,"")</f>
        <v/>
      </c>
      <c r="S440" s="1118" t="str">
        <f t="shared" ref="S440" si="986">IF(AND(ISNUMBER(S431)),R440+S437,"")</f>
        <v/>
      </c>
      <c r="T440" s="1118" t="str">
        <f t="shared" ref="T440" si="987">IF(AND(ISNUMBER(T431)),S440+T437,"")</f>
        <v/>
      </c>
      <c r="U440" s="1118" t="str">
        <f t="shared" ref="U440" si="988">IF(AND(ISNUMBER(U431)),T440+U437,"")</f>
        <v/>
      </c>
      <c r="V440" s="1118" t="str">
        <f t="shared" ref="V440" si="989">IF(AND(ISNUMBER(V431)),U440+V437,"")</f>
        <v/>
      </c>
      <c r="W440" s="1118" t="str">
        <f t="shared" ref="W440" si="990">IF(AND(ISNUMBER(W431)),V440+W437,"")</f>
        <v/>
      </c>
      <c r="X440" s="1216" t="str">
        <f t="shared" ref="X440" si="991">IF(AND(ISNUMBER(X431)),W440+X437,"")</f>
        <v/>
      </c>
      <c r="Y440" s="1216" t="str">
        <f t="shared" ref="Y440" si="992">IF(AND(ISNUMBER(Y431)),X440+Y437,"")</f>
        <v/>
      </c>
      <c r="Z440" s="1118" t="str">
        <f t="shared" ref="Z440" si="993">IF(AND(ISNUMBER(Z431)),Y440+Z437,"")</f>
        <v/>
      </c>
      <c r="AA440" s="1118" t="str">
        <f t="shared" ref="AA440" si="994">IF(AND(ISNUMBER(AA431)),Z440+AA437,"")</f>
        <v/>
      </c>
      <c r="AB440" s="1118" t="str">
        <f t="shared" ref="AB440" si="995">IF(AND(ISNUMBER(AB431)),AA440+AB437,"")</f>
        <v/>
      </c>
      <c r="AC440" s="1118" t="str">
        <f t="shared" ref="AC440" si="996">IF(AND(ISNUMBER(AC431)),AB440+AC437,"")</f>
        <v/>
      </c>
      <c r="AD440" s="1118" t="str">
        <f t="shared" ref="AD440" si="997">IF(AND(ISNUMBER(AD431)),AC440+AD437,"")</f>
        <v/>
      </c>
      <c r="AE440" s="1216" t="str">
        <f t="shared" ref="AE440" si="998">IF(AND(ISNUMBER(AE431)),AD440+AE437,"")</f>
        <v/>
      </c>
      <c r="AF440" s="1216" t="str">
        <f t="shared" ref="AF440" si="999">IF(AND(ISNUMBER(AF431)),AE440+AF437,"")</f>
        <v/>
      </c>
      <c r="AG440" s="1118" t="str">
        <f t="shared" ref="AG440" si="1000">IF(AND(ISNUMBER(AG431)),AF440+AG437,"")</f>
        <v/>
      </c>
      <c r="AH440" s="1118" t="str">
        <f t="shared" ref="AH440" si="1001">IF(AND(ISNUMBER(AH431)),AG440+AH437,"")</f>
        <v/>
      </c>
      <c r="AI440" s="1118" t="str">
        <f t="shared" ref="AI440" si="1002">IF(AND(ISNUMBER(AI431)),AH440+AI437,"")</f>
        <v/>
      </c>
      <c r="AJ440" s="793"/>
      <c r="AK440" s="793"/>
      <c r="AL440" s="909"/>
      <c r="AM440" s="794"/>
      <c r="AN440" s="429"/>
      <c r="AO440" s="675"/>
      <c r="AP440" s="285"/>
      <c r="AQ440" s="285"/>
      <c r="AR440" s="285"/>
      <c r="AS440" s="285"/>
      <c r="AT440" s="286"/>
      <c r="AU440" s="285"/>
      <c r="AV440" s="287"/>
    </row>
    <row r="441" spans="1:48" s="23" customFormat="1" ht="20.65" hidden="1" customHeight="1">
      <c r="A441" s="276"/>
      <c r="B441" s="89"/>
      <c r="C441" s="80" t="s">
        <v>108</v>
      </c>
      <c r="D441" s="90" t="s">
        <v>104</v>
      </c>
      <c r="E441" s="1108"/>
      <c r="F441" s="1089"/>
      <c r="G441" s="44"/>
      <c r="H441" s="1089"/>
      <c r="I441" s="1089"/>
      <c r="J441" s="44"/>
      <c r="K441" s="44"/>
      <c r="L441" s="1089"/>
      <c r="M441" s="1089"/>
      <c r="N441" s="1089"/>
      <c r="O441" s="1089"/>
      <c r="P441" s="1089"/>
      <c r="Q441" s="44"/>
      <c r="R441" s="44"/>
      <c r="S441" s="1089"/>
      <c r="T441" s="1089"/>
      <c r="U441" s="1089"/>
      <c r="V441" s="1089"/>
      <c r="W441" s="1089"/>
      <c r="X441" s="44"/>
      <c r="Y441" s="44"/>
      <c r="Z441" s="1089"/>
      <c r="AA441" s="1089"/>
      <c r="AB441" s="1089"/>
      <c r="AC441" s="1089"/>
      <c r="AD441" s="1089"/>
      <c r="AE441" s="44"/>
      <c r="AF441" s="44"/>
      <c r="AG441" s="1089"/>
      <c r="AH441" s="1089"/>
      <c r="AI441" s="1326"/>
      <c r="AJ441" s="79"/>
      <c r="AK441" s="79"/>
      <c r="AL441" s="690"/>
      <c r="AM441" s="940"/>
      <c r="AN441" s="277"/>
      <c r="AO441" s="679"/>
      <c r="AP441" s="285"/>
      <c r="AQ441" s="285"/>
      <c r="AR441" s="285"/>
      <c r="AS441" s="285"/>
      <c r="AT441" s="286"/>
      <c r="AU441" s="285"/>
      <c r="AV441" s="287"/>
    </row>
    <row r="442" spans="1:48" s="23" customFormat="1" ht="20.65" hidden="1" customHeight="1" thickBot="1">
      <c r="A442" s="289"/>
      <c r="B442" s="93"/>
      <c r="C442" s="291">
        <f>+C440*0.8</f>
        <v>240000</v>
      </c>
      <c r="D442" s="88" t="s">
        <v>111</v>
      </c>
      <c r="E442" s="1109">
        <f>IF(E441="O/H",E437,0+E437)</f>
        <v>0</v>
      </c>
      <c r="F442" s="1110">
        <f t="shared" ref="F442:AI442" si="1003">IF(F441="O/H",F437,+E442+F437)</f>
        <v>0</v>
      </c>
      <c r="G442" s="1212">
        <f t="shared" si="1003"/>
        <v>0</v>
      </c>
      <c r="H442" s="1110">
        <f t="shared" si="1003"/>
        <v>0</v>
      </c>
      <c r="I442" s="1110">
        <f t="shared" si="1003"/>
        <v>0</v>
      </c>
      <c r="J442" s="1212">
        <f t="shared" si="1003"/>
        <v>0</v>
      </c>
      <c r="K442" s="1212">
        <f t="shared" si="1003"/>
        <v>0</v>
      </c>
      <c r="L442" s="1110">
        <f t="shared" si="1003"/>
        <v>0</v>
      </c>
      <c r="M442" s="1110">
        <f t="shared" si="1003"/>
        <v>0</v>
      </c>
      <c r="N442" s="1110">
        <f t="shared" si="1003"/>
        <v>0</v>
      </c>
      <c r="O442" s="1110">
        <f t="shared" si="1003"/>
        <v>0</v>
      </c>
      <c r="P442" s="1110">
        <f t="shared" si="1003"/>
        <v>0</v>
      </c>
      <c r="Q442" s="1212">
        <f t="shared" si="1003"/>
        <v>0</v>
      </c>
      <c r="R442" s="1212">
        <f t="shared" si="1003"/>
        <v>0</v>
      </c>
      <c r="S442" s="1110">
        <f t="shared" si="1003"/>
        <v>0</v>
      </c>
      <c r="T442" s="1110">
        <f t="shared" si="1003"/>
        <v>0</v>
      </c>
      <c r="U442" s="1110">
        <f t="shared" si="1003"/>
        <v>0</v>
      </c>
      <c r="V442" s="1110">
        <f t="shared" si="1003"/>
        <v>0</v>
      </c>
      <c r="W442" s="1110">
        <f t="shared" si="1003"/>
        <v>0</v>
      </c>
      <c r="X442" s="1212">
        <f t="shared" si="1003"/>
        <v>0</v>
      </c>
      <c r="Y442" s="1212">
        <f t="shared" si="1003"/>
        <v>0</v>
      </c>
      <c r="Z442" s="1110">
        <f t="shared" si="1003"/>
        <v>0</v>
      </c>
      <c r="AA442" s="1110">
        <f t="shared" si="1003"/>
        <v>0</v>
      </c>
      <c r="AB442" s="1110">
        <f t="shared" si="1003"/>
        <v>0</v>
      </c>
      <c r="AC442" s="1110">
        <f t="shared" si="1003"/>
        <v>0</v>
      </c>
      <c r="AD442" s="1110">
        <f t="shared" si="1003"/>
        <v>0</v>
      </c>
      <c r="AE442" s="1212">
        <f t="shared" si="1003"/>
        <v>0</v>
      </c>
      <c r="AF442" s="1212">
        <f t="shared" si="1003"/>
        <v>0</v>
      </c>
      <c r="AG442" s="1110">
        <f t="shared" si="1003"/>
        <v>0</v>
      </c>
      <c r="AH442" s="1110">
        <f t="shared" si="1003"/>
        <v>0</v>
      </c>
      <c r="AI442" s="1340">
        <f t="shared" si="1003"/>
        <v>0</v>
      </c>
      <c r="AJ442" s="96"/>
      <c r="AK442" s="723"/>
      <c r="AL442" s="695"/>
      <c r="AM442" s="961"/>
      <c r="AN442" s="292"/>
      <c r="AO442" s="681"/>
      <c r="AP442" s="285"/>
      <c r="AQ442" s="285"/>
      <c r="AR442" s="285"/>
      <c r="AS442" s="285"/>
      <c r="AT442" s="286"/>
      <c r="AU442" s="285"/>
      <c r="AV442" s="287"/>
    </row>
    <row r="443" spans="1:48" s="23" customFormat="1" ht="20.65" hidden="1" customHeight="1" thickTop="1">
      <c r="A443" s="954" t="s">
        <v>414</v>
      </c>
      <c r="B443" s="208" t="s">
        <v>681</v>
      </c>
      <c r="C443" s="1493" t="str">
        <f>Table2[[#This Row],[M/C No.]]</f>
        <v>H11(50Ton)</v>
      </c>
      <c r="D443" s="28" t="s">
        <v>82</v>
      </c>
      <c r="E443" s="1419"/>
      <c r="F443" s="1111"/>
      <c r="G443" s="1201"/>
      <c r="H443" s="1111"/>
      <c r="I443" s="1111"/>
      <c r="J443" s="1201"/>
      <c r="K443" s="1201"/>
      <c r="L443" s="1111"/>
      <c r="M443" s="1111"/>
      <c r="N443" s="1111"/>
      <c r="O443" s="1111"/>
      <c r="P443" s="1111"/>
      <c r="Q443" s="1201"/>
      <c r="R443" s="1201"/>
      <c r="S443" s="1111"/>
      <c r="T443" s="1111"/>
      <c r="U443" s="1111"/>
      <c r="V443" s="1111"/>
      <c r="W443" s="1111"/>
      <c r="X443" s="1201"/>
      <c r="Y443" s="1201"/>
      <c r="Z443" s="1111"/>
      <c r="AA443" s="1111"/>
      <c r="AB443" s="1111"/>
      <c r="AC443" s="1111"/>
      <c r="AD443" s="1111"/>
      <c r="AE443" s="1201"/>
      <c r="AF443" s="1201"/>
      <c r="AG443" s="1111"/>
      <c r="AH443" s="1111"/>
      <c r="AI443" s="1350"/>
      <c r="AJ443" s="100">
        <f>SUM(E443:AI443)</f>
        <v>0</v>
      </c>
      <c r="AK443" s="1000">
        <f>AJ445</f>
        <v>0</v>
      </c>
      <c r="AL443" s="101">
        <f>+AJ443*AN443</f>
        <v>0</v>
      </c>
      <c r="AM443" s="1019">
        <f>AL445</f>
        <v>0</v>
      </c>
      <c r="AN443" s="273">
        <v>8.0529399999999995</v>
      </c>
      <c r="AO443" s="633">
        <f>Table2[[#This Row],[Total]]*B447/1000</f>
        <v>0</v>
      </c>
      <c r="AP443" s="32" t="s">
        <v>412</v>
      </c>
      <c r="AQ443" s="33" t="s">
        <v>84</v>
      </c>
      <c r="AR443" s="33" t="s">
        <v>85</v>
      </c>
      <c r="AS443" s="33" t="s">
        <v>86</v>
      </c>
      <c r="AT443" s="33" t="s">
        <v>87</v>
      </c>
      <c r="AU443" s="33" t="s">
        <v>88</v>
      </c>
      <c r="AV443" s="34" t="s">
        <v>68</v>
      </c>
    </row>
    <row r="444" spans="1:48" s="23" customFormat="1" ht="20.65" hidden="1" customHeight="1">
      <c r="A444" s="274"/>
      <c r="B444" s="89" t="s">
        <v>406</v>
      </c>
      <c r="C444" s="275"/>
      <c r="D444" s="37" t="s">
        <v>90</v>
      </c>
      <c r="E444" s="1323">
        <f>IF(E443="",0,+ E443/E450)</f>
        <v>0</v>
      </c>
      <c r="F444" s="1096">
        <f t="shared" ref="F444:AC444" si="1004">IF(F443="",0, E444+F443/F450)</f>
        <v>0</v>
      </c>
      <c r="G444" s="1207">
        <f t="shared" si="1004"/>
        <v>0</v>
      </c>
      <c r="H444" s="1096">
        <f t="shared" si="1004"/>
        <v>0</v>
      </c>
      <c r="I444" s="1096">
        <f t="shared" si="1004"/>
        <v>0</v>
      </c>
      <c r="J444" s="1207">
        <f t="shared" si="1004"/>
        <v>0</v>
      </c>
      <c r="K444" s="1207">
        <f t="shared" si="1004"/>
        <v>0</v>
      </c>
      <c r="L444" s="1096">
        <f t="shared" si="1004"/>
        <v>0</v>
      </c>
      <c r="M444" s="1096">
        <f t="shared" si="1004"/>
        <v>0</v>
      </c>
      <c r="N444" s="1096">
        <f t="shared" si="1004"/>
        <v>0</v>
      </c>
      <c r="O444" s="1096">
        <f t="shared" si="1004"/>
        <v>0</v>
      </c>
      <c r="P444" s="1096">
        <f t="shared" si="1004"/>
        <v>0</v>
      </c>
      <c r="Q444" s="1207">
        <f t="shared" si="1004"/>
        <v>0</v>
      </c>
      <c r="R444" s="1207">
        <f t="shared" si="1004"/>
        <v>0</v>
      </c>
      <c r="S444" s="1096">
        <f t="shared" si="1004"/>
        <v>0</v>
      </c>
      <c r="T444" s="1096">
        <f t="shared" si="1004"/>
        <v>0</v>
      </c>
      <c r="U444" s="1096">
        <f t="shared" si="1004"/>
        <v>0</v>
      </c>
      <c r="V444" s="1096">
        <f t="shared" si="1004"/>
        <v>0</v>
      </c>
      <c r="W444" s="1096">
        <f t="shared" si="1004"/>
        <v>0</v>
      </c>
      <c r="X444" s="1207">
        <f t="shared" si="1004"/>
        <v>0</v>
      </c>
      <c r="Y444" s="1207">
        <f t="shared" si="1004"/>
        <v>0</v>
      </c>
      <c r="Z444" s="1096">
        <f t="shared" si="1004"/>
        <v>0</v>
      </c>
      <c r="AA444" s="1096">
        <f t="shared" si="1004"/>
        <v>0</v>
      </c>
      <c r="AB444" s="1096">
        <f t="shared" si="1004"/>
        <v>0</v>
      </c>
      <c r="AC444" s="1096">
        <f t="shared" si="1004"/>
        <v>0</v>
      </c>
      <c r="AD444" s="1096">
        <f>IF(AD443="",0, Z444+AD443/AD450)</f>
        <v>0</v>
      </c>
      <c r="AE444" s="1207">
        <f>IF(AE443="",0, AA444+AE443/AE450)</f>
        <v>0</v>
      </c>
      <c r="AF444" s="1207">
        <f>IF(AF443="",0, AB444+AF443/AF450)</f>
        <v>0</v>
      </c>
      <c r="AG444" s="1096">
        <f>IF(AG443="",0, AC444+AG443/AG450)</f>
        <v>0</v>
      </c>
      <c r="AH444" s="1096">
        <f>IF(AH443="",0, AD444+AH443/AH450)</f>
        <v>0</v>
      </c>
      <c r="AI444" s="1324">
        <f>IF(AI443="",0, AH444+AI443/AI450)</f>
        <v>0</v>
      </c>
      <c r="AJ444" s="716"/>
      <c r="AK444" s="716"/>
      <c r="AL444" s="209"/>
      <c r="AM444" s="794"/>
      <c r="AN444" s="91"/>
      <c r="AO444" s="675"/>
      <c r="AP444" s="39" t="s">
        <v>91</v>
      </c>
      <c r="AQ444" s="40">
        <f>SUM(E443:K443)</f>
        <v>0</v>
      </c>
      <c r="AR444" s="41">
        <f>SUM(L443:R443)</f>
        <v>0</v>
      </c>
      <c r="AS444" s="41">
        <f>SUM(S443:Y443)</f>
        <v>0</v>
      </c>
      <c r="AT444" s="41">
        <f>SUM(Z443:AF443)</f>
        <v>0</v>
      </c>
      <c r="AU444" s="41">
        <f>SUM(AG443:AI443)</f>
        <v>0</v>
      </c>
      <c r="AV444" s="34">
        <f t="shared" ref="AV444:AV449" si="1005">SUM(AQ444:AU444)</f>
        <v>0</v>
      </c>
    </row>
    <row r="445" spans="1:48" s="23" customFormat="1" ht="20.65" hidden="1" customHeight="1">
      <c r="A445" s="276" t="s">
        <v>416</v>
      </c>
      <c r="B445" s="89" t="s">
        <v>246</v>
      </c>
      <c r="C445" s="42"/>
      <c r="D445" s="43" t="s">
        <v>93</v>
      </c>
      <c r="E445" s="1108"/>
      <c r="F445" s="1089"/>
      <c r="G445" s="44"/>
      <c r="H445" s="1089"/>
      <c r="I445" s="1089"/>
      <c r="J445" s="44"/>
      <c r="K445" s="44"/>
      <c r="L445" s="1089"/>
      <c r="M445" s="1089"/>
      <c r="N445" s="1089"/>
      <c r="O445" s="1089"/>
      <c r="P445" s="1089"/>
      <c r="Q445" s="44"/>
      <c r="R445" s="44"/>
      <c r="S445" s="1089"/>
      <c r="T445" s="1089"/>
      <c r="U445" s="1089"/>
      <c r="V445" s="1089"/>
      <c r="W445" s="1089"/>
      <c r="X445" s="44"/>
      <c r="Y445" s="44"/>
      <c r="Z445" s="1089"/>
      <c r="AA445" s="1089"/>
      <c r="AB445" s="1089"/>
      <c r="AC445" s="1089"/>
      <c r="AD445" s="1089"/>
      <c r="AE445" s="44"/>
      <c r="AF445" s="44"/>
      <c r="AG445" s="1089"/>
      <c r="AH445" s="1089"/>
      <c r="AI445" s="1326"/>
      <c r="AJ445" s="45">
        <f>SUM(E445:AI445)</f>
        <v>0</v>
      </c>
      <c r="AK445" s="45"/>
      <c r="AL445" s="46">
        <f>+AJ445*AN443</f>
        <v>0</v>
      </c>
      <c r="AM445" s="934"/>
      <c r="AN445" s="277"/>
      <c r="AO445" s="632">
        <f>(AJ445+AJ447+AJ448+AJ449)*B447/1000</f>
        <v>0</v>
      </c>
      <c r="AP445" s="47" t="s">
        <v>94</v>
      </c>
      <c r="AQ445" s="48">
        <f>SUM(E445:K445)</f>
        <v>0</v>
      </c>
      <c r="AR445" s="49">
        <f>SUM(L445:R445)</f>
        <v>0</v>
      </c>
      <c r="AS445" s="49">
        <f>SUM(S445:Y445)</f>
        <v>0</v>
      </c>
      <c r="AT445" s="49">
        <f>SUM(Z445:AF445)</f>
        <v>0</v>
      </c>
      <c r="AU445" s="49">
        <f>SUM(AG445:AI445)</f>
        <v>0</v>
      </c>
      <c r="AV445" s="50">
        <f t="shared" si="1005"/>
        <v>0</v>
      </c>
    </row>
    <row r="446" spans="1:48" s="23" customFormat="1" ht="20.65" hidden="1" customHeight="1">
      <c r="A446" s="276" t="s">
        <v>416</v>
      </c>
      <c r="B446" s="638" t="s">
        <v>247</v>
      </c>
      <c r="C446" s="280"/>
      <c r="D446" s="53" t="s">
        <v>96</v>
      </c>
      <c r="E446" s="1137">
        <f t="shared" ref="E446:AJ446" si="1006">+E445-E443</f>
        <v>0</v>
      </c>
      <c r="F446" s="1097">
        <f t="shared" si="1006"/>
        <v>0</v>
      </c>
      <c r="G446" s="1205">
        <f t="shared" si="1006"/>
        <v>0</v>
      </c>
      <c r="H446" s="1097">
        <f t="shared" si="1006"/>
        <v>0</v>
      </c>
      <c r="I446" s="1097">
        <f t="shared" si="1006"/>
        <v>0</v>
      </c>
      <c r="J446" s="1205">
        <f t="shared" si="1006"/>
        <v>0</v>
      </c>
      <c r="K446" s="1205">
        <f t="shared" si="1006"/>
        <v>0</v>
      </c>
      <c r="L446" s="1097">
        <f t="shared" si="1006"/>
        <v>0</v>
      </c>
      <c r="M446" s="1097">
        <f t="shared" si="1006"/>
        <v>0</v>
      </c>
      <c r="N446" s="1097">
        <f t="shared" si="1006"/>
        <v>0</v>
      </c>
      <c r="O446" s="1097">
        <f t="shared" si="1006"/>
        <v>0</v>
      </c>
      <c r="P446" s="1097">
        <f t="shared" si="1006"/>
        <v>0</v>
      </c>
      <c r="Q446" s="1205">
        <f t="shared" si="1006"/>
        <v>0</v>
      </c>
      <c r="R446" s="1205">
        <f t="shared" si="1006"/>
        <v>0</v>
      </c>
      <c r="S446" s="1097">
        <f t="shared" si="1006"/>
        <v>0</v>
      </c>
      <c r="T446" s="1097">
        <f t="shared" si="1006"/>
        <v>0</v>
      </c>
      <c r="U446" s="1097">
        <f t="shared" si="1006"/>
        <v>0</v>
      </c>
      <c r="V446" s="1097">
        <f t="shared" si="1006"/>
        <v>0</v>
      </c>
      <c r="W446" s="1097">
        <f t="shared" si="1006"/>
        <v>0</v>
      </c>
      <c r="X446" s="1205">
        <f t="shared" si="1006"/>
        <v>0</v>
      </c>
      <c r="Y446" s="1205">
        <f t="shared" si="1006"/>
        <v>0</v>
      </c>
      <c r="Z446" s="1097">
        <f t="shared" si="1006"/>
        <v>0</v>
      </c>
      <c r="AA446" s="1097">
        <f t="shared" si="1006"/>
        <v>0</v>
      </c>
      <c r="AB446" s="1097">
        <f t="shared" si="1006"/>
        <v>0</v>
      </c>
      <c r="AC446" s="1097">
        <f t="shared" si="1006"/>
        <v>0</v>
      </c>
      <c r="AD446" s="1097">
        <f t="shared" si="1006"/>
        <v>0</v>
      </c>
      <c r="AE446" s="1205">
        <f t="shared" si="1006"/>
        <v>0</v>
      </c>
      <c r="AF446" s="1205">
        <f t="shared" si="1006"/>
        <v>0</v>
      </c>
      <c r="AG446" s="1097">
        <f t="shared" si="1006"/>
        <v>0</v>
      </c>
      <c r="AH446" s="1097">
        <f t="shared" si="1006"/>
        <v>0</v>
      </c>
      <c r="AI446" s="1328">
        <f t="shared" si="1006"/>
        <v>0</v>
      </c>
      <c r="AJ446" s="79">
        <f t="shared" si="1006"/>
        <v>0</v>
      </c>
      <c r="AK446" s="79"/>
      <c r="AL446" s="55">
        <f>+AJ446*AN443</f>
        <v>0</v>
      </c>
      <c r="AM446" s="935"/>
      <c r="AN446" s="277" t="s">
        <v>97</v>
      </c>
      <c r="AO446" s="622"/>
      <c r="AP446" s="39" t="s">
        <v>98</v>
      </c>
      <c r="AQ446" s="56">
        <f>AQ445-AQ444</f>
        <v>0</v>
      </c>
      <c r="AR446" s="70">
        <f>AR445-AR444</f>
        <v>0</v>
      </c>
      <c r="AS446" s="70">
        <f>AS445-AS444</f>
        <v>0</v>
      </c>
      <c r="AT446" s="70">
        <f>AT445-AT444</f>
        <v>0</v>
      </c>
      <c r="AU446" s="70">
        <f>AU445-AU444</f>
        <v>0</v>
      </c>
      <c r="AV446" s="57">
        <f t="shared" si="1005"/>
        <v>0</v>
      </c>
    </row>
    <row r="447" spans="1:48" s="23" customFormat="1" ht="20.65" hidden="1" customHeight="1">
      <c r="A447" s="276" t="s">
        <v>416</v>
      </c>
      <c r="B447" s="659">
        <v>3.3027500000000001</v>
      </c>
      <c r="C447" s="305"/>
      <c r="D447" s="61" t="s">
        <v>101</v>
      </c>
      <c r="E447" s="1098"/>
      <c r="F447" s="1099"/>
      <c r="G447" s="1208"/>
      <c r="H447" s="1099"/>
      <c r="I447" s="1099"/>
      <c r="J447" s="1208"/>
      <c r="K447" s="1208"/>
      <c r="L447" s="1099"/>
      <c r="M447" s="1099"/>
      <c r="N447" s="1099"/>
      <c r="O447" s="1099"/>
      <c r="P447" s="1099"/>
      <c r="Q447" s="1208"/>
      <c r="R447" s="1208"/>
      <c r="S447" s="1099"/>
      <c r="T447" s="1099"/>
      <c r="U447" s="1099"/>
      <c r="V447" s="1099"/>
      <c r="W447" s="1099"/>
      <c r="X447" s="1208"/>
      <c r="Y447" s="1208"/>
      <c r="Z447" s="1099"/>
      <c r="AA447" s="1099"/>
      <c r="AB447" s="1099"/>
      <c r="AC447" s="1099"/>
      <c r="AD447" s="1099"/>
      <c r="AE447" s="1208"/>
      <c r="AF447" s="1208"/>
      <c r="AG447" s="1099"/>
      <c r="AH447" s="1099"/>
      <c r="AI447" s="1330"/>
      <c r="AJ447" s="62">
        <f>SUM(E447:AI447)</f>
        <v>0</v>
      </c>
      <c r="AK447" s="62"/>
      <c r="AL447" s="63">
        <f>+AJ447*AN443</f>
        <v>0</v>
      </c>
      <c r="AM447" s="936"/>
      <c r="AN447" s="301" t="e">
        <f>+AJ447/AJ445*100</f>
        <v>#DIV/0!</v>
      </c>
      <c r="AO447" s="635" t="e">
        <f>AO445/AO443</f>
        <v>#DIV/0!</v>
      </c>
      <c r="AP447" s="39" t="s">
        <v>102</v>
      </c>
      <c r="AQ447" s="56">
        <f>SUM(E447:K447)</f>
        <v>0</v>
      </c>
      <c r="AR447" s="70">
        <f>SUM(L447:R447)</f>
        <v>0</v>
      </c>
      <c r="AS447" s="70">
        <f>SUM(S447:Y447)</f>
        <v>0</v>
      </c>
      <c r="AT447" s="70">
        <f>SUM(Z447:AF447)</f>
        <v>0</v>
      </c>
      <c r="AU447" s="70">
        <f>SUM(AG447:AI447)</f>
        <v>0</v>
      </c>
      <c r="AV447" s="57">
        <f t="shared" si="1005"/>
        <v>0</v>
      </c>
    </row>
    <row r="448" spans="1:48" s="23" customFormat="1" ht="20.65" hidden="1" customHeight="1">
      <c r="A448" s="276" t="s">
        <v>416</v>
      </c>
      <c r="B448" s="89"/>
      <c r="C448" s="52" t="s">
        <v>95</v>
      </c>
      <c r="D448" s="67" t="s">
        <v>103</v>
      </c>
      <c r="E448" s="1100"/>
      <c r="F448" s="1101"/>
      <c r="G448" s="1209"/>
      <c r="H448" s="1101"/>
      <c r="I448" s="1101"/>
      <c r="J448" s="1209"/>
      <c r="K448" s="1209"/>
      <c r="L448" s="1101"/>
      <c r="M448" s="1101"/>
      <c r="N448" s="1101"/>
      <c r="O448" s="1101"/>
      <c r="P448" s="1101"/>
      <c r="Q448" s="1209"/>
      <c r="R448" s="1209"/>
      <c r="S448" s="1101"/>
      <c r="T448" s="1101"/>
      <c r="U448" s="1101"/>
      <c r="V448" s="1101"/>
      <c r="W448" s="1101"/>
      <c r="X448" s="1209"/>
      <c r="Y448" s="1209"/>
      <c r="Z448" s="1101"/>
      <c r="AA448" s="1101"/>
      <c r="AB448" s="1101"/>
      <c r="AC448" s="1101"/>
      <c r="AD448" s="1101"/>
      <c r="AE448" s="1209"/>
      <c r="AF448" s="1209"/>
      <c r="AG448" s="1101"/>
      <c r="AH448" s="1101"/>
      <c r="AI448" s="1332"/>
      <c r="AJ448" s="68">
        <f>SUM(E448:AI448)</f>
        <v>0</v>
      </c>
      <c r="AK448" s="68"/>
      <c r="AL448" s="69">
        <f>+AJ448*AN443</f>
        <v>0</v>
      </c>
      <c r="AM448" s="937"/>
      <c r="AN448" s="277"/>
      <c r="AO448" s="679"/>
      <c r="AP448" s="39" t="s">
        <v>19</v>
      </c>
      <c r="AQ448" s="56">
        <f>AQ447*AN443</f>
        <v>0</v>
      </c>
      <c r="AR448" s="56">
        <f>AR447*AN443</f>
        <v>0</v>
      </c>
      <c r="AS448" s="56">
        <f>AS447*AN443</f>
        <v>0</v>
      </c>
      <c r="AT448" s="56">
        <f>AT447*AN443</f>
        <v>0</v>
      </c>
      <c r="AU448" s="56">
        <f>AU447*AN443</f>
        <v>0</v>
      </c>
      <c r="AV448" s="57">
        <f t="shared" si="1005"/>
        <v>0</v>
      </c>
    </row>
    <row r="449" spans="1:48" s="23" customFormat="1" ht="20.65" hidden="1" customHeight="1">
      <c r="A449" s="329" t="s">
        <v>414</v>
      </c>
      <c r="B449" s="89"/>
      <c r="C449" s="306" t="s">
        <v>387</v>
      </c>
      <c r="D449" s="73" t="s">
        <v>105</v>
      </c>
      <c r="E449" s="1102"/>
      <c r="F449" s="1103"/>
      <c r="G449" s="1210"/>
      <c r="H449" s="1103"/>
      <c r="I449" s="1103"/>
      <c r="J449" s="1197"/>
      <c r="K449" s="1210"/>
      <c r="L449" s="1103"/>
      <c r="M449" s="1103"/>
      <c r="N449" s="1103"/>
      <c r="O449" s="1103"/>
      <c r="P449" s="1103"/>
      <c r="Q449" s="1210"/>
      <c r="R449" s="1210"/>
      <c r="S449" s="1103"/>
      <c r="T449" s="1103"/>
      <c r="U449" s="1103"/>
      <c r="V449" s="1103"/>
      <c r="W449" s="1103"/>
      <c r="X449" s="1210"/>
      <c r="Y449" s="1210"/>
      <c r="Z449" s="1103"/>
      <c r="AA449" s="1103"/>
      <c r="AB449" s="1103"/>
      <c r="AC449" s="1103"/>
      <c r="AD449" s="1103"/>
      <c r="AE449" s="1210"/>
      <c r="AF449" s="1210"/>
      <c r="AG449" s="1103"/>
      <c r="AH449" s="1103"/>
      <c r="AI449" s="1352"/>
      <c r="AJ449" s="74">
        <f>SUM(E449:AI449)</f>
        <v>0</v>
      </c>
      <c r="AK449" s="74"/>
      <c r="AL449" s="75">
        <f>+AJ449*AN445</f>
        <v>0</v>
      </c>
      <c r="AM449" s="938"/>
      <c r="AN449" s="91"/>
      <c r="AO449" s="630"/>
      <c r="AP449" s="47" t="s">
        <v>106</v>
      </c>
      <c r="AQ449" s="48">
        <f>AQ445*AN443</f>
        <v>0</v>
      </c>
      <c r="AR449" s="48">
        <f>AR445*AN443</f>
        <v>0</v>
      </c>
      <c r="AS449" s="48">
        <f>AS445*AN443</f>
        <v>0</v>
      </c>
      <c r="AT449" s="48">
        <f>AT445*AN443</f>
        <v>0</v>
      </c>
      <c r="AU449" s="48">
        <f>AU445*AN443</f>
        <v>0</v>
      </c>
      <c r="AV449" s="50">
        <f t="shared" si="1005"/>
        <v>0</v>
      </c>
    </row>
    <row r="450" spans="1:48" s="23" customFormat="1" ht="20.65" hidden="1" customHeight="1">
      <c r="A450" s="276" t="s">
        <v>415</v>
      </c>
      <c r="B450" s="89"/>
      <c r="C450" s="307"/>
      <c r="D450" s="78" t="s">
        <v>107</v>
      </c>
      <c r="E450" s="1137">
        <v>4</v>
      </c>
      <c r="F450" s="1097">
        <v>4</v>
      </c>
      <c r="G450" s="1205">
        <v>4</v>
      </c>
      <c r="H450" s="1097">
        <v>4</v>
      </c>
      <c r="I450" s="1097">
        <v>4</v>
      </c>
      <c r="J450" s="1205">
        <v>4</v>
      </c>
      <c r="K450" s="1205">
        <v>4</v>
      </c>
      <c r="L450" s="1097">
        <v>4</v>
      </c>
      <c r="M450" s="1097">
        <v>4</v>
      </c>
      <c r="N450" s="1097">
        <v>4</v>
      </c>
      <c r="O450" s="1097">
        <v>4</v>
      </c>
      <c r="P450" s="1097">
        <v>4</v>
      </c>
      <c r="Q450" s="1205">
        <v>4</v>
      </c>
      <c r="R450" s="1205">
        <v>4</v>
      </c>
      <c r="S450" s="1097">
        <v>4</v>
      </c>
      <c r="T450" s="1097">
        <v>4</v>
      </c>
      <c r="U450" s="1097">
        <v>4</v>
      </c>
      <c r="V450" s="1097">
        <v>4</v>
      </c>
      <c r="W450" s="1097">
        <v>4</v>
      </c>
      <c r="X450" s="1205">
        <v>4</v>
      </c>
      <c r="Y450" s="1205">
        <v>4</v>
      </c>
      <c r="Z450" s="1097">
        <v>4</v>
      </c>
      <c r="AA450" s="1097">
        <v>4</v>
      </c>
      <c r="AB450" s="1097">
        <v>4</v>
      </c>
      <c r="AC450" s="1097">
        <v>4</v>
      </c>
      <c r="AD450" s="1097">
        <v>4</v>
      </c>
      <c r="AE450" s="1205">
        <v>4</v>
      </c>
      <c r="AF450" s="1205">
        <v>4</v>
      </c>
      <c r="AG450" s="1097">
        <v>4</v>
      </c>
      <c r="AH450" s="1097">
        <v>4</v>
      </c>
      <c r="AI450" s="1328">
        <v>4</v>
      </c>
      <c r="AJ450" s="79"/>
      <c r="AK450" s="79"/>
      <c r="AL450" s="69"/>
      <c r="AM450" s="937"/>
      <c r="AN450" s="277"/>
      <c r="AO450" s="679"/>
      <c r="AP450" s="47"/>
      <c r="AQ450" s="48"/>
      <c r="AR450" s="48"/>
      <c r="AS450" s="48"/>
      <c r="AT450" s="48"/>
      <c r="AU450" s="48"/>
      <c r="AV450" s="284"/>
    </row>
    <row r="451" spans="1:48" s="23" customFormat="1" ht="20.65" hidden="1" customHeight="1">
      <c r="A451" s="276" t="s">
        <v>416</v>
      </c>
      <c r="B451" s="89"/>
      <c r="C451" s="305"/>
      <c r="D451" s="81" t="s">
        <v>109</v>
      </c>
      <c r="E451" s="1125">
        <f>SUM(E445+E447+E448+E449)/E450</f>
        <v>0</v>
      </c>
      <c r="F451" s="1126">
        <f>SUM(F445+F447+F448+F449)/F450</f>
        <v>0</v>
      </c>
      <c r="G451" s="1235">
        <f t="shared" ref="G451:AH451" si="1007">SUM(G445+G447+G448+G449)/G450</f>
        <v>0</v>
      </c>
      <c r="H451" s="1126">
        <f t="shared" si="1007"/>
        <v>0</v>
      </c>
      <c r="I451" s="1126">
        <f t="shared" si="1007"/>
        <v>0</v>
      </c>
      <c r="J451" s="1235">
        <f t="shared" si="1007"/>
        <v>0</v>
      </c>
      <c r="K451" s="1235">
        <f t="shared" si="1007"/>
        <v>0</v>
      </c>
      <c r="L451" s="1126">
        <f t="shared" si="1007"/>
        <v>0</v>
      </c>
      <c r="M451" s="1126">
        <f t="shared" si="1007"/>
        <v>0</v>
      </c>
      <c r="N451" s="1126">
        <f t="shared" si="1007"/>
        <v>0</v>
      </c>
      <c r="O451" s="1126">
        <f t="shared" si="1007"/>
        <v>0</v>
      </c>
      <c r="P451" s="1126">
        <f t="shared" si="1007"/>
        <v>0</v>
      </c>
      <c r="Q451" s="1235">
        <f t="shared" si="1007"/>
        <v>0</v>
      </c>
      <c r="R451" s="1235">
        <f t="shared" si="1007"/>
        <v>0</v>
      </c>
      <c r="S451" s="1126">
        <f t="shared" si="1007"/>
        <v>0</v>
      </c>
      <c r="T451" s="1126">
        <f t="shared" si="1007"/>
        <v>0</v>
      </c>
      <c r="U451" s="1126">
        <f t="shared" si="1007"/>
        <v>0</v>
      </c>
      <c r="V451" s="1126">
        <f t="shared" si="1007"/>
        <v>0</v>
      </c>
      <c r="W451" s="1126">
        <f t="shared" si="1007"/>
        <v>0</v>
      </c>
      <c r="X451" s="1235">
        <f t="shared" si="1007"/>
        <v>0</v>
      </c>
      <c r="Y451" s="1235">
        <f t="shared" si="1007"/>
        <v>0</v>
      </c>
      <c r="Z451" s="1126">
        <f t="shared" si="1007"/>
        <v>0</v>
      </c>
      <c r="AA451" s="1126">
        <f t="shared" si="1007"/>
        <v>0</v>
      </c>
      <c r="AB451" s="1126">
        <f t="shared" si="1007"/>
        <v>0</v>
      </c>
      <c r="AC451" s="1126">
        <f t="shared" si="1007"/>
        <v>0</v>
      </c>
      <c r="AD451" s="1126">
        <f t="shared" si="1007"/>
        <v>0</v>
      </c>
      <c r="AE451" s="1235">
        <f t="shared" si="1007"/>
        <v>0</v>
      </c>
      <c r="AF451" s="1235">
        <f t="shared" si="1007"/>
        <v>0</v>
      </c>
      <c r="AG451" s="1126">
        <f t="shared" si="1007"/>
        <v>0</v>
      </c>
      <c r="AH451" s="1126">
        <f t="shared" si="1007"/>
        <v>0</v>
      </c>
      <c r="AI451" s="1335">
        <f>SUM(AI445+AI447+AI448)/AI450</f>
        <v>0</v>
      </c>
      <c r="AJ451" s="515">
        <f>SUM(E451:AI451)</f>
        <v>0</v>
      </c>
      <c r="AK451" s="515"/>
      <c r="AL451" s="689"/>
      <c r="AM451" s="940"/>
      <c r="AN451" s="277"/>
      <c r="AO451" s="679"/>
      <c r="AP451" s="285"/>
      <c r="AQ451" s="285"/>
      <c r="AR451" s="285"/>
      <c r="AS451" s="285"/>
      <c r="AT451" s="286"/>
      <c r="AU451" s="285"/>
      <c r="AV451" s="287"/>
    </row>
    <row r="452" spans="1:48" s="23" customFormat="1" ht="20.65" hidden="1" customHeight="1">
      <c r="A452" s="276" t="s">
        <v>416</v>
      </c>
      <c r="B452" s="89"/>
      <c r="C452" s="72"/>
      <c r="D452" s="85" t="s">
        <v>110</v>
      </c>
      <c r="E452" s="1105"/>
      <c r="F452" s="1106"/>
      <c r="G452" s="1211"/>
      <c r="H452" s="1104"/>
      <c r="I452" s="1104"/>
      <c r="J452" s="1211"/>
      <c r="K452" s="1211"/>
      <c r="L452" s="1104"/>
      <c r="M452" s="1104"/>
      <c r="N452" s="1104"/>
      <c r="O452" s="1104"/>
      <c r="P452" s="1104"/>
      <c r="Q452" s="1211"/>
      <c r="R452" s="1211"/>
      <c r="S452" s="1104"/>
      <c r="T452" s="1104"/>
      <c r="U452" s="1104"/>
      <c r="V452" s="1107"/>
      <c r="W452" s="1104"/>
      <c r="X452" s="1211"/>
      <c r="Y452" s="1211"/>
      <c r="Z452" s="1104"/>
      <c r="AA452" s="1107"/>
      <c r="AB452" s="1104"/>
      <c r="AC452" s="1104"/>
      <c r="AD452" s="1104"/>
      <c r="AE452" s="1211"/>
      <c r="AF452" s="1211"/>
      <c r="AG452" s="1104"/>
      <c r="AH452" s="1104"/>
      <c r="AI452" s="1353"/>
      <c r="AJ452" s="86"/>
      <c r="AK452" s="86"/>
      <c r="AL452" s="690"/>
      <c r="AM452" s="940"/>
      <c r="AN452" s="277"/>
      <c r="AO452" s="679"/>
      <c r="AP452" s="285"/>
      <c r="AQ452" s="285"/>
      <c r="AR452" s="285"/>
      <c r="AS452" s="285"/>
      <c r="AT452" s="286"/>
      <c r="AU452" s="285"/>
      <c r="AV452" s="287"/>
    </row>
    <row r="453" spans="1:48" s="23" customFormat="1" ht="20.65" hidden="1" customHeight="1">
      <c r="A453" s="276" t="s">
        <v>416</v>
      </c>
      <c r="B453" s="89"/>
      <c r="C453" s="72" t="s">
        <v>104</v>
      </c>
      <c r="D453" s="88" t="s">
        <v>111</v>
      </c>
      <c r="E453" s="1108">
        <f>IF(E452="O/H",E451,+E451)</f>
        <v>0</v>
      </c>
      <c r="F453" s="1089">
        <f t="shared" ref="F453:AI453" si="1008">IF(F452="O/H",F451,+E453+F451)</f>
        <v>0</v>
      </c>
      <c r="G453" s="44">
        <f t="shared" si="1008"/>
        <v>0</v>
      </c>
      <c r="H453" s="1089">
        <f t="shared" si="1008"/>
        <v>0</v>
      </c>
      <c r="I453" s="1089">
        <f t="shared" si="1008"/>
        <v>0</v>
      </c>
      <c r="J453" s="44">
        <f t="shared" si="1008"/>
        <v>0</v>
      </c>
      <c r="K453" s="44">
        <f t="shared" si="1008"/>
        <v>0</v>
      </c>
      <c r="L453" s="1089">
        <f t="shared" si="1008"/>
        <v>0</v>
      </c>
      <c r="M453" s="1089">
        <f t="shared" si="1008"/>
        <v>0</v>
      </c>
      <c r="N453" s="1089">
        <f t="shared" si="1008"/>
        <v>0</v>
      </c>
      <c r="O453" s="1089">
        <f t="shared" si="1008"/>
        <v>0</v>
      </c>
      <c r="P453" s="1089">
        <f t="shared" si="1008"/>
        <v>0</v>
      </c>
      <c r="Q453" s="44">
        <f t="shared" si="1008"/>
        <v>0</v>
      </c>
      <c r="R453" s="44">
        <f t="shared" si="1008"/>
        <v>0</v>
      </c>
      <c r="S453" s="1089">
        <f t="shared" si="1008"/>
        <v>0</v>
      </c>
      <c r="T453" s="1089">
        <f t="shared" si="1008"/>
        <v>0</v>
      </c>
      <c r="U453" s="1089">
        <f t="shared" si="1008"/>
        <v>0</v>
      </c>
      <c r="V453" s="1089">
        <f t="shared" si="1008"/>
        <v>0</v>
      </c>
      <c r="W453" s="1089">
        <f t="shared" si="1008"/>
        <v>0</v>
      </c>
      <c r="X453" s="44">
        <f t="shared" si="1008"/>
        <v>0</v>
      </c>
      <c r="Y453" s="44">
        <f t="shared" si="1008"/>
        <v>0</v>
      </c>
      <c r="Z453" s="1089">
        <f t="shared" si="1008"/>
        <v>0</v>
      </c>
      <c r="AA453" s="1089">
        <f t="shared" si="1008"/>
        <v>0</v>
      </c>
      <c r="AB453" s="1089">
        <f t="shared" si="1008"/>
        <v>0</v>
      </c>
      <c r="AC453" s="1089">
        <f t="shared" si="1008"/>
        <v>0</v>
      </c>
      <c r="AD453" s="1089">
        <f t="shared" si="1008"/>
        <v>0</v>
      </c>
      <c r="AE453" s="44">
        <f t="shared" si="1008"/>
        <v>0</v>
      </c>
      <c r="AF453" s="44">
        <f t="shared" si="1008"/>
        <v>0</v>
      </c>
      <c r="AG453" s="1089">
        <f t="shared" si="1008"/>
        <v>0</v>
      </c>
      <c r="AH453" s="1089">
        <f t="shared" si="1008"/>
        <v>0</v>
      </c>
      <c r="AI453" s="1326">
        <f t="shared" si="1008"/>
        <v>0</v>
      </c>
      <c r="AJ453" s="79"/>
      <c r="AK453" s="79"/>
      <c r="AL453" s="690"/>
      <c r="AM453" s="940"/>
      <c r="AN453" s="277"/>
      <c r="AO453" s="679"/>
      <c r="AP453" s="285"/>
      <c r="AQ453" s="285"/>
      <c r="AR453" s="285"/>
      <c r="AS453" s="285"/>
      <c r="AT453" s="286"/>
      <c r="AU453" s="285"/>
      <c r="AV453" s="287"/>
    </row>
    <row r="454" spans="1:48" s="23" customFormat="1" ht="20.65" hidden="1" customHeight="1">
      <c r="A454" s="312"/>
      <c r="B454" s="312"/>
      <c r="C454" s="308">
        <v>300000</v>
      </c>
      <c r="D454" s="795" t="s">
        <v>112</v>
      </c>
      <c r="E454" s="1117" t="b">
        <f>IF(AND(ISNUMBER(E445)),1215075+E451)</f>
        <v>0</v>
      </c>
      <c r="F454" s="1118" t="str">
        <f>IF(AND(ISNUMBER(F445)),E454+F451,"")</f>
        <v/>
      </c>
      <c r="G454" s="1216" t="str">
        <f t="shared" ref="G454" si="1009">IF(AND(ISNUMBER(G445)),F454+G451,"")</f>
        <v/>
      </c>
      <c r="H454" s="1118" t="str">
        <f t="shared" ref="H454" si="1010">IF(AND(ISNUMBER(H445)),G454+H451,"")</f>
        <v/>
      </c>
      <c r="I454" s="1118" t="str">
        <f>IF(AND(ISNUMBER(I445)),H454+I451,"")</f>
        <v/>
      </c>
      <c r="J454" s="1216" t="str">
        <f>IF(AND(ISNUMBER(J445)),I454+J451,"")</f>
        <v/>
      </c>
      <c r="K454" s="1216" t="str">
        <f>IF(AND(ISNUMBER(K445)),J454+K451,"")</f>
        <v/>
      </c>
      <c r="L454" s="1118" t="str">
        <f t="shared" ref="L454" si="1011">IF(AND(ISNUMBER(L445)),K454+L451,"")</f>
        <v/>
      </c>
      <c r="M454" s="1118" t="str">
        <f t="shared" ref="M454" si="1012">IF(AND(ISNUMBER(M445)),L454+M451,"")</f>
        <v/>
      </c>
      <c r="N454" s="1118" t="str">
        <f t="shared" ref="N454" si="1013">IF(AND(ISNUMBER(N445)),M454+N451,"")</f>
        <v/>
      </c>
      <c r="O454" s="1118" t="str">
        <f t="shared" ref="O454" si="1014">IF(AND(ISNUMBER(O445)),N454+O451,"")</f>
        <v/>
      </c>
      <c r="P454" s="1118" t="str">
        <f t="shared" ref="P454" si="1015">IF(AND(ISNUMBER(P445)),O454+P451,"")</f>
        <v/>
      </c>
      <c r="Q454" s="1216" t="str">
        <f t="shared" ref="Q454" si="1016">IF(AND(ISNUMBER(Q445)),P454+Q451,"")</f>
        <v/>
      </c>
      <c r="R454" s="1216" t="str">
        <f t="shared" ref="R454" si="1017">IF(AND(ISNUMBER(R445)),Q454+R451,"")</f>
        <v/>
      </c>
      <c r="S454" s="1118" t="str">
        <f t="shared" ref="S454" si="1018">IF(AND(ISNUMBER(S445)),R454+S451,"")</f>
        <v/>
      </c>
      <c r="T454" s="1118" t="str">
        <f t="shared" ref="T454" si="1019">IF(AND(ISNUMBER(T445)),S454+T451,"")</f>
        <v/>
      </c>
      <c r="U454" s="1118" t="str">
        <f t="shared" ref="U454" si="1020">IF(AND(ISNUMBER(U445)),T454+U451,"")</f>
        <v/>
      </c>
      <c r="V454" s="1118" t="str">
        <f t="shared" ref="V454" si="1021">IF(AND(ISNUMBER(V445)),U454+V451,"")</f>
        <v/>
      </c>
      <c r="W454" s="1118" t="str">
        <f t="shared" ref="W454" si="1022">IF(AND(ISNUMBER(W445)),V454+W451,"")</f>
        <v/>
      </c>
      <c r="X454" s="1216" t="str">
        <f t="shared" ref="X454" si="1023">IF(AND(ISNUMBER(X445)),W454+X451,"")</f>
        <v/>
      </c>
      <c r="Y454" s="1216" t="str">
        <f t="shared" ref="Y454" si="1024">IF(AND(ISNUMBER(Y445)),X454+Y451,"")</f>
        <v/>
      </c>
      <c r="Z454" s="1118" t="str">
        <f t="shared" ref="Z454" si="1025">IF(AND(ISNUMBER(Z445)),Y454+Z451,"")</f>
        <v/>
      </c>
      <c r="AA454" s="1118" t="str">
        <f t="shared" ref="AA454" si="1026">IF(AND(ISNUMBER(AA445)),Z454+AA451,"")</f>
        <v/>
      </c>
      <c r="AB454" s="1118" t="str">
        <f t="shared" ref="AB454" si="1027">IF(AND(ISNUMBER(AB445)),AA454+AB451,"")</f>
        <v/>
      </c>
      <c r="AC454" s="1118" t="str">
        <f t="shared" ref="AC454" si="1028">IF(AND(ISNUMBER(AC445)),AB454+AC451,"")</f>
        <v/>
      </c>
      <c r="AD454" s="1118" t="str">
        <f t="shared" ref="AD454" si="1029">IF(AND(ISNUMBER(AD445)),AC454+AD451,"")</f>
        <v/>
      </c>
      <c r="AE454" s="1216" t="str">
        <f t="shared" ref="AE454" si="1030">IF(AND(ISNUMBER(AE445)),AD454+AE451,"")</f>
        <v/>
      </c>
      <c r="AF454" s="1216" t="str">
        <f t="shared" ref="AF454" si="1031">IF(AND(ISNUMBER(AF445)),AE454+AF451,"")</f>
        <v/>
      </c>
      <c r="AG454" s="1118" t="str">
        <f t="shared" ref="AG454" si="1032">IF(AND(ISNUMBER(AG445)),AF454+AG451,"")</f>
        <v/>
      </c>
      <c r="AH454" s="1118" t="str">
        <f t="shared" ref="AH454" si="1033">IF(AND(ISNUMBER(AH445)),AG454+AH451,"")</f>
        <v/>
      </c>
      <c r="AI454" s="1118" t="str">
        <f t="shared" ref="AI454" si="1034">IF(AND(ISNUMBER(AI445)),AH454+AI451,"")</f>
        <v/>
      </c>
      <c r="AJ454" s="793"/>
      <c r="AK454" s="793"/>
      <c r="AL454" s="909"/>
      <c r="AM454" s="794"/>
      <c r="AN454" s="429"/>
      <c r="AO454" s="675"/>
      <c r="AP454" s="285"/>
      <c r="AQ454" s="285"/>
      <c r="AR454" s="285"/>
      <c r="AS454" s="285"/>
      <c r="AT454" s="286"/>
      <c r="AU454" s="285"/>
      <c r="AV454" s="287"/>
    </row>
    <row r="455" spans="1:48" s="23" customFormat="1" ht="20.65" hidden="1" customHeight="1">
      <c r="A455" s="276"/>
      <c r="B455" s="89"/>
      <c r="C455" s="80" t="s">
        <v>108</v>
      </c>
      <c r="D455" s="90" t="s">
        <v>104</v>
      </c>
      <c r="E455" s="1108"/>
      <c r="F455" s="1089"/>
      <c r="G455" s="44"/>
      <c r="H455" s="1089"/>
      <c r="I455" s="1089"/>
      <c r="J455" s="44"/>
      <c r="K455" s="44"/>
      <c r="L455" s="1089"/>
      <c r="M455" s="1089"/>
      <c r="N455" s="1089"/>
      <c r="O455" s="1089"/>
      <c r="P455" s="1089"/>
      <c r="Q455" s="44"/>
      <c r="R455" s="44"/>
      <c r="S455" s="1089"/>
      <c r="T455" s="1089"/>
      <c r="U455" s="1089"/>
      <c r="V455" s="1089"/>
      <c r="W455" s="1089"/>
      <c r="X455" s="44"/>
      <c r="Y455" s="44"/>
      <c r="Z455" s="1089"/>
      <c r="AA455" s="1089"/>
      <c r="AB455" s="1089"/>
      <c r="AC455" s="1089"/>
      <c r="AD455" s="1089"/>
      <c r="AE455" s="44"/>
      <c r="AF455" s="44"/>
      <c r="AG455" s="1089"/>
      <c r="AH455" s="1089"/>
      <c r="AI455" s="1326"/>
      <c r="AJ455" s="79"/>
      <c r="AK455" s="79"/>
      <c r="AL455" s="690"/>
      <c r="AM455" s="940"/>
      <c r="AN455" s="301"/>
      <c r="AO455" s="680"/>
      <c r="AP455" s="285"/>
      <c r="AQ455" s="285"/>
      <c r="AR455" s="285"/>
      <c r="AS455" s="285"/>
      <c r="AT455" s="286"/>
      <c r="AU455" s="285"/>
      <c r="AV455" s="287"/>
    </row>
    <row r="456" spans="1:48" s="23" customFormat="1" ht="20.65" hidden="1" customHeight="1" thickBot="1">
      <c r="A456" s="289"/>
      <c r="B456" s="93"/>
      <c r="C456" s="291">
        <f>+C454*0.8</f>
        <v>240000</v>
      </c>
      <c r="D456" s="88" t="s">
        <v>111</v>
      </c>
      <c r="E456" s="1109">
        <f>IF(E455="O/H",E451,0+E451)</f>
        <v>0</v>
      </c>
      <c r="F456" s="1110">
        <f t="shared" ref="F456:AI456" si="1035">IF(F455="O/H",F451,+E456+F451)</f>
        <v>0</v>
      </c>
      <c r="G456" s="1212">
        <f t="shared" si="1035"/>
        <v>0</v>
      </c>
      <c r="H456" s="1110">
        <f t="shared" si="1035"/>
        <v>0</v>
      </c>
      <c r="I456" s="1110">
        <f t="shared" si="1035"/>
        <v>0</v>
      </c>
      <c r="J456" s="1212">
        <f t="shared" si="1035"/>
        <v>0</v>
      </c>
      <c r="K456" s="1212">
        <f t="shared" si="1035"/>
        <v>0</v>
      </c>
      <c r="L456" s="1110">
        <f t="shared" si="1035"/>
        <v>0</v>
      </c>
      <c r="M456" s="1110">
        <f t="shared" si="1035"/>
        <v>0</v>
      </c>
      <c r="N456" s="1110">
        <f t="shared" si="1035"/>
        <v>0</v>
      </c>
      <c r="O456" s="1110">
        <f t="shared" si="1035"/>
        <v>0</v>
      </c>
      <c r="P456" s="1110">
        <f t="shared" si="1035"/>
        <v>0</v>
      </c>
      <c r="Q456" s="1212">
        <f t="shared" si="1035"/>
        <v>0</v>
      </c>
      <c r="R456" s="1212">
        <f t="shared" si="1035"/>
        <v>0</v>
      </c>
      <c r="S456" s="1110">
        <f t="shared" si="1035"/>
        <v>0</v>
      </c>
      <c r="T456" s="1110">
        <f t="shared" si="1035"/>
        <v>0</v>
      </c>
      <c r="U456" s="1110">
        <f t="shared" si="1035"/>
        <v>0</v>
      </c>
      <c r="V456" s="1110">
        <f t="shared" si="1035"/>
        <v>0</v>
      </c>
      <c r="W456" s="1110">
        <f t="shared" si="1035"/>
        <v>0</v>
      </c>
      <c r="X456" s="1212">
        <f t="shared" si="1035"/>
        <v>0</v>
      </c>
      <c r="Y456" s="1212">
        <f t="shared" si="1035"/>
        <v>0</v>
      </c>
      <c r="Z456" s="1110">
        <f t="shared" si="1035"/>
        <v>0</v>
      </c>
      <c r="AA456" s="1110">
        <f t="shared" si="1035"/>
        <v>0</v>
      </c>
      <c r="AB456" s="1110">
        <f t="shared" si="1035"/>
        <v>0</v>
      </c>
      <c r="AC456" s="1110">
        <f t="shared" si="1035"/>
        <v>0</v>
      </c>
      <c r="AD456" s="1110">
        <f t="shared" si="1035"/>
        <v>0</v>
      </c>
      <c r="AE456" s="1212">
        <f t="shared" si="1035"/>
        <v>0</v>
      </c>
      <c r="AF456" s="1212">
        <f t="shared" si="1035"/>
        <v>0</v>
      </c>
      <c r="AG456" s="1110">
        <f t="shared" si="1035"/>
        <v>0</v>
      </c>
      <c r="AH456" s="1110">
        <f t="shared" si="1035"/>
        <v>0</v>
      </c>
      <c r="AI456" s="1340">
        <f t="shared" si="1035"/>
        <v>0</v>
      </c>
      <c r="AJ456" s="96"/>
      <c r="AK456" s="723"/>
      <c r="AL456" s="695"/>
      <c r="AM456" s="961"/>
      <c r="AN456" s="292"/>
      <c r="AO456" s="681"/>
      <c r="AP456" s="285"/>
      <c r="AQ456" s="285"/>
      <c r="AR456" s="285"/>
      <c r="AS456" s="285"/>
      <c r="AT456" s="286"/>
      <c r="AU456" s="285"/>
      <c r="AV456" s="287"/>
    </row>
    <row r="457" spans="1:48" s="23" customFormat="1" ht="20.65" hidden="1" customHeight="1" thickTop="1">
      <c r="A457" s="954" t="s">
        <v>414</v>
      </c>
      <c r="B457" s="223" t="s">
        <v>686</v>
      </c>
      <c r="C457" s="1493" t="str">
        <f>Table2[[#This Row],[M/C No.]]</f>
        <v>H11(50Ton)</v>
      </c>
      <c r="D457" s="28" t="s">
        <v>82</v>
      </c>
      <c r="E457" s="1419"/>
      <c r="F457" s="1111"/>
      <c r="G457" s="1201"/>
      <c r="H457" s="1111"/>
      <c r="I457" s="1111"/>
      <c r="J457" s="1201"/>
      <c r="K457" s="1201"/>
      <c r="L457" s="1111"/>
      <c r="M457" s="1111"/>
      <c r="N457" s="1111"/>
      <c r="O457" s="1111"/>
      <c r="P457" s="1111"/>
      <c r="Q457" s="1201"/>
      <c r="R457" s="1201"/>
      <c r="S457" s="1111"/>
      <c r="T457" s="1111"/>
      <c r="U457" s="1111"/>
      <c r="V457" s="1111"/>
      <c r="W457" s="1111"/>
      <c r="X457" s="1201"/>
      <c r="Y457" s="1201"/>
      <c r="Z457" s="1111"/>
      <c r="AA457" s="1111"/>
      <c r="AB457" s="1111"/>
      <c r="AC457" s="1111"/>
      <c r="AD457" s="1111"/>
      <c r="AE457" s="1201"/>
      <c r="AF457" s="1201"/>
      <c r="AG457" s="1111"/>
      <c r="AH457" s="1111"/>
      <c r="AI457" s="1412"/>
      <c r="AJ457" s="29">
        <f>SUM(E457:AI457)</f>
        <v>0</v>
      </c>
      <c r="AK457" s="1020">
        <f>AJ459</f>
        <v>0</v>
      </c>
      <c r="AL457" s="101">
        <v>0</v>
      </c>
      <c r="AM457" s="1019">
        <f>AL459</f>
        <v>0</v>
      </c>
      <c r="AN457" s="273">
        <v>4.1147499999999999</v>
      </c>
      <c r="AO457" s="633">
        <v>10000</v>
      </c>
      <c r="AP457" s="32" t="s">
        <v>412</v>
      </c>
      <c r="AQ457" s="33" t="s">
        <v>84</v>
      </c>
      <c r="AR457" s="33" t="s">
        <v>85</v>
      </c>
      <c r="AS457" s="33" t="s">
        <v>86</v>
      </c>
      <c r="AT457" s="33" t="s">
        <v>87</v>
      </c>
      <c r="AU457" s="33" t="s">
        <v>88</v>
      </c>
      <c r="AV457" s="34" t="s">
        <v>68</v>
      </c>
    </row>
    <row r="458" spans="1:48" s="23" customFormat="1" ht="20.65" hidden="1" customHeight="1">
      <c r="A458" s="274"/>
      <c r="B458" s="89" t="s">
        <v>394</v>
      </c>
      <c r="C458" s="275"/>
      <c r="D458" s="37" t="s">
        <v>90</v>
      </c>
      <c r="E458" s="1323">
        <f>IF(E457="",0,+ E457/E464)</f>
        <v>0</v>
      </c>
      <c r="F458" s="1096">
        <f t="shared" ref="F458:AB458" si="1036">IF(F457="",0, E458+F457/F464)</f>
        <v>0</v>
      </c>
      <c r="G458" s="1207">
        <f t="shared" si="1036"/>
        <v>0</v>
      </c>
      <c r="H458" s="1096">
        <f t="shared" si="1036"/>
        <v>0</v>
      </c>
      <c r="I458" s="1096">
        <f t="shared" si="1036"/>
        <v>0</v>
      </c>
      <c r="J458" s="1207">
        <f t="shared" si="1036"/>
        <v>0</v>
      </c>
      <c r="K458" s="1207">
        <f t="shared" si="1036"/>
        <v>0</v>
      </c>
      <c r="L458" s="1096">
        <f t="shared" si="1036"/>
        <v>0</v>
      </c>
      <c r="M458" s="1096">
        <f t="shared" si="1036"/>
        <v>0</v>
      </c>
      <c r="N458" s="1096">
        <f t="shared" si="1036"/>
        <v>0</v>
      </c>
      <c r="O458" s="1096">
        <f t="shared" si="1036"/>
        <v>0</v>
      </c>
      <c r="P458" s="1096">
        <f t="shared" si="1036"/>
        <v>0</v>
      </c>
      <c r="Q458" s="1207">
        <f t="shared" si="1036"/>
        <v>0</v>
      </c>
      <c r="R458" s="1207">
        <f t="shared" si="1036"/>
        <v>0</v>
      </c>
      <c r="S458" s="1096">
        <f t="shared" si="1036"/>
        <v>0</v>
      </c>
      <c r="T458" s="1096">
        <f t="shared" si="1036"/>
        <v>0</v>
      </c>
      <c r="U458" s="1096">
        <f t="shared" si="1036"/>
        <v>0</v>
      </c>
      <c r="V458" s="1096">
        <f t="shared" si="1036"/>
        <v>0</v>
      </c>
      <c r="W458" s="1096">
        <f t="shared" si="1036"/>
        <v>0</v>
      </c>
      <c r="X458" s="1207">
        <f t="shared" si="1036"/>
        <v>0</v>
      </c>
      <c r="Y458" s="1207">
        <f t="shared" si="1036"/>
        <v>0</v>
      </c>
      <c r="Z458" s="1096">
        <f t="shared" si="1036"/>
        <v>0</v>
      </c>
      <c r="AA458" s="1096">
        <f t="shared" si="1036"/>
        <v>0</v>
      </c>
      <c r="AB458" s="1096">
        <f t="shared" si="1036"/>
        <v>0</v>
      </c>
      <c r="AC458" s="1096">
        <f>IF(AC457="",0, AB458+AC457/AC464)</f>
        <v>0</v>
      </c>
      <c r="AD458" s="1096">
        <f>IF(AD457="",0, Z458+AD457/AD464)</f>
        <v>0</v>
      </c>
      <c r="AE458" s="1207">
        <f>IF(AE457="",0, AA458+AE457/AE464)</f>
        <v>0</v>
      </c>
      <c r="AF458" s="1207">
        <f>IF(AF457="",0, AB458+AF457/AF464)</f>
        <v>0</v>
      </c>
      <c r="AG458" s="1096">
        <f>IF(AG457="",0, AC458+AG457/AG464)</f>
        <v>0</v>
      </c>
      <c r="AH458" s="1096">
        <f>IF(AH457="",0, AD458+AH457/AH464)</f>
        <v>0</v>
      </c>
      <c r="AI458" s="1324">
        <f>IF(AI457="",0, AH458+AI457/AI464)</f>
        <v>0</v>
      </c>
      <c r="AJ458" s="716"/>
      <c r="AK458" s="716"/>
      <c r="AL458" s="209"/>
      <c r="AM458" s="794"/>
      <c r="AN458" s="91"/>
      <c r="AO458" s="675"/>
      <c r="AP458" s="39" t="s">
        <v>91</v>
      </c>
      <c r="AQ458" s="40">
        <f>SUM(E457:K457)</f>
        <v>0</v>
      </c>
      <c r="AR458" s="41">
        <f>SUM(L457:R457)</f>
        <v>0</v>
      </c>
      <c r="AS458" s="41">
        <f>SUM(S457:Y457)</f>
        <v>0</v>
      </c>
      <c r="AT458" s="41">
        <f>SUM(Z457:AF457)</f>
        <v>0</v>
      </c>
      <c r="AU458" s="41">
        <f>SUM(AG457:AI457)</f>
        <v>0</v>
      </c>
      <c r="AV458" s="34">
        <f t="shared" ref="AV458:AV463" si="1037">SUM(AQ458:AU458)</f>
        <v>0</v>
      </c>
    </row>
    <row r="459" spans="1:48" s="23" customFormat="1" ht="20.65" hidden="1" customHeight="1">
      <c r="A459" s="276" t="s">
        <v>416</v>
      </c>
      <c r="B459" s="89" t="s">
        <v>246</v>
      </c>
      <c r="C459" s="42"/>
      <c r="D459" s="43" t="s">
        <v>93</v>
      </c>
      <c r="E459" s="1108"/>
      <c r="F459" s="1089"/>
      <c r="G459" s="44"/>
      <c r="H459" s="1089"/>
      <c r="I459" s="1089"/>
      <c r="J459" s="44"/>
      <c r="K459" s="44"/>
      <c r="L459" s="1089"/>
      <c r="M459" s="1089"/>
      <c r="N459" s="1089"/>
      <c r="O459" s="1089"/>
      <c r="P459" s="1089"/>
      <c r="Q459" s="44"/>
      <c r="R459" s="44"/>
      <c r="S459" s="1089"/>
      <c r="T459" s="1089"/>
      <c r="U459" s="1089"/>
      <c r="V459" s="1089"/>
      <c r="W459" s="1089"/>
      <c r="X459" s="44"/>
      <c r="Y459" s="44"/>
      <c r="Z459" s="1089"/>
      <c r="AA459" s="1089"/>
      <c r="AB459" s="1089"/>
      <c r="AC459" s="1089"/>
      <c r="AD459" s="1089"/>
      <c r="AE459" s="44"/>
      <c r="AF459" s="44"/>
      <c r="AG459" s="1089"/>
      <c r="AH459" s="1089"/>
      <c r="AI459" s="1326"/>
      <c r="AJ459" s="45">
        <f>SUM(E459:AI459)</f>
        <v>0</v>
      </c>
      <c r="AK459" s="45"/>
      <c r="AL459" s="46">
        <f>+AJ459*AN457</f>
        <v>0</v>
      </c>
      <c r="AM459" s="934"/>
      <c r="AN459" s="277"/>
      <c r="AO459" s="632">
        <f>(AJ459+AJ461+AJ462+AJ463)*B461/1000</f>
        <v>0</v>
      </c>
      <c r="AP459" s="47" t="s">
        <v>94</v>
      </c>
      <c r="AQ459" s="48">
        <f>SUM(E459:K459)</f>
        <v>0</v>
      </c>
      <c r="AR459" s="49">
        <f>SUM(L459:R459)</f>
        <v>0</v>
      </c>
      <c r="AS459" s="49">
        <f>SUM(S459:Y459)</f>
        <v>0</v>
      </c>
      <c r="AT459" s="49">
        <f>SUM(Z459:AF459)</f>
        <v>0</v>
      </c>
      <c r="AU459" s="49">
        <f>SUM(AG459:AI459)</f>
        <v>0</v>
      </c>
      <c r="AV459" s="50">
        <f t="shared" si="1037"/>
        <v>0</v>
      </c>
    </row>
    <row r="460" spans="1:48" s="23" customFormat="1" ht="20.65" hidden="1" customHeight="1">
      <c r="A460" s="276" t="s">
        <v>416</v>
      </c>
      <c r="B460" s="763" t="s">
        <v>247</v>
      </c>
      <c r="C460" s="280"/>
      <c r="D460" s="53" t="s">
        <v>96</v>
      </c>
      <c r="E460" s="1137">
        <f t="shared" ref="E460:AJ460" si="1038">+E459-E457</f>
        <v>0</v>
      </c>
      <c r="F460" s="1097">
        <f t="shared" si="1038"/>
        <v>0</v>
      </c>
      <c r="G460" s="1205">
        <f t="shared" si="1038"/>
        <v>0</v>
      </c>
      <c r="H460" s="1097">
        <f t="shared" si="1038"/>
        <v>0</v>
      </c>
      <c r="I460" s="1097">
        <f t="shared" si="1038"/>
        <v>0</v>
      </c>
      <c r="J460" s="1205">
        <f t="shared" si="1038"/>
        <v>0</v>
      </c>
      <c r="K460" s="1205">
        <f t="shared" si="1038"/>
        <v>0</v>
      </c>
      <c r="L460" s="1097">
        <f t="shared" si="1038"/>
        <v>0</v>
      </c>
      <c r="M460" s="1097">
        <f t="shared" si="1038"/>
        <v>0</v>
      </c>
      <c r="N460" s="1097">
        <f t="shared" si="1038"/>
        <v>0</v>
      </c>
      <c r="O460" s="1097">
        <f t="shared" si="1038"/>
        <v>0</v>
      </c>
      <c r="P460" s="1097">
        <f t="shared" si="1038"/>
        <v>0</v>
      </c>
      <c r="Q460" s="1205">
        <v>0</v>
      </c>
      <c r="R460" s="1205">
        <f t="shared" si="1038"/>
        <v>0</v>
      </c>
      <c r="S460" s="1097">
        <f t="shared" si="1038"/>
        <v>0</v>
      </c>
      <c r="T460" s="1097">
        <f t="shared" si="1038"/>
        <v>0</v>
      </c>
      <c r="U460" s="1097">
        <f>+U459-U457</f>
        <v>0</v>
      </c>
      <c r="V460" s="1097">
        <f t="shared" si="1038"/>
        <v>0</v>
      </c>
      <c r="W460" s="1097">
        <f t="shared" si="1038"/>
        <v>0</v>
      </c>
      <c r="X460" s="1205">
        <f t="shared" si="1038"/>
        <v>0</v>
      </c>
      <c r="Y460" s="1205">
        <f t="shared" si="1038"/>
        <v>0</v>
      </c>
      <c r="Z460" s="1097">
        <f>+Z459-Z457</f>
        <v>0</v>
      </c>
      <c r="AA460" s="1097">
        <f t="shared" si="1038"/>
        <v>0</v>
      </c>
      <c r="AB460" s="1097">
        <f>+AB459-AB457</f>
        <v>0</v>
      </c>
      <c r="AC460" s="1097">
        <f t="shared" si="1038"/>
        <v>0</v>
      </c>
      <c r="AD460" s="1097">
        <f t="shared" si="1038"/>
        <v>0</v>
      </c>
      <c r="AE460" s="1205">
        <f t="shared" si="1038"/>
        <v>0</v>
      </c>
      <c r="AF460" s="1205">
        <f t="shared" si="1038"/>
        <v>0</v>
      </c>
      <c r="AG460" s="1097">
        <f t="shared" si="1038"/>
        <v>0</v>
      </c>
      <c r="AH460" s="1097">
        <f t="shared" si="1038"/>
        <v>0</v>
      </c>
      <c r="AI460" s="1328">
        <f t="shared" si="1038"/>
        <v>0</v>
      </c>
      <c r="AJ460" s="79">
        <f t="shared" si="1038"/>
        <v>0</v>
      </c>
      <c r="AK460" s="79"/>
      <c r="AL460" s="55">
        <f>+AJ460*AN457</f>
        <v>0</v>
      </c>
      <c r="AM460" s="935"/>
      <c r="AN460" s="277" t="s">
        <v>97</v>
      </c>
      <c r="AO460" s="622"/>
      <c r="AP460" s="39" t="s">
        <v>98</v>
      </c>
      <c r="AQ460" s="56">
        <f>AQ459-AQ458</f>
        <v>0</v>
      </c>
      <c r="AR460" s="70">
        <f>AR459-AR458</f>
        <v>0</v>
      </c>
      <c r="AS460" s="70">
        <f>AS459-AS458</f>
        <v>0</v>
      </c>
      <c r="AT460" s="70">
        <f>AT459-AT458</f>
        <v>0</v>
      </c>
      <c r="AU460" s="70">
        <f>AU459-AU458</f>
        <v>0</v>
      </c>
      <c r="AV460" s="57">
        <f t="shared" si="1037"/>
        <v>0</v>
      </c>
    </row>
    <row r="461" spans="1:48" s="23" customFormat="1" ht="20.65" hidden="1" customHeight="1">
      <c r="A461" s="276" t="s">
        <v>416</v>
      </c>
      <c r="B461" s="764">
        <v>2.0987499999999999</v>
      </c>
      <c r="C461" s="305"/>
      <c r="D461" s="61" t="s">
        <v>101</v>
      </c>
      <c r="E461" s="1098"/>
      <c r="F461" s="1099"/>
      <c r="G461" s="1208"/>
      <c r="H461" s="1099"/>
      <c r="I461" s="1099"/>
      <c r="J461" s="1208"/>
      <c r="K461" s="1208"/>
      <c r="L461" s="1099"/>
      <c r="M461" s="1099"/>
      <c r="N461" s="1099"/>
      <c r="O461" s="1099"/>
      <c r="P461" s="1099"/>
      <c r="Q461" s="1208"/>
      <c r="R461" s="1208"/>
      <c r="S461" s="1099"/>
      <c r="T461" s="1099"/>
      <c r="U461" s="1099"/>
      <c r="V461" s="1099"/>
      <c r="W461" s="1099"/>
      <c r="X461" s="1208"/>
      <c r="Y461" s="1208"/>
      <c r="Z461" s="1099"/>
      <c r="AA461" s="1099"/>
      <c r="AB461" s="1099"/>
      <c r="AC461" s="1099"/>
      <c r="AD461" s="1099"/>
      <c r="AE461" s="1208"/>
      <c r="AF461" s="1208"/>
      <c r="AG461" s="1099"/>
      <c r="AH461" s="1099"/>
      <c r="AI461" s="1330"/>
      <c r="AJ461" s="62">
        <f>SUM(E461:AI461)</f>
        <v>0</v>
      </c>
      <c r="AK461" s="62"/>
      <c r="AL461" s="63">
        <f>+AJ461*AN457</f>
        <v>0</v>
      </c>
      <c r="AM461" s="936"/>
      <c r="AN461" s="303" t="e">
        <f>+AJ461/AJ459</f>
        <v>#DIV/0!</v>
      </c>
      <c r="AO461" s="635">
        <f>AO459/AO457</f>
        <v>0</v>
      </c>
      <c r="AP461" s="39" t="s">
        <v>102</v>
      </c>
      <c r="AQ461" s="56">
        <f>SUM(E461:K461)</f>
        <v>0</v>
      </c>
      <c r="AR461" s="70">
        <f>SUM(L461:R461)</f>
        <v>0</v>
      </c>
      <c r="AS461" s="70">
        <f>SUM(S461:Y461)</f>
        <v>0</v>
      </c>
      <c r="AT461" s="70">
        <f>SUM(Z461:AF461)</f>
        <v>0</v>
      </c>
      <c r="AU461" s="70">
        <f>SUM(AG461:AI461)</f>
        <v>0</v>
      </c>
      <c r="AV461" s="57">
        <f t="shared" si="1037"/>
        <v>0</v>
      </c>
    </row>
    <row r="462" spans="1:48" s="23" customFormat="1" ht="20.65" hidden="1" customHeight="1">
      <c r="A462" s="276" t="s">
        <v>416</v>
      </c>
      <c r="B462" s="334" t="s">
        <v>390</v>
      </c>
      <c r="C462" s="52" t="s">
        <v>95</v>
      </c>
      <c r="D462" s="67" t="s">
        <v>103</v>
      </c>
      <c r="E462" s="1100"/>
      <c r="F462" s="1101"/>
      <c r="G462" s="1209"/>
      <c r="H462" s="1101"/>
      <c r="I462" s="1101"/>
      <c r="J462" s="1209"/>
      <c r="K462" s="1209"/>
      <c r="L462" s="1101"/>
      <c r="M462" s="1101"/>
      <c r="N462" s="1101"/>
      <c r="O462" s="1101"/>
      <c r="P462" s="1101"/>
      <c r="Q462" s="1209"/>
      <c r="R462" s="1209"/>
      <c r="S462" s="1101"/>
      <c r="T462" s="1101"/>
      <c r="U462" s="1101"/>
      <c r="V462" s="1101"/>
      <c r="W462" s="1101"/>
      <c r="X462" s="1209"/>
      <c r="Y462" s="1209"/>
      <c r="Z462" s="1101"/>
      <c r="AA462" s="1101"/>
      <c r="AB462" s="1101"/>
      <c r="AC462" s="1101"/>
      <c r="AD462" s="1101"/>
      <c r="AE462" s="1209"/>
      <c r="AF462" s="1209"/>
      <c r="AG462" s="1101"/>
      <c r="AH462" s="1101"/>
      <c r="AI462" s="1332"/>
      <c r="AJ462" s="68">
        <f>SUM(E462:AI462)</f>
        <v>0</v>
      </c>
      <c r="AK462" s="68"/>
      <c r="AL462" s="69">
        <f>+AJ462*AN457</f>
        <v>0</v>
      </c>
      <c r="AM462" s="937"/>
      <c r="AN462" s="277"/>
      <c r="AO462" s="679"/>
      <c r="AP462" s="39" t="s">
        <v>19</v>
      </c>
      <c r="AQ462" s="56">
        <f>AQ461*AN457</f>
        <v>0</v>
      </c>
      <c r="AR462" s="56">
        <f>AR461*AN457</f>
        <v>0</v>
      </c>
      <c r="AS462" s="56">
        <f>AS461*AN457</f>
        <v>0</v>
      </c>
      <c r="AT462" s="56">
        <f>AT461*AN457</f>
        <v>0</v>
      </c>
      <c r="AU462" s="56">
        <f>AU461*AN457</f>
        <v>0</v>
      </c>
      <c r="AV462" s="57">
        <f t="shared" si="1037"/>
        <v>0</v>
      </c>
    </row>
    <row r="463" spans="1:48" s="23" customFormat="1" ht="20.65" hidden="1" customHeight="1">
      <c r="A463" s="318"/>
      <c r="B463" s="319"/>
      <c r="C463" s="306" t="s">
        <v>387</v>
      </c>
      <c r="D463" s="73" t="s">
        <v>105</v>
      </c>
      <c r="E463" s="1115"/>
      <c r="F463" s="1116"/>
      <c r="G463" s="1215"/>
      <c r="H463" s="1116"/>
      <c r="I463" s="1116"/>
      <c r="J463" s="1215"/>
      <c r="K463" s="1215"/>
      <c r="L463" s="1116"/>
      <c r="M463" s="1116"/>
      <c r="N463" s="1116"/>
      <c r="O463" s="1103"/>
      <c r="P463" s="1103"/>
      <c r="Q463" s="1215"/>
      <c r="R463" s="1215"/>
      <c r="S463" s="1116"/>
      <c r="T463" s="1116"/>
      <c r="U463" s="1103"/>
      <c r="V463" s="1116"/>
      <c r="W463" s="1116"/>
      <c r="X463" s="1215"/>
      <c r="Y463" s="1215"/>
      <c r="Z463" s="1116"/>
      <c r="AA463" s="1116"/>
      <c r="AB463" s="1116"/>
      <c r="AC463" s="1116"/>
      <c r="AD463" s="1116"/>
      <c r="AE463" s="1215"/>
      <c r="AF463" s="1215"/>
      <c r="AG463" s="1116"/>
      <c r="AH463" s="1116"/>
      <c r="AI463" s="1334"/>
      <c r="AJ463" s="717">
        <f>SUM(E463:AI463)</f>
        <v>0</v>
      </c>
      <c r="AK463" s="717"/>
      <c r="AL463" s="75">
        <f>+AJ463*AN457</f>
        <v>0</v>
      </c>
      <c r="AM463" s="938"/>
      <c r="AN463" s="91"/>
      <c r="AO463" s="630"/>
      <c r="AP463" s="47" t="s">
        <v>106</v>
      </c>
      <c r="AQ463" s="48">
        <f>AQ459*AN457</f>
        <v>0</v>
      </c>
      <c r="AR463" s="48">
        <f>AR459*AN457</f>
        <v>0</v>
      </c>
      <c r="AS463" s="48">
        <f>AS459*AN457</f>
        <v>0</v>
      </c>
      <c r="AT463" s="48">
        <f>AT459*AN457</f>
        <v>0</v>
      </c>
      <c r="AU463" s="48">
        <f>AU459*AN457</f>
        <v>0</v>
      </c>
      <c r="AV463" s="50">
        <f t="shared" si="1037"/>
        <v>0</v>
      </c>
    </row>
    <row r="464" spans="1:48" s="23" customFormat="1" ht="20.65" hidden="1" customHeight="1">
      <c r="A464" s="330" t="s">
        <v>417</v>
      </c>
      <c r="B464" s="89"/>
      <c r="C464" s="307"/>
      <c r="D464" s="78" t="s">
        <v>107</v>
      </c>
      <c r="E464" s="1137">
        <v>4</v>
      </c>
      <c r="F464" s="1097">
        <v>4</v>
      </c>
      <c r="G464" s="1205">
        <v>4</v>
      </c>
      <c r="H464" s="1097">
        <v>4</v>
      </c>
      <c r="I464" s="1097">
        <v>4</v>
      </c>
      <c r="J464" s="1205">
        <v>4</v>
      </c>
      <c r="K464" s="1205">
        <v>4</v>
      </c>
      <c r="L464" s="1097">
        <v>4</v>
      </c>
      <c r="M464" s="1097">
        <v>4</v>
      </c>
      <c r="N464" s="1097">
        <v>4</v>
      </c>
      <c r="O464" s="1097">
        <v>4</v>
      </c>
      <c r="P464" s="1097">
        <v>4</v>
      </c>
      <c r="Q464" s="1205">
        <v>4</v>
      </c>
      <c r="R464" s="1205">
        <v>4</v>
      </c>
      <c r="S464" s="1097">
        <v>4</v>
      </c>
      <c r="T464" s="1097">
        <v>4</v>
      </c>
      <c r="U464" s="1097">
        <v>4</v>
      </c>
      <c r="V464" s="1097">
        <v>4</v>
      </c>
      <c r="W464" s="1097">
        <v>4</v>
      </c>
      <c r="X464" s="1205">
        <v>4</v>
      </c>
      <c r="Y464" s="1205">
        <v>4</v>
      </c>
      <c r="Z464" s="1097">
        <v>4</v>
      </c>
      <c r="AA464" s="1097">
        <v>4</v>
      </c>
      <c r="AB464" s="1097">
        <v>4</v>
      </c>
      <c r="AC464" s="1097">
        <v>4</v>
      </c>
      <c r="AD464" s="1097">
        <v>4</v>
      </c>
      <c r="AE464" s="1205">
        <v>4</v>
      </c>
      <c r="AF464" s="1205">
        <v>4</v>
      </c>
      <c r="AG464" s="1097">
        <v>4</v>
      </c>
      <c r="AH464" s="1097">
        <v>4</v>
      </c>
      <c r="AI464" s="1328">
        <v>4</v>
      </c>
      <c r="AJ464" s="79"/>
      <c r="AK464" s="79"/>
      <c r="AL464" s="69"/>
      <c r="AM464" s="937"/>
      <c r="AN464" s="277"/>
      <c r="AO464" s="679"/>
      <c r="AP464" s="391"/>
      <c r="AQ464" s="391"/>
      <c r="AR464" s="4"/>
      <c r="AS464" s="4"/>
      <c r="AT464" s="392"/>
      <c r="AU464" s="4"/>
      <c r="AV464" s="4"/>
    </row>
    <row r="465" spans="1:48" s="23" customFormat="1" ht="20.65" hidden="1" customHeight="1">
      <c r="A465" s="276" t="s">
        <v>416</v>
      </c>
      <c r="B465" s="89"/>
      <c r="C465" s="305"/>
      <c r="D465" s="81" t="s">
        <v>109</v>
      </c>
      <c r="E465" s="1125">
        <f>SUM(E459+E461+E462+E463)/E464</f>
        <v>0</v>
      </c>
      <c r="F465" s="1126">
        <f>SUM(F459+F461+F462+F463)/F464</f>
        <v>0</v>
      </c>
      <c r="G465" s="1235">
        <f t="shared" ref="G465:Y465" si="1039">SUM(G459+G461+G462+G463)/G464</f>
        <v>0</v>
      </c>
      <c r="H465" s="1126">
        <f t="shared" si="1039"/>
        <v>0</v>
      </c>
      <c r="I465" s="1126">
        <f t="shared" si="1039"/>
        <v>0</v>
      </c>
      <c r="J465" s="1235">
        <f t="shared" si="1039"/>
        <v>0</v>
      </c>
      <c r="K465" s="1235">
        <f t="shared" si="1039"/>
        <v>0</v>
      </c>
      <c r="L465" s="1126">
        <f t="shared" si="1039"/>
        <v>0</v>
      </c>
      <c r="M465" s="1126">
        <f t="shared" si="1039"/>
        <v>0</v>
      </c>
      <c r="N465" s="1126">
        <f t="shared" si="1039"/>
        <v>0</v>
      </c>
      <c r="O465" s="1126">
        <f t="shared" si="1039"/>
        <v>0</v>
      </c>
      <c r="P465" s="1126">
        <f t="shared" si="1039"/>
        <v>0</v>
      </c>
      <c r="Q465" s="1235">
        <f t="shared" si="1039"/>
        <v>0</v>
      </c>
      <c r="R465" s="1235">
        <f t="shared" si="1039"/>
        <v>0</v>
      </c>
      <c r="S465" s="1126">
        <f t="shared" si="1039"/>
        <v>0</v>
      </c>
      <c r="T465" s="1126">
        <f t="shared" si="1039"/>
        <v>0</v>
      </c>
      <c r="U465" s="1126">
        <f t="shared" si="1039"/>
        <v>0</v>
      </c>
      <c r="V465" s="1126">
        <f t="shared" si="1039"/>
        <v>0</v>
      </c>
      <c r="W465" s="1126">
        <f t="shared" si="1039"/>
        <v>0</v>
      </c>
      <c r="X465" s="1235">
        <f t="shared" si="1039"/>
        <v>0</v>
      </c>
      <c r="Y465" s="1235">
        <f t="shared" si="1039"/>
        <v>0</v>
      </c>
      <c r="Z465" s="1126">
        <f>SUM(Z459+Z461+Z462+Z463)/Z464</f>
        <v>0</v>
      </c>
      <c r="AA465" s="1126">
        <f>SUM(AA459+AA461+AA462+AA463)/AA464</f>
        <v>0</v>
      </c>
      <c r="AB465" s="1126">
        <f>SUM(AB459+AB461+AB462+AB463)/AB464</f>
        <v>0</v>
      </c>
      <c r="AC465" s="1126">
        <f t="shared" ref="AC465:AI465" si="1040">SUM(AC459+AC461+AC462+AC463)/AC464</f>
        <v>0</v>
      </c>
      <c r="AD465" s="1126">
        <f t="shared" si="1040"/>
        <v>0</v>
      </c>
      <c r="AE465" s="1235">
        <f t="shared" si="1040"/>
        <v>0</v>
      </c>
      <c r="AF465" s="1235">
        <f t="shared" si="1040"/>
        <v>0</v>
      </c>
      <c r="AG465" s="1126">
        <f t="shared" si="1040"/>
        <v>0</v>
      </c>
      <c r="AH465" s="1126">
        <f t="shared" si="1040"/>
        <v>0</v>
      </c>
      <c r="AI465" s="1409">
        <f t="shared" si="1040"/>
        <v>0</v>
      </c>
      <c r="AJ465" s="515">
        <f>SUM(E465:AI465)</f>
        <v>0</v>
      </c>
      <c r="AK465" s="515"/>
      <c r="AL465" s="689"/>
      <c r="AM465" s="940"/>
      <c r="AN465" s="277"/>
      <c r="AO465" s="679"/>
      <c r="AP465" s="285"/>
      <c r="AQ465" s="285"/>
      <c r="AR465" s="285"/>
      <c r="AS465" s="285"/>
      <c r="AT465" s="286"/>
      <c r="AU465" s="285"/>
      <c r="AV465" s="287"/>
    </row>
    <row r="466" spans="1:48" s="23" customFormat="1" ht="20.65" hidden="1" customHeight="1">
      <c r="A466" s="276" t="s">
        <v>416</v>
      </c>
      <c r="B466" s="89"/>
      <c r="C466" s="72"/>
      <c r="D466" s="85" t="s">
        <v>110</v>
      </c>
      <c r="E466" s="1336"/>
      <c r="F466" s="1106"/>
      <c r="G466" s="1211"/>
      <c r="H466" s="1104"/>
      <c r="I466" s="1104"/>
      <c r="J466" s="1211"/>
      <c r="K466" s="1211"/>
      <c r="L466" s="1104"/>
      <c r="M466" s="1104"/>
      <c r="N466" s="1104"/>
      <c r="O466" s="1104"/>
      <c r="P466" s="1104"/>
      <c r="Q466" s="1211"/>
      <c r="R466" s="1211"/>
      <c r="S466" s="1104"/>
      <c r="T466" s="1104"/>
      <c r="U466" s="1104"/>
      <c r="V466" s="1107"/>
      <c r="W466" s="1104"/>
      <c r="X466" s="1211"/>
      <c r="Y466" s="1211"/>
      <c r="Z466" s="1104"/>
      <c r="AA466" s="1107"/>
      <c r="AB466" s="1104"/>
      <c r="AC466" s="1104"/>
      <c r="AD466" s="1104"/>
      <c r="AE466" s="1211"/>
      <c r="AF466" s="1211"/>
      <c r="AG466" s="1104"/>
      <c r="AH466" s="1104"/>
      <c r="AI466" s="1353"/>
      <c r="AJ466" s="86"/>
      <c r="AK466" s="86"/>
      <c r="AL466" s="690"/>
      <c r="AM466" s="940"/>
      <c r="AN466" s="277"/>
      <c r="AO466" s="679"/>
      <c r="AP466" s="285"/>
      <c r="AQ466" s="285"/>
      <c r="AR466" s="285"/>
      <c r="AS466" s="285"/>
      <c r="AT466" s="286"/>
      <c r="AU466" s="285"/>
      <c r="AV466" s="287"/>
    </row>
    <row r="467" spans="1:48" s="23" customFormat="1" ht="20.65" hidden="1" customHeight="1">
      <c r="A467" s="276" t="s">
        <v>416</v>
      </c>
      <c r="B467" s="89"/>
      <c r="C467" s="72" t="s">
        <v>104</v>
      </c>
      <c r="D467" s="88" t="s">
        <v>111</v>
      </c>
      <c r="E467" s="1108">
        <f>IF(E466="O/H",E465,53132+E465)</f>
        <v>53132</v>
      </c>
      <c r="F467" s="1089">
        <f t="shared" ref="F467:AI467" si="1041">IF(F466="O/H",F465,+E467+F465)</f>
        <v>53132</v>
      </c>
      <c r="G467" s="44">
        <f t="shared" si="1041"/>
        <v>53132</v>
      </c>
      <c r="H467" s="1089">
        <f t="shared" si="1041"/>
        <v>53132</v>
      </c>
      <c r="I467" s="1089">
        <f t="shared" si="1041"/>
        <v>53132</v>
      </c>
      <c r="J467" s="44">
        <f t="shared" si="1041"/>
        <v>53132</v>
      </c>
      <c r="K467" s="44">
        <f t="shared" si="1041"/>
        <v>53132</v>
      </c>
      <c r="L467" s="1089">
        <f t="shared" si="1041"/>
        <v>53132</v>
      </c>
      <c r="M467" s="1089">
        <f t="shared" si="1041"/>
        <v>53132</v>
      </c>
      <c r="N467" s="1089">
        <f t="shared" si="1041"/>
        <v>53132</v>
      </c>
      <c r="O467" s="1089">
        <f t="shared" si="1041"/>
        <v>53132</v>
      </c>
      <c r="P467" s="1089">
        <f t="shared" si="1041"/>
        <v>53132</v>
      </c>
      <c r="Q467" s="44">
        <f t="shared" si="1041"/>
        <v>53132</v>
      </c>
      <c r="R467" s="44">
        <f t="shared" si="1041"/>
        <v>53132</v>
      </c>
      <c r="S467" s="1089">
        <f t="shared" si="1041"/>
        <v>53132</v>
      </c>
      <c r="T467" s="1089">
        <f t="shared" si="1041"/>
        <v>53132</v>
      </c>
      <c r="U467" s="1089">
        <f t="shared" si="1041"/>
        <v>53132</v>
      </c>
      <c r="V467" s="1089">
        <f t="shared" si="1041"/>
        <v>53132</v>
      </c>
      <c r="W467" s="1089">
        <f t="shared" si="1041"/>
        <v>53132</v>
      </c>
      <c r="X467" s="44">
        <f t="shared" si="1041"/>
        <v>53132</v>
      </c>
      <c r="Y467" s="44">
        <f t="shared" si="1041"/>
        <v>53132</v>
      </c>
      <c r="Z467" s="1089">
        <f t="shared" si="1041"/>
        <v>53132</v>
      </c>
      <c r="AA467" s="1089">
        <f t="shared" si="1041"/>
        <v>53132</v>
      </c>
      <c r="AB467" s="1089">
        <f t="shared" si="1041"/>
        <v>53132</v>
      </c>
      <c r="AC467" s="1089">
        <f t="shared" si="1041"/>
        <v>53132</v>
      </c>
      <c r="AD467" s="1089">
        <f t="shared" si="1041"/>
        <v>53132</v>
      </c>
      <c r="AE467" s="44">
        <f t="shared" si="1041"/>
        <v>53132</v>
      </c>
      <c r="AF467" s="44">
        <f t="shared" si="1041"/>
        <v>53132</v>
      </c>
      <c r="AG467" s="1089">
        <f t="shared" si="1041"/>
        <v>53132</v>
      </c>
      <c r="AH467" s="1089">
        <f t="shared" si="1041"/>
        <v>53132</v>
      </c>
      <c r="AI467" s="1326">
        <f t="shared" si="1041"/>
        <v>53132</v>
      </c>
      <c r="AJ467" s="79"/>
      <c r="AK467" s="79"/>
      <c r="AL467" s="690"/>
      <c r="AM467" s="940"/>
      <c r="AN467" s="277"/>
      <c r="AO467" s="679"/>
      <c r="AP467" s="285"/>
      <c r="AQ467" s="285"/>
      <c r="AR467" s="285"/>
      <c r="AS467" s="285"/>
      <c r="AT467" s="286"/>
      <c r="AU467" s="285"/>
      <c r="AV467" s="287"/>
    </row>
    <row r="468" spans="1:48" s="23" customFormat="1" ht="20.65" hidden="1" customHeight="1">
      <c r="A468" s="312"/>
      <c r="B468" s="312" t="s">
        <v>548</v>
      </c>
      <c r="C468" s="308">
        <v>300000</v>
      </c>
      <c r="D468" s="795" t="s">
        <v>112</v>
      </c>
      <c r="E468" s="1117" t="b">
        <f>IF(AND(ISNUMBER(E459)),15444771+E465)</f>
        <v>0</v>
      </c>
      <c r="F468" s="1118" t="str">
        <f>IF(AND(ISNUMBER(F459)),E468+F465,"")</f>
        <v/>
      </c>
      <c r="G468" s="1216" t="str">
        <f t="shared" ref="G468:H468" si="1042">IF(AND(ISNUMBER(G459)),F468+G465,"")</f>
        <v/>
      </c>
      <c r="H468" s="1118" t="str">
        <f t="shared" si="1042"/>
        <v/>
      </c>
      <c r="I468" s="1118" t="str">
        <f>IF(AND(ISNUMBER(I459)),H468+I465,"")</f>
        <v/>
      </c>
      <c r="J468" s="1216" t="str">
        <f>IF(AND(ISNUMBER(J459)),I468+J465,"")</f>
        <v/>
      </c>
      <c r="K468" s="1216" t="str">
        <f>IF(AND(ISNUMBER(K459)),J468+K465,"")</f>
        <v/>
      </c>
      <c r="L468" s="1118" t="str">
        <f t="shared" ref="L468:AI468" si="1043">IF(AND(ISNUMBER(L459)),K468+L465,"")</f>
        <v/>
      </c>
      <c r="M468" s="1118" t="str">
        <f t="shared" si="1043"/>
        <v/>
      </c>
      <c r="N468" s="1118" t="str">
        <f t="shared" si="1043"/>
        <v/>
      </c>
      <c r="O468" s="1118" t="str">
        <f t="shared" si="1043"/>
        <v/>
      </c>
      <c r="P468" s="1118" t="str">
        <f t="shared" si="1043"/>
        <v/>
      </c>
      <c r="Q468" s="1216" t="str">
        <f t="shared" si="1043"/>
        <v/>
      </c>
      <c r="R468" s="1216" t="str">
        <f t="shared" si="1043"/>
        <v/>
      </c>
      <c r="S468" s="1118" t="str">
        <f t="shared" si="1043"/>
        <v/>
      </c>
      <c r="T468" s="1118" t="str">
        <f t="shared" si="1043"/>
        <v/>
      </c>
      <c r="U468" s="1118" t="str">
        <f t="shared" si="1043"/>
        <v/>
      </c>
      <c r="V468" s="1118" t="str">
        <f t="shared" si="1043"/>
        <v/>
      </c>
      <c r="W468" s="1118" t="str">
        <f t="shared" si="1043"/>
        <v/>
      </c>
      <c r="X468" s="1216" t="str">
        <f t="shared" si="1043"/>
        <v/>
      </c>
      <c r="Y468" s="1216" t="str">
        <f t="shared" si="1043"/>
        <v/>
      </c>
      <c r="Z468" s="1118" t="str">
        <f t="shared" si="1043"/>
        <v/>
      </c>
      <c r="AA468" s="1118" t="str">
        <f t="shared" si="1043"/>
        <v/>
      </c>
      <c r="AB468" s="1118" t="str">
        <f t="shared" si="1043"/>
        <v/>
      </c>
      <c r="AC468" s="1118" t="str">
        <f t="shared" si="1043"/>
        <v/>
      </c>
      <c r="AD468" s="1118" t="str">
        <f t="shared" si="1043"/>
        <v/>
      </c>
      <c r="AE468" s="1216" t="str">
        <f t="shared" si="1043"/>
        <v/>
      </c>
      <c r="AF468" s="1216" t="str">
        <f t="shared" si="1043"/>
        <v/>
      </c>
      <c r="AG468" s="1118" t="str">
        <f t="shared" si="1043"/>
        <v/>
      </c>
      <c r="AH468" s="1118" t="str">
        <f t="shared" si="1043"/>
        <v/>
      </c>
      <c r="AI468" s="1089" t="str">
        <f t="shared" si="1043"/>
        <v/>
      </c>
      <c r="AJ468" s="793"/>
      <c r="AK468" s="793"/>
      <c r="AL468" s="909"/>
      <c r="AM468" s="794"/>
      <c r="AN468" s="429"/>
      <c r="AO468" s="675"/>
      <c r="AP468" s="285"/>
      <c r="AQ468" s="285"/>
      <c r="AR468" s="285"/>
      <c r="AS468" s="285"/>
      <c r="AT468" s="286"/>
      <c r="AU468" s="285"/>
      <c r="AV468" s="287"/>
    </row>
    <row r="469" spans="1:48" s="23" customFormat="1" ht="20.65" hidden="1" customHeight="1">
      <c r="A469" s="276"/>
      <c r="B469" s="89"/>
      <c r="C469" s="80" t="s">
        <v>108</v>
      </c>
      <c r="D469" s="90" t="s">
        <v>104</v>
      </c>
      <c r="E469" s="1108"/>
      <c r="F469" s="1089"/>
      <c r="G469" s="44"/>
      <c r="H469" s="1089"/>
      <c r="I469" s="1089"/>
      <c r="J469" s="44"/>
      <c r="K469" s="44"/>
      <c r="L469" s="1089"/>
      <c r="M469" s="1089"/>
      <c r="N469" s="1089"/>
      <c r="O469" s="1106"/>
      <c r="P469" s="1089"/>
      <c r="Q469" s="44"/>
      <c r="R469" s="44"/>
      <c r="S469" s="1089"/>
      <c r="T469" s="1089"/>
      <c r="U469" s="1089"/>
      <c r="V469" s="1089"/>
      <c r="W469" s="1089"/>
      <c r="X469" s="44"/>
      <c r="Y469" s="44"/>
      <c r="Z469" s="1089"/>
      <c r="AA469" s="1089"/>
      <c r="AB469" s="1089"/>
      <c r="AC469" s="1089"/>
      <c r="AD469" s="1089"/>
      <c r="AE469" s="44"/>
      <c r="AF469" s="44"/>
      <c r="AG469" s="1089"/>
      <c r="AH469" s="1089"/>
      <c r="AI469" s="1326"/>
      <c r="AJ469" s="79"/>
      <c r="AK469" s="79"/>
      <c r="AL469" s="690"/>
      <c r="AM469" s="940"/>
      <c r="AN469" s="301"/>
      <c r="AO469" s="680"/>
      <c r="AP469" s="285"/>
      <c r="AQ469" s="285"/>
      <c r="AR469" s="285"/>
      <c r="AS469" s="285"/>
      <c r="AT469" s="286"/>
      <c r="AU469" s="285"/>
      <c r="AV469" s="287"/>
    </row>
    <row r="470" spans="1:48" s="23" customFormat="1" ht="20.65" hidden="1" customHeight="1" thickBot="1">
      <c r="A470" s="289"/>
      <c r="B470" s="93"/>
      <c r="C470" s="291">
        <f>+C468*0.8</f>
        <v>240000</v>
      </c>
      <c r="D470" s="88" t="s">
        <v>111</v>
      </c>
      <c r="E470" s="1109">
        <f>IF(E469="O/H",E465,319357+E465)</f>
        <v>319357</v>
      </c>
      <c r="F470" s="1110">
        <f t="shared" ref="F470:AI470" si="1044">IF(F469="O/H",F465,+E470+F465)</f>
        <v>319357</v>
      </c>
      <c r="G470" s="1212">
        <f t="shared" si="1044"/>
        <v>319357</v>
      </c>
      <c r="H470" s="1110">
        <f t="shared" si="1044"/>
        <v>319357</v>
      </c>
      <c r="I470" s="1110">
        <f t="shared" si="1044"/>
        <v>319357</v>
      </c>
      <c r="J470" s="1212">
        <f t="shared" si="1044"/>
        <v>319357</v>
      </c>
      <c r="K470" s="1212">
        <f t="shared" si="1044"/>
        <v>319357</v>
      </c>
      <c r="L470" s="1110">
        <f t="shared" si="1044"/>
        <v>319357</v>
      </c>
      <c r="M470" s="1110">
        <f t="shared" si="1044"/>
        <v>319357</v>
      </c>
      <c r="N470" s="1110">
        <f t="shared" si="1044"/>
        <v>319357</v>
      </c>
      <c r="O470" s="1110">
        <f t="shared" si="1044"/>
        <v>319357</v>
      </c>
      <c r="P470" s="1110">
        <f t="shared" si="1044"/>
        <v>319357</v>
      </c>
      <c r="Q470" s="1212">
        <f t="shared" si="1044"/>
        <v>319357</v>
      </c>
      <c r="R470" s="1212">
        <f t="shared" si="1044"/>
        <v>319357</v>
      </c>
      <c r="S470" s="1110">
        <f t="shared" si="1044"/>
        <v>319357</v>
      </c>
      <c r="T470" s="1110">
        <f t="shared" si="1044"/>
        <v>319357</v>
      </c>
      <c r="U470" s="1110">
        <f t="shared" si="1044"/>
        <v>319357</v>
      </c>
      <c r="V470" s="1110">
        <f t="shared" si="1044"/>
        <v>319357</v>
      </c>
      <c r="W470" s="1110">
        <f t="shared" si="1044"/>
        <v>319357</v>
      </c>
      <c r="X470" s="1212">
        <f t="shared" si="1044"/>
        <v>319357</v>
      </c>
      <c r="Y470" s="1212">
        <f t="shared" si="1044"/>
        <v>319357</v>
      </c>
      <c r="Z470" s="1110">
        <f t="shared" si="1044"/>
        <v>319357</v>
      </c>
      <c r="AA470" s="1110">
        <f t="shared" si="1044"/>
        <v>319357</v>
      </c>
      <c r="AB470" s="1110">
        <f t="shared" si="1044"/>
        <v>319357</v>
      </c>
      <c r="AC470" s="1110">
        <f t="shared" si="1044"/>
        <v>319357</v>
      </c>
      <c r="AD470" s="1110">
        <f t="shared" si="1044"/>
        <v>319357</v>
      </c>
      <c r="AE470" s="1212">
        <f t="shared" si="1044"/>
        <v>319357</v>
      </c>
      <c r="AF470" s="1212">
        <f t="shared" si="1044"/>
        <v>319357</v>
      </c>
      <c r="AG470" s="1110">
        <f t="shared" si="1044"/>
        <v>319357</v>
      </c>
      <c r="AH470" s="1110">
        <f t="shared" si="1044"/>
        <v>319357</v>
      </c>
      <c r="AI470" s="1340">
        <f t="shared" si="1044"/>
        <v>319357</v>
      </c>
      <c r="AJ470" s="96"/>
      <c r="AK470" s="723"/>
      <c r="AL470" s="695"/>
      <c r="AM470" s="961"/>
      <c r="AN470" s="292"/>
      <c r="AO470" s="681"/>
      <c r="AP470" s="285"/>
      <c r="AQ470" s="285"/>
      <c r="AR470" s="285"/>
      <c r="AS470" s="285"/>
      <c r="AT470" s="286"/>
      <c r="AU470" s="285"/>
      <c r="AV470" s="287"/>
    </row>
    <row r="471" spans="1:48" s="23" customFormat="1" ht="20.65" hidden="1" customHeight="1" thickTop="1">
      <c r="A471" s="283" t="s">
        <v>421</v>
      </c>
      <c r="B471" s="208" t="s">
        <v>681</v>
      </c>
      <c r="C471" s="1493" t="str">
        <f>Table2[[#This Row],[M/C No.]]</f>
        <v>H12(50Ton)</v>
      </c>
      <c r="D471" s="28" t="s">
        <v>82</v>
      </c>
      <c r="E471" s="1419"/>
      <c r="F471" s="1111"/>
      <c r="G471" s="1201"/>
      <c r="H471" s="1111"/>
      <c r="I471" s="1111"/>
      <c r="J471" s="1201"/>
      <c r="K471" s="1201"/>
      <c r="L471" s="1111"/>
      <c r="M471" s="1111"/>
      <c r="N471" s="1139"/>
      <c r="O471" s="1139"/>
      <c r="P471" s="1111"/>
      <c r="Q471" s="1201"/>
      <c r="R471" s="1201"/>
      <c r="S471" s="1111"/>
      <c r="T471" s="1111"/>
      <c r="U471" s="1111"/>
      <c r="V471" s="1139"/>
      <c r="W471" s="1111"/>
      <c r="X471" s="1201"/>
      <c r="Y471" s="1201"/>
      <c r="Z471" s="1111"/>
      <c r="AA471" s="1111"/>
      <c r="AB471" s="1139"/>
      <c r="AC471" s="1139"/>
      <c r="AD471" s="1111"/>
      <c r="AE471" s="1201"/>
      <c r="AF471" s="1201"/>
      <c r="AG471" s="1111"/>
      <c r="AH471" s="1111"/>
      <c r="AI471" s="1111"/>
      <c r="AJ471" s="720">
        <f>SUM(E471:AI471)</f>
        <v>0</v>
      </c>
      <c r="AK471" s="1020">
        <f>AJ473</f>
        <v>0</v>
      </c>
      <c r="AL471" s="101">
        <f>+AJ471*AN471</f>
        <v>0</v>
      </c>
      <c r="AM471" s="1019">
        <f>AL473</f>
        <v>0</v>
      </c>
      <c r="AN471" s="293">
        <v>8.0529399999999995</v>
      </c>
      <c r="AO471" s="633">
        <f>Table2[[#This Row],[Total]]*B475/1000</f>
        <v>0</v>
      </c>
      <c r="AP471" s="32" t="s">
        <v>418</v>
      </c>
      <c r="AQ471" s="33" t="s">
        <v>84</v>
      </c>
      <c r="AR471" s="33" t="s">
        <v>85</v>
      </c>
      <c r="AS471" s="33" t="s">
        <v>86</v>
      </c>
      <c r="AT471" s="33" t="s">
        <v>87</v>
      </c>
      <c r="AU471" s="33" t="s">
        <v>88</v>
      </c>
      <c r="AV471" s="34" t="s">
        <v>68</v>
      </c>
    </row>
    <row r="472" spans="1:48" s="23" customFormat="1" ht="20.65" hidden="1" customHeight="1">
      <c r="A472" s="274"/>
      <c r="B472" s="208" t="s">
        <v>406</v>
      </c>
      <c r="C472" s="275"/>
      <c r="D472" s="37" t="s">
        <v>90</v>
      </c>
      <c r="E472" s="1323">
        <f>IF(E471="",0,+ E471/E478)</f>
        <v>0</v>
      </c>
      <c r="F472" s="1096">
        <f t="shared" ref="F472:AC472" si="1045">IF(F471="",0, E472+F471/F478)</f>
        <v>0</v>
      </c>
      <c r="G472" s="1207">
        <f t="shared" si="1045"/>
        <v>0</v>
      </c>
      <c r="H472" s="1096">
        <f t="shared" si="1045"/>
        <v>0</v>
      </c>
      <c r="I472" s="1096">
        <f t="shared" si="1045"/>
        <v>0</v>
      </c>
      <c r="J472" s="1207">
        <f t="shared" si="1045"/>
        <v>0</v>
      </c>
      <c r="K472" s="1207">
        <f t="shared" si="1045"/>
        <v>0</v>
      </c>
      <c r="L472" s="1096">
        <f t="shared" si="1045"/>
        <v>0</v>
      </c>
      <c r="M472" s="1096">
        <f t="shared" si="1045"/>
        <v>0</v>
      </c>
      <c r="N472" s="1096">
        <f t="shared" si="1045"/>
        <v>0</v>
      </c>
      <c r="O472" s="1096">
        <f t="shared" si="1045"/>
        <v>0</v>
      </c>
      <c r="P472" s="1096">
        <f t="shared" si="1045"/>
        <v>0</v>
      </c>
      <c r="Q472" s="1207">
        <f t="shared" si="1045"/>
        <v>0</v>
      </c>
      <c r="R472" s="1207">
        <f t="shared" si="1045"/>
        <v>0</v>
      </c>
      <c r="S472" s="1096">
        <f t="shared" si="1045"/>
        <v>0</v>
      </c>
      <c r="T472" s="1096">
        <f t="shared" si="1045"/>
        <v>0</v>
      </c>
      <c r="U472" s="1096">
        <f t="shared" si="1045"/>
        <v>0</v>
      </c>
      <c r="V472" s="1096">
        <f t="shared" si="1045"/>
        <v>0</v>
      </c>
      <c r="W472" s="1096">
        <f t="shared" si="1045"/>
        <v>0</v>
      </c>
      <c r="X472" s="1207">
        <f t="shared" si="1045"/>
        <v>0</v>
      </c>
      <c r="Y472" s="1207">
        <f t="shared" si="1045"/>
        <v>0</v>
      </c>
      <c r="Z472" s="1096">
        <f t="shared" si="1045"/>
        <v>0</v>
      </c>
      <c r="AA472" s="1096">
        <f t="shared" si="1045"/>
        <v>0</v>
      </c>
      <c r="AB472" s="1096">
        <f t="shared" si="1045"/>
        <v>0</v>
      </c>
      <c r="AC472" s="1096">
        <f t="shared" si="1045"/>
        <v>0</v>
      </c>
      <c r="AD472" s="1096">
        <f>IF(AD471="",0, Z472+AD471/AD478)</f>
        <v>0</v>
      </c>
      <c r="AE472" s="1207">
        <f>IF(AE471="",0, AA472+AE471/AE478)</f>
        <v>0</v>
      </c>
      <c r="AF472" s="1207">
        <f>IF(AF471="",0, AB472+AF471/AF478)</f>
        <v>0</v>
      </c>
      <c r="AG472" s="1096">
        <f>IF(AG471="",0, AC472+AG471/AG478)</f>
        <v>0</v>
      </c>
      <c r="AH472" s="1096">
        <f>IF(AH471="",0, AD472+AH471/AH478)</f>
        <v>0</v>
      </c>
      <c r="AI472" s="1324">
        <f>IF(AI471="",0, AH472+AI471/AI478)</f>
        <v>0</v>
      </c>
      <c r="AJ472" s="716"/>
      <c r="AK472" s="716"/>
      <c r="AL472" s="209"/>
      <c r="AM472" s="794"/>
      <c r="AN472" s="91"/>
      <c r="AO472" s="675"/>
      <c r="AP472" s="39" t="s">
        <v>91</v>
      </c>
      <c r="AQ472" s="40">
        <f>SUM(E471:I471)</f>
        <v>0</v>
      </c>
      <c r="AR472" s="41">
        <f>SUM(J471:P471)</f>
        <v>0</v>
      </c>
      <c r="AS472" s="41">
        <f>SUM(Q471:W471)</f>
        <v>0</v>
      </c>
      <c r="AT472" s="41">
        <f>SUM(X471:AD471)</f>
        <v>0</v>
      </c>
      <c r="AU472" s="41">
        <f>SUM(AE471:AI471)</f>
        <v>0</v>
      </c>
      <c r="AV472" s="34">
        <f t="shared" ref="AV472:AV477" si="1046">SUM(AQ472:AU472)</f>
        <v>0</v>
      </c>
    </row>
    <row r="473" spans="1:48" s="23" customFormat="1" ht="20.65" hidden="1" customHeight="1">
      <c r="A473" s="276" t="s">
        <v>419</v>
      </c>
      <c r="B473" s="89" t="s">
        <v>246</v>
      </c>
      <c r="C473" s="275" t="s">
        <v>95</v>
      </c>
      <c r="D473" s="43" t="s">
        <v>93</v>
      </c>
      <c r="E473" s="1108"/>
      <c r="F473" s="1089"/>
      <c r="G473" s="44"/>
      <c r="H473" s="1089"/>
      <c r="I473" s="1089"/>
      <c r="J473" s="44"/>
      <c r="K473" s="44"/>
      <c r="L473" s="1089"/>
      <c r="M473" s="1089"/>
      <c r="N473" s="1089"/>
      <c r="O473" s="1089"/>
      <c r="P473" s="1089"/>
      <c r="Q473" s="44"/>
      <c r="R473" s="44"/>
      <c r="S473" s="1089"/>
      <c r="T473" s="1089"/>
      <c r="U473" s="1089"/>
      <c r="V473" s="1089"/>
      <c r="W473" s="1089"/>
      <c r="X473" s="44"/>
      <c r="Y473" s="44"/>
      <c r="Z473" s="1089"/>
      <c r="AA473" s="1089"/>
      <c r="AB473" s="1089"/>
      <c r="AC473" s="1089"/>
      <c r="AD473" s="1089"/>
      <c r="AE473" s="44"/>
      <c r="AF473" s="44"/>
      <c r="AG473" s="1089"/>
      <c r="AH473" s="1089"/>
      <c r="AI473" s="1326"/>
      <c r="AJ473" s="45">
        <f>SUM(E473:AI473)</f>
        <v>0</v>
      </c>
      <c r="AK473" s="45"/>
      <c r="AL473" s="46">
        <f>+AJ473*AN471</f>
        <v>0</v>
      </c>
      <c r="AM473" s="934"/>
      <c r="AN473" s="277"/>
      <c r="AO473" s="632">
        <f>(AJ473+AJ475+AJ476+AJ477)*B475/1000</f>
        <v>0</v>
      </c>
      <c r="AP473" s="47" t="s">
        <v>94</v>
      </c>
      <c r="AQ473" s="48">
        <f>SUM(E473:I473)</f>
        <v>0</v>
      </c>
      <c r="AR473" s="49">
        <f>SUM(J473:P473)</f>
        <v>0</v>
      </c>
      <c r="AS473" s="49">
        <f>SUM(Q473:W473)</f>
        <v>0</v>
      </c>
      <c r="AT473" s="49">
        <f>SUM(X473:AD473)</f>
        <v>0</v>
      </c>
      <c r="AU473" s="49">
        <f>SUM(AE473:AI473)</f>
        <v>0</v>
      </c>
      <c r="AV473" s="50">
        <f t="shared" si="1046"/>
        <v>0</v>
      </c>
    </row>
    <row r="474" spans="1:48" s="23" customFormat="1" ht="20.65" hidden="1" customHeight="1">
      <c r="A474" s="276" t="s">
        <v>419</v>
      </c>
      <c r="B474" s="873" t="s">
        <v>390</v>
      </c>
      <c r="C474" s="1498">
        <v>33750</v>
      </c>
      <c r="D474" s="53" t="s">
        <v>96</v>
      </c>
      <c r="E474" s="1137">
        <f t="shared" ref="E474:AJ474" si="1047">+E473-E471</f>
        <v>0</v>
      </c>
      <c r="F474" s="1097">
        <f t="shared" si="1047"/>
        <v>0</v>
      </c>
      <c r="G474" s="1205">
        <f t="shared" ref="G474" si="1048">+G473-G471</f>
        <v>0</v>
      </c>
      <c r="H474" s="1097">
        <f t="shared" si="1047"/>
        <v>0</v>
      </c>
      <c r="I474" s="1097">
        <f t="shared" ref="I474:L474" si="1049">+I473-I471</f>
        <v>0</v>
      </c>
      <c r="J474" s="1205">
        <f t="shared" si="1049"/>
        <v>0</v>
      </c>
      <c r="K474" s="1205">
        <f t="shared" si="1049"/>
        <v>0</v>
      </c>
      <c r="L474" s="1097">
        <f t="shared" si="1049"/>
        <v>0</v>
      </c>
      <c r="M474" s="1097">
        <f>+M473-M471</f>
        <v>0</v>
      </c>
      <c r="N474" s="1097">
        <f t="shared" ref="N474:U474" si="1050">+N473-N471</f>
        <v>0</v>
      </c>
      <c r="O474" s="1097">
        <f t="shared" si="1050"/>
        <v>0</v>
      </c>
      <c r="P474" s="1097">
        <f t="shared" si="1050"/>
        <v>0</v>
      </c>
      <c r="Q474" s="1205">
        <f t="shared" si="1050"/>
        <v>0</v>
      </c>
      <c r="R474" s="1205">
        <f t="shared" si="1050"/>
        <v>0</v>
      </c>
      <c r="S474" s="1097">
        <f t="shared" si="1050"/>
        <v>0</v>
      </c>
      <c r="T474" s="1097">
        <f t="shared" si="1050"/>
        <v>0</v>
      </c>
      <c r="U474" s="1097">
        <f t="shared" si="1050"/>
        <v>0</v>
      </c>
      <c r="V474" s="1097">
        <f t="shared" ref="V474" si="1051">+V473-V471</f>
        <v>0</v>
      </c>
      <c r="W474" s="1097">
        <f t="shared" ref="W474" si="1052">+W473-W471</f>
        <v>0</v>
      </c>
      <c r="X474" s="1205">
        <f t="shared" ref="X474" si="1053">+X473-X471</f>
        <v>0</v>
      </c>
      <c r="Y474" s="1205">
        <f t="shared" si="1047"/>
        <v>0</v>
      </c>
      <c r="Z474" s="1097">
        <f t="shared" si="1047"/>
        <v>0</v>
      </c>
      <c r="AA474" s="1097">
        <f t="shared" si="1047"/>
        <v>0</v>
      </c>
      <c r="AB474" s="1097">
        <f t="shared" si="1047"/>
        <v>0</v>
      </c>
      <c r="AC474" s="1097">
        <f t="shared" si="1047"/>
        <v>0</v>
      </c>
      <c r="AD474" s="1097">
        <f t="shared" si="1047"/>
        <v>0</v>
      </c>
      <c r="AE474" s="1205">
        <f t="shared" si="1047"/>
        <v>0</v>
      </c>
      <c r="AF474" s="1205">
        <f t="shared" si="1047"/>
        <v>0</v>
      </c>
      <c r="AG474" s="1097">
        <f>+AG473-AG471</f>
        <v>0</v>
      </c>
      <c r="AH474" s="1097">
        <f t="shared" si="1047"/>
        <v>0</v>
      </c>
      <c r="AI474" s="1328">
        <f t="shared" si="1047"/>
        <v>0</v>
      </c>
      <c r="AJ474" s="79">
        <f t="shared" si="1047"/>
        <v>0</v>
      </c>
      <c r="AK474" s="79"/>
      <c r="AL474" s="55">
        <f>+AJ474*AN471</f>
        <v>0</v>
      </c>
      <c r="AM474" s="935"/>
      <c r="AN474" s="277" t="s">
        <v>97</v>
      </c>
      <c r="AO474" s="622"/>
      <c r="AP474" s="39" t="s">
        <v>98</v>
      </c>
      <c r="AQ474" s="56">
        <f>AQ473-AQ472</f>
        <v>0</v>
      </c>
      <c r="AR474" s="70">
        <f>AR473-AR472</f>
        <v>0</v>
      </c>
      <c r="AS474" s="70">
        <f>AS473-AS472</f>
        <v>0</v>
      </c>
      <c r="AT474" s="70">
        <f>AT473-AT472</f>
        <v>0</v>
      </c>
      <c r="AU474" s="70">
        <f>AU473-AU472</f>
        <v>0</v>
      </c>
      <c r="AV474" s="57">
        <f t="shared" si="1046"/>
        <v>0</v>
      </c>
    </row>
    <row r="475" spans="1:48" s="23" customFormat="1" ht="20.65" hidden="1" customHeight="1">
      <c r="A475" s="276" t="s">
        <v>419</v>
      </c>
      <c r="B475" s="658">
        <v>2.9820000000000002</v>
      </c>
      <c r="C475" s="89" t="s">
        <v>108</v>
      </c>
      <c r="D475" s="61" t="s">
        <v>101</v>
      </c>
      <c r="E475" s="1098"/>
      <c r="F475" s="1099"/>
      <c r="G475" s="1208"/>
      <c r="H475" s="1099"/>
      <c r="I475" s="1099"/>
      <c r="J475" s="1208"/>
      <c r="K475" s="1208"/>
      <c r="L475" s="1099"/>
      <c r="M475" s="1099"/>
      <c r="N475" s="1099"/>
      <c r="O475" s="1099"/>
      <c r="P475" s="1099"/>
      <c r="Q475" s="1208"/>
      <c r="R475" s="1208"/>
      <c r="S475" s="1099"/>
      <c r="T475" s="1099"/>
      <c r="U475" s="1099"/>
      <c r="V475" s="1099"/>
      <c r="W475" s="1099"/>
      <c r="X475" s="1208"/>
      <c r="Y475" s="1208"/>
      <c r="Z475" s="1099"/>
      <c r="AA475" s="1099"/>
      <c r="AB475" s="1099"/>
      <c r="AC475" s="1099"/>
      <c r="AD475" s="1099"/>
      <c r="AE475" s="1208"/>
      <c r="AF475" s="1208"/>
      <c r="AG475" s="1099"/>
      <c r="AH475" s="1099"/>
      <c r="AI475" s="1330"/>
      <c r="AJ475" s="62">
        <f>SUM(E475:AI475)</f>
        <v>0</v>
      </c>
      <c r="AK475" s="62"/>
      <c r="AL475" s="63">
        <f>+AJ475*AN471</f>
        <v>0</v>
      </c>
      <c r="AM475" s="936"/>
      <c r="AN475" s="301" t="e">
        <f>+AJ475/AJ473*100</f>
        <v>#DIV/0!</v>
      </c>
      <c r="AO475" s="635" t="e">
        <f>AO473/AO471</f>
        <v>#DIV/0!</v>
      </c>
      <c r="AP475" s="39" t="s">
        <v>102</v>
      </c>
      <c r="AQ475" s="56">
        <f>SUM(E475:I475)</f>
        <v>0</v>
      </c>
      <c r="AR475" s="70">
        <f>SUM(J475:P475)</f>
        <v>0</v>
      </c>
      <c r="AS475" s="70">
        <f>SUM(Q475:W475)</f>
        <v>0</v>
      </c>
      <c r="AT475" s="70">
        <f>SUM(X475:AD475)</f>
        <v>0</v>
      </c>
      <c r="AU475" s="70">
        <f>SUM(AE475:AI475)</f>
        <v>0</v>
      </c>
      <c r="AV475" s="57">
        <f t="shared" si="1046"/>
        <v>0</v>
      </c>
    </row>
    <row r="476" spans="1:48" s="23" customFormat="1" ht="20.65" hidden="1" customHeight="1">
      <c r="A476" s="276" t="s">
        <v>420</v>
      </c>
      <c r="B476" s="208"/>
      <c r="C476" s="1248">
        <f>+C474*0.8</f>
        <v>27000</v>
      </c>
      <c r="D476" s="67" t="s">
        <v>103</v>
      </c>
      <c r="E476" s="1100"/>
      <c r="F476" s="1101"/>
      <c r="G476" s="1209"/>
      <c r="H476" s="1101"/>
      <c r="I476" s="1101"/>
      <c r="J476" s="1209"/>
      <c r="K476" s="1209"/>
      <c r="L476" s="1101"/>
      <c r="M476" s="1101"/>
      <c r="N476" s="1101"/>
      <c r="O476" s="1101"/>
      <c r="P476" s="1101"/>
      <c r="Q476" s="1209"/>
      <c r="R476" s="1209"/>
      <c r="S476" s="1101"/>
      <c r="T476" s="1101"/>
      <c r="U476" s="1101"/>
      <c r="V476" s="1101"/>
      <c r="W476" s="1101"/>
      <c r="X476" s="1209"/>
      <c r="Y476" s="1209"/>
      <c r="Z476" s="1101"/>
      <c r="AA476" s="1101"/>
      <c r="AB476" s="1101"/>
      <c r="AC476" s="1101"/>
      <c r="AD476" s="1101"/>
      <c r="AE476" s="1209"/>
      <c r="AF476" s="1209"/>
      <c r="AG476" s="1101"/>
      <c r="AH476" s="1101"/>
      <c r="AI476" s="1332"/>
      <c r="AJ476" s="68">
        <f>SUM(E476:AI476)</f>
        <v>0</v>
      </c>
      <c r="AK476" s="68"/>
      <c r="AL476" s="69">
        <f>+AJ476*AN471</f>
        <v>0</v>
      </c>
      <c r="AM476" s="937"/>
      <c r="AN476" s="277"/>
      <c r="AO476" s="679"/>
      <c r="AP476" s="39" t="s">
        <v>19</v>
      </c>
      <c r="AQ476" s="56">
        <f>AQ475*AN471</f>
        <v>0</v>
      </c>
      <c r="AR476" s="56">
        <f>AR475*AN471</f>
        <v>0</v>
      </c>
      <c r="AS476" s="56">
        <f>AS475*AN471</f>
        <v>0</v>
      </c>
      <c r="AT476" s="56">
        <f>AT475*AN471</f>
        <v>0</v>
      </c>
      <c r="AU476" s="56">
        <f>AU475*AN471</f>
        <v>0</v>
      </c>
      <c r="AV476" s="57">
        <f t="shared" si="1046"/>
        <v>0</v>
      </c>
    </row>
    <row r="477" spans="1:48" s="23" customFormat="1" ht="20.65" hidden="1" customHeight="1">
      <c r="A477" s="330" t="s">
        <v>421</v>
      </c>
      <c r="B477" s="208"/>
      <c r="C477" s="306"/>
      <c r="D477" s="73" t="s">
        <v>105</v>
      </c>
      <c r="E477" s="1102"/>
      <c r="F477" s="1103"/>
      <c r="G477" s="1210"/>
      <c r="H477" s="1103"/>
      <c r="I477" s="1103"/>
      <c r="J477" s="1210"/>
      <c r="K477" s="1210"/>
      <c r="L477" s="1103"/>
      <c r="M477" s="1103"/>
      <c r="N477" s="1103"/>
      <c r="O477" s="1103"/>
      <c r="P477" s="1103"/>
      <c r="Q477" s="1210"/>
      <c r="R477" s="1210"/>
      <c r="S477" s="1103"/>
      <c r="T477" s="1103"/>
      <c r="U477" s="1103"/>
      <c r="V477" s="1103"/>
      <c r="W477" s="1103"/>
      <c r="X477" s="1210"/>
      <c r="Y477" s="1210"/>
      <c r="Z477" s="1103"/>
      <c r="AA477" s="1103"/>
      <c r="AB477" s="1103"/>
      <c r="AC477" s="1103"/>
      <c r="AD477" s="1103"/>
      <c r="AE477" s="1210"/>
      <c r="AF477" s="1210"/>
      <c r="AG477" s="1103"/>
      <c r="AH477" s="1103"/>
      <c r="AI477" s="1352"/>
      <c r="AJ477" s="74">
        <f>SUM(E477:AI477)</f>
        <v>0</v>
      </c>
      <c r="AK477" s="74"/>
      <c r="AL477" s="75">
        <f>+AJ477*AN471</f>
        <v>0</v>
      </c>
      <c r="AM477" s="938"/>
      <c r="AN477" s="91"/>
      <c r="AO477" s="630"/>
      <c r="AP477" s="47" t="s">
        <v>106</v>
      </c>
      <c r="AQ477" s="48">
        <f>AQ473*AN471</f>
        <v>0</v>
      </c>
      <c r="AR477" s="48">
        <f>AR473*AN471</f>
        <v>0</v>
      </c>
      <c r="AS477" s="48">
        <f>AS473*AN471</f>
        <v>0</v>
      </c>
      <c r="AT477" s="48">
        <f>AT473*AN471</f>
        <v>0</v>
      </c>
      <c r="AU477" s="48">
        <f>AU473*AN471</f>
        <v>0</v>
      </c>
      <c r="AV477" s="50">
        <f t="shared" si="1046"/>
        <v>0</v>
      </c>
    </row>
    <row r="478" spans="1:48" s="23" customFormat="1" ht="20.65" hidden="1" customHeight="1">
      <c r="A478" s="276" t="s">
        <v>419</v>
      </c>
      <c r="B478" s="208"/>
      <c r="C478" s="307"/>
      <c r="D478" s="78" t="s">
        <v>107</v>
      </c>
      <c r="E478" s="1137">
        <v>4</v>
      </c>
      <c r="F478" s="1097">
        <v>4</v>
      </c>
      <c r="G478" s="1205">
        <v>4</v>
      </c>
      <c r="H478" s="1097">
        <v>4</v>
      </c>
      <c r="I478" s="1097">
        <v>4</v>
      </c>
      <c r="J478" s="1205">
        <v>4</v>
      </c>
      <c r="K478" s="1205">
        <v>4</v>
      </c>
      <c r="L478" s="1097">
        <v>4</v>
      </c>
      <c r="M478" s="1097">
        <v>4</v>
      </c>
      <c r="N478" s="1097">
        <v>4</v>
      </c>
      <c r="O478" s="1097">
        <v>4</v>
      </c>
      <c r="P478" s="1097">
        <v>4</v>
      </c>
      <c r="Q478" s="1205">
        <v>4</v>
      </c>
      <c r="R478" s="1205">
        <v>4</v>
      </c>
      <c r="S478" s="1097">
        <v>4</v>
      </c>
      <c r="T478" s="1097">
        <v>4</v>
      </c>
      <c r="U478" s="1097">
        <v>4</v>
      </c>
      <c r="V478" s="1097">
        <v>4</v>
      </c>
      <c r="W478" s="1097">
        <v>4</v>
      </c>
      <c r="X478" s="1205">
        <v>4</v>
      </c>
      <c r="Y478" s="1205">
        <v>4</v>
      </c>
      <c r="Z478" s="1097">
        <v>4</v>
      </c>
      <c r="AA478" s="1097">
        <v>4</v>
      </c>
      <c r="AB478" s="1097">
        <v>4</v>
      </c>
      <c r="AC478" s="1097">
        <v>4</v>
      </c>
      <c r="AD478" s="1097">
        <v>4</v>
      </c>
      <c r="AE478" s="1205">
        <v>4</v>
      </c>
      <c r="AF478" s="1205">
        <v>4</v>
      </c>
      <c r="AG478" s="1097">
        <v>4</v>
      </c>
      <c r="AH478" s="1097">
        <v>4</v>
      </c>
      <c r="AI478" s="1328">
        <v>4</v>
      </c>
      <c r="AJ478" s="79"/>
      <c r="AK478" s="79"/>
      <c r="AL478" s="692"/>
      <c r="AM478" s="960"/>
      <c r="AN478" s="277"/>
      <c r="AO478" s="679"/>
      <c r="AP478" s="391"/>
      <c r="AQ478" s="391"/>
      <c r="AR478" s="4"/>
      <c r="AS478" s="4"/>
      <c r="AT478" s="392"/>
      <c r="AU478" s="4"/>
      <c r="AV478" s="4"/>
    </row>
    <row r="479" spans="1:48" s="23" customFormat="1" ht="20.65" hidden="1" customHeight="1">
      <c r="A479" s="276" t="s">
        <v>419</v>
      </c>
      <c r="B479" s="208"/>
      <c r="C479" s="305"/>
      <c r="D479" s="81" t="s">
        <v>109</v>
      </c>
      <c r="E479" s="1125">
        <f>SUM(E473+E475+E476+E477)/E478</f>
        <v>0</v>
      </c>
      <c r="F479" s="1126">
        <f>SUM(F473+F475+F476+F477)/F478</f>
        <v>0</v>
      </c>
      <c r="G479" s="1235">
        <f t="shared" ref="G479:AH479" si="1054">SUM(G473+G475+G476+G477)/G478</f>
        <v>0</v>
      </c>
      <c r="H479" s="1126">
        <f t="shared" si="1054"/>
        <v>0</v>
      </c>
      <c r="I479" s="1126">
        <f t="shared" si="1054"/>
        <v>0</v>
      </c>
      <c r="J479" s="1235">
        <f t="shared" si="1054"/>
        <v>0</v>
      </c>
      <c r="K479" s="1235">
        <f t="shared" si="1054"/>
        <v>0</v>
      </c>
      <c r="L479" s="1126">
        <f t="shared" si="1054"/>
        <v>0</v>
      </c>
      <c r="M479" s="1126">
        <f t="shared" si="1054"/>
        <v>0</v>
      </c>
      <c r="N479" s="1126">
        <f t="shared" si="1054"/>
        <v>0</v>
      </c>
      <c r="O479" s="1126">
        <f t="shared" si="1054"/>
        <v>0</v>
      </c>
      <c r="P479" s="1126">
        <f t="shared" si="1054"/>
        <v>0</v>
      </c>
      <c r="Q479" s="1235">
        <f t="shared" si="1054"/>
        <v>0</v>
      </c>
      <c r="R479" s="1235">
        <f t="shared" si="1054"/>
        <v>0</v>
      </c>
      <c r="S479" s="1126">
        <f t="shared" si="1054"/>
        <v>0</v>
      </c>
      <c r="T479" s="1126">
        <f t="shared" si="1054"/>
        <v>0</v>
      </c>
      <c r="U479" s="1126">
        <f t="shared" si="1054"/>
        <v>0</v>
      </c>
      <c r="V479" s="1126">
        <f t="shared" si="1054"/>
        <v>0</v>
      </c>
      <c r="W479" s="1126">
        <f t="shared" si="1054"/>
        <v>0</v>
      </c>
      <c r="X479" s="1235">
        <f t="shared" si="1054"/>
        <v>0</v>
      </c>
      <c r="Y479" s="1235">
        <f t="shared" si="1054"/>
        <v>0</v>
      </c>
      <c r="Z479" s="1126">
        <f t="shared" si="1054"/>
        <v>0</v>
      </c>
      <c r="AA479" s="1126">
        <f t="shared" si="1054"/>
        <v>0</v>
      </c>
      <c r="AB479" s="1126">
        <f t="shared" si="1054"/>
        <v>0</v>
      </c>
      <c r="AC479" s="1126">
        <f t="shared" si="1054"/>
        <v>0</v>
      </c>
      <c r="AD479" s="1126">
        <f t="shared" si="1054"/>
        <v>0</v>
      </c>
      <c r="AE479" s="1235">
        <f t="shared" si="1054"/>
        <v>0</v>
      </c>
      <c r="AF479" s="1235">
        <f t="shared" si="1054"/>
        <v>0</v>
      </c>
      <c r="AG479" s="1126">
        <f t="shared" si="1054"/>
        <v>0</v>
      </c>
      <c r="AH479" s="1126">
        <f t="shared" si="1054"/>
        <v>0</v>
      </c>
      <c r="AI479" s="1335">
        <f>SUM(AI473+AI475+AI476)/AI478</f>
        <v>0</v>
      </c>
      <c r="AJ479" s="515">
        <f>SUM(E479:AI479)</f>
        <v>0</v>
      </c>
      <c r="AK479" s="515"/>
      <c r="AL479" s="689"/>
      <c r="AM479" s="940"/>
      <c r="AN479" s="277"/>
      <c r="AO479" s="679"/>
      <c r="AP479" s="285"/>
      <c r="AQ479" s="285"/>
      <c r="AR479" s="285"/>
      <c r="AS479" s="285"/>
      <c r="AT479" s="286"/>
      <c r="AU479" s="285"/>
      <c r="AV479" s="287"/>
    </row>
    <row r="480" spans="1:48" s="23" customFormat="1" ht="20.65" hidden="1" customHeight="1">
      <c r="A480" s="276" t="s">
        <v>419</v>
      </c>
      <c r="B480" s="208"/>
      <c r="C480" s="72"/>
      <c r="D480" s="85" t="s">
        <v>110</v>
      </c>
      <c r="E480" s="1336"/>
      <c r="F480" s="1106"/>
      <c r="G480" s="1228"/>
      <c r="H480" s="1107"/>
      <c r="I480" s="1107"/>
      <c r="J480" s="1228"/>
      <c r="K480" s="1228"/>
      <c r="L480" s="1107"/>
      <c r="M480" s="1107"/>
      <c r="N480" s="1107"/>
      <c r="O480" s="1107"/>
      <c r="P480" s="1107"/>
      <c r="Q480" s="1228"/>
      <c r="R480" s="1228"/>
      <c r="S480" s="1107"/>
      <c r="T480" s="1107"/>
      <c r="U480" s="1107"/>
      <c r="V480" s="1107"/>
      <c r="W480" s="1107"/>
      <c r="X480" s="1228"/>
      <c r="Y480" s="1228"/>
      <c r="Z480" s="1107"/>
      <c r="AA480" s="1107"/>
      <c r="AB480" s="1107"/>
      <c r="AC480" s="1107"/>
      <c r="AD480" s="1107"/>
      <c r="AE480" s="1228"/>
      <c r="AF480" s="1228"/>
      <c r="AG480" s="1107"/>
      <c r="AH480" s="1107"/>
      <c r="AI480" s="1337"/>
      <c r="AJ480" s="86"/>
      <c r="AK480" s="86"/>
      <c r="AL480" s="690"/>
      <c r="AM480" s="940"/>
      <c r="AN480" s="277"/>
      <c r="AO480" s="679"/>
      <c r="AP480" s="285"/>
      <c r="AQ480" s="285"/>
      <c r="AR480" s="285"/>
      <c r="AS480" s="285"/>
      <c r="AT480" s="286"/>
      <c r="AU480" s="285"/>
      <c r="AV480" s="287"/>
    </row>
    <row r="481" spans="1:48" s="23" customFormat="1" ht="20.65" hidden="1" customHeight="1">
      <c r="A481" s="276" t="s">
        <v>419</v>
      </c>
      <c r="B481" s="208" t="s">
        <v>550</v>
      </c>
      <c r="C481" s="72" t="s">
        <v>104</v>
      </c>
      <c r="D481" s="88" t="s">
        <v>111</v>
      </c>
      <c r="E481" s="1108">
        <f>IF(E480="O/H",E479,0+E479)</f>
        <v>0</v>
      </c>
      <c r="F481" s="1089">
        <f t="shared" ref="F481:AI481" si="1055">IF(F480="O/H",F479,+E481+F479)</f>
        <v>0</v>
      </c>
      <c r="G481" s="44">
        <f t="shared" si="1055"/>
        <v>0</v>
      </c>
      <c r="H481" s="1089">
        <f t="shared" si="1055"/>
        <v>0</v>
      </c>
      <c r="I481" s="1089">
        <f t="shared" si="1055"/>
        <v>0</v>
      </c>
      <c r="J481" s="44">
        <f t="shared" si="1055"/>
        <v>0</v>
      </c>
      <c r="K481" s="44">
        <f t="shared" si="1055"/>
        <v>0</v>
      </c>
      <c r="L481" s="1089">
        <f t="shared" si="1055"/>
        <v>0</v>
      </c>
      <c r="M481" s="1089">
        <f t="shared" si="1055"/>
        <v>0</v>
      </c>
      <c r="N481" s="1089">
        <f t="shared" si="1055"/>
        <v>0</v>
      </c>
      <c r="O481" s="1089">
        <f t="shared" si="1055"/>
        <v>0</v>
      </c>
      <c r="P481" s="1089">
        <f t="shared" si="1055"/>
        <v>0</v>
      </c>
      <c r="Q481" s="44">
        <f t="shared" si="1055"/>
        <v>0</v>
      </c>
      <c r="R481" s="44">
        <f t="shared" si="1055"/>
        <v>0</v>
      </c>
      <c r="S481" s="1089">
        <f t="shared" si="1055"/>
        <v>0</v>
      </c>
      <c r="T481" s="1089">
        <f t="shared" si="1055"/>
        <v>0</v>
      </c>
      <c r="U481" s="1089">
        <f t="shared" si="1055"/>
        <v>0</v>
      </c>
      <c r="V481" s="1089">
        <f t="shared" si="1055"/>
        <v>0</v>
      </c>
      <c r="W481" s="1089">
        <f t="shared" si="1055"/>
        <v>0</v>
      </c>
      <c r="X481" s="44">
        <f t="shared" si="1055"/>
        <v>0</v>
      </c>
      <c r="Y481" s="44">
        <f t="shared" si="1055"/>
        <v>0</v>
      </c>
      <c r="Z481" s="1089">
        <f t="shared" si="1055"/>
        <v>0</v>
      </c>
      <c r="AA481" s="1089">
        <f t="shared" si="1055"/>
        <v>0</v>
      </c>
      <c r="AB481" s="1089">
        <f t="shared" si="1055"/>
        <v>0</v>
      </c>
      <c r="AC481" s="1089">
        <f t="shared" si="1055"/>
        <v>0</v>
      </c>
      <c r="AD481" s="1089">
        <f t="shared" si="1055"/>
        <v>0</v>
      </c>
      <c r="AE481" s="44">
        <f t="shared" si="1055"/>
        <v>0</v>
      </c>
      <c r="AF481" s="44">
        <f t="shared" si="1055"/>
        <v>0</v>
      </c>
      <c r="AG481" s="1089">
        <f t="shared" si="1055"/>
        <v>0</v>
      </c>
      <c r="AH481" s="1089">
        <f t="shared" si="1055"/>
        <v>0</v>
      </c>
      <c r="AI481" s="1326">
        <f t="shared" si="1055"/>
        <v>0</v>
      </c>
      <c r="AJ481" s="79"/>
      <c r="AK481" s="79"/>
      <c r="AL481" s="690"/>
      <c r="AM481" s="940"/>
      <c r="AN481" s="277"/>
      <c r="AO481" s="679"/>
      <c r="AP481" s="285"/>
      <c r="AQ481" s="285"/>
      <c r="AR481" s="285"/>
      <c r="AS481" s="285"/>
      <c r="AT481" s="286"/>
      <c r="AU481" s="285"/>
      <c r="AV481" s="287"/>
    </row>
    <row r="482" spans="1:48" s="23" customFormat="1" ht="20.65" hidden="1" customHeight="1">
      <c r="A482" s="312"/>
      <c r="B482" s="312"/>
      <c r="C482" s="308">
        <v>300000</v>
      </c>
      <c r="D482" s="795" t="s">
        <v>112</v>
      </c>
      <c r="E482" s="1117" t="b">
        <f>IF(AND(ISNUMBER(E473)),2514837+E479)</f>
        <v>0</v>
      </c>
      <c r="F482" s="1118" t="str">
        <f>IF(AND(ISNUMBER(F473)),E482+F479,"")</f>
        <v/>
      </c>
      <c r="G482" s="1216" t="str">
        <f t="shared" ref="G482" si="1056">IF(AND(ISNUMBER(G473)),F482+G479,"")</f>
        <v/>
      </c>
      <c r="H482" s="1118" t="str">
        <f t="shared" ref="H482" si="1057">IF(AND(ISNUMBER(H473)),G482+H479,"")</f>
        <v/>
      </c>
      <c r="I482" s="1118" t="str">
        <f>IF(AND(ISNUMBER(I473)),H482+I479,"")</f>
        <v/>
      </c>
      <c r="J482" s="1216" t="str">
        <f>IF(AND(ISNUMBER(J473)),I482+J479,"")</f>
        <v/>
      </c>
      <c r="K482" s="1216" t="str">
        <f>IF(AND(ISNUMBER(K473)),J482+K479,"")</f>
        <v/>
      </c>
      <c r="L482" s="1118" t="str">
        <f t="shared" ref="L482" si="1058">IF(AND(ISNUMBER(L473)),K482+L479,"")</f>
        <v/>
      </c>
      <c r="M482" s="1118" t="str">
        <f t="shared" ref="M482" si="1059">IF(AND(ISNUMBER(M473)),L482+M479,"")</f>
        <v/>
      </c>
      <c r="N482" s="1118" t="str">
        <f t="shared" ref="N482" si="1060">IF(AND(ISNUMBER(N473)),M482+N479,"")</f>
        <v/>
      </c>
      <c r="O482" s="1118" t="str">
        <f t="shared" ref="O482" si="1061">IF(AND(ISNUMBER(O473)),N482+O479,"")</f>
        <v/>
      </c>
      <c r="P482" s="1118" t="str">
        <f t="shared" ref="P482" si="1062">IF(AND(ISNUMBER(P473)),O482+P479,"")</f>
        <v/>
      </c>
      <c r="Q482" s="1216" t="str">
        <f t="shared" ref="Q482" si="1063">IF(AND(ISNUMBER(Q473)),P482+Q479,"")</f>
        <v/>
      </c>
      <c r="R482" s="1216" t="str">
        <f t="shared" ref="R482" si="1064">IF(AND(ISNUMBER(R473)),Q482+R479,"")</f>
        <v/>
      </c>
      <c r="S482" s="1118" t="str">
        <f t="shared" ref="S482" si="1065">IF(AND(ISNUMBER(S473)),R482+S479,"")</f>
        <v/>
      </c>
      <c r="T482" s="1118" t="str">
        <f t="shared" ref="T482" si="1066">IF(AND(ISNUMBER(T473)),S482+T479,"")</f>
        <v/>
      </c>
      <c r="U482" s="1118" t="str">
        <f t="shared" ref="U482" si="1067">IF(AND(ISNUMBER(U473)),T482+U479,"")</f>
        <v/>
      </c>
      <c r="V482" s="1118" t="str">
        <f t="shared" ref="V482" si="1068">IF(AND(ISNUMBER(V473)),U482+V479,"")</f>
        <v/>
      </c>
      <c r="W482" s="1118" t="str">
        <f t="shared" ref="W482" si="1069">IF(AND(ISNUMBER(W473)),V482+W479,"")</f>
        <v/>
      </c>
      <c r="X482" s="1216" t="str">
        <f t="shared" ref="X482" si="1070">IF(AND(ISNUMBER(X473)),W482+X479,"")</f>
        <v/>
      </c>
      <c r="Y482" s="1216" t="str">
        <f t="shared" ref="Y482" si="1071">IF(AND(ISNUMBER(Y473)),X482+Y479,"")</f>
        <v/>
      </c>
      <c r="Z482" s="1118" t="str">
        <f t="shared" ref="Z482" si="1072">IF(AND(ISNUMBER(Z473)),Y482+Z479,"")</f>
        <v/>
      </c>
      <c r="AA482" s="1118" t="str">
        <f t="shared" ref="AA482" si="1073">IF(AND(ISNUMBER(AA473)),Z482+AA479,"")</f>
        <v/>
      </c>
      <c r="AB482" s="1118" t="str">
        <f t="shared" ref="AB482" si="1074">IF(AND(ISNUMBER(AB473)),AA482+AB479,"")</f>
        <v/>
      </c>
      <c r="AC482" s="1118" t="str">
        <f t="shared" ref="AC482" si="1075">IF(AND(ISNUMBER(AC473)),AB482+AC479,"")</f>
        <v/>
      </c>
      <c r="AD482" s="1118" t="str">
        <f t="shared" ref="AD482" si="1076">IF(AND(ISNUMBER(AD473)),AC482+AD479,"")</f>
        <v/>
      </c>
      <c r="AE482" s="1216" t="str">
        <f t="shared" ref="AE482" si="1077">IF(AND(ISNUMBER(AE473)),AD482+AE479,"")</f>
        <v/>
      </c>
      <c r="AF482" s="1216" t="str">
        <f t="shared" ref="AF482" si="1078">IF(AND(ISNUMBER(AF473)),AE482+AF479,"")</f>
        <v/>
      </c>
      <c r="AG482" s="1118" t="str">
        <f t="shared" ref="AG482" si="1079">IF(AND(ISNUMBER(AG473)),AF482+AG479,"")</f>
        <v/>
      </c>
      <c r="AH482" s="1118" t="str">
        <f t="shared" ref="AH482" si="1080">IF(AND(ISNUMBER(AH473)),AG482+AH479,"")</f>
        <v/>
      </c>
      <c r="AI482" s="1118" t="str">
        <f t="shared" ref="AI482" si="1081">IF(AND(ISNUMBER(AI473)),AH482+AI479,"")</f>
        <v/>
      </c>
      <c r="AJ482" s="793"/>
      <c r="AK482" s="793"/>
      <c r="AL482" s="909"/>
      <c r="AM482" s="794"/>
      <c r="AN482" s="429"/>
      <c r="AO482" s="675"/>
      <c r="AP482" s="285"/>
      <c r="AQ482" s="285"/>
      <c r="AR482" s="285"/>
      <c r="AS482" s="285"/>
      <c r="AT482" s="286"/>
      <c r="AU482" s="285"/>
      <c r="AV482" s="287"/>
    </row>
    <row r="483" spans="1:48" s="23" customFormat="1" ht="20.65" hidden="1" customHeight="1">
      <c r="A483" s="276"/>
      <c r="B483" s="208"/>
      <c r="C483" s="80" t="s">
        <v>108</v>
      </c>
      <c r="D483" s="90" t="s">
        <v>104</v>
      </c>
      <c r="E483" s="1338"/>
      <c r="F483" s="1106"/>
      <c r="G483" s="1253"/>
      <c r="H483" s="1106"/>
      <c r="I483" s="1106"/>
      <c r="J483" s="1253"/>
      <c r="K483" s="1253"/>
      <c r="L483" s="1106"/>
      <c r="M483" s="1106"/>
      <c r="N483" s="1106"/>
      <c r="O483" s="1106"/>
      <c r="P483" s="1106"/>
      <c r="Q483" s="1253"/>
      <c r="R483" s="1253"/>
      <c r="S483" s="1106"/>
      <c r="T483" s="1106"/>
      <c r="U483" s="1106"/>
      <c r="V483" s="1106"/>
      <c r="W483" s="1106"/>
      <c r="X483" s="1253"/>
      <c r="Y483" s="1253"/>
      <c r="Z483" s="1106"/>
      <c r="AA483" s="1106"/>
      <c r="AB483" s="1106"/>
      <c r="AC483" s="1106"/>
      <c r="AD483" s="1106"/>
      <c r="AE483" s="1253"/>
      <c r="AF483" s="1253"/>
      <c r="AG483" s="1106"/>
      <c r="AH483" s="1106"/>
      <c r="AI483" s="1339"/>
      <c r="AJ483" s="79"/>
      <c r="AK483" s="79"/>
      <c r="AL483" s="690"/>
      <c r="AM483" s="940"/>
      <c r="AN483" s="277"/>
      <c r="AO483" s="679"/>
      <c r="AP483" s="285"/>
      <c r="AQ483" s="285"/>
      <c r="AR483" s="285"/>
      <c r="AS483" s="285"/>
      <c r="AT483" s="286"/>
      <c r="AU483" s="285"/>
      <c r="AV483" s="287"/>
    </row>
    <row r="484" spans="1:48" s="23" customFormat="1" ht="20.65" hidden="1" customHeight="1" thickBot="1">
      <c r="A484" s="289"/>
      <c r="B484" s="93"/>
      <c r="C484" s="94">
        <f>+C482*0.8</f>
        <v>240000</v>
      </c>
      <c r="D484" s="88" t="s">
        <v>111</v>
      </c>
      <c r="E484" s="1109">
        <f>IF(E483="O/H",E479,168473+E479)</f>
        <v>168473</v>
      </c>
      <c r="F484" s="1110">
        <f>IF(F483="O/H",F479,+E484+F479)</f>
        <v>168473</v>
      </c>
      <c r="G484" s="1212">
        <f t="shared" ref="G484:AI484" si="1082">IF(G483="O/H",G479,+F484+G479)</f>
        <v>168473</v>
      </c>
      <c r="H484" s="1110">
        <f t="shared" si="1082"/>
        <v>168473</v>
      </c>
      <c r="I484" s="1110">
        <f t="shared" si="1082"/>
        <v>168473</v>
      </c>
      <c r="J484" s="1212">
        <f t="shared" si="1082"/>
        <v>168473</v>
      </c>
      <c r="K484" s="1212">
        <f t="shared" si="1082"/>
        <v>168473</v>
      </c>
      <c r="L484" s="1110">
        <f t="shared" si="1082"/>
        <v>168473</v>
      </c>
      <c r="M484" s="1110">
        <f t="shared" si="1082"/>
        <v>168473</v>
      </c>
      <c r="N484" s="1110">
        <f t="shared" si="1082"/>
        <v>168473</v>
      </c>
      <c r="O484" s="1110">
        <f t="shared" si="1082"/>
        <v>168473</v>
      </c>
      <c r="P484" s="1110">
        <f t="shared" si="1082"/>
        <v>168473</v>
      </c>
      <c r="Q484" s="1212">
        <f t="shared" si="1082"/>
        <v>168473</v>
      </c>
      <c r="R484" s="1212">
        <f t="shared" si="1082"/>
        <v>168473</v>
      </c>
      <c r="S484" s="1110">
        <f t="shared" si="1082"/>
        <v>168473</v>
      </c>
      <c r="T484" s="1110">
        <f t="shared" si="1082"/>
        <v>168473</v>
      </c>
      <c r="U484" s="1110">
        <f t="shared" si="1082"/>
        <v>168473</v>
      </c>
      <c r="V484" s="1110">
        <f t="shared" si="1082"/>
        <v>168473</v>
      </c>
      <c r="W484" s="1110">
        <f t="shared" si="1082"/>
        <v>168473</v>
      </c>
      <c r="X484" s="1212">
        <f t="shared" si="1082"/>
        <v>168473</v>
      </c>
      <c r="Y484" s="1212">
        <f t="shared" si="1082"/>
        <v>168473</v>
      </c>
      <c r="Z484" s="1110">
        <f t="shared" si="1082"/>
        <v>168473</v>
      </c>
      <c r="AA484" s="1110">
        <f t="shared" si="1082"/>
        <v>168473</v>
      </c>
      <c r="AB484" s="1110">
        <f t="shared" si="1082"/>
        <v>168473</v>
      </c>
      <c r="AC484" s="1110">
        <f t="shared" si="1082"/>
        <v>168473</v>
      </c>
      <c r="AD484" s="1110">
        <f t="shared" si="1082"/>
        <v>168473</v>
      </c>
      <c r="AE484" s="1212">
        <f t="shared" si="1082"/>
        <v>168473</v>
      </c>
      <c r="AF484" s="1212">
        <f t="shared" si="1082"/>
        <v>168473</v>
      </c>
      <c r="AG484" s="1110">
        <f t="shared" si="1082"/>
        <v>168473</v>
      </c>
      <c r="AH484" s="1110">
        <f t="shared" si="1082"/>
        <v>168473</v>
      </c>
      <c r="AI484" s="1340">
        <f t="shared" si="1082"/>
        <v>168473</v>
      </c>
      <c r="AJ484" s="96"/>
      <c r="AK484" s="723"/>
      <c r="AL484" s="695"/>
      <c r="AM484" s="961"/>
      <c r="AN484" s="292"/>
      <c r="AO484" s="681"/>
      <c r="AP484" s="285"/>
      <c r="AQ484" s="285"/>
      <c r="AR484" s="285"/>
      <c r="AS484" s="285"/>
      <c r="AT484" s="286"/>
      <c r="AU484" s="285"/>
      <c r="AV484" s="287"/>
    </row>
    <row r="485" spans="1:48" s="23" customFormat="1" ht="21" hidden="1" thickTop="1">
      <c r="A485" s="283" t="s">
        <v>421</v>
      </c>
      <c r="B485" s="89" t="s">
        <v>684</v>
      </c>
      <c r="C485" s="1493" t="str">
        <f>Table2[[#This Row],[M/C No.]]</f>
        <v>H12(50Ton)</v>
      </c>
      <c r="D485" s="28" t="s">
        <v>82</v>
      </c>
      <c r="E485" s="1139"/>
      <c r="F485" s="1139"/>
      <c r="G485" s="1231"/>
      <c r="H485" s="1139"/>
      <c r="I485" s="1139"/>
      <c r="J485" s="1231"/>
      <c r="K485" s="1231"/>
      <c r="L485" s="1139"/>
      <c r="M485" s="1139"/>
      <c r="N485" s="1139"/>
      <c r="O485" s="1139"/>
      <c r="P485" s="1139"/>
      <c r="Q485" s="1231"/>
      <c r="R485" s="1231"/>
      <c r="S485" s="1139"/>
      <c r="T485" s="1139"/>
      <c r="U485" s="1139"/>
      <c r="V485" s="1139"/>
      <c r="W485" s="1139"/>
      <c r="X485" s="1231"/>
      <c r="Y485" s="1231"/>
      <c r="Z485" s="1139"/>
      <c r="AA485" s="1139"/>
      <c r="AB485" s="1139"/>
      <c r="AC485" s="1139"/>
      <c r="AD485" s="1139"/>
      <c r="AE485" s="1231"/>
      <c r="AF485" s="1231"/>
      <c r="AG485" s="1139"/>
      <c r="AH485" s="1139"/>
      <c r="AI485" s="1322"/>
      <c r="AJ485" s="29">
        <f>SUM(E485:AI485)</f>
        <v>0</v>
      </c>
      <c r="AK485" s="1020">
        <f>AJ487</f>
        <v>0</v>
      </c>
      <c r="AL485" s="101">
        <f>+AJ485*AN485</f>
        <v>0</v>
      </c>
      <c r="AM485" s="1019">
        <f>AL487</f>
        <v>0</v>
      </c>
      <c r="AN485" s="293">
        <v>4.4491499999999995</v>
      </c>
      <c r="AO485" s="622">
        <f>Table2[[#This Row],[Total]]*B489/1000</f>
        <v>0</v>
      </c>
      <c r="AP485" s="32" t="s">
        <v>418</v>
      </c>
      <c r="AQ485" s="33" t="s">
        <v>84</v>
      </c>
      <c r="AR485" s="33" t="s">
        <v>85</v>
      </c>
      <c r="AS485" s="33" t="s">
        <v>86</v>
      </c>
      <c r="AT485" s="33" t="s">
        <v>87</v>
      </c>
      <c r="AU485" s="33" t="s">
        <v>88</v>
      </c>
      <c r="AV485" s="34" t="s">
        <v>68</v>
      </c>
    </row>
    <row r="486" spans="1:48" s="23" customFormat="1" hidden="1">
      <c r="A486" s="274"/>
      <c r="B486" s="219" t="s">
        <v>411</v>
      </c>
      <c r="C486" s="275"/>
      <c r="D486" s="37" t="s">
        <v>90</v>
      </c>
      <c r="E486" s="1323">
        <f>IF(E485="",0,+ E485/E492)</f>
        <v>0</v>
      </c>
      <c r="F486" s="1096">
        <f t="shared" ref="F486:AC486" si="1083">IF(F485="",0, E486+F485/F492)</f>
        <v>0</v>
      </c>
      <c r="G486" s="1207">
        <f t="shared" si="1083"/>
        <v>0</v>
      </c>
      <c r="H486" s="1096">
        <f t="shared" si="1083"/>
        <v>0</v>
      </c>
      <c r="I486" s="1096">
        <f t="shared" si="1083"/>
        <v>0</v>
      </c>
      <c r="J486" s="1207">
        <f t="shared" si="1083"/>
        <v>0</v>
      </c>
      <c r="K486" s="1207">
        <f t="shared" si="1083"/>
        <v>0</v>
      </c>
      <c r="L486" s="1096">
        <f t="shared" si="1083"/>
        <v>0</v>
      </c>
      <c r="M486" s="1096">
        <f t="shared" si="1083"/>
        <v>0</v>
      </c>
      <c r="N486" s="1096">
        <f t="shared" si="1083"/>
        <v>0</v>
      </c>
      <c r="O486" s="1096">
        <f t="shared" si="1083"/>
        <v>0</v>
      </c>
      <c r="P486" s="1096">
        <f t="shared" si="1083"/>
        <v>0</v>
      </c>
      <c r="Q486" s="1207">
        <f t="shared" si="1083"/>
        <v>0</v>
      </c>
      <c r="R486" s="1207">
        <f t="shared" si="1083"/>
        <v>0</v>
      </c>
      <c r="S486" s="1096">
        <f t="shared" si="1083"/>
        <v>0</v>
      </c>
      <c r="T486" s="1096">
        <f t="shared" si="1083"/>
        <v>0</v>
      </c>
      <c r="U486" s="1096">
        <f t="shared" si="1083"/>
        <v>0</v>
      </c>
      <c r="V486" s="1096">
        <f t="shared" si="1083"/>
        <v>0</v>
      </c>
      <c r="W486" s="1096">
        <f t="shared" si="1083"/>
        <v>0</v>
      </c>
      <c r="X486" s="1207">
        <f t="shared" si="1083"/>
        <v>0</v>
      </c>
      <c r="Y486" s="1207">
        <f t="shared" si="1083"/>
        <v>0</v>
      </c>
      <c r="Z486" s="1096">
        <f t="shared" si="1083"/>
        <v>0</v>
      </c>
      <c r="AA486" s="1096">
        <f t="shared" si="1083"/>
        <v>0</v>
      </c>
      <c r="AB486" s="1096">
        <f t="shared" si="1083"/>
        <v>0</v>
      </c>
      <c r="AC486" s="1096">
        <f t="shared" si="1083"/>
        <v>0</v>
      </c>
      <c r="AD486" s="1096">
        <f>IF(AD485="",0, Z486+AD485/AD492)</f>
        <v>0</v>
      </c>
      <c r="AE486" s="1207">
        <f>IF(AE485="",0, AA486+AE485/AE492)</f>
        <v>0</v>
      </c>
      <c r="AF486" s="1207">
        <f>IF(AF485="",0, AB486+AF485/AF492)</f>
        <v>0</v>
      </c>
      <c r="AG486" s="1096">
        <f>IF(AG485="",0, AC486+AG485/AG492)</f>
        <v>0</v>
      </c>
      <c r="AH486" s="1096">
        <f>IF(AH485="",0, AD486+AH485/AH492)</f>
        <v>0</v>
      </c>
      <c r="AI486" s="1324">
        <f>IF(AI485="",0, AH486+AI485/AI492)</f>
        <v>0</v>
      </c>
      <c r="AJ486" s="716"/>
      <c r="AK486" s="716"/>
      <c r="AL486" s="209"/>
      <c r="AM486" s="794"/>
      <c r="AN486" s="91"/>
      <c r="AO486" s="675"/>
      <c r="AP486" s="39" t="s">
        <v>91</v>
      </c>
      <c r="AQ486" s="40">
        <f>SUM(E485:K485)</f>
        <v>0</v>
      </c>
      <c r="AR486" s="41">
        <f>SUM(L485:R485)</f>
        <v>0</v>
      </c>
      <c r="AS486" s="41">
        <f>SUM(S485:Y485)</f>
        <v>0</v>
      </c>
      <c r="AT486" s="41">
        <f>SUM(Z485:AF485)</f>
        <v>0</v>
      </c>
      <c r="AU486" s="41">
        <f>SUM(AG485:AI485)</f>
        <v>0</v>
      </c>
      <c r="AV486" s="34">
        <f t="shared" ref="AV486:AV491" si="1084">SUM(AQ486:AU486)</f>
        <v>0</v>
      </c>
    </row>
    <row r="487" spans="1:48" s="23" customFormat="1" ht="18.75" hidden="1">
      <c r="A487" s="276" t="s">
        <v>419</v>
      </c>
      <c r="B487" s="89" t="s">
        <v>246</v>
      </c>
      <c r="C487" s="42"/>
      <c r="D487" s="43" t="s">
        <v>93</v>
      </c>
      <c r="E487" s="1108"/>
      <c r="F487" s="1089"/>
      <c r="G487" s="44"/>
      <c r="H487" s="1089"/>
      <c r="I487" s="1089"/>
      <c r="J487" s="44"/>
      <c r="K487" s="44"/>
      <c r="L487" s="1089"/>
      <c r="M487" s="1089"/>
      <c r="N487" s="1089"/>
      <c r="O487" s="1089"/>
      <c r="P487" s="1089"/>
      <c r="Q487" s="44"/>
      <c r="R487" s="44"/>
      <c r="S487" s="1089"/>
      <c r="T487" s="1089"/>
      <c r="U487" s="1089"/>
      <c r="V487" s="1089"/>
      <c r="W487" s="1089"/>
      <c r="X487" s="44"/>
      <c r="Y487" s="44"/>
      <c r="Z487" s="1089"/>
      <c r="AA487" s="1089"/>
      <c r="AB487" s="1089"/>
      <c r="AC487" s="1089"/>
      <c r="AD487" s="1089"/>
      <c r="AE487" s="44"/>
      <c r="AF487" s="44"/>
      <c r="AG487" s="1089"/>
      <c r="AH487" s="1089"/>
      <c r="AI487" s="1326"/>
      <c r="AJ487" s="45">
        <f>SUM(E487:AI487)</f>
        <v>0</v>
      </c>
      <c r="AK487" s="45"/>
      <c r="AL487" s="46">
        <f>+AJ487*AN485</f>
        <v>0</v>
      </c>
      <c r="AM487" s="934"/>
      <c r="AN487" s="293"/>
      <c r="AO487" s="632">
        <f>(AJ487+AJ489+AJ490+AJ491)*B489/1000</f>
        <v>0</v>
      </c>
      <c r="AP487" s="47" t="s">
        <v>94</v>
      </c>
      <c r="AQ487" s="48">
        <f>SUM(E487:K487)</f>
        <v>0</v>
      </c>
      <c r="AR487" s="49">
        <f>SUM(L487:R487)</f>
        <v>0</v>
      </c>
      <c r="AS487" s="49">
        <f>SUM(S487:Y487)</f>
        <v>0</v>
      </c>
      <c r="AT487" s="49">
        <f>SUM(Z487:AF487)</f>
        <v>0</v>
      </c>
      <c r="AU487" s="49">
        <f>SUM(AG487:AI487)</f>
        <v>0</v>
      </c>
      <c r="AV487" s="50">
        <f t="shared" si="1084"/>
        <v>0</v>
      </c>
    </row>
    <row r="488" spans="1:48" s="23" customFormat="1" ht="18.75" hidden="1">
      <c r="A488" s="276" t="s">
        <v>419</v>
      </c>
      <c r="B488" s="638" t="s">
        <v>247</v>
      </c>
      <c r="C488" s="280"/>
      <c r="D488" s="53" t="s">
        <v>96</v>
      </c>
      <c r="E488" s="1137">
        <f t="shared" ref="E488:K488" si="1085">+E487-E485</f>
        <v>0</v>
      </c>
      <c r="F488" s="1097">
        <f t="shared" si="1085"/>
        <v>0</v>
      </c>
      <c r="G488" s="1205">
        <f t="shared" si="1085"/>
        <v>0</v>
      </c>
      <c r="H488" s="1097">
        <f t="shared" si="1085"/>
        <v>0</v>
      </c>
      <c r="I488" s="1097">
        <f t="shared" si="1085"/>
        <v>0</v>
      </c>
      <c r="J488" s="1205">
        <f t="shared" si="1085"/>
        <v>0</v>
      </c>
      <c r="K488" s="1205">
        <f t="shared" si="1085"/>
        <v>0</v>
      </c>
      <c r="L488" s="1097">
        <f>+L487-L485</f>
        <v>0</v>
      </c>
      <c r="M488" s="1097">
        <v>0</v>
      </c>
      <c r="N488" s="1097">
        <v>0</v>
      </c>
      <c r="O488" s="1097">
        <f t="shared" ref="O488:P488" si="1086">+O487-O485</f>
        <v>0</v>
      </c>
      <c r="P488" s="1097">
        <f t="shared" si="1086"/>
        <v>0</v>
      </c>
      <c r="Q488" s="1205">
        <f t="shared" ref="Q488:AF488" si="1087">+Q487-Q485</f>
        <v>0</v>
      </c>
      <c r="R488" s="1205">
        <f t="shared" si="1087"/>
        <v>0</v>
      </c>
      <c r="S488" s="1097">
        <f t="shared" si="1087"/>
        <v>0</v>
      </c>
      <c r="T488" s="1097">
        <f t="shared" si="1087"/>
        <v>0</v>
      </c>
      <c r="U488" s="1097">
        <f>+U487-U485</f>
        <v>0</v>
      </c>
      <c r="V488" s="1097">
        <f t="shared" si="1087"/>
        <v>0</v>
      </c>
      <c r="W488" s="1097">
        <f t="shared" si="1087"/>
        <v>0</v>
      </c>
      <c r="X488" s="1205">
        <f t="shared" si="1087"/>
        <v>0</v>
      </c>
      <c r="Y488" s="1205">
        <f t="shared" si="1087"/>
        <v>0</v>
      </c>
      <c r="Z488" s="1097">
        <f t="shared" si="1087"/>
        <v>0</v>
      </c>
      <c r="AA488" s="1097">
        <f t="shared" si="1087"/>
        <v>0</v>
      </c>
      <c r="AB488" s="1097">
        <f t="shared" si="1087"/>
        <v>0</v>
      </c>
      <c r="AC488" s="1097">
        <f t="shared" si="1087"/>
        <v>0</v>
      </c>
      <c r="AD488" s="1097">
        <f t="shared" si="1087"/>
        <v>0</v>
      </c>
      <c r="AE488" s="1205">
        <f t="shared" si="1087"/>
        <v>0</v>
      </c>
      <c r="AF488" s="1205">
        <f t="shared" si="1087"/>
        <v>0</v>
      </c>
      <c r="AG488" s="1097">
        <f>+AG487-AG485</f>
        <v>0</v>
      </c>
      <c r="AH488" s="1097">
        <f>+AH487-AH485</f>
        <v>0</v>
      </c>
      <c r="AI488" s="1328">
        <f>+AI487-AI485</f>
        <v>0</v>
      </c>
      <c r="AJ488" s="79">
        <f>+AJ487-AJ485</f>
        <v>0</v>
      </c>
      <c r="AK488" s="79"/>
      <c r="AL488" s="55">
        <f>+AJ488*AN485</f>
        <v>0</v>
      </c>
      <c r="AM488" s="935"/>
      <c r="AN488" s="293" t="s">
        <v>97</v>
      </c>
      <c r="AO488" s="622"/>
      <c r="AP488" s="39" t="s">
        <v>98</v>
      </c>
      <c r="AQ488" s="56">
        <f>AQ487-AQ486</f>
        <v>0</v>
      </c>
      <c r="AR488" s="70">
        <f>AR487-AR486</f>
        <v>0</v>
      </c>
      <c r="AS488" s="70">
        <f>AS487-AS486</f>
        <v>0</v>
      </c>
      <c r="AT488" s="70">
        <f>AT487-AT486</f>
        <v>0</v>
      </c>
      <c r="AU488" s="70">
        <f>AU487-AU486</f>
        <v>0</v>
      </c>
      <c r="AV488" s="57">
        <f t="shared" si="1084"/>
        <v>0</v>
      </c>
    </row>
    <row r="489" spans="1:48" s="23" customFormat="1" ht="18.75" hidden="1">
      <c r="A489" s="276" t="s">
        <v>419</v>
      </c>
      <c r="B489" s="659">
        <v>2.3969999999999998</v>
      </c>
      <c r="C489" s="305"/>
      <c r="D489" s="61" t="s">
        <v>101</v>
      </c>
      <c r="E489" s="1098"/>
      <c r="F489" s="1099"/>
      <c r="G489" s="1208"/>
      <c r="H489" s="1099"/>
      <c r="I489" s="1099"/>
      <c r="J489" s="1208"/>
      <c r="K489" s="1208"/>
      <c r="L489" s="1099"/>
      <c r="M489" s="1099"/>
      <c r="N489" s="1099"/>
      <c r="O489" s="1099"/>
      <c r="P489" s="1099"/>
      <c r="Q489" s="1208"/>
      <c r="R489" s="1208"/>
      <c r="S489" s="1099"/>
      <c r="T489" s="1099"/>
      <c r="U489" s="1099"/>
      <c r="V489" s="1099"/>
      <c r="W489" s="1099"/>
      <c r="X489" s="1208"/>
      <c r="Y489" s="1208"/>
      <c r="Z489" s="1099"/>
      <c r="AA489" s="1099"/>
      <c r="AB489" s="1099"/>
      <c r="AC489" s="1099"/>
      <c r="AD489" s="1099"/>
      <c r="AE489" s="1208"/>
      <c r="AF489" s="1208"/>
      <c r="AG489" s="1099"/>
      <c r="AH489" s="1099"/>
      <c r="AI489" s="1330"/>
      <c r="AJ489" s="62">
        <f>SUM(E489:AI489)</f>
        <v>0</v>
      </c>
      <c r="AK489" s="62"/>
      <c r="AL489" s="63">
        <f>+AJ489*AN485</f>
        <v>0</v>
      </c>
      <c r="AM489" s="936"/>
      <c r="AN489" s="303" t="e">
        <f>+AJ489/AJ487</f>
        <v>#DIV/0!</v>
      </c>
      <c r="AO489" s="635" t="e">
        <f>AO487/AO485</f>
        <v>#DIV/0!</v>
      </c>
      <c r="AP489" s="39" t="s">
        <v>102</v>
      </c>
      <c r="AQ489" s="56">
        <f>SUM(E489:K489)</f>
        <v>0</v>
      </c>
      <c r="AR489" s="70">
        <f>SUM(L489:R489)</f>
        <v>0</v>
      </c>
      <c r="AS489" s="70">
        <f>SUM(S489:Y489)</f>
        <v>0</v>
      </c>
      <c r="AT489" s="70">
        <f>SUM(Z489:AF489)</f>
        <v>0</v>
      </c>
      <c r="AU489" s="70">
        <f>SUM(AG489:AI489)</f>
        <v>0</v>
      </c>
      <c r="AV489" s="57">
        <f t="shared" si="1084"/>
        <v>0</v>
      </c>
    </row>
    <row r="490" spans="1:48" s="23" customFormat="1" ht="18.75" hidden="1">
      <c r="A490" s="330" t="s">
        <v>421</v>
      </c>
      <c r="B490" s="89"/>
      <c r="C490" s="52" t="s">
        <v>95</v>
      </c>
      <c r="D490" s="67" t="s">
        <v>103</v>
      </c>
      <c r="E490" s="1100"/>
      <c r="F490" s="1101"/>
      <c r="G490" s="1209"/>
      <c r="H490" s="1101"/>
      <c r="I490" s="1101"/>
      <c r="J490" s="1209"/>
      <c r="K490" s="1209"/>
      <c r="L490" s="1101"/>
      <c r="M490" s="1101"/>
      <c r="N490" s="1101"/>
      <c r="O490" s="1101"/>
      <c r="P490" s="1101"/>
      <c r="Q490" s="1209"/>
      <c r="R490" s="1209"/>
      <c r="S490" s="1101"/>
      <c r="T490" s="1101"/>
      <c r="U490" s="1101"/>
      <c r="V490" s="1101"/>
      <c r="W490" s="1101"/>
      <c r="X490" s="1209"/>
      <c r="Y490" s="1209"/>
      <c r="Z490" s="1101"/>
      <c r="AA490" s="1101"/>
      <c r="AB490" s="1101"/>
      <c r="AC490" s="1101"/>
      <c r="AD490" s="1101"/>
      <c r="AE490" s="1209"/>
      <c r="AF490" s="1209"/>
      <c r="AG490" s="1101"/>
      <c r="AH490" s="1101"/>
      <c r="AI490" s="1332"/>
      <c r="AJ490" s="68">
        <f>SUM(E490:AI490)</f>
        <v>0</v>
      </c>
      <c r="AK490" s="68"/>
      <c r="AL490" s="69">
        <f>+AJ490*AN485</f>
        <v>0</v>
      </c>
      <c r="AM490" s="937"/>
      <c r="AN490" s="293"/>
      <c r="AO490" s="678"/>
      <c r="AP490" s="39" t="s">
        <v>19</v>
      </c>
      <c r="AQ490" s="56">
        <f>AQ489*AN485</f>
        <v>0</v>
      </c>
      <c r="AR490" s="56">
        <f>AR489*AN485</f>
        <v>0</v>
      </c>
      <c r="AS490" s="56">
        <f>AS489*AN485</f>
        <v>0</v>
      </c>
      <c r="AT490" s="56">
        <f>AT489*AN485</f>
        <v>0</v>
      </c>
      <c r="AU490" s="56">
        <f>AU489*AN485</f>
        <v>0</v>
      </c>
      <c r="AV490" s="57">
        <f t="shared" si="1084"/>
        <v>0</v>
      </c>
    </row>
    <row r="491" spans="1:48" s="23" customFormat="1" ht="18.75" hidden="1">
      <c r="A491" s="318"/>
      <c r="B491" s="319"/>
      <c r="C491" s="306" t="s">
        <v>387</v>
      </c>
      <c r="D491" s="73" t="s">
        <v>105</v>
      </c>
      <c r="E491" s="1102"/>
      <c r="F491" s="1103"/>
      <c r="G491" s="1210"/>
      <c r="H491" s="1103"/>
      <c r="I491" s="1103"/>
      <c r="J491" s="1210"/>
      <c r="K491" s="1210"/>
      <c r="L491" s="1103"/>
      <c r="M491" s="1103"/>
      <c r="N491" s="1103"/>
      <c r="O491" s="1103"/>
      <c r="P491" s="1103"/>
      <c r="Q491" s="1210"/>
      <c r="R491" s="1210"/>
      <c r="S491" s="1103"/>
      <c r="T491" s="1103"/>
      <c r="U491" s="1103"/>
      <c r="V491" s="1103"/>
      <c r="W491" s="1103"/>
      <c r="X491" s="1210"/>
      <c r="Y491" s="1210"/>
      <c r="Z491" s="1103"/>
      <c r="AA491" s="1103"/>
      <c r="AB491" s="1103"/>
      <c r="AC491" s="1103"/>
      <c r="AD491" s="1103"/>
      <c r="AE491" s="1210"/>
      <c r="AF491" s="1210"/>
      <c r="AG491" s="1103"/>
      <c r="AH491" s="1103"/>
      <c r="AI491" s="1352"/>
      <c r="AJ491" s="74">
        <f>SUM(E491:AI491)</f>
        <v>0</v>
      </c>
      <c r="AK491" s="74"/>
      <c r="AL491" s="75">
        <f>+AJ491*AN485</f>
        <v>0</v>
      </c>
      <c r="AM491" s="938"/>
      <c r="AN491" s="294"/>
      <c r="AO491" s="682"/>
      <c r="AP491" s="47" t="s">
        <v>106</v>
      </c>
      <c r="AQ491" s="48">
        <f>AQ487*AN485</f>
        <v>0</v>
      </c>
      <c r="AR491" s="48">
        <f>AR487*AN485</f>
        <v>0</v>
      </c>
      <c r="AS491" s="48">
        <f>AS487*AN485</f>
        <v>0</v>
      </c>
      <c r="AT491" s="48">
        <f>AT487*AN485</f>
        <v>0</v>
      </c>
      <c r="AU491" s="48">
        <f>AU487*AN485</f>
        <v>0</v>
      </c>
      <c r="AV491" s="50">
        <f t="shared" si="1084"/>
        <v>0</v>
      </c>
    </row>
    <row r="492" spans="1:48" s="23" customFormat="1" ht="18.75" hidden="1">
      <c r="A492" s="276" t="s">
        <v>419</v>
      </c>
      <c r="B492" s="313"/>
      <c r="C492" s="307"/>
      <c r="D492" s="78" t="s">
        <v>107</v>
      </c>
      <c r="E492" s="1137">
        <v>4</v>
      </c>
      <c r="F492" s="1097">
        <v>4</v>
      </c>
      <c r="G492" s="1205">
        <v>4</v>
      </c>
      <c r="H492" s="1097">
        <v>4</v>
      </c>
      <c r="I492" s="1097">
        <v>4</v>
      </c>
      <c r="J492" s="1205">
        <v>4</v>
      </c>
      <c r="K492" s="1205">
        <v>4</v>
      </c>
      <c r="L492" s="1097">
        <v>4</v>
      </c>
      <c r="M492" s="1097">
        <v>4</v>
      </c>
      <c r="N492" s="1097">
        <v>4</v>
      </c>
      <c r="O492" s="1097">
        <v>4</v>
      </c>
      <c r="P492" s="1097">
        <v>4</v>
      </c>
      <c r="Q492" s="1205">
        <v>4</v>
      </c>
      <c r="R492" s="1205">
        <v>4</v>
      </c>
      <c r="S492" s="1097">
        <v>4</v>
      </c>
      <c r="T492" s="1097">
        <v>4</v>
      </c>
      <c r="U492" s="1097">
        <v>4</v>
      </c>
      <c r="V492" s="1097">
        <v>4</v>
      </c>
      <c r="W492" s="1097">
        <v>4</v>
      </c>
      <c r="X492" s="1205">
        <v>4</v>
      </c>
      <c r="Y492" s="1205">
        <v>4</v>
      </c>
      <c r="Z492" s="1097">
        <v>4</v>
      </c>
      <c r="AA492" s="1097">
        <v>4</v>
      </c>
      <c r="AB492" s="1097">
        <v>4</v>
      </c>
      <c r="AC492" s="1097">
        <v>4</v>
      </c>
      <c r="AD492" s="1097">
        <v>4</v>
      </c>
      <c r="AE492" s="1205">
        <v>4</v>
      </c>
      <c r="AF492" s="1205">
        <v>4</v>
      </c>
      <c r="AG492" s="1097">
        <v>4</v>
      </c>
      <c r="AH492" s="1097">
        <v>4</v>
      </c>
      <c r="AI492" s="1328">
        <v>4</v>
      </c>
      <c r="AJ492" s="79"/>
      <c r="AK492" s="79"/>
      <c r="AL492" s="69"/>
      <c r="AM492" s="937"/>
      <c r="AN492" s="293"/>
      <c r="AO492" s="678"/>
      <c r="AP492" s="47"/>
      <c r="AQ492" s="48"/>
      <c r="AR492" s="48"/>
      <c r="AS492" s="48"/>
      <c r="AT492" s="48"/>
      <c r="AU492" s="48"/>
      <c r="AV492" s="284"/>
    </row>
    <row r="493" spans="1:48" s="23" customFormat="1" ht="18.75" hidden="1">
      <c r="A493" s="276" t="s">
        <v>419</v>
      </c>
      <c r="B493" s="89"/>
      <c r="C493" s="305"/>
      <c r="D493" s="81" t="s">
        <v>109</v>
      </c>
      <c r="E493" s="1125">
        <f>SUM(E487+E489+E490+E491)/E492</f>
        <v>0</v>
      </c>
      <c r="F493" s="1126">
        <f>SUM(F487+F489+F490+F491)/F492</f>
        <v>0</v>
      </c>
      <c r="G493" s="1235">
        <f t="shared" ref="G493:AI493" si="1088">SUM(G487+G489+G490+G491)/G492</f>
        <v>0</v>
      </c>
      <c r="H493" s="1126">
        <f t="shared" si="1088"/>
        <v>0</v>
      </c>
      <c r="I493" s="1126">
        <f t="shared" si="1088"/>
        <v>0</v>
      </c>
      <c r="J493" s="1235">
        <f t="shared" si="1088"/>
        <v>0</v>
      </c>
      <c r="K493" s="1235">
        <f t="shared" si="1088"/>
        <v>0</v>
      </c>
      <c r="L493" s="1126">
        <f t="shared" si="1088"/>
        <v>0</v>
      </c>
      <c r="M493" s="1126">
        <f t="shared" si="1088"/>
        <v>0</v>
      </c>
      <c r="N493" s="1126">
        <f t="shared" si="1088"/>
        <v>0</v>
      </c>
      <c r="O493" s="1126">
        <f t="shared" si="1088"/>
        <v>0</v>
      </c>
      <c r="P493" s="1126">
        <f t="shared" si="1088"/>
        <v>0</v>
      </c>
      <c r="Q493" s="1235">
        <f t="shared" si="1088"/>
        <v>0</v>
      </c>
      <c r="R493" s="1235">
        <f t="shared" si="1088"/>
        <v>0</v>
      </c>
      <c r="S493" s="1126">
        <f t="shared" si="1088"/>
        <v>0</v>
      </c>
      <c r="T493" s="1126">
        <f t="shared" si="1088"/>
        <v>0</v>
      </c>
      <c r="U493" s="1126">
        <f t="shared" si="1088"/>
        <v>0</v>
      </c>
      <c r="V493" s="1126">
        <f t="shared" si="1088"/>
        <v>0</v>
      </c>
      <c r="W493" s="1126">
        <f t="shared" si="1088"/>
        <v>0</v>
      </c>
      <c r="X493" s="1235">
        <f t="shared" si="1088"/>
        <v>0</v>
      </c>
      <c r="Y493" s="1235">
        <f t="shared" si="1088"/>
        <v>0</v>
      </c>
      <c r="Z493" s="1126">
        <f t="shared" si="1088"/>
        <v>0</v>
      </c>
      <c r="AA493" s="1126">
        <f t="shared" si="1088"/>
        <v>0</v>
      </c>
      <c r="AB493" s="1126">
        <f t="shared" si="1088"/>
        <v>0</v>
      </c>
      <c r="AC493" s="1126">
        <f t="shared" si="1088"/>
        <v>0</v>
      </c>
      <c r="AD493" s="1126">
        <f t="shared" si="1088"/>
        <v>0</v>
      </c>
      <c r="AE493" s="1235">
        <f t="shared" si="1088"/>
        <v>0</v>
      </c>
      <c r="AF493" s="1235">
        <f t="shared" si="1088"/>
        <v>0</v>
      </c>
      <c r="AG493" s="1126">
        <f t="shared" si="1088"/>
        <v>0</v>
      </c>
      <c r="AH493" s="1126">
        <f t="shared" si="1088"/>
        <v>0</v>
      </c>
      <c r="AI493" s="1335">
        <f t="shared" si="1088"/>
        <v>0</v>
      </c>
      <c r="AJ493" s="515">
        <f>SUM(E493:AI493)</f>
        <v>0</v>
      </c>
      <c r="AK493" s="515"/>
      <c r="AL493" s="689"/>
      <c r="AM493" s="940"/>
      <c r="AN493" s="293"/>
      <c r="AO493" s="678"/>
      <c r="AP493" s="285"/>
      <c r="AQ493" s="285"/>
      <c r="AR493" s="285"/>
      <c r="AS493" s="285"/>
      <c r="AT493" s="286"/>
      <c r="AU493" s="285"/>
      <c r="AV493" s="287"/>
    </row>
    <row r="494" spans="1:48" s="23" customFormat="1" ht="18.75" hidden="1">
      <c r="A494" s="276" t="s">
        <v>419</v>
      </c>
      <c r="B494" s="89"/>
      <c r="C494" s="72"/>
      <c r="D494" s="85" t="s">
        <v>110</v>
      </c>
      <c r="E494" s="1336"/>
      <c r="F494" s="1106"/>
      <c r="G494" s="1211"/>
      <c r="H494" s="1104"/>
      <c r="I494" s="1104"/>
      <c r="J494" s="1211"/>
      <c r="K494" s="1211"/>
      <c r="L494" s="1104"/>
      <c r="M494" s="1104"/>
      <c r="N494" s="1104"/>
      <c r="O494" s="1104"/>
      <c r="P494" s="1104"/>
      <c r="Q494" s="1211"/>
      <c r="R494" s="1228"/>
      <c r="S494" s="1104"/>
      <c r="T494" s="1107"/>
      <c r="U494" s="1104"/>
      <c r="V494" s="1104"/>
      <c r="W494" s="1104"/>
      <c r="X494" s="1228"/>
      <c r="Y494" s="1211"/>
      <c r="Z494" s="1104"/>
      <c r="AA494" s="1104"/>
      <c r="AB494" s="1104"/>
      <c r="AC494" s="1107"/>
      <c r="AD494" s="1104"/>
      <c r="AE494" s="1211"/>
      <c r="AF494" s="1211"/>
      <c r="AG494" s="1104"/>
      <c r="AH494" s="1104"/>
      <c r="AI494" s="1337"/>
      <c r="AJ494" s="86"/>
      <c r="AK494" s="86"/>
      <c r="AL494" s="690"/>
      <c r="AM494" s="940"/>
      <c r="AN494" s="293"/>
      <c r="AO494" s="678"/>
      <c r="AP494" s="285"/>
      <c r="AQ494" s="285"/>
      <c r="AR494" s="285"/>
      <c r="AS494" s="285"/>
      <c r="AT494" s="286"/>
      <c r="AU494" s="285"/>
      <c r="AV494" s="287"/>
    </row>
    <row r="495" spans="1:48" s="23" customFormat="1" ht="18.75" hidden="1">
      <c r="A495" s="276" t="s">
        <v>419</v>
      </c>
      <c r="B495" s="89"/>
      <c r="C495" s="72" t="s">
        <v>104</v>
      </c>
      <c r="D495" s="88" t="s">
        <v>111</v>
      </c>
      <c r="E495" s="1108">
        <f>IF(E494="O/H",E493,314+E493)</f>
        <v>314</v>
      </c>
      <c r="F495" s="1089">
        <f t="shared" ref="F495:AI495" si="1089">IF(F494="O/H",F493,+E495+F493)</f>
        <v>314</v>
      </c>
      <c r="G495" s="44">
        <f t="shared" si="1089"/>
        <v>314</v>
      </c>
      <c r="H495" s="1089">
        <f t="shared" si="1089"/>
        <v>314</v>
      </c>
      <c r="I495" s="1089">
        <f t="shared" si="1089"/>
        <v>314</v>
      </c>
      <c r="J495" s="44">
        <f t="shared" si="1089"/>
        <v>314</v>
      </c>
      <c r="K495" s="44">
        <f t="shared" si="1089"/>
        <v>314</v>
      </c>
      <c r="L495" s="1089">
        <f t="shared" si="1089"/>
        <v>314</v>
      </c>
      <c r="M495" s="1089">
        <f t="shared" si="1089"/>
        <v>314</v>
      </c>
      <c r="N495" s="1089">
        <f t="shared" si="1089"/>
        <v>314</v>
      </c>
      <c r="O495" s="1089">
        <f t="shared" si="1089"/>
        <v>314</v>
      </c>
      <c r="P495" s="1089">
        <f t="shared" si="1089"/>
        <v>314</v>
      </c>
      <c r="Q495" s="44">
        <f t="shared" si="1089"/>
        <v>314</v>
      </c>
      <c r="R495" s="44">
        <f t="shared" si="1089"/>
        <v>314</v>
      </c>
      <c r="S495" s="1089">
        <f t="shared" si="1089"/>
        <v>314</v>
      </c>
      <c r="T495" s="1089">
        <f t="shared" si="1089"/>
        <v>314</v>
      </c>
      <c r="U495" s="1089">
        <f t="shared" si="1089"/>
        <v>314</v>
      </c>
      <c r="V495" s="1089">
        <f t="shared" si="1089"/>
        <v>314</v>
      </c>
      <c r="W495" s="1089">
        <f t="shared" si="1089"/>
        <v>314</v>
      </c>
      <c r="X495" s="44">
        <f t="shared" si="1089"/>
        <v>314</v>
      </c>
      <c r="Y495" s="44">
        <f t="shared" si="1089"/>
        <v>314</v>
      </c>
      <c r="Z495" s="1089">
        <f t="shared" si="1089"/>
        <v>314</v>
      </c>
      <c r="AA495" s="1089">
        <f t="shared" si="1089"/>
        <v>314</v>
      </c>
      <c r="AB495" s="1089">
        <f t="shared" si="1089"/>
        <v>314</v>
      </c>
      <c r="AC495" s="1089">
        <f t="shared" si="1089"/>
        <v>314</v>
      </c>
      <c r="AD495" s="1089">
        <f t="shared" si="1089"/>
        <v>314</v>
      </c>
      <c r="AE495" s="44">
        <f t="shared" si="1089"/>
        <v>314</v>
      </c>
      <c r="AF495" s="44">
        <f t="shared" si="1089"/>
        <v>314</v>
      </c>
      <c r="AG495" s="1089">
        <f t="shared" si="1089"/>
        <v>314</v>
      </c>
      <c r="AH495" s="1089">
        <f t="shared" si="1089"/>
        <v>314</v>
      </c>
      <c r="AI495" s="1326">
        <f t="shared" si="1089"/>
        <v>314</v>
      </c>
      <c r="AJ495" s="79"/>
      <c r="AK495" s="79"/>
      <c r="AL495" s="690"/>
      <c r="AM495" s="940"/>
      <c r="AN495" s="277"/>
      <c r="AO495" s="679"/>
      <c r="AP495" s="285"/>
      <c r="AQ495" s="285"/>
      <c r="AR495" s="285"/>
      <c r="AS495" s="285"/>
      <c r="AT495" s="286"/>
      <c r="AU495" s="285"/>
      <c r="AV495" s="287"/>
    </row>
    <row r="496" spans="1:48" s="23" customFormat="1" hidden="1">
      <c r="A496" s="312"/>
      <c r="B496" s="312"/>
      <c r="C496" s="308">
        <v>300000</v>
      </c>
      <c r="D496" s="795" t="s">
        <v>112</v>
      </c>
      <c r="E496" s="1117" t="b">
        <f>IF(AND(ISNUMBER(E487)),1860478+E493)</f>
        <v>0</v>
      </c>
      <c r="F496" s="1118" t="str">
        <f>IF(AND(ISNUMBER(F487)),E496+F493,"")</f>
        <v/>
      </c>
      <c r="G496" s="1216" t="str">
        <f t="shared" ref="G496:H496" si="1090">IF(AND(ISNUMBER(G487)),F496+G493,"")</f>
        <v/>
      </c>
      <c r="H496" s="1118" t="str">
        <f t="shared" si="1090"/>
        <v/>
      </c>
      <c r="I496" s="1118" t="str">
        <f>IF(AND(ISNUMBER(I487)),H496+I493,"")</f>
        <v/>
      </c>
      <c r="J496" s="1216" t="str">
        <f>IF(AND(ISNUMBER(J487)),I496+J493,"")</f>
        <v/>
      </c>
      <c r="K496" s="1216" t="str">
        <f>IF(AND(ISNUMBER(K487)),J496+K493,"")</f>
        <v/>
      </c>
      <c r="L496" s="1118" t="str">
        <f t="shared" ref="L496:AI496" si="1091">IF(AND(ISNUMBER(L487)),K496+L493,"")</f>
        <v/>
      </c>
      <c r="M496" s="1118" t="str">
        <f t="shared" si="1091"/>
        <v/>
      </c>
      <c r="N496" s="1118" t="str">
        <f t="shared" si="1091"/>
        <v/>
      </c>
      <c r="O496" s="1118" t="str">
        <f t="shared" si="1091"/>
        <v/>
      </c>
      <c r="P496" s="1118" t="str">
        <f t="shared" si="1091"/>
        <v/>
      </c>
      <c r="Q496" s="1216" t="str">
        <f t="shared" si="1091"/>
        <v/>
      </c>
      <c r="R496" s="1216" t="str">
        <f t="shared" si="1091"/>
        <v/>
      </c>
      <c r="S496" s="1118" t="str">
        <f t="shared" si="1091"/>
        <v/>
      </c>
      <c r="T496" s="1118" t="str">
        <f t="shared" si="1091"/>
        <v/>
      </c>
      <c r="U496" s="1118" t="str">
        <f t="shared" si="1091"/>
        <v/>
      </c>
      <c r="V496" s="1118" t="str">
        <f t="shared" si="1091"/>
        <v/>
      </c>
      <c r="W496" s="1118" t="str">
        <f t="shared" si="1091"/>
        <v/>
      </c>
      <c r="X496" s="1216" t="str">
        <f t="shared" si="1091"/>
        <v/>
      </c>
      <c r="Y496" s="1216" t="str">
        <f t="shared" si="1091"/>
        <v/>
      </c>
      <c r="Z496" s="1118" t="str">
        <f t="shared" si="1091"/>
        <v/>
      </c>
      <c r="AA496" s="1118" t="str">
        <f t="shared" si="1091"/>
        <v/>
      </c>
      <c r="AB496" s="1118" t="str">
        <f t="shared" si="1091"/>
        <v/>
      </c>
      <c r="AC496" s="1118" t="str">
        <f t="shared" si="1091"/>
        <v/>
      </c>
      <c r="AD496" s="1118" t="str">
        <f t="shared" si="1091"/>
        <v/>
      </c>
      <c r="AE496" s="1216" t="str">
        <f t="shared" si="1091"/>
        <v/>
      </c>
      <c r="AF496" s="1216" t="str">
        <f t="shared" si="1091"/>
        <v/>
      </c>
      <c r="AG496" s="1118" t="str">
        <f t="shared" si="1091"/>
        <v/>
      </c>
      <c r="AH496" s="1118" t="str">
        <f t="shared" si="1091"/>
        <v/>
      </c>
      <c r="AI496" s="1118" t="str">
        <f t="shared" si="1091"/>
        <v/>
      </c>
      <c r="AJ496" s="793"/>
      <c r="AK496" s="793"/>
      <c r="AL496" s="909"/>
      <c r="AM496" s="794"/>
      <c r="AN496" s="429"/>
      <c r="AO496" s="675"/>
      <c r="AP496" s="285"/>
      <c r="AQ496" s="285"/>
      <c r="AR496" s="285"/>
      <c r="AS496" s="285"/>
      <c r="AT496" s="286"/>
      <c r="AU496" s="285"/>
      <c r="AV496" s="287"/>
    </row>
    <row r="497" spans="1:48" s="23" customFormat="1" ht="18.75" hidden="1">
      <c r="A497" s="276"/>
      <c r="B497" s="89"/>
      <c r="C497" s="80" t="s">
        <v>108</v>
      </c>
      <c r="D497" s="90" t="s">
        <v>104</v>
      </c>
      <c r="E497" s="1372"/>
      <c r="F497" s="1141"/>
      <c r="G497" s="1272"/>
      <c r="H497" s="1141"/>
      <c r="I497" s="1141"/>
      <c r="J497" s="1272"/>
      <c r="K497" s="1272"/>
      <c r="L497" s="1141"/>
      <c r="M497" s="1141"/>
      <c r="N497" s="1141"/>
      <c r="O497" s="1141"/>
      <c r="P497" s="1141"/>
      <c r="Q497" s="1272"/>
      <c r="R497" s="1272"/>
      <c r="S497" s="1141"/>
      <c r="T497" s="1141"/>
      <c r="U497" s="1141"/>
      <c r="V497" s="1141"/>
      <c r="W497" s="1141"/>
      <c r="X497" s="1272"/>
      <c r="Y497" s="1272"/>
      <c r="Z497" s="1141"/>
      <c r="AA497" s="1141"/>
      <c r="AB497" s="1141"/>
      <c r="AC497" s="1144"/>
      <c r="AD497" s="1141"/>
      <c r="AE497" s="1272"/>
      <c r="AF497" s="1272"/>
      <c r="AG497" s="1141"/>
      <c r="AH497" s="1141"/>
      <c r="AI497" s="1416"/>
      <c r="AJ497" s="79"/>
      <c r="AK497" s="79"/>
      <c r="AL497" s="690"/>
      <c r="AM497" s="940"/>
      <c r="AN497" s="301"/>
      <c r="AO497" s="680"/>
      <c r="AP497" s="285"/>
      <c r="AQ497" s="285"/>
      <c r="AR497" s="285"/>
      <c r="AS497" s="285"/>
      <c r="AT497" s="286"/>
      <c r="AU497" s="285"/>
      <c r="AV497" s="287"/>
    </row>
    <row r="498" spans="1:48" s="23" customFormat="1" ht="19.5" hidden="1" thickBot="1">
      <c r="A498" s="289"/>
      <c r="B498" s="93"/>
      <c r="C498" s="291">
        <f>+C496*0.8</f>
        <v>240000</v>
      </c>
      <c r="D498" s="88" t="s">
        <v>111</v>
      </c>
      <c r="E498" s="1109">
        <f>IF(E497="O/H",E493,0+E493)</f>
        <v>0</v>
      </c>
      <c r="F498" s="1110">
        <f t="shared" ref="F498:AI498" si="1092">IF(F497="O/H",F493,+E498+F493)</f>
        <v>0</v>
      </c>
      <c r="G498" s="1212">
        <f t="shared" si="1092"/>
        <v>0</v>
      </c>
      <c r="H498" s="1110">
        <f t="shared" si="1092"/>
        <v>0</v>
      </c>
      <c r="I498" s="1110">
        <f t="shared" si="1092"/>
        <v>0</v>
      </c>
      <c r="J498" s="1212">
        <f t="shared" si="1092"/>
        <v>0</v>
      </c>
      <c r="K498" s="1212">
        <f t="shared" si="1092"/>
        <v>0</v>
      </c>
      <c r="L498" s="1110">
        <f t="shared" si="1092"/>
        <v>0</v>
      </c>
      <c r="M498" s="1110">
        <f t="shared" si="1092"/>
        <v>0</v>
      </c>
      <c r="N498" s="1110">
        <f t="shared" si="1092"/>
        <v>0</v>
      </c>
      <c r="O498" s="1110">
        <f t="shared" si="1092"/>
        <v>0</v>
      </c>
      <c r="P498" s="1110">
        <f t="shared" si="1092"/>
        <v>0</v>
      </c>
      <c r="Q498" s="1212">
        <f t="shared" si="1092"/>
        <v>0</v>
      </c>
      <c r="R498" s="1212">
        <f t="shared" si="1092"/>
        <v>0</v>
      </c>
      <c r="S498" s="1110">
        <f t="shared" si="1092"/>
        <v>0</v>
      </c>
      <c r="T498" s="1110">
        <f t="shared" si="1092"/>
        <v>0</v>
      </c>
      <c r="U498" s="1110">
        <f t="shared" si="1092"/>
        <v>0</v>
      </c>
      <c r="V498" s="1110">
        <f t="shared" si="1092"/>
        <v>0</v>
      </c>
      <c r="W498" s="1110">
        <f t="shared" si="1092"/>
        <v>0</v>
      </c>
      <c r="X498" s="1212">
        <f t="shared" si="1092"/>
        <v>0</v>
      </c>
      <c r="Y498" s="1212">
        <f t="shared" si="1092"/>
        <v>0</v>
      </c>
      <c r="Z498" s="1110">
        <f t="shared" si="1092"/>
        <v>0</v>
      </c>
      <c r="AA498" s="1110">
        <f t="shared" si="1092"/>
        <v>0</v>
      </c>
      <c r="AB498" s="1110">
        <f t="shared" si="1092"/>
        <v>0</v>
      </c>
      <c r="AC498" s="1110">
        <f t="shared" si="1092"/>
        <v>0</v>
      </c>
      <c r="AD498" s="1110">
        <f t="shared" si="1092"/>
        <v>0</v>
      </c>
      <c r="AE498" s="1212">
        <f t="shared" si="1092"/>
        <v>0</v>
      </c>
      <c r="AF498" s="1212">
        <f t="shared" si="1092"/>
        <v>0</v>
      </c>
      <c r="AG498" s="1110">
        <f t="shared" si="1092"/>
        <v>0</v>
      </c>
      <c r="AH498" s="1110">
        <f t="shared" si="1092"/>
        <v>0</v>
      </c>
      <c r="AI498" s="1340">
        <f t="shared" si="1092"/>
        <v>0</v>
      </c>
      <c r="AJ498" s="96"/>
      <c r="AK498" s="723"/>
      <c r="AL498" s="695"/>
      <c r="AM498" s="961"/>
      <c r="AN498" s="292"/>
      <c r="AO498" s="681"/>
      <c r="AP498" s="285"/>
      <c r="AQ498" s="285"/>
      <c r="AR498" s="285"/>
      <c r="AS498" s="285"/>
      <c r="AT498" s="286"/>
      <c r="AU498" s="285"/>
      <c r="AV498" s="287"/>
    </row>
    <row r="499" spans="1:48" s="23" customFormat="1" ht="20.65" hidden="1" customHeight="1" thickTop="1">
      <c r="A499" s="283" t="s">
        <v>423</v>
      </c>
      <c r="B499" s="89"/>
      <c r="C499" s="1493" t="str">
        <f>Table2[[#This Row],[M/C No.]]</f>
        <v>H15(50Ton)</v>
      </c>
      <c r="D499" s="28" t="s">
        <v>82</v>
      </c>
      <c r="E499" s="1139"/>
      <c r="F499" s="1139"/>
      <c r="G499" s="1231"/>
      <c r="H499" s="1139"/>
      <c r="I499" s="1139"/>
      <c r="J499" s="1231"/>
      <c r="K499" s="1231"/>
      <c r="L499" s="1139"/>
      <c r="M499" s="1139"/>
      <c r="N499" s="1139"/>
      <c r="O499" s="1139"/>
      <c r="P499" s="1139"/>
      <c r="Q499" s="1231"/>
      <c r="R499" s="1231"/>
      <c r="S499" s="1139"/>
      <c r="T499" s="1139"/>
      <c r="U499" s="1139"/>
      <c r="V499" s="1139"/>
      <c r="W499" s="1139"/>
      <c r="X499" s="1231"/>
      <c r="Y499" s="1231"/>
      <c r="Z499" s="1139"/>
      <c r="AA499" s="1139"/>
      <c r="AB499" s="1139"/>
      <c r="AC499" s="1139"/>
      <c r="AD499" s="1139"/>
      <c r="AE499" s="1231"/>
      <c r="AF499" s="1231"/>
      <c r="AG499" s="1139"/>
      <c r="AH499" s="1139"/>
      <c r="AI499" s="1322"/>
      <c r="AJ499" s="29">
        <f>SUM(E499:AI499)</f>
        <v>0</v>
      </c>
      <c r="AK499" s="1020">
        <f>AJ501</f>
        <v>0</v>
      </c>
      <c r="AL499" s="101">
        <f>+AJ499*AN499</f>
        <v>0</v>
      </c>
      <c r="AM499" s="1019">
        <f>AL501</f>
        <v>0</v>
      </c>
      <c r="AN499" s="293"/>
      <c r="AO499" s="622">
        <f>Table2[[#This Row],[Total]]*B503/1000</f>
        <v>0</v>
      </c>
      <c r="AP499" s="32" t="s">
        <v>422</v>
      </c>
      <c r="AQ499" s="33" t="s">
        <v>84</v>
      </c>
      <c r="AR499" s="33" t="s">
        <v>85</v>
      </c>
      <c r="AS499" s="33" t="s">
        <v>86</v>
      </c>
      <c r="AT499" s="33" t="s">
        <v>87</v>
      </c>
      <c r="AU499" s="33" t="s">
        <v>88</v>
      </c>
      <c r="AV499" s="34" t="s">
        <v>68</v>
      </c>
    </row>
    <row r="500" spans="1:48" s="23" customFormat="1" ht="20.65" hidden="1" customHeight="1">
      <c r="A500" s="274"/>
      <c r="B500" s="279"/>
      <c r="C500" s="275"/>
      <c r="D500" s="37" t="s">
        <v>90</v>
      </c>
      <c r="E500" s="1323">
        <f>IF(E499="",0,+ E499/E506)</f>
        <v>0</v>
      </c>
      <c r="F500" s="1096">
        <f t="shared" ref="F500:AC500" si="1093">IF(F499="",0, E500+F499/F506)</f>
        <v>0</v>
      </c>
      <c r="G500" s="1207">
        <f t="shared" si="1093"/>
        <v>0</v>
      </c>
      <c r="H500" s="1096">
        <f t="shared" si="1093"/>
        <v>0</v>
      </c>
      <c r="I500" s="1096">
        <f t="shared" si="1093"/>
        <v>0</v>
      </c>
      <c r="J500" s="1207">
        <f t="shared" si="1093"/>
        <v>0</v>
      </c>
      <c r="K500" s="1207">
        <f t="shared" si="1093"/>
        <v>0</v>
      </c>
      <c r="L500" s="1096">
        <f t="shared" si="1093"/>
        <v>0</v>
      </c>
      <c r="M500" s="1096">
        <f t="shared" si="1093"/>
        <v>0</v>
      </c>
      <c r="N500" s="1096">
        <f t="shared" si="1093"/>
        <v>0</v>
      </c>
      <c r="O500" s="1096">
        <f t="shared" si="1093"/>
        <v>0</v>
      </c>
      <c r="P500" s="1096">
        <f t="shared" si="1093"/>
        <v>0</v>
      </c>
      <c r="Q500" s="1207">
        <f t="shared" si="1093"/>
        <v>0</v>
      </c>
      <c r="R500" s="1207">
        <f t="shared" si="1093"/>
        <v>0</v>
      </c>
      <c r="S500" s="1096">
        <f t="shared" si="1093"/>
        <v>0</v>
      </c>
      <c r="T500" s="1096">
        <f t="shared" si="1093"/>
        <v>0</v>
      </c>
      <c r="U500" s="1096">
        <f t="shared" si="1093"/>
        <v>0</v>
      </c>
      <c r="V500" s="1096">
        <f t="shared" si="1093"/>
        <v>0</v>
      </c>
      <c r="W500" s="1096">
        <f t="shared" si="1093"/>
        <v>0</v>
      </c>
      <c r="X500" s="1207">
        <f t="shared" si="1093"/>
        <v>0</v>
      </c>
      <c r="Y500" s="1207">
        <f t="shared" si="1093"/>
        <v>0</v>
      </c>
      <c r="Z500" s="1096">
        <f t="shared" si="1093"/>
        <v>0</v>
      </c>
      <c r="AA500" s="1096">
        <f t="shared" si="1093"/>
        <v>0</v>
      </c>
      <c r="AB500" s="1096">
        <f t="shared" si="1093"/>
        <v>0</v>
      </c>
      <c r="AC500" s="1096">
        <f t="shared" si="1093"/>
        <v>0</v>
      </c>
      <c r="AD500" s="1096">
        <f>IF(AD499="",0, Z500+AD499/AD506)</f>
        <v>0</v>
      </c>
      <c r="AE500" s="1207">
        <f>IF(AE499="",0, AA500+AE499/AE506)</f>
        <v>0</v>
      </c>
      <c r="AF500" s="1207">
        <f>IF(AF499="",0, AB500+AF499/AF506)</f>
        <v>0</v>
      </c>
      <c r="AG500" s="1096">
        <f>IF(AG499="",0, AC500+AG499/AG506)</f>
        <v>0</v>
      </c>
      <c r="AH500" s="1096">
        <f>IF(AH499="",0, AD500+AH499/AH506)</f>
        <v>0</v>
      </c>
      <c r="AI500" s="1324">
        <f>IF(AI499="",0, AH500+AI499/AI506)</f>
        <v>0</v>
      </c>
      <c r="AJ500" s="716"/>
      <c r="AK500" s="716"/>
      <c r="AL500" s="209"/>
      <c r="AM500" s="794"/>
      <c r="AN500" s="91"/>
      <c r="AO500" s="675"/>
      <c r="AP500" s="39" t="s">
        <v>91</v>
      </c>
      <c r="AQ500" s="40">
        <f>SUM(E499:K499)</f>
        <v>0</v>
      </c>
      <c r="AR500" s="41">
        <f>SUM(L499:R499)</f>
        <v>0</v>
      </c>
      <c r="AS500" s="41">
        <f>SUM(S499:Y499)</f>
        <v>0</v>
      </c>
      <c r="AT500" s="41">
        <f>SUM(Z499:AF499)</f>
        <v>0</v>
      </c>
      <c r="AU500" s="41">
        <f>SUM(AG499:AI499)</f>
        <v>0</v>
      </c>
      <c r="AV500" s="34">
        <f t="shared" ref="AV500:AV505" si="1094">SUM(AQ500:AU500)</f>
        <v>0</v>
      </c>
    </row>
    <row r="501" spans="1:48" s="23" customFormat="1" ht="20.65" hidden="1" customHeight="1">
      <c r="A501" s="276" t="s">
        <v>419</v>
      </c>
      <c r="B501" s="219"/>
      <c r="C501" s="42"/>
      <c r="D501" s="43" t="s">
        <v>93</v>
      </c>
      <c r="E501" s="1108"/>
      <c r="F501" s="1089"/>
      <c r="G501" s="44"/>
      <c r="H501" s="1089"/>
      <c r="I501" s="1089"/>
      <c r="J501" s="44"/>
      <c r="K501" s="44"/>
      <c r="L501" s="1089"/>
      <c r="M501" s="1089"/>
      <c r="N501" s="1089"/>
      <c r="O501" s="1089"/>
      <c r="P501" s="1089"/>
      <c r="Q501" s="44"/>
      <c r="R501" s="44"/>
      <c r="S501" s="1089"/>
      <c r="T501" s="1089"/>
      <c r="U501" s="1089"/>
      <c r="V501" s="1089"/>
      <c r="W501" s="1089"/>
      <c r="X501" s="44"/>
      <c r="Y501" s="44"/>
      <c r="Z501" s="1089"/>
      <c r="AA501" s="1089"/>
      <c r="AB501" s="1089"/>
      <c r="AC501" s="1089"/>
      <c r="AD501" s="1089"/>
      <c r="AE501" s="44"/>
      <c r="AF501" s="44"/>
      <c r="AG501" s="1089"/>
      <c r="AH501" s="1089"/>
      <c r="AI501" s="1326"/>
      <c r="AJ501" s="45">
        <f>SUM(E501:AI501)</f>
        <v>0</v>
      </c>
      <c r="AK501" s="45"/>
      <c r="AL501" s="46">
        <f>+AJ501*AN499</f>
        <v>0</v>
      </c>
      <c r="AM501" s="934"/>
      <c r="AN501" s="277"/>
      <c r="AO501" s="632">
        <f>(AJ501+AJ503+AJ504+AJ505)*B503/1000</f>
        <v>0</v>
      </c>
      <c r="AP501" s="47" t="s">
        <v>94</v>
      </c>
      <c r="AQ501" s="48">
        <f>SUM(E501:K501)</f>
        <v>0</v>
      </c>
      <c r="AR501" s="49">
        <f>SUM(L501:R501)</f>
        <v>0</v>
      </c>
      <c r="AS501" s="49">
        <f>SUM(S501:Y501)</f>
        <v>0</v>
      </c>
      <c r="AT501" s="49">
        <f>SUM(Z501:AF501)</f>
        <v>0</v>
      </c>
      <c r="AU501" s="49">
        <f>SUM(AG501:AI501)</f>
        <v>0</v>
      </c>
      <c r="AV501" s="50">
        <f t="shared" si="1094"/>
        <v>0</v>
      </c>
    </row>
    <row r="502" spans="1:48" s="23" customFormat="1" ht="20.65" hidden="1" customHeight="1">
      <c r="A502" s="276" t="s">
        <v>419</v>
      </c>
      <c r="B502" s="89"/>
      <c r="C502" s="280"/>
      <c r="D502" s="53" t="s">
        <v>96</v>
      </c>
      <c r="E502" s="1137">
        <f t="shared" ref="E502:K502" si="1095">+E501-E499</f>
        <v>0</v>
      </c>
      <c r="F502" s="1097">
        <f t="shared" si="1095"/>
        <v>0</v>
      </c>
      <c r="G502" s="1205">
        <f t="shared" si="1095"/>
        <v>0</v>
      </c>
      <c r="H502" s="1097">
        <f t="shared" si="1095"/>
        <v>0</v>
      </c>
      <c r="I502" s="1097">
        <f t="shared" si="1095"/>
        <v>0</v>
      </c>
      <c r="J502" s="1205">
        <f t="shared" si="1095"/>
        <v>0</v>
      </c>
      <c r="K502" s="1205">
        <f t="shared" si="1095"/>
        <v>0</v>
      </c>
      <c r="L502" s="1097">
        <f>+L501-L499</f>
        <v>0</v>
      </c>
      <c r="M502" s="1097">
        <f>+M501-M499</f>
        <v>0</v>
      </c>
      <c r="N502" s="1097">
        <f t="shared" ref="N502:AF502" si="1096">+N501-N499</f>
        <v>0</v>
      </c>
      <c r="O502" s="1097">
        <f t="shared" si="1096"/>
        <v>0</v>
      </c>
      <c r="P502" s="1097">
        <f t="shared" si="1096"/>
        <v>0</v>
      </c>
      <c r="Q502" s="1205">
        <f t="shared" si="1096"/>
        <v>0</v>
      </c>
      <c r="R502" s="1205">
        <f t="shared" si="1096"/>
        <v>0</v>
      </c>
      <c r="S502" s="1097">
        <f t="shared" si="1096"/>
        <v>0</v>
      </c>
      <c r="T502" s="1097">
        <f t="shared" si="1096"/>
        <v>0</v>
      </c>
      <c r="U502" s="1097">
        <f t="shared" si="1096"/>
        <v>0</v>
      </c>
      <c r="V502" s="1097">
        <f t="shared" si="1096"/>
        <v>0</v>
      </c>
      <c r="W502" s="1097">
        <f t="shared" si="1096"/>
        <v>0</v>
      </c>
      <c r="X502" s="1205">
        <f t="shared" si="1096"/>
        <v>0</v>
      </c>
      <c r="Y502" s="1205">
        <f t="shared" si="1096"/>
        <v>0</v>
      </c>
      <c r="Z502" s="1097">
        <f t="shared" si="1096"/>
        <v>0</v>
      </c>
      <c r="AA502" s="1097">
        <f t="shared" si="1096"/>
        <v>0</v>
      </c>
      <c r="AB502" s="1097">
        <f t="shared" si="1096"/>
        <v>0</v>
      </c>
      <c r="AC502" s="1097">
        <f t="shared" si="1096"/>
        <v>0</v>
      </c>
      <c r="AD502" s="1097">
        <f t="shared" si="1096"/>
        <v>0</v>
      </c>
      <c r="AE502" s="1205">
        <f t="shared" si="1096"/>
        <v>0</v>
      </c>
      <c r="AF502" s="1205">
        <f t="shared" si="1096"/>
        <v>0</v>
      </c>
      <c r="AG502" s="1097">
        <f>+AG501-AG499</f>
        <v>0</v>
      </c>
      <c r="AH502" s="1097">
        <f>+AH501-AH499</f>
        <v>0</v>
      </c>
      <c r="AI502" s="1328">
        <f>+AI501-AI499</f>
        <v>0</v>
      </c>
      <c r="AJ502" s="79">
        <f>+AJ501-AJ499</f>
        <v>0</v>
      </c>
      <c r="AK502" s="79"/>
      <c r="AL502" s="55">
        <f>+AJ502*AN499</f>
        <v>0</v>
      </c>
      <c r="AM502" s="935"/>
      <c r="AN502" s="277" t="s">
        <v>97</v>
      </c>
      <c r="AO502" s="622"/>
      <c r="AP502" s="39" t="s">
        <v>98</v>
      </c>
      <c r="AQ502" s="56">
        <f>AQ501-AQ500</f>
        <v>0</v>
      </c>
      <c r="AR502" s="70">
        <f>AR501-AR500</f>
        <v>0</v>
      </c>
      <c r="AS502" s="70">
        <f>AS501-AS500</f>
        <v>0</v>
      </c>
      <c r="AT502" s="70">
        <f>AT501-AT500</f>
        <v>0</v>
      </c>
      <c r="AU502" s="70">
        <f>AU501-AU500</f>
        <v>0</v>
      </c>
      <c r="AV502" s="57">
        <f t="shared" si="1094"/>
        <v>0</v>
      </c>
    </row>
    <row r="503" spans="1:48" s="23" customFormat="1" ht="20.65" hidden="1" customHeight="1">
      <c r="A503" s="276" t="s">
        <v>419</v>
      </c>
      <c r="B503" s="89"/>
      <c r="C503" s="305"/>
      <c r="D503" s="61" t="s">
        <v>101</v>
      </c>
      <c r="E503" s="1098"/>
      <c r="F503" s="1099"/>
      <c r="G503" s="1208"/>
      <c r="H503" s="1099"/>
      <c r="I503" s="1099"/>
      <c r="J503" s="1208"/>
      <c r="K503" s="1208"/>
      <c r="L503" s="1099"/>
      <c r="M503" s="1099"/>
      <c r="N503" s="1099"/>
      <c r="O503" s="1099"/>
      <c r="P503" s="1099"/>
      <c r="Q503" s="1208"/>
      <c r="R503" s="1208"/>
      <c r="S503" s="1099"/>
      <c r="T503" s="1099"/>
      <c r="U503" s="1099"/>
      <c r="V503" s="1099"/>
      <c r="W503" s="1099"/>
      <c r="X503" s="1208"/>
      <c r="Y503" s="1208"/>
      <c r="Z503" s="1099"/>
      <c r="AA503" s="1099"/>
      <c r="AB503" s="1099"/>
      <c r="AC503" s="1099"/>
      <c r="AD503" s="1099"/>
      <c r="AE503" s="1208"/>
      <c r="AF503" s="1208"/>
      <c r="AG503" s="1099"/>
      <c r="AH503" s="1099"/>
      <c r="AI503" s="1330"/>
      <c r="AJ503" s="62">
        <f>SUM(E503:AI503)</f>
        <v>0</v>
      </c>
      <c r="AK503" s="62"/>
      <c r="AL503" s="63">
        <f>+AJ503*AN499</f>
        <v>0</v>
      </c>
      <c r="AM503" s="936"/>
      <c r="AN503" s="301" t="e">
        <f>+AJ503/AJ501*100</f>
        <v>#DIV/0!</v>
      </c>
      <c r="AO503" s="635" t="e">
        <f>AO501/AO499</f>
        <v>#DIV/0!</v>
      </c>
      <c r="AP503" s="39" t="s">
        <v>102</v>
      </c>
      <c r="AQ503" s="56">
        <f>SUM(E503:K503)</f>
        <v>0</v>
      </c>
      <c r="AR503" s="70">
        <f>SUM(L503:R503)</f>
        <v>0</v>
      </c>
      <c r="AS503" s="70">
        <f>SUM(S503:Y503)</f>
        <v>0</v>
      </c>
      <c r="AT503" s="70">
        <f>SUM(Z503:AF503)</f>
        <v>0</v>
      </c>
      <c r="AU503" s="70">
        <f>SUM(AG503:AI503)</f>
        <v>0</v>
      </c>
      <c r="AV503" s="57">
        <f t="shared" si="1094"/>
        <v>0</v>
      </c>
    </row>
    <row r="504" spans="1:48" s="23" customFormat="1" ht="20.65" hidden="1" customHeight="1">
      <c r="A504" s="330"/>
      <c r="B504" s="89"/>
      <c r="C504" s="52" t="s">
        <v>95</v>
      </c>
      <c r="D504" s="67" t="s">
        <v>103</v>
      </c>
      <c r="E504" s="1100"/>
      <c r="F504" s="1101"/>
      <c r="G504" s="1209"/>
      <c r="H504" s="1101"/>
      <c r="I504" s="1101"/>
      <c r="J504" s="1209"/>
      <c r="K504" s="1209"/>
      <c r="L504" s="1101"/>
      <c r="M504" s="1101"/>
      <c r="N504" s="1101"/>
      <c r="O504" s="1101"/>
      <c r="P504" s="1101"/>
      <c r="Q504" s="1209"/>
      <c r="R504" s="1209"/>
      <c r="S504" s="1101"/>
      <c r="T504" s="1101"/>
      <c r="U504" s="1101"/>
      <c r="V504" s="1101"/>
      <c r="W504" s="1101"/>
      <c r="X504" s="1209"/>
      <c r="Y504" s="1209"/>
      <c r="Z504" s="1101"/>
      <c r="AA504" s="1101"/>
      <c r="AB504" s="1101"/>
      <c r="AC504" s="1101"/>
      <c r="AD504" s="1101"/>
      <c r="AE504" s="1209"/>
      <c r="AF504" s="1209"/>
      <c r="AG504" s="1101"/>
      <c r="AH504" s="1101"/>
      <c r="AI504" s="1332"/>
      <c r="AJ504" s="68">
        <f>SUM(E504:AI504)</f>
        <v>0</v>
      </c>
      <c r="AK504" s="68"/>
      <c r="AL504" s="69">
        <f>+AJ504*AN499</f>
        <v>0</v>
      </c>
      <c r="AM504" s="937"/>
      <c r="AN504" s="277"/>
      <c r="AO504" s="679"/>
      <c r="AP504" s="39" t="s">
        <v>19</v>
      </c>
      <c r="AQ504" s="56">
        <f>AQ503*AN499</f>
        <v>0</v>
      </c>
      <c r="AR504" s="56">
        <f>AR503*AN499</f>
        <v>0</v>
      </c>
      <c r="AS504" s="56">
        <f>AS503*AN499</f>
        <v>0</v>
      </c>
      <c r="AT504" s="56">
        <f>AT503*AN499</f>
        <v>0</v>
      </c>
      <c r="AU504" s="56">
        <f>AU503*AN499</f>
        <v>0</v>
      </c>
      <c r="AV504" s="57">
        <f t="shared" si="1094"/>
        <v>0</v>
      </c>
    </row>
    <row r="505" spans="1:48" s="23" customFormat="1" ht="20.65" hidden="1" customHeight="1">
      <c r="A505" s="330" t="s">
        <v>423</v>
      </c>
      <c r="B505" s="89"/>
      <c r="C505" s="306" t="s">
        <v>387</v>
      </c>
      <c r="D505" s="73" t="s">
        <v>105</v>
      </c>
      <c r="E505" s="1102"/>
      <c r="F505" s="1103"/>
      <c r="G505" s="1210"/>
      <c r="H505" s="1103"/>
      <c r="I505" s="1103"/>
      <c r="J505" s="1210"/>
      <c r="K505" s="1210"/>
      <c r="L505" s="1103"/>
      <c r="M505" s="1103"/>
      <c r="N505" s="1103"/>
      <c r="O505" s="1103"/>
      <c r="P505" s="1103"/>
      <c r="Q505" s="1210"/>
      <c r="R505" s="1210"/>
      <c r="S505" s="1103"/>
      <c r="T505" s="1103"/>
      <c r="U505" s="1103"/>
      <c r="V505" s="1103"/>
      <c r="W505" s="1103"/>
      <c r="X505" s="1210"/>
      <c r="Y505" s="1210"/>
      <c r="Z505" s="1103"/>
      <c r="AA505" s="1103"/>
      <c r="AB505" s="1103"/>
      <c r="AC505" s="1103"/>
      <c r="AD505" s="1103"/>
      <c r="AE505" s="1210"/>
      <c r="AF505" s="1210"/>
      <c r="AG505" s="1103"/>
      <c r="AH505" s="1103"/>
      <c r="AI505" s="1352"/>
      <c r="AJ505" s="74">
        <f>SUM(E505:AI505)</f>
        <v>0</v>
      </c>
      <c r="AK505" s="74"/>
      <c r="AL505" s="75">
        <f>+AJ505*AN499</f>
        <v>0</v>
      </c>
      <c r="AM505" s="938"/>
      <c r="AN505" s="91"/>
      <c r="AO505" s="630"/>
      <c r="AP505" s="47" t="s">
        <v>106</v>
      </c>
      <c r="AQ505" s="48">
        <f>AQ501*AN499</f>
        <v>0</v>
      </c>
      <c r="AR505" s="48">
        <f>AR501*AN499</f>
        <v>0</v>
      </c>
      <c r="AS505" s="48">
        <f>AS501*AN499</f>
        <v>0</v>
      </c>
      <c r="AT505" s="48">
        <f>AT501*AN499</f>
        <v>0</v>
      </c>
      <c r="AU505" s="48">
        <f>AU501*AN499</f>
        <v>0</v>
      </c>
      <c r="AV505" s="50">
        <f t="shared" si="1094"/>
        <v>0</v>
      </c>
    </row>
    <row r="506" spans="1:48" s="23" customFormat="1" ht="20.65" hidden="1" customHeight="1">
      <c r="A506" s="276" t="s">
        <v>419</v>
      </c>
      <c r="B506" s="313"/>
      <c r="C506" s="307"/>
      <c r="D506" s="78" t="s">
        <v>107</v>
      </c>
      <c r="E506" s="1137">
        <v>4</v>
      </c>
      <c r="F506" s="1097">
        <v>4</v>
      </c>
      <c r="G506" s="1205">
        <v>4</v>
      </c>
      <c r="H506" s="1097">
        <v>4</v>
      </c>
      <c r="I506" s="1097">
        <v>4</v>
      </c>
      <c r="J506" s="1205">
        <v>4</v>
      </c>
      <c r="K506" s="1205">
        <v>4</v>
      </c>
      <c r="L506" s="1097">
        <v>4</v>
      </c>
      <c r="M506" s="1097">
        <v>4</v>
      </c>
      <c r="N506" s="1097">
        <v>4</v>
      </c>
      <c r="O506" s="1097">
        <v>4</v>
      </c>
      <c r="P506" s="1097">
        <v>4</v>
      </c>
      <c r="Q506" s="1205">
        <v>4</v>
      </c>
      <c r="R506" s="1205">
        <v>4</v>
      </c>
      <c r="S506" s="1097">
        <v>4</v>
      </c>
      <c r="T506" s="1097">
        <v>4</v>
      </c>
      <c r="U506" s="1097">
        <v>4</v>
      </c>
      <c r="V506" s="1097">
        <v>4</v>
      </c>
      <c r="W506" s="1097">
        <v>4</v>
      </c>
      <c r="X506" s="1205">
        <v>4</v>
      </c>
      <c r="Y506" s="1205">
        <v>4</v>
      </c>
      <c r="Z506" s="1097">
        <v>4</v>
      </c>
      <c r="AA506" s="1097">
        <v>4</v>
      </c>
      <c r="AB506" s="1097">
        <v>4</v>
      </c>
      <c r="AC506" s="1097">
        <v>4</v>
      </c>
      <c r="AD506" s="1097">
        <v>4</v>
      </c>
      <c r="AE506" s="1205">
        <v>4</v>
      </c>
      <c r="AF506" s="1205">
        <v>4</v>
      </c>
      <c r="AG506" s="1097">
        <v>4</v>
      </c>
      <c r="AH506" s="1097">
        <v>4</v>
      </c>
      <c r="AI506" s="1328">
        <v>4</v>
      </c>
      <c r="AJ506" s="79"/>
      <c r="AK506" s="79"/>
      <c r="AL506" s="69"/>
      <c r="AM506" s="937"/>
      <c r="AN506" s="277"/>
      <c r="AO506" s="679"/>
      <c r="AP506" s="47"/>
      <c r="AQ506" s="48"/>
      <c r="AR506" s="48"/>
      <c r="AS506" s="48"/>
      <c r="AT506" s="48"/>
      <c r="AU506" s="48"/>
      <c r="AV506" s="284"/>
    </row>
    <row r="507" spans="1:48" s="23" customFormat="1" ht="20.65" hidden="1" customHeight="1">
      <c r="A507" s="276" t="s">
        <v>419</v>
      </c>
      <c r="B507" s="89"/>
      <c r="C507" s="305"/>
      <c r="D507" s="81" t="s">
        <v>109</v>
      </c>
      <c r="E507" s="1125">
        <f>SUM(E501+E503+E504+E505)/E506</f>
        <v>0</v>
      </c>
      <c r="F507" s="1126">
        <f>SUM(F501+F503+F504+F505)/F506</f>
        <v>0</v>
      </c>
      <c r="G507" s="1235">
        <f t="shared" ref="G507:AH507" si="1097">SUM(G501+G503+G504+G505)/G506</f>
        <v>0</v>
      </c>
      <c r="H507" s="1126">
        <f t="shared" si="1097"/>
        <v>0</v>
      </c>
      <c r="I507" s="1126">
        <f t="shared" si="1097"/>
        <v>0</v>
      </c>
      <c r="J507" s="1235">
        <f t="shared" si="1097"/>
        <v>0</v>
      </c>
      <c r="K507" s="1235">
        <f t="shared" si="1097"/>
        <v>0</v>
      </c>
      <c r="L507" s="1126">
        <f t="shared" si="1097"/>
        <v>0</v>
      </c>
      <c r="M507" s="1126">
        <f t="shared" si="1097"/>
        <v>0</v>
      </c>
      <c r="N507" s="1126">
        <f t="shared" si="1097"/>
        <v>0</v>
      </c>
      <c r="O507" s="1126">
        <f t="shared" si="1097"/>
        <v>0</v>
      </c>
      <c r="P507" s="1126">
        <f t="shared" si="1097"/>
        <v>0</v>
      </c>
      <c r="Q507" s="1235">
        <f t="shared" si="1097"/>
        <v>0</v>
      </c>
      <c r="R507" s="1235">
        <f t="shared" si="1097"/>
        <v>0</v>
      </c>
      <c r="S507" s="1126">
        <f t="shared" si="1097"/>
        <v>0</v>
      </c>
      <c r="T507" s="1126">
        <f t="shared" si="1097"/>
        <v>0</v>
      </c>
      <c r="U507" s="1126">
        <f t="shared" si="1097"/>
        <v>0</v>
      </c>
      <c r="V507" s="1126">
        <f t="shared" si="1097"/>
        <v>0</v>
      </c>
      <c r="W507" s="1126">
        <f t="shared" si="1097"/>
        <v>0</v>
      </c>
      <c r="X507" s="1235">
        <f t="shared" si="1097"/>
        <v>0</v>
      </c>
      <c r="Y507" s="1235">
        <f t="shared" si="1097"/>
        <v>0</v>
      </c>
      <c r="Z507" s="1126">
        <f t="shared" si="1097"/>
        <v>0</v>
      </c>
      <c r="AA507" s="1126">
        <f t="shared" si="1097"/>
        <v>0</v>
      </c>
      <c r="AB507" s="1126">
        <f t="shared" si="1097"/>
        <v>0</v>
      </c>
      <c r="AC507" s="1126">
        <f t="shared" si="1097"/>
        <v>0</v>
      </c>
      <c r="AD507" s="1126">
        <f t="shared" si="1097"/>
        <v>0</v>
      </c>
      <c r="AE507" s="1235">
        <f t="shared" si="1097"/>
        <v>0</v>
      </c>
      <c r="AF507" s="1235">
        <f t="shared" si="1097"/>
        <v>0</v>
      </c>
      <c r="AG507" s="1126">
        <f t="shared" si="1097"/>
        <v>0</v>
      </c>
      <c r="AH507" s="1126">
        <f t="shared" si="1097"/>
        <v>0</v>
      </c>
      <c r="AI507" s="1335">
        <f>SUM(AI501+AI503+AI504)/AI506</f>
        <v>0</v>
      </c>
      <c r="AJ507" s="515">
        <f>SUM(E507:AI507)</f>
        <v>0</v>
      </c>
      <c r="AK507" s="515"/>
      <c r="AL507" s="689"/>
      <c r="AM507" s="940"/>
      <c r="AN507" s="277"/>
      <c r="AO507" s="679"/>
      <c r="AP507" s="285"/>
      <c r="AQ507" s="285"/>
      <c r="AR507" s="285"/>
      <c r="AS507" s="285"/>
      <c r="AT507" s="286"/>
      <c r="AU507" s="285"/>
      <c r="AV507" s="287"/>
    </row>
    <row r="508" spans="1:48" s="23" customFormat="1" ht="20.65" hidden="1" customHeight="1">
      <c r="A508" s="276" t="s">
        <v>419</v>
      </c>
      <c r="B508" s="89"/>
      <c r="C508" s="72"/>
      <c r="D508" s="85" t="s">
        <v>110</v>
      </c>
      <c r="E508" s="1336"/>
      <c r="F508" s="1106"/>
      <c r="G508" s="1211"/>
      <c r="H508" s="1104"/>
      <c r="I508" s="1104"/>
      <c r="J508" s="1211"/>
      <c r="K508" s="1211"/>
      <c r="L508" s="1104"/>
      <c r="M508" s="1104"/>
      <c r="N508" s="1104"/>
      <c r="O508" s="1104"/>
      <c r="P508" s="1104"/>
      <c r="Q508" s="1211"/>
      <c r="R508" s="1228"/>
      <c r="S508" s="1104"/>
      <c r="T508" s="1104"/>
      <c r="U508" s="1104"/>
      <c r="V508" s="1104"/>
      <c r="W508" s="1104"/>
      <c r="X508" s="1228"/>
      <c r="Y508" s="1211"/>
      <c r="Z508" s="1104"/>
      <c r="AA508" s="1104"/>
      <c r="AB508" s="1104"/>
      <c r="AC508" s="1107"/>
      <c r="AD508" s="1104"/>
      <c r="AE508" s="1211"/>
      <c r="AF508" s="1211"/>
      <c r="AG508" s="1104"/>
      <c r="AH508" s="1104"/>
      <c r="AI508" s="1337"/>
      <c r="AJ508" s="86"/>
      <c r="AK508" s="86"/>
      <c r="AL508" s="690"/>
      <c r="AM508" s="940"/>
      <c r="AN508" s="277"/>
      <c r="AO508" s="679"/>
      <c r="AP508" s="285"/>
      <c r="AQ508" s="285"/>
      <c r="AR508" s="285"/>
      <c r="AS508" s="285"/>
      <c r="AT508" s="286"/>
      <c r="AU508" s="285"/>
      <c r="AV508" s="287"/>
    </row>
    <row r="509" spans="1:48" s="23" customFormat="1" ht="20.65" hidden="1" customHeight="1">
      <c r="A509" s="276" t="s">
        <v>419</v>
      </c>
      <c r="B509" s="89"/>
      <c r="C509" s="72" t="s">
        <v>104</v>
      </c>
      <c r="D509" s="88" t="s">
        <v>111</v>
      </c>
      <c r="E509" s="1108">
        <f>IF(E508="O/H",E507,0+E507)</f>
        <v>0</v>
      </c>
      <c r="F509" s="1089">
        <f t="shared" ref="F509:AI509" si="1098">IF(F508="O/H",F507,+E509+F507)</f>
        <v>0</v>
      </c>
      <c r="G509" s="44">
        <f t="shared" si="1098"/>
        <v>0</v>
      </c>
      <c r="H509" s="1089">
        <f t="shared" si="1098"/>
        <v>0</v>
      </c>
      <c r="I509" s="1089">
        <f t="shared" si="1098"/>
        <v>0</v>
      </c>
      <c r="J509" s="44">
        <f t="shared" si="1098"/>
        <v>0</v>
      </c>
      <c r="K509" s="44">
        <f t="shared" si="1098"/>
        <v>0</v>
      </c>
      <c r="L509" s="1089">
        <f t="shared" si="1098"/>
        <v>0</v>
      </c>
      <c r="M509" s="1089">
        <f t="shared" si="1098"/>
        <v>0</v>
      </c>
      <c r="N509" s="1089">
        <f t="shared" si="1098"/>
        <v>0</v>
      </c>
      <c r="O509" s="1089">
        <f t="shared" si="1098"/>
        <v>0</v>
      </c>
      <c r="P509" s="1089">
        <f t="shared" si="1098"/>
        <v>0</v>
      </c>
      <c r="Q509" s="44">
        <f t="shared" si="1098"/>
        <v>0</v>
      </c>
      <c r="R509" s="44">
        <f t="shared" si="1098"/>
        <v>0</v>
      </c>
      <c r="S509" s="1089">
        <f t="shared" si="1098"/>
        <v>0</v>
      </c>
      <c r="T509" s="1089">
        <f t="shared" si="1098"/>
        <v>0</v>
      </c>
      <c r="U509" s="1089">
        <f t="shared" si="1098"/>
        <v>0</v>
      </c>
      <c r="V509" s="1089">
        <f t="shared" si="1098"/>
        <v>0</v>
      </c>
      <c r="W509" s="1089">
        <f t="shared" si="1098"/>
        <v>0</v>
      </c>
      <c r="X509" s="44">
        <f t="shared" si="1098"/>
        <v>0</v>
      </c>
      <c r="Y509" s="44">
        <f t="shared" si="1098"/>
        <v>0</v>
      </c>
      <c r="Z509" s="1089">
        <f t="shared" si="1098"/>
        <v>0</v>
      </c>
      <c r="AA509" s="1089">
        <f t="shared" si="1098"/>
        <v>0</v>
      </c>
      <c r="AB509" s="1089">
        <f t="shared" si="1098"/>
        <v>0</v>
      </c>
      <c r="AC509" s="1089">
        <f t="shared" si="1098"/>
        <v>0</v>
      </c>
      <c r="AD509" s="1089">
        <f t="shared" si="1098"/>
        <v>0</v>
      </c>
      <c r="AE509" s="44">
        <f t="shared" si="1098"/>
        <v>0</v>
      </c>
      <c r="AF509" s="44">
        <f t="shared" si="1098"/>
        <v>0</v>
      </c>
      <c r="AG509" s="1089">
        <f t="shared" si="1098"/>
        <v>0</v>
      </c>
      <c r="AH509" s="1089">
        <f t="shared" si="1098"/>
        <v>0</v>
      </c>
      <c r="AI509" s="1326">
        <f t="shared" si="1098"/>
        <v>0</v>
      </c>
      <c r="AJ509" s="79"/>
      <c r="AK509" s="79"/>
      <c r="AL509" s="690"/>
      <c r="AM509" s="940"/>
      <c r="AN509" s="277"/>
      <c r="AO509" s="679"/>
      <c r="AP509" s="285"/>
      <c r="AQ509" s="285"/>
      <c r="AR509" s="285"/>
      <c r="AS509" s="285"/>
      <c r="AT509" s="286"/>
      <c r="AU509" s="285"/>
      <c r="AV509" s="287"/>
    </row>
    <row r="510" spans="1:48" s="23" customFormat="1" ht="20.65" hidden="1" customHeight="1">
      <c r="A510" s="312"/>
      <c r="B510" s="312"/>
      <c r="C510" s="308">
        <v>300000</v>
      </c>
      <c r="D510" s="795" t="s">
        <v>112</v>
      </c>
      <c r="E510" s="1117" t="b">
        <f>IF(AND(ISNUMBER(E501)),2349614+E507)</f>
        <v>0</v>
      </c>
      <c r="F510" s="1118" t="str">
        <f>IF(AND(ISNUMBER(F501)),E510+F507,"")</f>
        <v/>
      </c>
      <c r="G510" s="1216" t="str">
        <f t="shared" ref="G510" si="1099">IF(AND(ISNUMBER(G501)),F510+G507,"")</f>
        <v/>
      </c>
      <c r="H510" s="1118" t="str">
        <f t="shared" ref="H510" si="1100">IF(AND(ISNUMBER(H501)),G510+H507,"")</f>
        <v/>
      </c>
      <c r="I510" s="1118" t="str">
        <f>IF(AND(ISNUMBER(I501)),H510+I507,"")</f>
        <v/>
      </c>
      <c r="J510" s="1216" t="str">
        <f>IF(AND(ISNUMBER(J501)),I510+J507,"")</f>
        <v/>
      </c>
      <c r="K510" s="1216" t="str">
        <f>IF(AND(ISNUMBER(K501)),J510+K507,"")</f>
        <v/>
      </c>
      <c r="L510" s="1118" t="str">
        <f t="shared" ref="L510" si="1101">IF(AND(ISNUMBER(L501)),K510+L507,"")</f>
        <v/>
      </c>
      <c r="M510" s="1118" t="str">
        <f t="shared" ref="M510" si="1102">IF(AND(ISNUMBER(M501)),L510+M507,"")</f>
        <v/>
      </c>
      <c r="N510" s="1118" t="str">
        <f t="shared" ref="N510" si="1103">IF(AND(ISNUMBER(N501)),M510+N507,"")</f>
        <v/>
      </c>
      <c r="O510" s="1118" t="str">
        <f t="shared" ref="O510" si="1104">IF(AND(ISNUMBER(O501)),N510+O507,"")</f>
        <v/>
      </c>
      <c r="P510" s="1118" t="str">
        <f t="shared" ref="P510" si="1105">IF(AND(ISNUMBER(P501)),O510+P507,"")</f>
        <v/>
      </c>
      <c r="Q510" s="1216" t="str">
        <f t="shared" ref="Q510" si="1106">IF(AND(ISNUMBER(Q501)),P510+Q507,"")</f>
        <v/>
      </c>
      <c r="R510" s="1216" t="str">
        <f t="shared" ref="R510" si="1107">IF(AND(ISNUMBER(R501)),Q510+R507,"")</f>
        <v/>
      </c>
      <c r="S510" s="1118" t="str">
        <f t="shared" ref="S510" si="1108">IF(AND(ISNUMBER(S501)),R510+S507,"")</f>
        <v/>
      </c>
      <c r="T510" s="1118" t="str">
        <f t="shared" ref="T510" si="1109">IF(AND(ISNUMBER(T501)),S510+T507,"")</f>
        <v/>
      </c>
      <c r="U510" s="1118" t="str">
        <f t="shared" ref="U510" si="1110">IF(AND(ISNUMBER(U501)),T510+U507,"")</f>
        <v/>
      </c>
      <c r="V510" s="1118" t="str">
        <f t="shared" ref="V510" si="1111">IF(AND(ISNUMBER(V501)),U510+V507,"")</f>
        <v/>
      </c>
      <c r="W510" s="1118" t="str">
        <f t="shared" ref="W510" si="1112">IF(AND(ISNUMBER(W501)),V510+W507,"")</f>
        <v/>
      </c>
      <c r="X510" s="1216" t="str">
        <f t="shared" ref="X510" si="1113">IF(AND(ISNUMBER(X501)),W510+X507,"")</f>
        <v/>
      </c>
      <c r="Y510" s="1216" t="str">
        <f t="shared" ref="Y510" si="1114">IF(AND(ISNUMBER(Y501)),X510+Y507,"")</f>
        <v/>
      </c>
      <c r="Z510" s="1118" t="str">
        <f t="shared" ref="Z510" si="1115">IF(AND(ISNUMBER(Z501)),Y510+Z507,"")</f>
        <v/>
      </c>
      <c r="AA510" s="1118" t="str">
        <f t="shared" ref="AA510" si="1116">IF(AND(ISNUMBER(AA501)),Z510+AA507,"")</f>
        <v/>
      </c>
      <c r="AB510" s="1118" t="str">
        <f t="shared" ref="AB510" si="1117">IF(AND(ISNUMBER(AB501)),AA510+AB507,"")</f>
        <v/>
      </c>
      <c r="AC510" s="1118" t="str">
        <f t="shared" ref="AC510" si="1118">IF(AND(ISNUMBER(AC501)),AB510+AC507,"")</f>
        <v/>
      </c>
      <c r="AD510" s="1118" t="str">
        <f t="shared" ref="AD510" si="1119">IF(AND(ISNUMBER(AD501)),AC510+AD507,"")</f>
        <v/>
      </c>
      <c r="AE510" s="1216" t="str">
        <f t="shared" ref="AE510" si="1120">IF(AND(ISNUMBER(AE501)),AD510+AE507,"")</f>
        <v/>
      </c>
      <c r="AF510" s="1216" t="str">
        <f t="shared" ref="AF510" si="1121">IF(AND(ISNUMBER(AF501)),AE510+AF507,"")</f>
        <v/>
      </c>
      <c r="AG510" s="1118" t="str">
        <f t="shared" ref="AG510" si="1122">IF(AND(ISNUMBER(AG501)),AF510+AG507,"")</f>
        <v/>
      </c>
      <c r="AH510" s="1118" t="str">
        <f t="shared" ref="AH510" si="1123">IF(AND(ISNUMBER(AH501)),AG510+AH507,"")</f>
        <v/>
      </c>
      <c r="AI510" s="1118" t="str">
        <f t="shared" ref="AI510" si="1124">IF(AND(ISNUMBER(AI501)),AH510+AI507,"")</f>
        <v/>
      </c>
      <c r="AJ510" s="793"/>
      <c r="AK510" s="793"/>
      <c r="AL510" s="909"/>
      <c r="AM510" s="794"/>
      <c r="AN510" s="429"/>
      <c r="AO510" s="675"/>
      <c r="AP510" s="285"/>
      <c r="AQ510" s="285"/>
      <c r="AR510" s="285"/>
      <c r="AS510" s="285"/>
      <c r="AT510" s="286"/>
      <c r="AU510" s="285"/>
      <c r="AV510" s="287"/>
    </row>
    <row r="511" spans="1:48" s="23" customFormat="1" ht="20.65" hidden="1" customHeight="1">
      <c r="A511" s="276"/>
      <c r="B511" s="89"/>
      <c r="C511" s="80" t="s">
        <v>108</v>
      </c>
      <c r="D511" s="90" t="s">
        <v>104</v>
      </c>
      <c r="E511" s="1338"/>
      <c r="F511" s="1089"/>
      <c r="G511" s="44"/>
      <c r="H511" s="1089"/>
      <c r="I511" s="1089"/>
      <c r="J511" s="44"/>
      <c r="K511" s="44"/>
      <c r="L511" s="1089"/>
      <c r="M511" s="1089"/>
      <c r="N511" s="1089"/>
      <c r="O511" s="1089"/>
      <c r="P511" s="1089"/>
      <c r="Q511" s="44"/>
      <c r="R511" s="44"/>
      <c r="S511" s="1089"/>
      <c r="T511" s="1089"/>
      <c r="U511" s="1089"/>
      <c r="V511" s="1089"/>
      <c r="W511" s="1089"/>
      <c r="X511" s="44"/>
      <c r="Y511" s="44"/>
      <c r="Z511" s="1089"/>
      <c r="AA511" s="1089"/>
      <c r="AB511" s="1089"/>
      <c r="AC511" s="1106"/>
      <c r="AD511" s="1089"/>
      <c r="AE511" s="44"/>
      <c r="AF511" s="44"/>
      <c r="AG511" s="1089"/>
      <c r="AH511" s="1089"/>
      <c r="AI511" s="1326"/>
      <c r="AJ511" s="79"/>
      <c r="AK511" s="79"/>
      <c r="AL511" s="690"/>
      <c r="AM511" s="940"/>
      <c r="AN511" s="301"/>
      <c r="AO511" s="680"/>
      <c r="AP511" s="285"/>
      <c r="AQ511" s="285"/>
      <c r="AR511" s="285"/>
      <c r="AS511" s="285"/>
      <c r="AT511" s="286"/>
      <c r="AU511" s="285"/>
      <c r="AV511" s="287"/>
    </row>
    <row r="512" spans="1:48" s="23" customFormat="1" ht="19.5" hidden="1" thickBot="1">
      <c r="A512" s="289"/>
      <c r="B512" s="93"/>
      <c r="C512" s="291">
        <f>+C510*0.8</f>
        <v>240000</v>
      </c>
      <c r="D512" s="88" t="s">
        <v>111</v>
      </c>
      <c r="E512" s="1109">
        <f>IF(E511="O/H",E507,0+E507)</f>
        <v>0</v>
      </c>
      <c r="F512" s="1110">
        <f t="shared" ref="F512:AI512" si="1125">IF(F511="O/H",F507,+E512+F507)</f>
        <v>0</v>
      </c>
      <c r="G512" s="1212">
        <f t="shared" si="1125"/>
        <v>0</v>
      </c>
      <c r="H512" s="1110">
        <f t="shared" si="1125"/>
        <v>0</v>
      </c>
      <c r="I512" s="1110">
        <f t="shared" si="1125"/>
        <v>0</v>
      </c>
      <c r="J512" s="1212">
        <f t="shared" si="1125"/>
        <v>0</v>
      </c>
      <c r="K512" s="1212">
        <f t="shared" si="1125"/>
        <v>0</v>
      </c>
      <c r="L512" s="1110">
        <f t="shared" si="1125"/>
        <v>0</v>
      </c>
      <c r="M512" s="1110">
        <f t="shared" si="1125"/>
        <v>0</v>
      </c>
      <c r="N512" s="1110">
        <f t="shared" si="1125"/>
        <v>0</v>
      </c>
      <c r="O512" s="1110">
        <f t="shared" si="1125"/>
        <v>0</v>
      </c>
      <c r="P512" s="1110">
        <f t="shared" si="1125"/>
        <v>0</v>
      </c>
      <c r="Q512" s="1212">
        <f t="shared" si="1125"/>
        <v>0</v>
      </c>
      <c r="R512" s="1212">
        <f t="shared" si="1125"/>
        <v>0</v>
      </c>
      <c r="S512" s="1110">
        <f t="shared" si="1125"/>
        <v>0</v>
      </c>
      <c r="T512" s="1110">
        <f t="shared" si="1125"/>
        <v>0</v>
      </c>
      <c r="U512" s="1110">
        <f t="shared" si="1125"/>
        <v>0</v>
      </c>
      <c r="V512" s="1110">
        <f t="shared" si="1125"/>
        <v>0</v>
      </c>
      <c r="W512" s="1110">
        <f t="shared" si="1125"/>
        <v>0</v>
      </c>
      <c r="X512" s="1212">
        <f t="shared" si="1125"/>
        <v>0</v>
      </c>
      <c r="Y512" s="1212">
        <f t="shared" si="1125"/>
        <v>0</v>
      </c>
      <c r="Z512" s="1110">
        <f t="shared" si="1125"/>
        <v>0</v>
      </c>
      <c r="AA512" s="1110">
        <f t="shared" si="1125"/>
        <v>0</v>
      </c>
      <c r="AB512" s="1110">
        <f t="shared" si="1125"/>
        <v>0</v>
      </c>
      <c r="AC512" s="1110">
        <f t="shared" si="1125"/>
        <v>0</v>
      </c>
      <c r="AD512" s="1110">
        <f t="shared" si="1125"/>
        <v>0</v>
      </c>
      <c r="AE512" s="1212">
        <f t="shared" si="1125"/>
        <v>0</v>
      </c>
      <c r="AF512" s="1212">
        <f t="shared" si="1125"/>
        <v>0</v>
      </c>
      <c r="AG512" s="1110">
        <f t="shared" si="1125"/>
        <v>0</v>
      </c>
      <c r="AH512" s="1110">
        <f t="shared" si="1125"/>
        <v>0</v>
      </c>
      <c r="AI512" s="1340">
        <f t="shared" si="1125"/>
        <v>0</v>
      </c>
      <c r="AJ512" s="96"/>
      <c r="AK512" s="723"/>
      <c r="AL512" s="695"/>
      <c r="AM512" s="961"/>
      <c r="AN512" s="292"/>
      <c r="AO512" s="681"/>
      <c r="AP512" s="285"/>
      <c r="AQ512" s="285"/>
      <c r="AR512" s="285"/>
      <c r="AS512" s="285"/>
      <c r="AT512" s="286"/>
      <c r="AU512" s="285"/>
      <c r="AV512" s="287"/>
    </row>
    <row r="513" spans="1:48" s="23" customFormat="1" ht="20.65" hidden="1" customHeight="1" thickTop="1">
      <c r="A513" s="270" t="s">
        <v>423</v>
      </c>
      <c r="B513" s="331" t="s">
        <v>619</v>
      </c>
      <c r="C513" s="1493" t="str">
        <f>Table2[[#This Row],[M/C No.]]</f>
        <v>H15(50Ton)</v>
      </c>
      <c r="D513" s="28" t="s">
        <v>82</v>
      </c>
      <c r="E513" s="1124"/>
      <c r="F513" s="1124"/>
      <c r="G513" s="1242"/>
      <c r="H513" s="1124"/>
      <c r="I513" s="1124"/>
      <c r="J513" s="1242"/>
      <c r="K513" s="1242"/>
      <c r="L513" s="1124"/>
      <c r="M513" s="1124"/>
      <c r="N513" s="1124"/>
      <c r="O513" s="1124"/>
      <c r="P513" s="1124"/>
      <c r="Q513" s="1242"/>
      <c r="R513" s="1242"/>
      <c r="S513" s="1124"/>
      <c r="T513" s="1124"/>
      <c r="U513" s="1124"/>
      <c r="V513" s="1124"/>
      <c r="W513" s="1124"/>
      <c r="X513" s="1242"/>
      <c r="Y513" s="1242"/>
      <c r="Z513" s="1124"/>
      <c r="AA513" s="1124"/>
      <c r="AB513" s="1124"/>
      <c r="AC513" s="1124"/>
      <c r="AD513" s="1124"/>
      <c r="AE513" s="1242"/>
      <c r="AF513" s="1242"/>
      <c r="AG513" s="1124"/>
      <c r="AH513" s="1124"/>
      <c r="AI513" s="1350"/>
      <c r="AJ513" s="100">
        <f>SUM(E513:AI513)</f>
        <v>0</v>
      </c>
      <c r="AK513" s="1000">
        <f>AJ515</f>
        <v>0</v>
      </c>
      <c r="AL513" s="101">
        <f>+AJ513*AN513</f>
        <v>0</v>
      </c>
      <c r="AM513" s="1019">
        <f>AL515</f>
        <v>0</v>
      </c>
      <c r="AN513" s="293">
        <v>5.8483900000000002</v>
      </c>
      <c r="AO513" s="633">
        <f>Table2[[#This Row],[Total]]*B517/1000</f>
        <v>0</v>
      </c>
      <c r="AP513" s="32" t="s">
        <v>422</v>
      </c>
      <c r="AQ513" s="33" t="s">
        <v>84</v>
      </c>
      <c r="AR513" s="33" t="s">
        <v>85</v>
      </c>
      <c r="AS513" s="33" t="s">
        <v>86</v>
      </c>
      <c r="AT513" s="33" t="s">
        <v>87</v>
      </c>
      <c r="AU513" s="33" t="s">
        <v>88</v>
      </c>
      <c r="AV513" s="34" t="s">
        <v>68</v>
      </c>
    </row>
    <row r="514" spans="1:48" s="23" customFormat="1" ht="20.65" hidden="1" customHeight="1">
      <c r="A514" s="274"/>
      <c r="B514" s="332" t="s">
        <v>396</v>
      </c>
      <c r="C514" s="275"/>
      <c r="D514" s="37" t="s">
        <v>90</v>
      </c>
      <c r="E514" s="1323">
        <f>IF(E513="",0,+ E513/E520)</f>
        <v>0</v>
      </c>
      <c r="F514" s="1096">
        <f t="shared" ref="F514:AC514" si="1126">IF(F513="",0, E514+F513/F520)</f>
        <v>0</v>
      </c>
      <c r="G514" s="1207">
        <f t="shared" si="1126"/>
        <v>0</v>
      </c>
      <c r="H514" s="1096">
        <f t="shared" si="1126"/>
        <v>0</v>
      </c>
      <c r="I514" s="1096">
        <f t="shared" si="1126"/>
        <v>0</v>
      </c>
      <c r="J514" s="1207">
        <f t="shared" si="1126"/>
        <v>0</v>
      </c>
      <c r="K514" s="1207">
        <f t="shared" si="1126"/>
        <v>0</v>
      </c>
      <c r="L514" s="1096">
        <f t="shared" si="1126"/>
        <v>0</v>
      </c>
      <c r="M514" s="1096">
        <f t="shared" si="1126"/>
        <v>0</v>
      </c>
      <c r="N514" s="1096">
        <f t="shared" si="1126"/>
        <v>0</v>
      </c>
      <c r="O514" s="1096">
        <f t="shared" si="1126"/>
        <v>0</v>
      </c>
      <c r="P514" s="1096">
        <f t="shared" si="1126"/>
        <v>0</v>
      </c>
      <c r="Q514" s="1207">
        <f t="shared" si="1126"/>
        <v>0</v>
      </c>
      <c r="R514" s="1207">
        <f t="shared" si="1126"/>
        <v>0</v>
      </c>
      <c r="S514" s="1096">
        <f t="shared" si="1126"/>
        <v>0</v>
      </c>
      <c r="T514" s="1096">
        <f t="shared" si="1126"/>
        <v>0</v>
      </c>
      <c r="U514" s="1096">
        <f t="shared" si="1126"/>
        <v>0</v>
      </c>
      <c r="V514" s="1096">
        <f t="shared" si="1126"/>
        <v>0</v>
      </c>
      <c r="W514" s="1096">
        <f t="shared" si="1126"/>
        <v>0</v>
      </c>
      <c r="X514" s="1207">
        <f t="shared" si="1126"/>
        <v>0</v>
      </c>
      <c r="Y514" s="1207">
        <f t="shared" si="1126"/>
        <v>0</v>
      </c>
      <c r="Z514" s="1096">
        <f t="shared" si="1126"/>
        <v>0</v>
      </c>
      <c r="AA514" s="1096">
        <f t="shared" si="1126"/>
        <v>0</v>
      </c>
      <c r="AB514" s="1096">
        <f t="shared" si="1126"/>
        <v>0</v>
      </c>
      <c r="AC514" s="1096">
        <f t="shared" si="1126"/>
        <v>0</v>
      </c>
      <c r="AD514" s="1096">
        <f>IF(AD513="",0, Z514+AD513/AD520)</f>
        <v>0</v>
      </c>
      <c r="AE514" s="1207">
        <f>IF(AE513="",0, AA514+AE513/AE520)</f>
        <v>0</v>
      </c>
      <c r="AF514" s="1207">
        <f>IF(AF513="",0, AB514+AF513/AF520)</f>
        <v>0</v>
      </c>
      <c r="AG514" s="1096">
        <f>IF(AG513="",0, AC514+AG513/AG520)</f>
        <v>0</v>
      </c>
      <c r="AH514" s="1096">
        <f>IF(AH513="",0, AD514+AH513/AH520)</f>
        <v>0</v>
      </c>
      <c r="AI514" s="1324">
        <f>IF(AI513="",0, AH514+AI513/AI520)</f>
        <v>0</v>
      </c>
      <c r="AJ514" s="716"/>
      <c r="AK514" s="716"/>
      <c r="AL514" s="209"/>
      <c r="AM514" s="794"/>
      <c r="AN514" s="91"/>
      <c r="AO514" s="675"/>
      <c r="AP514" s="39" t="s">
        <v>91</v>
      </c>
      <c r="AQ514" s="40">
        <f>SUM(E513:K513)</f>
        <v>0</v>
      </c>
      <c r="AR514" s="41">
        <f>SUM(L513:R513)</f>
        <v>0</v>
      </c>
      <c r="AS514" s="41">
        <f>SUM(S513:Y513)</f>
        <v>0</v>
      </c>
      <c r="AT514" s="41">
        <f>SUM(Z513:AF513)</f>
        <v>0</v>
      </c>
      <c r="AU514" s="41">
        <f>SUM(AG513:AI513)</f>
        <v>0</v>
      </c>
      <c r="AV514" s="34">
        <f t="shared" ref="AV514:AV519" si="1127">SUM(AQ514:AU514)</f>
        <v>0</v>
      </c>
    </row>
    <row r="515" spans="1:48" s="23" customFormat="1" ht="20.65" hidden="1" customHeight="1">
      <c r="A515" s="296" t="s">
        <v>420</v>
      </c>
      <c r="B515" s="89" t="s">
        <v>246</v>
      </c>
      <c r="C515" s="42"/>
      <c r="D515" s="43" t="s">
        <v>93</v>
      </c>
      <c r="E515" s="1108"/>
      <c r="F515" s="1089"/>
      <c r="G515" s="44"/>
      <c r="H515" s="1089"/>
      <c r="I515" s="1089"/>
      <c r="J515" s="44"/>
      <c r="K515" s="44"/>
      <c r="L515" s="1089"/>
      <c r="M515" s="1089"/>
      <c r="N515" s="1089"/>
      <c r="O515" s="1089"/>
      <c r="P515" s="1089"/>
      <c r="Q515" s="44"/>
      <c r="R515" s="44"/>
      <c r="S515" s="1089"/>
      <c r="T515" s="1089"/>
      <c r="U515" s="1089"/>
      <c r="V515" s="1089"/>
      <c r="W515" s="1089"/>
      <c r="X515" s="44"/>
      <c r="Y515" s="44"/>
      <c r="Z515" s="1089"/>
      <c r="AA515" s="1089"/>
      <c r="AB515" s="1089"/>
      <c r="AC515" s="1089"/>
      <c r="AD515" s="1089"/>
      <c r="AE515" s="44"/>
      <c r="AF515" s="44"/>
      <c r="AG515" s="1089"/>
      <c r="AH515" s="1089"/>
      <c r="AI515" s="1326"/>
      <c r="AJ515" s="45">
        <f>SUM(E515:AI515)</f>
        <v>0</v>
      </c>
      <c r="AK515" s="45"/>
      <c r="AL515" s="46">
        <f>+AJ515*AN513</f>
        <v>0</v>
      </c>
      <c r="AM515" s="934"/>
      <c r="AN515" s="277"/>
      <c r="AO515" s="632">
        <f>(AJ515+AJ517+AJ518+AJ519)*B517/1000</f>
        <v>0</v>
      </c>
      <c r="AP515" s="47" t="s">
        <v>94</v>
      </c>
      <c r="AQ515" s="48">
        <f>SUM(E515:K515)</f>
        <v>0</v>
      </c>
      <c r="AR515" s="49">
        <f>SUM(L515:R515)</f>
        <v>0</v>
      </c>
      <c r="AS515" s="49">
        <f>SUM(S515:Y515)</f>
        <v>0</v>
      </c>
      <c r="AT515" s="49">
        <f>SUM(Z515:AF515)</f>
        <v>0</v>
      </c>
      <c r="AU515" s="49">
        <f>SUM(AG515:AI515)</f>
        <v>0</v>
      </c>
      <c r="AV515" s="50">
        <f t="shared" si="1127"/>
        <v>0</v>
      </c>
    </row>
    <row r="516" spans="1:48" s="23" customFormat="1" ht="20.65" hidden="1" customHeight="1">
      <c r="A516" s="296" t="s">
        <v>420</v>
      </c>
      <c r="B516" s="211" t="s">
        <v>247</v>
      </c>
      <c r="C516" s="280"/>
      <c r="D516" s="53" t="s">
        <v>96</v>
      </c>
      <c r="E516" s="1137">
        <f t="shared" ref="E516:P516" si="1128">+E515-E513</f>
        <v>0</v>
      </c>
      <c r="F516" s="1097">
        <f t="shared" si="1128"/>
        <v>0</v>
      </c>
      <c r="G516" s="1205">
        <f t="shared" si="1128"/>
        <v>0</v>
      </c>
      <c r="H516" s="1097">
        <f t="shared" si="1128"/>
        <v>0</v>
      </c>
      <c r="I516" s="1097">
        <f t="shared" si="1128"/>
        <v>0</v>
      </c>
      <c r="J516" s="1205">
        <f t="shared" si="1128"/>
        <v>0</v>
      </c>
      <c r="K516" s="1205">
        <f t="shared" si="1128"/>
        <v>0</v>
      </c>
      <c r="L516" s="1097">
        <f t="shared" si="1128"/>
        <v>0</v>
      </c>
      <c r="M516" s="1097">
        <f t="shared" si="1128"/>
        <v>0</v>
      </c>
      <c r="N516" s="1097">
        <f t="shared" si="1128"/>
        <v>0</v>
      </c>
      <c r="O516" s="1097">
        <f t="shared" si="1128"/>
        <v>0</v>
      </c>
      <c r="P516" s="1097">
        <f t="shared" si="1128"/>
        <v>0</v>
      </c>
      <c r="Q516" s="1205">
        <f>+Q515-Q513</f>
        <v>0</v>
      </c>
      <c r="R516" s="1205">
        <f>+R515-R513</f>
        <v>0</v>
      </c>
      <c r="S516" s="1097">
        <f t="shared" ref="S516:AJ516" si="1129">+S515-S513</f>
        <v>0</v>
      </c>
      <c r="T516" s="1097">
        <f t="shared" si="1129"/>
        <v>0</v>
      </c>
      <c r="U516" s="1097">
        <f t="shared" si="1129"/>
        <v>0</v>
      </c>
      <c r="V516" s="1097">
        <f t="shared" si="1129"/>
        <v>0</v>
      </c>
      <c r="W516" s="1097">
        <f t="shared" si="1129"/>
        <v>0</v>
      </c>
      <c r="X516" s="1205">
        <f t="shared" si="1129"/>
        <v>0</v>
      </c>
      <c r="Y516" s="1205">
        <f t="shared" si="1129"/>
        <v>0</v>
      </c>
      <c r="Z516" s="1097">
        <f t="shared" si="1129"/>
        <v>0</v>
      </c>
      <c r="AA516" s="1097">
        <f t="shared" si="1129"/>
        <v>0</v>
      </c>
      <c r="AB516" s="1097">
        <f t="shared" si="1129"/>
        <v>0</v>
      </c>
      <c r="AC516" s="1097">
        <f t="shared" si="1129"/>
        <v>0</v>
      </c>
      <c r="AD516" s="1097">
        <f t="shared" si="1129"/>
        <v>0</v>
      </c>
      <c r="AE516" s="1205">
        <f t="shared" si="1129"/>
        <v>0</v>
      </c>
      <c r="AF516" s="1205">
        <f t="shared" si="1129"/>
        <v>0</v>
      </c>
      <c r="AG516" s="1097">
        <f t="shared" si="1129"/>
        <v>0</v>
      </c>
      <c r="AH516" s="1097">
        <f t="shared" si="1129"/>
        <v>0</v>
      </c>
      <c r="AI516" s="1328">
        <f t="shared" si="1129"/>
        <v>0</v>
      </c>
      <c r="AJ516" s="79">
        <f t="shared" si="1129"/>
        <v>0</v>
      </c>
      <c r="AK516" s="79"/>
      <c r="AL516" s="55">
        <f>+AJ516*AN513</f>
        <v>0</v>
      </c>
      <c r="AM516" s="935"/>
      <c r="AN516" s="277" t="s">
        <v>97</v>
      </c>
      <c r="AO516" s="622"/>
      <c r="AP516" s="39" t="s">
        <v>98</v>
      </c>
      <c r="AQ516" s="56">
        <f>AQ515-AQ514</f>
        <v>0</v>
      </c>
      <c r="AR516" s="70">
        <f>AR515-AR514</f>
        <v>0</v>
      </c>
      <c r="AS516" s="70">
        <f>AS515-AS514</f>
        <v>0</v>
      </c>
      <c r="AT516" s="70">
        <f>AT515-AT514</f>
        <v>0</v>
      </c>
      <c r="AU516" s="70">
        <f>AU515-AU514</f>
        <v>0</v>
      </c>
      <c r="AV516" s="57">
        <f t="shared" si="1127"/>
        <v>0</v>
      </c>
    </row>
    <row r="517" spans="1:48" s="23" customFormat="1" ht="20.65" hidden="1" customHeight="1">
      <c r="A517" s="296" t="s">
        <v>420</v>
      </c>
      <c r="B517" s="658">
        <v>2.9820000000000002</v>
      </c>
      <c r="C517" s="305"/>
      <c r="D517" s="61" t="s">
        <v>101</v>
      </c>
      <c r="E517" s="1098"/>
      <c r="F517" s="1099"/>
      <c r="G517" s="1208"/>
      <c r="H517" s="1099"/>
      <c r="I517" s="1099"/>
      <c r="J517" s="1208"/>
      <c r="K517" s="1208"/>
      <c r="L517" s="1099"/>
      <c r="M517" s="1099"/>
      <c r="N517" s="1099"/>
      <c r="O517" s="1099"/>
      <c r="P517" s="1099"/>
      <c r="Q517" s="1208"/>
      <c r="R517" s="1208"/>
      <c r="S517" s="1099"/>
      <c r="T517" s="1099"/>
      <c r="U517" s="1099"/>
      <c r="V517" s="1099"/>
      <c r="W517" s="1099"/>
      <c r="X517" s="1208"/>
      <c r="Y517" s="1208"/>
      <c r="Z517" s="1099"/>
      <c r="AA517" s="1099"/>
      <c r="AB517" s="1099"/>
      <c r="AC517" s="1099"/>
      <c r="AD517" s="1099"/>
      <c r="AE517" s="1208"/>
      <c r="AF517" s="1208"/>
      <c r="AG517" s="1099"/>
      <c r="AH517" s="1099"/>
      <c r="AI517" s="1330"/>
      <c r="AJ517" s="62">
        <f>SUM(E517:AI517)</f>
        <v>0</v>
      </c>
      <c r="AK517" s="62"/>
      <c r="AL517" s="63">
        <f>+AJ517*AN513</f>
        <v>0</v>
      </c>
      <c r="AM517" s="936"/>
      <c r="AN517" s="301" t="e">
        <f>+AJ517/AJ515*100</f>
        <v>#DIV/0!</v>
      </c>
      <c r="AO517" s="635" t="e">
        <f>AO515/AO513</f>
        <v>#DIV/0!</v>
      </c>
      <c r="AP517" s="39" t="s">
        <v>102</v>
      </c>
      <c r="AQ517" s="56">
        <f>SUM(E517:K517)</f>
        <v>0</v>
      </c>
      <c r="AR517" s="70">
        <f>SUM(L517:R517)</f>
        <v>0</v>
      </c>
      <c r="AS517" s="70">
        <f>SUM(S517:Y517)</f>
        <v>0</v>
      </c>
      <c r="AT517" s="70">
        <f>SUM(Z517:AF517)</f>
        <v>0</v>
      </c>
      <c r="AU517" s="70">
        <f>SUM(AG517:AI517)</f>
        <v>0</v>
      </c>
      <c r="AV517" s="57">
        <f t="shared" si="1127"/>
        <v>0</v>
      </c>
    </row>
    <row r="518" spans="1:48" s="23" customFormat="1" ht="20.65" hidden="1" customHeight="1">
      <c r="A518" s="296" t="s">
        <v>424</v>
      </c>
      <c r="B518" s="89"/>
      <c r="C518" s="52" t="s">
        <v>95</v>
      </c>
      <c r="D518" s="67" t="s">
        <v>103</v>
      </c>
      <c r="E518" s="1100"/>
      <c r="F518" s="1101"/>
      <c r="G518" s="1209"/>
      <c r="H518" s="1101"/>
      <c r="I518" s="1101"/>
      <c r="J518" s="1209"/>
      <c r="K518" s="1209"/>
      <c r="L518" s="1101"/>
      <c r="M518" s="1101"/>
      <c r="N518" s="1101"/>
      <c r="O518" s="1101"/>
      <c r="P518" s="1101"/>
      <c r="Q518" s="1209"/>
      <c r="R518" s="1209"/>
      <c r="S518" s="1101"/>
      <c r="T518" s="1101"/>
      <c r="U518" s="1101"/>
      <c r="V518" s="1101"/>
      <c r="W518" s="1101"/>
      <c r="X518" s="1209"/>
      <c r="Y518" s="1209"/>
      <c r="Z518" s="1101"/>
      <c r="AA518" s="1101"/>
      <c r="AB518" s="1101"/>
      <c r="AC518" s="1101"/>
      <c r="AD518" s="1101"/>
      <c r="AE518" s="1209"/>
      <c r="AF518" s="1209"/>
      <c r="AG518" s="1101"/>
      <c r="AH518" s="1101"/>
      <c r="AI518" s="1332"/>
      <c r="AJ518" s="68">
        <f>SUM(E518:AI518)</f>
        <v>0</v>
      </c>
      <c r="AK518" s="68"/>
      <c r="AL518" s="69">
        <f>+AJ518*AN513</f>
        <v>0</v>
      </c>
      <c r="AM518" s="937"/>
      <c r="AN518" s="277"/>
      <c r="AO518" s="679"/>
      <c r="AP518" s="39" t="s">
        <v>19</v>
      </c>
      <c r="AQ518" s="56">
        <f>AQ517*AN513</f>
        <v>0</v>
      </c>
      <c r="AR518" s="56">
        <f>AR517*AN513</f>
        <v>0</v>
      </c>
      <c r="AS518" s="56">
        <f>AS517*AN513</f>
        <v>0</v>
      </c>
      <c r="AT518" s="56">
        <f>AT517*AN513</f>
        <v>0</v>
      </c>
      <c r="AU518" s="56">
        <f>AU517*AN513</f>
        <v>0</v>
      </c>
      <c r="AV518" s="57">
        <f t="shared" si="1127"/>
        <v>0</v>
      </c>
    </row>
    <row r="519" spans="1:48" s="23" customFormat="1" ht="20.65" hidden="1" customHeight="1">
      <c r="A519" s="330" t="s">
        <v>423</v>
      </c>
      <c r="B519" s="89"/>
      <c r="C519" s="306" t="s">
        <v>387</v>
      </c>
      <c r="D519" s="73" t="s">
        <v>105</v>
      </c>
      <c r="E519" s="1158"/>
      <c r="F519" s="1140"/>
      <c r="G519" s="1289"/>
      <c r="H519" s="1140"/>
      <c r="I519" s="1140"/>
      <c r="J519" s="1289"/>
      <c r="K519" s="1289"/>
      <c r="L519" s="1140"/>
      <c r="M519" s="1140"/>
      <c r="N519" s="1140"/>
      <c r="O519" s="1140"/>
      <c r="P519" s="1140"/>
      <c r="Q519" s="1289"/>
      <c r="R519" s="1289"/>
      <c r="S519" s="1140"/>
      <c r="T519" s="1140"/>
      <c r="U519" s="1140"/>
      <c r="V519" s="1140"/>
      <c r="W519" s="1140"/>
      <c r="X519" s="1289"/>
      <c r="Y519" s="1289"/>
      <c r="Z519" s="1140"/>
      <c r="AA519" s="1140"/>
      <c r="AB519" s="1140"/>
      <c r="AC519" s="1140"/>
      <c r="AD519" s="1140"/>
      <c r="AE519" s="1289"/>
      <c r="AF519" s="1289"/>
      <c r="AG519" s="1140"/>
      <c r="AH519" s="1140"/>
      <c r="AI519" s="1408"/>
      <c r="AJ519" s="718">
        <f>SUM(E519:AI519)</f>
        <v>0</v>
      </c>
      <c r="AK519" s="718"/>
      <c r="AL519" s="691">
        <f>+AJ519*AN513</f>
        <v>0</v>
      </c>
      <c r="AM519" s="959"/>
      <c r="AN519" s="91"/>
      <c r="AO519" s="630"/>
      <c r="AP519" s="47" t="s">
        <v>106</v>
      </c>
      <c r="AQ519" s="48">
        <f>AQ515*AN513</f>
        <v>0</v>
      </c>
      <c r="AR519" s="48">
        <f>AR515*AN513</f>
        <v>0</v>
      </c>
      <c r="AS519" s="48">
        <f>AS515*AN513</f>
        <v>0</v>
      </c>
      <c r="AT519" s="48">
        <f>AT515*AN513</f>
        <v>0</v>
      </c>
      <c r="AU519" s="48">
        <f>AU515*AN513</f>
        <v>0</v>
      </c>
      <c r="AV519" s="50">
        <f t="shared" si="1127"/>
        <v>0</v>
      </c>
    </row>
    <row r="520" spans="1:48" s="23" customFormat="1" ht="20.65" hidden="1" customHeight="1">
      <c r="A520" s="296" t="s">
        <v>420</v>
      </c>
      <c r="B520" s="89"/>
      <c r="C520" s="307"/>
      <c r="D520" s="78" t="s">
        <v>107</v>
      </c>
      <c r="E520" s="1137">
        <v>4</v>
      </c>
      <c r="F520" s="1097">
        <v>4</v>
      </c>
      <c r="G520" s="1205">
        <v>4</v>
      </c>
      <c r="H520" s="1097">
        <v>4</v>
      </c>
      <c r="I520" s="1097">
        <v>4</v>
      </c>
      <c r="J520" s="1205">
        <v>4</v>
      </c>
      <c r="K520" s="1205">
        <v>4</v>
      </c>
      <c r="L520" s="1097">
        <v>4</v>
      </c>
      <c r="M520" s="1097">
        <v>4</v>
      </c>
      <c r="N520" s="1097">
        <v>4</v>
      </c>
      <c r="O520" s="1097">
        <v>4</v>
      </c>
      <c r="P520" s="1097">
        <v>4</v>
      </c>
      <c r="Q520" s="1205">
        <v>4</v>
      </c>
      <c r="R520" s="1205">
        <v>4</v>
      </c>
      <c r="S520" s="1097">
        <v>4</v>
      </c>
      <c r="T520" s="1097">
        <v>4</v>
      </c>
      <c r="U520" s="1097">
        <v>4</v>
      </c>
      <c r="V520" s="1097">
        <v>4</v>
      </c>
      <c r="W520" s="1097">
        <v>4</v>
      </c>
      <c r="X520" s="1205">
        <v>4</v>
      </c>
      <c r="Y520" s="1205">
        <v>4</v>
      </c>
      <c r="Z520" s="1097">
        <v>4</v>
      </c>
      <c r="AA520" s="1097">
        <v>4</v>
      </c>
      <c r="AB520" s="1097">
        <v>4</v>
      </c>
      <c r="AC520" s="1097">
        <v>4</v>
      </c>
      <c r="AD520" s="1097">
        <v>4</v>
      </c>
      <c r="AE520" s="1205">
        <v>4</v>
      </c>
      <c r="AF520" s="1205">
        <v>4</v>
      </c>
      <c r="AG520" s="1097">
        <v>4</v>
      </c>
      <c r="AH520" s="1097">
        <v>4</v>
      </c>
      <c r="AI520" s="1328">
        <v>4</v>
      </c>
      <c r="AJ520" s="79"/>
      <c r="AK520" s="79"/>
      <c r="AL520" s="69"/>
      <c r="AM520" s="937"/>
      <c r="AN520" s="277"/>
      <c r="AO520" s="679"/>
      <c r="AP520" s="47"/>
      <c r="AQ520" s="48"/>
      <c r="AR520" s="48"/>
      <c r="AS520" s="48"/>
      <c r="AT520" s="48"/>
      <c r="AU520" s="48"/>
      <c r="AV520" s="284"/>
    </row>
    <row r="521" spans="1:48" s="23" customFormat="1" ht="20.65" hidden="1" customHeight="1">
      <c r="A521" s="296" t="s">
        <v>420</v>
      </c>
      <c r="B521" s="89"/>
      <c r="C521" s="305"/>
      <c r="D521" s="81" t="s">
        <v>109</v>
      </c>
      <c r="E521" s="1125">
        <f>SUM(E515+E517+E518+E519)/E520</f>
        <v>0</v>
      </c>
      <c r="F521" s="1126">
        <f>SUM(F515+F517+F518+F519)/F520</f>
        <v>0</v>
      </c>
      <c r="G521" s="1235">
        <f t="shared" ref="G521:AI521" si="1130">SUM(G515+G517+G518+G519)/G520</f>
        <v>0</v>
      </c>
      <c r="H521" s="1126">
        <f t="shared" si="1130"/>
        <v>0</v>
      </c>
      <c r="I521" s="1126">
        <f t="shared" si="1130"/>
        <v>0</v>
      </c>
      <c r="J521" s="1235">
        <f t="shared" si="1130"/>
        <v>0</v>
      </c>
      <c r="K521" s="1235">
        <f t="shared" si="1130"/>
        <v>0</v>
      </c>
      <c r="L521" s="1126">
        <f t="shared" si="1130"/>
        <v>0</v>
      </c>
      <c r="M521" s="1126">
        <f t="shared" si="1130"/>
        <v>0</v>
      </c>
      <c r="N521" s="1126">
        <f t="shared" si="1130"/>
        <v>0</v>
      </c>
      <c r="O521" s="1126">
        <f t="shared" si="1130"/>
        <v>0</v>
      </c>
      <c r="P521" s="1126">
        <f t="shared" si="1130"/>
        <v>0</v>
      </c>
      <c r="Q521" s="1235">
        <f t="shared" si="1130"/>
        <v>0</v>
      </c>
      <c r="R521" s="1235">
        <f t="shared" si="1130"/>
        <v>0</v>
      </c>
      <c r="S521" s="1126">
        <f t="shared" si="1130"/>
        <v>0</v>
      </c>
      <c r="T521" s="1126">
        <f t="shared" si="1130"/>
        <v>0</v>
      </c>
      <c r="U521" s="1126">
        <f t="shared" si="1130"/>
        <v>0</v>
      </c>
      <c r="V521" s="1126">
        <f t="shared" si="1130"/>
        <v>0</v>
      </c>
      <c r="W521" s="1126">
        <f t="shared" si="1130"/>
        <v>0</v>
      </c>
      <c r="X521" s="1235">
        <f t="shared" si="1130"/>
        <v>0</v>
      </c>
      <c r="Y521" s="1235">
        <f t="shared" si="1130"/>
        <v>0</v>
      </c>
      <c r="Z521" s="1126">
        <f t="shared" si="1130"/>
        <v>0</v>
      </c>
      <c r="AA521" s="1126">
        <f t="shared" si="1130"/>
        <v>0</v>
      </c>
      <c r="AB521" s="1126">
        <f t="shared" si="1130"/>
        <v>0</v>
      </c>
      <c r="AC521" s="1126">
        <f t="shared" si="1130"/>
        <v>0</v>
      </c>
      <c r="AD521" s="1126">
        <f t="shared" si="1130"/>
        <v>0</v>
      </c>
      <c r="AE521" s="1235">
        <f t="shared" si="1130"/>
        <v>0</v>
      </c>
      <c r="AF521" s="1235">
        <f t="shared" si="1130"/>
        <v>0</v>
      </c>
      <c r="AG521" s="1126">
        <f t="shared" si="1130"/>
        <v>0</v>
      </c>
      <c r="AH521" s="1126">
        <f t="shared" si="1130"/>
        <v>0</v>
      </c>
      <c r="AI521" s="1335">
        <f t="shared" si="1130"/>
        <v>0</v>
      </c>
      <c r="AJ521" s="515">
        <f>SUM(E521:AI521)</f>
        <v>0</v>
      </c>
      <c r="AK521" s="515"/>
      <c r="AL521" s="689"/>
      <c r="AM521" s="940"/>
      <c r="AN521" s="277"/>
      <c r="AO521" s="679"/>
      <c r="AP521" s="285"/>
      <c r="AQ521" s="285"/>
      <c r="AR521" s="285"/>
      <c r="AS521" s="285"/>
      <c r="AT521" s="286"/>
      <c r="AU521" s="285"/>
      <c r="AV521" s="287"/>
    </row>
    <row r="522" spans="1:48" s="23" customFormat="1" ht="20.65" hidden="1" customHeight="1">
      <c r="A522" s="296" t="s">
        <v>420</v>
      </c>
      <c r="B522" s="89"/>
      <c r="C522" s="72"/>
      <c r="D522" s="85" t="s">
        <v>110</v>
      </c>
      <c r="E522" s="1105"/>
      <c r="F522" s="1106"/>
      <c r="G522" s="1211"/>
      <c r="H522" s="1104"/>
      <c r="I522" s="1104"/>
      <c r="J522" s="1211"/>
      <c r="K522" s="1211"/>
      <c r="L522" s="1104"/>
      <c r="M522" s="1104"/>
      <c r="N522" s="1104"/>
      <c r="O522" s="1104"/>
      <c r="P522" s="1104"/>
      <c r="Q522" s="1211"/>
      <c r="R522" s="1211"/>
      <c r="S522" s="1104"/>
      <c r="T522" s="1104"/>
      <c r="U522" s="1104"/>
      <c r="V522" s="1104"/>
      <c r="W522" s="1104"/>
      <c r="X522" s="1211"/>
      <c r="Y522" s="1211"/>
      <c r="Z522" s="1104"/>
      <c r="AA522" s="1104"/>
      <c r="AB522" s="1104"/>
      <c r="AC522" s="1104"/>
      <c r="AD522" s="1104"/>
      <c r="AE522" s="1211"/>
      <c r="AF522" s="1211"/>
      <c r="AG522" s="1104"/>
      <c r="AH522" s="1104"/>
      <c r="AI522" s="1353"/>
      <c r="AJ522" s="86"/>
      <c r="AK522" s="86"/>
      <c r="AL522" s="690"/>
      <c r="AM522" s="940"/>
      <c r="AN522" s="277"/>
      <c r="AO522" s="679"/>
      <c r="AP522" s="285"/>
      <c r="AQ522" s="285"/>
      <c r="AR522" s="285"/>
      <c r="AS522" s="285"/>
      <c r="AT522" s="286"/>
      <c r="AU522" s="285"/>
      <c r="AV522" s="287"/>
    </row>
    <row r="523" spans="1:48" s="23" customFormat="1" ht="20.65" hidden="1" customHeight="1">
      <c r="A523" s="296" t="s">
        <v>420</v>
      </c>
      <c r="B523" s="89"/>
      <c r="C523" s="72" t="s">
        <v>104</v>
      </c>
      <c r="D523" s="88" t="s">
        <v>111</v>
      </c>
      <c r="E523" s="1108">
        <f>IF(E522="O/H",E521,0+E521)</f>
        <v>0</v>
      </c>
      <c r="F523" s="1089">
        <f t="shared" ref="F523:AI523" si="1131">IF(F522="O/H",F521,+E523+F521)</f>
        <v>0</v>
      </c>
      <c r="G523" s="44">
        <f t="shared" si="1131"/>
        <v>0</v>
      </c>
      <c r="H523" s="1089">
        <f t="shared" si="1131"/>
        <v>0</v>
      </c>
      <c r="I523" s="1089">
        <f t="shared" si="1131"/>
        <v>0</v>
      </c>
      <c r="J523" s="44">
        <f t="shared" si="1131"/>
        <v>0</v>
      </c>
      <c r="K523" s="44">
        <f t="shared" si="1131"/>
        <v>0</v>
      </c>
      <c r="L523" s="1089">
        <f t="shared" si="1131"/>
        <v>0</v>
      </c>
      <c r="M523" s="1089">
        <f t="shared" si="1131"/>
        <v>0</v>
      </c>
      <c r="N523" s="1089">
        <f t="shared" si="1131"/>
        <v>0</v>
      </c>
      <c r="O523" s="1089">
        <f t="shared" si="1131"/>
        <v>0</v>
      </c>
      <c r="P523" s="1089">
        <f t="shared" si="1131"/>
        <v>0</v>
      </c>
      <c r="Q523" s="44">
        <f t="shared" si="1131"/>
        <v>0</v>
      </c>
      <c r="R523" s="44">
        <f t="shared" si="1131"/>
        <v>0</v>
      </c>
      <c r="S523" s="1089">
        <f t="shared" si="1131"/>
        <v>0</v>
      </c>
      <c r="T523" s="1089">
        <f t="shared" si="1131"/>
        <v>0</v>
      </c>
      <c r="U523" s="1089">
        <f t="shared" si="1131"/>
        <v>0</v>
      </c>
      <c r="V523" s="1089">
        <f t="shared" si="1131"/>
        <v>0</v>
      </c>
      <c r="W523" s="1089">
        <f t="shared" si="1131"/>
        <v>0</v>
      </c>
      <c r="X523" s="44">
        <f t="shared" si="1131"/>
        <v>0</v>
      </c>
      <c r="Y523" s="44">
        <f t="shared" si="1131"/>
        <v>0</v>
      </c>
      <c r="Z523" s="1089">
        <f t="shared" si="1131"/>
        <v>0</v>
      </c>
      <c r="AA523" s="1089">
        <f t="shared" si="1131"/>
        <v>0</v>
      </c>
      <c r="AB523" s="1089">
        <f t="shared" si="1131"/>
        <v>0</v>
      </c>
      <c r="AC523" s="1089">
        <f t="shared" si="1131"/>
        <v>0</v>
      </c>
      <c r="AD523" s="1089">
        <f t="shared" si="1131"/>
        <v>0</v>
      </c>
      <c r="AE523" s="44">
        <f t="shared" si="1131"/>
        <v>0</v>
      </c>
      <c r="AF523" s="44">
        <f t="shared" si="1131"/>
        <v>0</v>
      </c>
      <c r="AG523" s="1089">
        <f t="shared" si="1131"/>
        <v>0</v>
      </c>
      <c r="AH523" s="1089">
        <f t="shared" si="1131"/>
        <v>0</v>
      </c>
      <c r="AI523" s="1326">
        <f t="shared" si="1131"/>
        <v>0</v>
      </c>
      <c r="AJ523" s="79"/>
      <c r="AK523" s="79"/>
      <c r="AL523" s="690"/>
      <c r="AM523" s="940"/>
      <c r="AN523" s="277"/>
      <c r="AO523" s="679"/>
      <c r="AP523" s="285"/>
      <c r="AQ523" s="285"/>
      <c r="AR523" s="285"/>
      <c r="AS523" s="285"/>
      <c r="AT523" s="286"/>
      <c r="AU523" s="285"/>
      <c r="AV523" s="287"/>
    </row>
    <row r="524" spans="1:48" s="23" customFormat="1" ht="20.65" hidden="1" customHeight="1">
      <c r="A524" s="312"/>
      <c r="B524" s="312"/>
      <c r="C524" s="308">
        <v>300000</v>
      </c>
      <c r="D524" s="795" t="s">
        <v>112</v>
      </c>
      <c r="E524" s="1117" t="b">
        <f>IF(AND(ISNUMBER(E515)),2349614+E521)</f>
        <v>0</v>
      </c>
      <c r="F524" s="1118" t="str">
        <f>IF(AND(ISNUMBER(F515)),E524+F521,"")</f>
        <v/>
      </c>
      <c r="G524" s="1216" t="str">
        <f t="shared" ref="G524" si="1132">IF(AND(ISNUMBER(G515)),F524+G521,"")</f>
        <v/>
      </c>
      <c r="H524" s="1118" t="str">
        <f t="shared" ref="H524" si="1133">IF(AND(ISNUMBER(H515)),G524+H521,"")</f>
        <v/>
      </c>
      <c r="I524" s="1118" t="str">
        <f>IF(AND(ISNUMBER(I515)),H524+I521,"")</f>
        <v/>
      </c>
      <c r="J524" s="1216" t="str">
        <f>IF(AND(ISNUMBER(J515)),I524+J521,"")</f>
        <v/>
      </c>
      <c r="K524" s="1216" t="str">
        <f>IF(AND(ISNUMBER(K515)),J524+K521,"")</f>
        <v/>
      </c>
      <c r="L524" s="1118" t="str">
        <f t="shared" ref="L524" si="1134">IF(AND(ISNUMBER(L515)),K524+L521,"")</f>
        <v/>
      </c>
      <c r="M524" s="1118" t="str">
        <f t="shared" ref="M524" si="1135">IF(AND(ISNUMBER(M515)),L524+M521,"")</f>
        <v/>
      </c>
      <c r="N524" s="1118" t="str">
        <f t="shared" ref="N524" si="1136">IF(AND(ISNUMBER(N515)),M524+N521,"")</f>
        <v/>
      </c>
      <c r="O524" s="1118" t="str">
        <f t="shared" ref="O524" si="1137">IF(AND(ISNUMBER(O515)),N524+O521,"")</f>
        <v/>
      </c>
      <c r="P524" s="1118" t="str">
        <f t="shared" ref="P524" si="1138">IF(AND(ISNUMBER(P515)),O524+P521,"")</f>
        <v/>
      </c>
      <c r="Q524" s="1216" t="str">
        <f t="shared" ref="Q524" si="1139">IF(AND(ISNUMBER(Q515)),P524+Q521,"")</f>
        <v/>
      </c>
      <c r="R524" s="1216" t="str">
        <f t="shared" ref="R524" si="1140">IF(AND(ISNUMBER(R515)),Q524+R521,"")</f>
        <v/>
      </c>
      <c r="S524" s="1118" t="str">
        <f t="shared" ref="S524" si="1141">IF(AND(ISNUMBER(S515)),R524+S521,"")</f>
        <v/>
      </c>
      <c r="T524" s="1118" t="str">
        <f t="shared" ref="T524" si="1142">IF(AND(ISNUMBER(T515)),S524+T521,"")</f>
        <v/>
      </c>
      <c r="U524" s="1118" t="str">
        <f t="shared" ref="U524" si="1143">IF(AND(ISNUMBER(U515)),T524+U521,"")</f>
        <v/>
      </c>
      <c r="V524" s="1118" t="str">
        <f t="shared" ref="V524" si="1144">IF(AND(ISNUMBER(V515)),U524+V521,"")</f>
        <v/>
      </c>
      <c r="W524" s="1118" t="str">
        <f t="shared" ref="W524" si="1145">IF(AND(ISNUMBER(W515)),V524+W521,"")</f>
        <v/>
      </c>
      <c r="X524" s="1216" t="str">
        <f t="shared" ref="X524" si="1146">IF(AND(ISNUMBER(X515)),W524+X521,"")</f>
        <v/>
      </c>
      <c r="Y524" s="1216" t="str">
        <f t="shared" ref="Y524" si="1147">IF(AND(ISNUMBER(Y515)),X524+Y521,"")</f>
        <v/>
      </c>
      <c r="Z524" s="1118" t="str">
        <f t="shared" ref="Z524" si="1148">IF(AND(ISNUMBER(Z515)),Y524+Z521,"")</f>
        <v/>
      </c>
      <c r="AA524" s="1118" t="str">
        <f t="shared" ref="AA524" si="1149">IF(AND(ISNUMBER(AA515)),Z524+AA521,"")</f>
        <v/>
      </c>
      <c r="AB524" s="1118" t="str">
        <f t="shared" ref="AB524" si="1150">IF(AND(ISNUMBER(AB515)),AA524+AB521,"")</f>
        <v/>
      </c>
      <c r="AC524" s="1118" t="str">
        <f t="shared" ref="AC524" si="1151">IF(AND(ISNUMBER(AC515)),AB524+AC521,"")</f>
        <v/>
      </c>
      <c r="AD524" s="1118" t="str">
        <f t="shared" ref="AD524" si="1152">IF(AND(ISNUMBER(AD515)),AC524+AD521,"")</f>
        <v/>
      </c>
      <c r="AE524" s="1216" t="str">
        <f t="shared" ref="AE524" si="1153">IF(AND(ISNUMBER(AE515)),AD524+AE521,"")</f>
        <v/>
      </c>
      <c r="AF524" s="1216" t="str">
        <f t="shared" ref="AF524" si="1154">IF(AND(ISNUMBER(AF515)),AE524+AF521,"")</f>
        <v/>
      </c>
      <c r="AG524" s="1118" t="str">
        <f t="shared" ref="AG524" si="1155">IF(AND(ISNUMBER(AG515)),AF524+AG521,"")</f>
        <v/>
      </c>
      <c r="AH524" s="1118" t="str">
        <f t="shared" ref="AH524" si="1156">IF(AND(ISNUMBER(AH515)),AG524+AH521,"")</f>
        <v/>
      </c>
      <c r="AI524" s="1118" t="str">
        <f t="shared" ref="AI524" si="1157">IF(AND(ISNUMBER(AI515)),AH524+AI521,"")</f>
        <v/>
      </c>
      <c r="AJ524" s="793"/>
      <c r="AK524" s="793"/>
      <c r="AL524" s="909"/>
      <c r="AM524" s="794"/>
      <c r="AN524" s="429"/>
      <c r="AO524" s="675"/>
      <c r="AP524" s="285"/>
      <c r="AQ524" s="285"/>
      <c r="AR524" s="285"/>
      <c r="AS524" s="285"/>
      <c r="AT524" s="286"/>
      <c r="AU524" s="285"/>
      <c r="AV524" s="287"/>
    </row>
    <row r="525" spans="1:48" s="23" customFormat="1" ht="20.65" hidden="1" customHeight="1">
      <c r="A525" s="296"/>
      <c r="B525" s="208"/>
      <c r="C525" s="80" t="s">
        <v>108</v>
      </c>
      <c r="D525" s="90" t="s">
        <v>104</v>
      </c>
      <c r="E525" s="1108"/>
      <c r="F525" s="1089"/>
      <c r="G525" s="44"/>
      <c r="H525" s="1089"/>
      <c r="I525" s="1089"/>
      <c r="J525" s="44"/>
      <c r="K525" s="44"/>
      <c r="L525" s="1089"/>
      <c r="M525" s="1089"/>
      <c r="N525" s="1089"/>
      <c r="O525" s="1089"/>
      <c r="P525" s="1089"/>
      <c r="Q525" s="44"/>
      <c r="R525" s="44"/>
      <c r="S525" s="1089"/>
      <c r="T525" s="1089"/>
      <c r="U525" s="1089"/>
      <c r="V525" s="1089"/>
      <c r="W525" s="1089"/>
      <c r="X525" s="44"/>
      <c r="Y525" s="44"/>
      <c r="Z525" s="1089"/>
      <c r="AA525" s="1089"/>
      <c r="AB525" s="1089"/>
      <c r="AC525" s="1089"/>
      <c r="AD525" s="1089"/>
      <c r="AE525" s="44"/>
      <c r="AF525" s="44"/>
      <c r="AG525" s="1089"/>
      <c r="AH525" s="1089"/>
      <c r="AI525" s="1326"/>
      <c r="AJ525" s="79"/>
      <c r="AK525" s="79"/>
      <c r="AL525" s="690"/>
      <c r="AM525" s="940"/>
      <c r="AN525" s="301"/>
      <c r="AO525" s="680"/>
      <c r="AP525" s="285"/>
      <c r="AQ525" s="285"/>
      <c r="AR525" s="285"/>
      <c r="AS525" s="285"/>
      <c r="AT525" s="286"/>
      <c r="AU525" s="285"/>
      <c r="AV525" s="287"/>
    </row>
    <row r="526" spans="1:48" s="23" customFormat="1" ht="20.65" hidden="1" customHeight="1" thickBot="1">
      <c r="A526" s="310"/>
      <c r="B526" s="93"/>
      <c r="C526" s="291">
        <f>+C524*0.8</f>
        <v>240000</v>
      </c>
      <c r="D526" s="88" t="s">
        <v>111</v>
      </c>
      <c r="E526" s="1109">
        <f>IF(E525="O/H",E521,0+E521)</f>
        <v>0</v>
      </c>
      <c r="F526" s="1110">
        <f t="shared" ref="F526:AI526" si="1158">IF(F525="O/H",F521,+E526+F521)</f>
        <v>0</v>
      </c>
      <c r="G526" s="1212">
        <f t="shared" si="1158"/>
        <v>0</v>
      </c>
      <c r="H526" s="1110">
        <f t="shared" si="1158"/>
        <v>0</v>
      </c>
      <c r="I526" s="1110">
        <f t="shared" si="1158"/>
        <v>0</v>
      </c>
      <c r="J526" s="1212">
        <f t="shared" si="1158"/>
        <v>0</v>
      </c>
      <c r="K526" s="1212">
        <f t="shared" si="1158"/>
        <v>0</v>
      </c>
      <c r="L526" s="1110">
        <f t="shared" si="1158"/>
        <v>0</v>
      </c>
      <c r="M526" s="1110">
        <f t="shared" si="1158"/>
        <v>0</v>
      </c>
      <c r="N526" s="1110">
        <f t="shared" si="1158"/>
        <v>0</v>
      </c>
      <c r="O526" s="1110">
        <f t="shared" si="1158"/>
        <v>0</v>
      </c>
      <c r="P526" s="1110">
        <f t="shared" si="1158"/>
        <v>0</v>
      </c>
      <c r="Q526" s="1212">
        <f t="shared" si="1158"/>
        <v>0</v>
      </c>
      <c r="R526" s="1212">
        <f t="shared" si="1158"/>
        <v>0</v>
      </c>
      <c r="S526" s="1110">
        <f t="shared" si="1158"/>
        <v>0</v>
      </c>
      <c r="T526" s="1110">
        <f t="shared" si="1158"/>
        <v>0</v>
      </c>
      <c r="U526" s="1110">
        <f t="shared" si="1158"/>
        <v>0</v>
      </c>
      <c r="V526" s="1110">
        <f t="shared" si="1158"/>
        <v>0</v>
      </c>
      <c r="W526" s="1110">
        <f t="shared" si="1158"/>
        <v>0</v>
      </c>
      <c r="X526" s="1212">
        <f t="shared" si="1158"/>
        <v>0</v>
      </c>
      <c r="Y526" s="1212">
        <f t="shared" si="1158"/>
        <v>0</v>
      </c>
      <c r="Z526" s="1110">
        <f t="shared" si="1158"/>
        <v>0</v>
      </c>
      <c r="AA526" s="1110">
        <f t="shared" si="1158"/>
        <v>0</v>
      </c>
      <c r="AB526" s="1110">
        <f t="shared" si="1158"/>
        <v>0</v>
      </c>
      <c r="AC526" s="1110">
        <f t="shared" si="1158"/>
        <v>0</v>
      </c>
      <c r="AD526" s="1110">
        <f t="shared" si="1158"/>
        <v>0</v>
      </c>
      <c r="AE526" s="1212">
        <f t="shared" si="1158"/>
        <v>0</v>
      </c>
      <c r="AF526" s="1212">
        <f t="shared" si="1158"/>
        <v>0</v>
      </c>
      <c r="AG526" s="1110">
        <f t="shared" si="1158"/>
        <v>0</v>
      </c>
      <c r="AH526" s="1110">
        <f t="shared" si="1158"/>
        <v>0</v>
      </c>
      <c r="AI526" s="1340">
        <f t="shared" si="1158"/>
        <v>0</v>
      </c>
      <c r="AJ526" s="96"/>
      <c r="AK526" s="723"/>
      <c r="AL526" s="695"/>
      <c r="AM526" s="961"/>
      <c r="AN526" s="292"/>
      <c r="AO526" s="681"/>
      <c r="AP526" s="285"/>
      <c r="AQ526" s="285"/>
      <c r="AR526" s="285"/>
      <c r="AS526" s="285"/>
      <c r="AT526" s="286"/>
      <c r="AU526" s="285"/>
      <c r="AV526" s="287"/>
    </row>
    <row r="527" spans="1:48" s="23" customFormat="1" ht="20.65" hidden="1" customHeight="1" thickTop="1">
      <c r="A527" s="955" t="s">
        <v>423</v>
      </c>
      <c r="B527" s="223" t="s">
        <v>685</v>
      </c>
      <c r="C527" s="1493" t="str">
        <f>Table2[[#This Row],[M/C No.]]</f>
        <v>H15(50Ton)</v>
      </c>
      <c r="D527" s="28" t="s">
        <v>82</v>
      </c>
      <c r="E527" s="1420"/>
      <c r="F527" s="1163"/>
      <c r="G527" s="1290"/>
      <c r="H527" s="1163"/>
      <c r="I527" s="1163"/>
      <c r="J527" s="1290"/>
      <c r="K527" s="1290"/>
      <c r="L527" s="1163"/>
      <c r="M527" s="1163"/>
      <c r="N527" s="1163"/>
      <c r="O527" s="1163"/>
      <c r="P527" s="1163"/>
      <c r="Q527" s="1290"/>
      <c r="R527" s="1290"/>
      <c r="S527" s="1163"/>
      <c r="T527" s="1163"/>
      <c r="U527" s="1163"/>
      <c r="V527" s="1163"/>
      <c r="W527" s="1163"/>
      <c r="X527" s="1290"/>
      <c r="Y527" s="1290"/>
      <c r="Z527" s="1163"/>
      <c r="AA527" s="1163"/>
      <c r="AB527" s="1163"/>
      <c r="AC527" s="1163"/>
      <c r="AD527" s="1163"/>
      <c r="AE527" s="1290"/>
      <c r="AF527" s="1290"/>
      <c r="AG527" s="1163"/>
      <c r="AH527" s="1163"/>
      <c r="AI527" s="1421"/>
      <c r="AJ527" s="100">
        <f>SUM(E527:AI527)</f>
        <v>0</v>
      </c>
      <c r="AK527" s="1000">
        <f>AJ529</f>
        <v>0</v>
      </c>
      <c r="AL527" s="101">
        <f>+AJ527*AN527</f>
        <v>0</v>
      </c>
      <c r="AM527" s="1019">
        <f>AL529</f>
        <v>0</v>
      </c>
      <c r="AN527" s="273">
        <v>4.1147499999999999</v>
      </c>
      <c r="AO527" s="633">
        <f>Table2[[#This Row],[Total]]*B531/1000</f>
        <v>0</v>
      </c>
      <c r="AP527" s="32" t="s">
        <v>422</v>
      </c>
      <c r="AQ527" s="33" t="s">
        <v>84</v>
      </c>
      <c r="AR527" s="33" t="s">
        <v>85</v>
      </c>
      <c r="AS527" s="33" t="s">
        <v>86</v>
      </c>
      <c r="AT527" s="33" t="s">
        <v>87</v>
      </c>
      <c r="AU527" s="33" t="s">
        <v>88</v>
      </c>
      <c r="AV527" s="34" t="s">
        <v>68</v>
      </c>
    </row>
    <row r="528" spans="1:48" s="23" customFormat="1" ht="20.65" hidden="1" customHeight="1">
      <c r="A528" s="274"/>
      <c r="B528" s="89" t="s">
        <v>394</v>
      </c>
      <c r="C528" s="275"/>
      <c r="D528" s="37" t="s">
        <v>90</v>
      </c>
      <c r="E528" s="1323">
        <f>IF(E527="",0,+ E527/E534)</f>
        <v>0</v>
      </c>
      <c r="F528" s="1096">
        <f t="shared" ref="F528:AC528" si="1159">IF(F527="",0, E528+F527/F534)</f>
        <v>0</v>
      </c>
      <c r="G528" s="1207">
        <f t="shared" si="1159"/>
        <v>0</v>
      </c>
      <c r="H528" s="1096">
        <f t="shared" si="1159"/>
        <v>0</v>
      </c>
      <c r="I528" s="1096">
        <f t="shared" si="1159"/>
        <v>0</v>
      </c>
      <c r="J528" s="1207">
        <f t="shared" si="1159"/>
        <v>0</v>
      </c>
      <c r="K528" s="1207">
        <f t="shared" si="1159"/>
        <v>0</v>
      </c>
      <c r="L528" s="1096">
        <f t="shared" si="1159"/>
        <v>0</v>
      </c>
      <c r="M528" s="1096">
        <f t="shared" si="1159"/>
        <v>0</v>
      </c>
      <c r="N528" s="1096">
        <f t="shared" si="1159"/>
        <v>0</v>
      </c>
      <c r="O528" s="1096">
        <f t="shared" si="1159"/>
        <v>0</v>
      </c>
      <c r="P528" s="1096">
        <f t="shared" si="1159"/>
        <v>0</v>
      </c>
      <c r="Q528" s="1207">
        <f t="shared" si="1159"/>
        <v>0</v>
      </c>
      <c r="R528" s="1207">
        <f t="shared" si="1159"/>
        <v>0</v>
      </c>
      <c r="S528" s="1096">
        <f t="shared" si="1159"/>
        <v>0</v>
      </c>
      <c r="T528" s="1096">
        <f t="shared" si="1159"/>
        <v>0</v>
      </c>
      <c r="U528" s="1096">
        <f t="shared" si="1159"/>
        <v>0</v>
      </c>
      <c r="V528" s="1096">
        <f t="shared" si="1159"/>
        <v>0</v>
      </c>
      <c r="W528" s="1096">
        <f t="shared" si="1159"/>
        <v>0</v>
      </c>
      <c r="X528" s="1207">
        <f t="shared" si="1159"/>
        <v>0</v>
      </c>
      <c r="Y528" s="1207">
        <f t="shared" si="1159"/>
        <v>0</v>
      </c>
      <c r="Z528" s="1096">
        <f t="shared" si="1159"/>
        <v>0</v>
      </c>
      <c r="AA528" s="1096">
        <f t="shared" si="1159"/>
        <v>0</v>
      </c>
      <c r="AB528" s="1096">
        <f t="shared" si="1159"/>
        <v>0</v>
      </c>
      <c r="AC528" s="1096">
        <f t="shared" si="1159"/>
        <v>0</v>
      </c>
      <c r="AD528" s="1096">
        <f>IF(AD527="",0, Z528+AD527/AD534)</f>
        <v>0</v>
      </c>
      <c r="AE528" s="1207">
        <f>IF(AE527="",0, AA528+AE527/AE534)</f>
        <v>0</v>
      </c>
      <c r="AF528" s="1207">
        <f>IF(AF527="",0, AB528+AF527/AF534)</f>
        <v>0</v>
      </c>
      <c r="AG528" s="1096">
        <f>IF(AG527="",0, AC528+AG527/AG534)</f>
        <v>0</v>
      </c>
      <c r="AH528" s="1096">
        <f>IF(AH527="",0, AD528+AH527/AH534)</f>
        <v>0</v>
      </c>
      <c r="AI528" s="1324">
        <f>IF(AI527="",0, AH528+AI527/AI534)</f>
        <v>0</v>
      </c>
      <c r="AJ528" s="716"/>
      <c r="AK528" s="716"/>
      <c r="AL528" s="209"/>
      <c r="AM528" s="794"/>
      <c r="AN528" s="91"/>
      <c r="AO528" s="675"/>
      <c r="AP528" s="39" t="s">
        <v>91</v>
      </c>
      <c r="AQ528" s="40">
        <f>SUM(E527:K527)</f>
        <v>0</v>
      </c>
      <c r="AR528" s="41">
        <f>SUM(L527:R527)</f>
        <v>0</v>
      </c>
      <c r="AS528" s="41">
        <f>SUM(S527:Y527)</f>
        <v>0</v>
      </c>
      <c r="AT528" s="41">
        <f>SUM(Z527:AF527)</f>
        <v>0</v>
      </c>
      <c r="AU528" s="41">
        <f>SUM(AG527:AI527)</f>
        <v>0</v>
      </c>
      <c r="AV528" s="34">
        <f t="shared" ref="AV528:AV533" si="1160">SUM(AQ528:AU528)</f>
        <v>0</v>
      </c>
    </row>
    <row r="529" spans="1:48" s="23" customFormat="1" ht="20.65" hidden="1" customHeight="1">
      <c r="A529" s="318"/>
      <c r="B529" s="89" t="s">
        <v>324</v>
      </c>
      <c r="C529" s="42"/>
      <c r="D529" s="43" t="s">
        <v>93</v>
      </c>
      <c r="E529" s="1325"/>
      <c r="F529" s="1089"/>
      <c r="G529" s="44"/>
      <c r="H529" s="1089"/>
      <c r="I529" s="1089"/>
      <c r="J529" s="44"/>
      <c r="K529" s="44"/>
      <c r="L529" s="1089"/>
      <c r="M529" s="1089"/>
      <c r="N529" s="1089"/>
      <c r="O529" s="1089"/>
      <c r="P529" s="1089"/>
      <c r="Q529" s="44"/>
      <c r="R529" s="44"/>
      <c r="S529" s="1089"/>
      <c r="T529" s="1089"/>
      <c r="U529" s="1089"/>
      <c r="V529" s="1089"/>
      <c r="W529" s="1089"/>
      <c r="X529" s="44"/>
      <c r="Y529" s="44"/>
      <c r="Z529" s="1089"/>
      <c r="AA529" s="1089"/>
      <c r="AB529" s="1089"/>
      <c r="AC529" s="1089"/>
      <c r="AD529" s="1089"/>
      <c r="AE529" s="44"/>
      <c r="AF529" s="44"/>
      <c r="AG529" s="1089"/>
      <c r="AH529" s="1089"/>
      <c r="AI529" s="1326"/>
      <c r="AJ529" s="45">
        <f>SUM(E529:AI529)</f>
        <v>0</v>
      </c>
      <c r="AK529" s="45"/>
      <c r="AL529" s="46">
        <f>+AJ529*AN527</f>
        <v>0</v>
      </c>
      <c r="AM529" s="934"/>
      <c r="AN529" s="277"/>
      <c r="AO529" s="632">
        <f>(AJ529+AJ531+AJ532+AJ533)*B531/1000</f>
        <v>0</v>
      </c>
      <c r="AP529" s="47" t="s">
        <v>94</v>
      </c>
      <c r="AQ529" s="48">
        <f>SUM(E529:K529)</f>
        <v>0</v>
      </c>
      <c r="AR529" s="49">
        <f>SUM(L529:R529)</f>
        <v>0</v>
      </c>
      <c r="AS529" s="49">
        <f>SUM(S529:Y529)</f>
        <v>0</v>
      </c>
      <c r="AT529" s="49">
        <f>SUM(Z529:AF529)</f>
        <v>0</v>
      </c>
      <c r="AU529" s="49">
        <f>SUM(AG529:AI529)</f>
        <v>0</v>
      </c>
      <c r="AV529" s="50">
        <f t="shared" si="1160"/>
        <v>0</v>
      </c>
    </row>
    <row r="530" spans="1:48" s="23" customFormat="1" ht="20.65" hidden="1" customHeight="1">
      <c r="A530" s="318"/>
      <c r="B530" s="211" t="s">
        <v>247</v>
      </c>
      <c r="C530" s="280"/>
      <c r="D530" s="53" t="s">
        <v>96</v>
      </c>
      <c r="E530" s="1422">
        <f t="shared" ref="E530:AG530" si="1161">+E529-E527</f>
        <v>0</v>
      </c>
      <c r="F530" s="1164">
        <f t="shared" si="1161"/>
        <v>0</v>
      </c>
      <c r="G530" s="1291">
        <f t="shared" si="1161"/>
        <v>0</v>
      </c>
      <c r="H530" s="1164">
        <f t="shared" si="1161"/>
        <v>0</v>
      </c>
      <c r="I530" s="1164">
        <f t="shared" si="1161"/>
        <v>0</v>
      </c>
      <c r="J530" s="1291">
        <f t="shared" si="1161"/>
        <v>0</v>
      </c>
      <c r="K530" s="1291">
        <f t="shared" si="1161"/>
        <v>0</v>
      </c>
      <c r="L530" s="1164">
        <f t="shared" si="1161"/>
        <v>0</v>
      </c>
      <c r="M530" s="1164">
        <f t="shared" si="1161"/>
        <v>0</v>
      </c>
      <c r="N530" s="1164">
        <f t="shared" si="1161"/>
        <v>0</v>
      </c>
      <c r="O530" s="1164">
        <f t="shared" si="1161"/>
        <v>0</v>
      </c>
      <c r="P530" s="1164">
        <f t="shared" si="1161"/>
        <v>0</v>
      </c>
      <c r="Q530" s="1291">
        <f t="shared" si="1161"/>
        <v>0</v>
      </c>
      <c r="R530" s="1291">
        <f t="shared" si="1161"/>
        <v>0</v>
      </c>
      <c r="S530" s="1164">
        <f t="shared" si="1161"/>
        <v>0</v>
      </c>
      <c r="T530" s="1164">
        <f t="shared" si="1161"/>
        <v>0</v>
      </c>
      <c r="U530" s="1164">
        <f t="shared" si="1161"/>
        <v>0</v>
      </c>
      <c r="V530" s="1164">
        <f t="shared" si="1161"/>
        <v>0</v>
      </c>
      <c r="W530" s="1164">
        <f t="shared" si="1161"/>
        <v>0</v>
      </c>
      <c r="X530" s="1291">
        <f t="shared" si="1161"/>
        <v>0</v>
      </c>
      <c r="Y530" s="1291">
        <f t="shared" si="1161"/>
        <v>0</v>
      </c>
      <c r="Z530" s="1164">
        <f>+Z529-Z527</f>
        <v>0</v>
      </c>
      <c r="AA530" s="1164">
        <f t="shared" si="1161"/>
        <v>0</v>
      </c>
      <c r="AB530" s="1164">
        <f>+AB529-AB527</f>
        <v>0</v>
      </c>
      <c r="AC530" s="1164">
        <f t="shared" si="1161"/>
        <v>0</v>
      </c>
      <c r="AD530" s="1164">
        <f t="shared" si="1161"/>
        <v>0</v>
      </c>
      <c r="AE530" s="1291">
        <f t="shared" si="1161"/>
        <v>0</v>
      </c>
      <c r="AF530" s="1291">
        <f t="shared" si="1161"/>
        <v>0</v>
      </c>
      <c r="AG530" s="1164">
        <f t="shared" si="1161"/>
        <v>0</v>
      </c>
      <c r="AH530" s="1423"/>
      <c r="AI530" s="1424"/>
      <c r="AJ530" s="79">
        <f>+AJ529-AJ527</f>
        <v>0</v>
      </c>
      <c r="AK530" s="79"/>
      <c r="AL530" s="55">
        <f>+AJ530*AN527</f>
        <v>0</v>
      </c>
      <c r="AM530" s="935"/>
      <c r="AN530" s="277" t="s">
        <v>97</v>
      </c>
      <c r="AO530" s="622"/>
      <c r="AP530" s="39" t="s">
        <v>98</v>
      </c>
      <c r="AQ530" s="56">
        <f>AQ529-AQ528</f>
        <v>0</v>
      </c>
      <c r="AR530" s="70">
        <f>AR529-AR528</f>
        <v>0</v>
      </c>
      <c r="AS530" s="70">
        <f>AS529-AS528</f>
        <v>0</v>
      </c>
      <c r="AT530" s="70">
        <f>AT529-AT528</f>
        <v>0</v>
      </c>
      <c r="AU530" s="70">
        <f>AU529-AU528</f>
        <v>0</v>
      </c>
      <c r="AV530" s="57">
        <f t="shared" si="1160"/>
        <v>0</v>
      </c>
    </row>
    <row r="531" spans="1:48" s="23" customFormat="1" ht="20.65" hidden="1" customHeight="1">
      <c r="A531" s="318"/>
      <c r="B531" s="658">
        <v>2.0987499999999999</v>
      </c>
      <c r="C531" s="305"/>
      <c r="D531" s="61" t="s">
        <v>101</v>
      </c>
      <c r="E531" s="1425"/>
      <c r="F531" s="1112"/>
      <c r="G531" s="1213"/>
      <c r="H531" s="1112"/>
      <c r="I531" s="1112"/>
      <c r="J531" s="1213"/>
      <c r="K531" s="1213"/>
      <c r="L531" s="1112"/>
      <c r="M531" s="1112"/>
      <c r="N531" s="1112"/>
      <c r="O531" s="1112"/>
      <c r="P531" s="1112"/>
      <c r="Q531" s="1213"/>
      <c r="R531" s="1208"/>
      <c r="S531" s="1099"/>
      <c r="T531" s="1099"/>
      <c r="U531" s="1112"/>
      <c r="V531" s="1112"/>
      <c r="W531" s="1112"/>
      <c r="X531" s="1213"/>
      <c r="Y531" s="1213"/>
      <c r="Z531" s="1112"/>
      <c r="AA531" s="1112"/>
      <c r="AB531" s="1112"/>
      <c r="AC531" s="1112"/>
      <c r="AD531" s="1112"/>
      <c r="AE531" s="1213"/>
      <c r="AF531" s="1213"/>
      <c r="AG531" s="1112"/>
      <c r="AH531" s="1089"/>
      <c r="AI531" s="1326"/>
      <c r="AJ531" s="62">
        <f>SUM(E531:AI531)</f>
        <v>0</v>
      </c>
      <c r="AK531" s="62"/>
      <c r="AL531" s="63">
        <f>+AJ531*AN527</f>
        <v>0</v>
      </c>
      <c r="AM531" s="936"/>
      <c r="AN531" s="303" t="e">
        <f>+AJ531/AJ529</f>
        <v>#DIV/0!</v>
      </c>
      <c r="AO531" s="635" t="e">
        <f>AO529/AO527</f>
        <v>#DIV/0!</v>
      </c>
      <c r="AP531" s="39" t="s">
        <v>102</v>
      </c>
      <c r="AQ531" s="56">
        <f>SUM(E531:K531)</f>
        <v>0</v>
      </c>
      <c r="AR531" s="70">
        <f>SUM(L531:R531)</f>
        <v>0</v>
      </c>
      <c r="AS531" s="70">
        <f>SUM(S531:Y531)</f>
        <v>0</v>
      </c>
      <c r="AT531" s="70">
        <f>SUM(Z531:AF531)</f>
        <v>0</v>
      </c>
      <c r="AU531" s="70">
        <f>SUM(AG531:AI531)</f>
        <v>0</v>
      </c>
      <c r="AV531" s="57">
        <f t="shared" si="1160"/>
        <v>0</v>
      </c>
    </row>
    <row r="532" spans="1:48" s="23" customFormat="1" ht="20.65" hidden="1" customHeight="1">
      <c r="A532" s="318"/>
      <c r="B532" s="89"/>
      <c r="C532" s="52" t="s">
        <v>95</v>
      </c>
      <c r="D532" s="67" t="s">
        <v>103</v>
      </c>
      <c r="E532" s="1426"/>
      <c r="F532" s="1114"/>
      <c r="G532" s="1214"/>
      <c r="H532" s="1114"/>
      <c r="I532" s="1114"/>
      <c r="J532" s="1214"/>
      <c r="K532" s="1214"/>
      <c r="L532" s="1114"/>
      <c r="M532" s="1114"/>
      <c r="N532" s="1114"/>
      <c r="O532" s="1114"/>
      <c r="P532" s="1114"/>
      <c r="Q532" s="1214"/>
      <c r="R532" s="1209"/>
      <c r="S532" s="1101"/>
      <c r="T532" s="1101"/>
      <c r="U532" s="1114"/>
      <c r="V532" s="1114"/>
      <c r="W532" s="1114"/>
      <c r="X532" s="1214"/>
      <c r="Y532" s="1214"/>
      <c r="Z532" s="1114"/>
      <c r="AA532" s="1114"/>
      <c r="AB532" s="1114"/>
      <c r="AC532" s="1114"/>
      <c r="AD532" s="1114"/>
      <c r="AE532" s="1214"/>
      <c r="AF532" s="1214"/>
      <c r="AG532" s="1114"/>
      <c r="AH532" s="1089"/>
      <c r="AI532" s="1326"/>
      <c r="AJ532" s="68">
        <f>SUM(E532:AI532)</f>
        <v>0</v>
      </c>
      <c r="AK532" s="68"/>
      <c r="AL532" s="69">
        <f>+AJ532*AN527</f>
        <v>0</v>
      </c>
      <c r="AM532" s="937"/>
      <c r="AN532" s="277"/>
      <c r="AO532" s="679"/>
      <c r="AP532" s="39" t="s">
        <v>19</v>
      </c>
      <c r="AQ532" s="56">
        <f>AQ531*AN527</f>
        <v>0</v>
      </c>
      <c r="AR532" s="56">
        <f>AR531*AN527</f>
        <v>0</v>
      </c>
      <c r="AS532" s="56">
        <f>AS531*AN527</f>
        <v>0</v>
      </c>
      <c r="AT532" s="56">
        <f>AT531*AN527</f>
        <v>0</v>
      </c>
      <c r="AU532" s="56">
        <f>AU531*AN527</f>
        <v>0</v>
      </c>
      <c r="AV532" s="57">
        <f t="shared" si="1160"/>
        <v>0</v>
      </c>
    </row>
    <row r="533" spans="1:48" s="23" customFormat="1" ht="20.65" hidden="1" customHeight="1">
      <c r="A533" s="219" t="s">
        <v>425</v>
      </c>
      <c r="B533" s="319"/>
      <c r="C533" s="306" t="s">
        <v>387</v>
      </c>
      <c r="D533" s="73" t="s">
        <v>105</v>
      </c>
      <c r="E533" s="1427"/>
      <c r="F533" s="1116"/>
      <c r="G533" s="1215"/>
      <c r="H533" s="1116"/>
      <c r="I533" s="1116"/>
      <c r="J533" s="1215"/>
      <c r="K533" s="1215"/>
      <c r="L533" s="1116"/>
      <c r="M533" s="1116"/>
      <c r="N533" s="1116"/>
      <c r="O533" s="1116"/>
      <c r="P533" s="1116"/>
      <c r="Q533" s="1215"/>
      <c r="R533" s="1210"/>
      <c r="S533" s="1103"/>
      <c r="T533" s="1103"/>
      <c r="U533" s="1116"/>
      <c r="V533" s="1116"/>
      <c r="W533" s="1116"/>
      <c r="X533" s="1215"/>
      <c r="Y533" s="1215"/>
      <c r="Z533" s="1116"/>
      <c r="AA533" s="1116"/>
      <c r="AB533" s="1116"/>
      <c r="AC533" s="1116"/>
      <c r="AD533" s="1161"/>
      <c r="AE533" s="1314"/>
      <c r="AF533" s="1314"/>
      <c r="AG533" s="1165"/>
      <c r="AH533" s="1165"/>
      <c r="AI533" s="1165"/>
      <c r="AJ533" s="717">
        <f>SUM(E533:AI533)</f>
        <v>0</v>
      </c>
      <c r="AK533" s="717"/>
      <c r="AL533" s="220">
        <f>+AJ533*AN527</f>
        <v>0</v>
      </c>
      <c r="AM533" s="962"/>
      <c r="AN533" s="91"/>
      <c r="AO533" s="630"/>
      <c r="AP533" s="47" t="s">
        <v>106</v>
      </c>
      <c r="AQ533" s="48">
        <f>AQ529*AN527</f>
        <v>0</v>
      </c>
      <c r="AR533" s="48">
        <f>AR529*AN527</f>
        <v>0</v>
      </c>
      <c r="AS533" s="48">
        <f>AS529*AN527</f>
        <v>0</v>
      </c>
      <c r="AT533" s="48">
        <f>AT529*AN527</f>
        <v>0</v>
      </c>
      <c r="AU533" s="48">
        <f>AU529*AN527</f>
        <v>0</v>
      </c>
      <c r="AV533" s="50">
        <f t="shared" si="1160"/>
        <v>0</v>
      </c>
    </row>
    <row r="534" spans="1:48" s="23" customFormat="1" ht="20.65" hidden="1" customHeight="1">
      <c r="A534" s="318"/>
      <c r="B534" s="89"/>
      <c r="C534" s="307"/>
      <c r="D534" s="78" t="s">
        <v>107</v>
      </c>
      <c r="E534" s="1428">
        <v>4</v>
      </c>
      <c r="F534" s="1166">
        <v>4</v>
      </c>
      <c r="G534" s="1292">
        <v>4</v>
      </c>
      <c r="H534" s="1166">
        <v>4</v>
      </c>
      <c r="I534" s="1166">
        <v>4</v>
      </c>
      <c r="J534" s="1292">
        <v>4</v>
      </c>
      <c r="K534" s="1292">
        <v>4</v>
      </c>
      <c r="L534" s="1166">
        <v>4</v>
      </c>
      <c r="M534" s="1166">
        <v>4</v>
      </c>
      <c r="N534" s="1166">
        <v>4</v>
      </c>
      <c r="O534" s="1166">
        <v>4</v>
      </c>
      <c r="P534" s="1166">
        <v>4</v>
      </c>
      <c r="Q534" s="1292">
        <v>4</v>
      </c>
      <c r="R534" s="1292">
        <v>4</v>
      </c>
      <c r="S534" s="1166">
        <v>4</v>
      </c>
      <c r="T534" s="1166">
        <v>4</v>
      </c>
      <c r="U534" s="1166">
        <v>4</v>
      </c>
      <c r="V534" s="1166">
        <v>4</v>
      </c>
      <c r="W534" s="1166">
        <v>4</v>
      </c>
      <c r="X534" s="1292">
        <v>4</v>
      </c>
      <c r="Y534" s="1292">
        <v>4</v>
      </c>
      <c r="Z534" s="1166">
        <v>4</v>
      </c>
      <c r="AA534" s="1166">
        <v>4</v>
      </c>
      <c r="AB534" s="1166">
        <v>4</v>
      </c>
      <c r="AC534" s="1166">
        <v>4</v>
      </c>
      <c r="AD534" s="1160">
        <v>4</v>
      </c>
      <c r="AE534" s="1292">
        <v>4</v>
      </c>
      <c r="AF534" s="1292">
        <v>4</v>
      </c>
      <c r="AG534" s="1166">
        <v>4</v>
      </c>
      <c r="AH534" s="1423"/>
      <c r="AI534" s="1424"/>
      <c r="AJ534" s="722"/>
      <c r="AK534" s="722"/>
      <c r="AL534" s="694"/>
      <c r="AM534" s="940"/>
      <c r="AN534" s="91"/>
      <c r="AO534" s="630"/>
      <c r="AP534" s="47"/>
      <c r="AQ534" s="48"/>
      <c r="AR534" s="48"/>
      <c r="AS534" s="48"/>
      <c r="AT534" s="48"/>
      <c r="AU534" s="48"/>
      <c r="AV534" s="284"/>
    </row>
    <row r="535" spans="1:48" s="23" customFormat="1" ht="20.65" hidden="1" customHeight="1">
      <c r="A535" s="318"/>
      <c r="B535" s="89"/>
      <c r="C535" s="305"/>
      <c r="D535" s="81" t="s">
        <v>109</v>
      </c>
      <c r="E535" s="1125">
        <f t="shared" ref="E535:AG535" si="1162">SUM(E529+E531+E532+E533)/E534</f>
        <v>0</v>
      </c>
      <c r="F535" s="1125">
        <f t="shared" si="1162"/>
        <v>0</v>
      </c>
      <c r="G535" s="1233">
        <f t="shared" si="1162"/>
        <v>0</v>
      </c>
      <c r="H535" s="1125">
        <f t="shared" si="1162"/>
        <v>0</v>
      </c>
      <c r="I535" s="1125">
        <f t="shared" si="1162"/>
        <v>0</v>
      </c>
      <c r="J535" s="1233">
        <f t="shared" si="1162"/>
        <v>0</v>
      </c>
      <c r="K535" s="1233">
        <f t="shared" si="1162"/>
        <v>0</v>
      </c>
      <c r="L535" s="1125">
        <f t="shared" si="1162"/>
        <v>0</v>
      </c>
      <c r="M535" s="1125">
        <f t="shared" si="1162"/>
        <v>0</v>
      </c>
      <c r="N535" s="1125">
        <f t="shared" si="1162"/>
        <v>0</v>
      </c>
      <c r="O535" s="1125">
        <f t="shared" si="1162"/>
        <v>0</v>
      </c>
      <c r="P535" s="1125">
        <f t="shared" si="1162"/>
        <v>0</v>
      </c>
      <c r="Q535" s="1233">
        <f t="shared" si="1162"/>
        <v>0</v>
      </c>
      <c r="R535" s="1233">
        <f t="shared" si="1162"/>
        <v>0</v>
      </c>
      <c r="S535" s="1125">
        <f t="shared" si="1162"/>
        <v>0</v>
      </c>
      <c r="T535" s="1125">
        <f t="shared" si="1162"/>
        <v>0</v>
      </c>
      <c r="U535" s="1125">
        <f t="shared" si="1162"/>
        <v>0</v>
      </c>
      <c r="V535" s="1125">
        <f t="shared" si="1162"/>
        <v>0</v>
      </c>
      <c r="W535" s="1125">
        <f t="shared" si="1162"/>
        <v>0</v>
      </c>
      <c r="X535" s="1233">
        <f t="shared" si="1162"/>
        <v>0</v>
      </c>
      <c r="Y535" s="1233">
        <f t="shared" si="1162"/>
        <v>0</v>
      </c>
      <c r="Z535" s="1125">
        <f t="shared" si="1162"/>
        <v>0</v>
      </c>
      <c r="AA535" s="1125">
        <f t="shared" si="1162"/>
        <v>0</v>
      </c>
      <c r="AB535" s="1125">
        <f t="shared" si="1162"/>
        <v>0</v>
      </c>
      <c r="AC535" s="1125">
        <f t="shared" si="1162"/>
        <v>0</v>
      </c>
      <c r="AD535" s="1125">
        <f t="shared" si="1162"/>
        <v>0</v>
      </c>
      <c r="AE535" s="1233">
        <f t="shared" si="1162"/>
        <v>0</v>
      </c>
      <c r="AF535" s="1233">
        <f t="shared" si="1162"/>
        <v>0</v>
      </c>
      <c r="AG535" s="1125">
        <f t="shared" si="1162"/>
        <v>0</v>
      </c>
      <c r="AH535" s="1089"/>
      <c r="AI535" s="1326"/>
      <c r="AJ535" s="515">
        <f>SUM(E535:AI535)</f>
        <v>0</v>
      </c>
      <c r="AK535" s="515"/>
      <c r="AL535" s="690"/>
      <c r="AM535" s="940"/>
      <c r="AN535" s="91"/>
      <c r="AO535" s="630"/>
      <c r="AP535" s="285"/>
      <c r="AQ535" s="285"/>
      <c r="AR535" s="285"/>
      <c r="AS535" s="285"/>
      <c r="AT535" s="286"/>
      <c r="AU535" s="285"/>
      <c r="AV535" s="287"/>
    </row>
    <row r="536" spans="1:48" s="23" customFormat="1" ht="20.65" hidden="1" customHeight="1">
      <c r="A536" s="318"/>
      <c r="B536" s="89"/>
      <c r="C536" s="72"/>
      <c r="D536" s="85" t="s">
        <v>110</v>
      </c>
      <c r="E536" s="1325"/>
      <c r="F536" s="1089"/>
      <c r="G536" s="44"/>
      <c r="H536" s="1089"/>
      <c r="I536" s="1089"/>
      <c r="J536" s="44"/>
      <c r="K536" s="44"/>
      <c r="L536" s="1089"/>
      <c r="M536" s="1089"/>
      <c r="N536" s="1089"/>
      <c r="O536" s="1089"/>
      <c r="P536" s="1089"/>
      <c r="Q536" s="44"/>
      <c r="R536" s="44"/>
      <c r="S536" s="1089"/>
      <c r="T536" s="1089"/>
      <c r="U536" s="1089"/>
      <c r="V536" s="1089"/>
      <c r="W536" s="1089"/>
      <c r="X536" s="44"/>
      <c r="Y536" s="44"/>
      <c r="Z536" s="1089"/>
      <c r="AA536" s="1089"/>
      <c r="AB536" s="1089"/>
      <c r="AC536" s="1089"/>
      <c r="AD536" s="1089"/>
      <c r="AE536" s="44"/>
      <c r="AF536" s="44"/>
      <c r="AG536" s="1089"/>
      <c r="AH536" s="1089"/>
      <c r="AI536" s="1326"/>
      <c r="AJ536" s="79"/>
      <c r="AK536" s="79"/>
      <c r="AL536" s="690"/>
      <c r="AM536" s="940"/>
      <c r="AN536" s="91"/>
      <c r="AO536" s="630"/>
      <c r="AP536" s="285"/>
      <c r="AQ536" s="285"/>
      <c r="AR536" s="285"/>
      <c r="AS536" s="285"/>
      <c r="AT536" s="286"/>
      <c r="AU536" s="285"/>
      <c r="AV536" s="287"/>
    </row>
    <row r="537" spans="1:48" s="23" customFormat="1" ht="20.65" hidden="1" customHeight="1">
      <c r="A537" s="318"/>
      <c r="B537" s="89"/>
      <c r="C537" s="72" t="s">
        <v>104</v>
      </c>
      <c r="D537" s="88" t="s">
        <v>111</v>
      </c>
      <c r="E537" s="1108">
        <f>IF(E536="O/H",E535,0+E535)</f>
        <v>0</v>
      </c>
      <c r="F537" s="1089">
        <f t="shared" ref="F537:AI537" si="1163">IF(F536="O/H",F535,+E537+F535)</f>
        <v>0</v>
      </c>
      <c r="G537" s="44">
        <f t="shared" si="1163"/>
        <v>0</v>
      </c>
      <c r="H537" s="1089">
        <f t="shared" si="1163"/>
        <v>0</v>
      </c>
      <c r="I537" s="1089">
        <f t="shared" si="1163"/>
        <v>0</v>
      </c>
      <c r="J537" s="44">
        <f t="shared" si="1163"/>
        <v>0</v>
      </c>
      <c r="K537" s="44">
        <f t="shared" si="1163"/>
        <v>0</v>
      </c>
      <c r="L537" s="1089">
        <f t="shared" si="1163"/>
        <v>0</v>
      </c>
      <c r="M537" s="1089">
        <f t="shared" si="1163"/>
        <v>0</v>
      </c>
      <c r="N537" s="1089">
        <f t="shared" si="1163"/>
        <v>0</v>
      </c>
      <c r="O537" s="1089">
        <f t="shared" si="1163"/>
        <v>0</v>
      </c>
      <c r="P537" s="1089">
        <f t="shared" si="1163"/>
        <v>0</v>
      </c>
      <c r="Q537" s="44">
        <f t="shared" si="1163"/>
        <v>0</v>
      </c>
      <c r="R537" s="44">
        <f t="shared" si="1163"/>
        <v>0</v>
      </c>
      <c r="S537" s="1089">
        <f t="shared" si="1163"/>
        <v>0</v>
      </c>
      <c r="T537" s="1089">
        <f t="shared" si="1163"/>
        <v>0</v>
      </c>
      <c r="U537" s="1089">
        <f t="shared" si="1163"/>
        <v>0</v>
      </c>
      <c r="V537" s="1089">
        <f t="shared" si="1163"/>
        <v>0</v>
      </c>
      <c r="W537" s="1089">
        <f t="shared" si="1163"/>
        <v>0</v>
      </c>
      <c r="X537" s="44">
        <f t="shared" si="1163"/>
        <v>0</v>
      </c>
      <c r="Y537" s="44">
        <f t="shared" si="1163"/>
        <v>0</v>
      </c>
      <c r="Z537" s="1089">
        <f t="shared" si="1163"/>
        <v>0</v>
      </c>
      <c r="AA537" s="1089">
        <f t="shared" si="1163"/>
        <v>0</v>
      </c>
      <c r="AB537" s="1089">
        <f t="shared" si="1163"/>
        <v>0</v>
      </c>
      <c r="AC537" s="1089">
        <f t="shared" si="1163"/>
        <v>0</v>
      </c>
      <c r="AD537" s="1089">
        <f t="shared" si="1163"/>
        <v>0</v>
      </c>
      <c r="AE537" s="44">
        <f t="shared" si="1163"/>
        <v>0</v>
      </c>
      <c r="AF537" s="44">
        <f t="shared" si="1163"/>
        <v>0</v>
      </c>
      <c r="AG537" s="1089">
        <f t="shared" si="1163"/>
        <v>0</v>
      </c>
      <c r="AH537" s="1089">
        <f t="shared" si="1163"/>
        <v>0</v>
      </c>
      <c r="AI537" s="1326">
        <f t="shared" si="1163"/>
        <v>0</v>
      </c>
      <c r="AJ537" s="79"/>
      <c r="AK537" s="79"/>
      <c r="AL537" s="690"/>
      <c r="AM537" s="940"/>
      <c r="AN537" s="91"/>
      <c r="AO537" s="630"/>
      <c r="AP537" s="285"/>
      <c r="AQ537" s="285"/>
      <c r="AR537" s="285"/>
      <c r="AS537" s="285"/>
      <c r="AT537" s="286"/>
      <c r="AU537" s="285"/>
      <c r="AV537" s="287"/>
    </row>
    <row r="538" spans="1:48" s="23" customFormat="1" ht="20.65" hidden="1" customHeight="1">
      <c r="A538" s="312"/>
      <c r="B538" s="312"/>
      <c r="C538" s="308">
        <v>300000</v>
      </c>
      <c r="D538" s="795" t="s">
        <v>112</v>
      </c>
      <c r="E538" s="1117" t="b">
        <f>IF(AND(ISNUMBER(E529)),2349614+E535)</f>
        <v>0</v>
      </c>
      <c r="F538" s="1118" t="str">
        <f>IF(AND(ISNUMBER(F529)),E538+F535,"")</f>
        <v/>
      </c>
      <c r="G538" s="1216" t="str">
        <f t="shared" ref="G538" si="1164">IF(AND(ISNUMBER(G529)),F538+G535,"")</f>
        <v/>
      </c>
      <c r="H538" s="1118" t="str">
        <f t="shared" ref="H538" si="1165">IF(AND(ISNUMBER(H529)),G538+H535,"")</f>
        <v/>
      </c>
      <c r="I538" s="1118" t="str">
        <f>IF(AND(ISNUMBER(I529)),H538+I535,"")</f>
        <v/>
      </c>
      <c r="J538" s="1216" t="str">
        <f>IF(AND(ISNUMBER(J529)),I538+J535,"")</f>
        <v/>
      </c>
      <c r="K538" s="1216" t="str">
        <f>IF(AND(ISNUMBER(K529)),J538+K535,"")</f>
        <v/>
      </c>
      <c r="L538" s="1118" t="str">
        <f t="shared" ref="L538" si="1166">IF(AND(ISNUMBER(L529)),K538+L535,"")</f>
        <v/>
      </c>
      <c r="M538" s="1118" t="str">
        <f t="shared" ref="M538" si="1167">IF(AND(ISNUMBER(M529)),L538+M535,"")</f>
        <v/>
      </c>
      <c r="N538" s="1118" t="str">
        <f t="shared" ref="N538" si="1168">IF(AND(ISNUMBER(N529)),M538+N535,"")</f>
        <v/>
      </c>
      <c r="O538" s="1118" t="str">
        <f t="shared" ref="O538" si="1169">IF(AND(ISNUMBER(O529)),N538+O535,"")</f>
        <v/>
      </c>
      <c r="P538" s="1118" t="str">
        <f t="shared" ref="P538" si="1170">IF(AND(ISNUMBER(P529)),O538+P535,"")</f>
        <v/>
      </c>
      <c r="Q538" s="1216" t="str">
        <f t="shared" ref="Q538" si="1171">IF(AND(ISNUMBER(Q529)),P538+Q535,"")</f>
        <v/>
      </c>
      <c r="R538" s="1216" t="str">
        <f t="shared" ref="R538" si="1172">IF(AND(ISNUMBER(R529)),Q538+R535,"")</f>
        <v/>
      </c>
      <c r="S538" s="1118" t="str">
        <f t="shared" ref="S538" si="1173">IF(AND(ISNUMBER(S529)),R538+S535,"")</f>
        <v/>
      </c>
      <c r="T538" s="1118" t="str">
        <f t="shared" ref="T538" si="1174">IF(AND(ISNUMBER(T529)),S538+T535,"")</f>
        <v/>
      </c>
      <c r="U538" s="1118" t="str">
        <f t="shared" ref="U538" si="1175">IF(AND(ISNUMBER(U529)),T538+U535,"")</f>
        <v/>
      </c>
      <c r="V538" s="1118" t="str">
        <f t="shared" ref="V538" si="1176">IF(AND(ISNUMBER(V529)),U538+V535,"")</f>
        <v/>
      </c>
      <c r="W538" s="1118" t="str">
        <f t="shared" ref="W538" si="1177">IF(AND(ISNUMBER(W529)),V538+W535,"")</f>
        <v/>
      </c>
      <c r="X538" s="1216" t="str">
        <f t="shared" ref="X538" si="1178">IF(AND(ISNUMBER(X529)),W538+X535,"")</f>
        <v/>
      </c>
      <c r="Y538" s="1216" t="str">
        <f t="shared" ref="Y538" si="1179">IF(AND(ISNUMBER(Y529)),X538+Y535,"")</f>
        <v/>
      </c>
      <c r="Z538" s="1118" t="str">
        <f t="shared" ref="Z538" si="1180">IF(AND(ISNUMBER(Z529)),Y538+Z535,"")</f>
        <v/>
      </c>
      <c r="AA538" s="1118" t="str">
        <f t="shared" ref="AA538" si="1181">IF(AND(ISNUMBER(AA529)),Z538+AA535,"")</f>
        <v/>
      </c>
      <c r="AB538" s="1118" t="str">
        <f t="shared" ref="AB538" si="1182">IF(AND(ISNUMBER(AB529)),AA538+AB535,"")</f>
        <v/>
      </c>
      <c r="AC538" s="1118" t="str">
        <f t="shared" ref="AC538" si="1183">IF(AND(ISNUMBER(AC529)),AB538+AC535,"")</f>
        <v/>
      </c>
      <c r="AD538" s="1118" t="str">
        <f t="shared" ref="AD538" si="1184">IF(AND(ISNUMBER(AD529)),AC538+AD535,"")</f>
        <v/>
      </c>
      <c r="AE538" s="1216" t="str">
        <f t="shared" ref="AE538" si="1185">IF(AND(ISNUMBER(AE529)),AD538+AE535,"")</f>
        <v/>
      </c>
      <c r="AF538" s="1216" t="str">
        <f t="shared" ref="AF538" si="1186">IF(AND(ISNUMBER(AF529)),AE538+AF535,"")</f>
        <v/>
      </c>
      <c r="AG538" s="1118" t="str">
        <f t="shared" ref="AG538" si="1187">IF(AND(ISNUMBER(AG529)),AF538+AG535,"")</f>
        <v/>
      </c>
      <c r="AH538" s="1118" t="str">
        <f t="shared" ref="AH538" si="1188">IF(AND(ISNUMBER(AH529)),AG538+AH535,"")</f>
        <v/>
      </c>
      <c r="AI538" s="1118" t="str">
        <f t="shared" ref="AI538" si="1189">IF(AND(ISNUMBER(AI529)),AH538+AI535,"")</f>
        <v/>
      </c>
      <c r="AJ538" s="793"/>
      <c r="AK538" s="793"/>
      <c r="AL538" s="909"/>
      <c r="AM538" s="794"/>
      <c r="AN538" s="429"/>
      <c r="AO538" s="675"/>
      <c r="AP538" s="285"/>
      <c r="AQ538" s="285"/>
      <c r="AR538" s="285"/>
      <c r="AS538" s="285"/>
      <c r="AT538" s="286"/>
      <c r="AU538" s="285"/>
      <c r="AV538" s="287"/>
    </row>
    <row r="539" spans="1:48" s="23" customFormat="1" ht="20.65" hidden="1" customHeight="1">
      <c r="A539" s="318"/>
      <c r="B539" s="89"/>
      <c r="C539" s="80" t="s">
        <v>108</v>
      </c>
      <c r="D539" s="90" t="s">
        <v>104</v>
      </c>
      <c r="E539" s="1325"/>
      <c r="F539" s="1089"/>
      <c r="G539" s="44"/>
      <c r="H539" s="1089"/>
      <c r="I539" s="1089"/>
      <c r="J539" s="44"/>
      <c r="K539" s="44"/>
      <c r="L539" s="1089"/>
      <c r="M539" s="1089"/>
      <c r="N539" s="1089"/>
      <c r="O539" s="1089"/>
      <c r="P539" s="1089"/>
      <c r="Q539" s="44"/>
      <c r="R539" s="44"/>
      <c r="S539" s="1089"/>
      <c r="T539" s="1089"/>
      <c r="U539" s="1089"/>
      <c r="V539" s="1089"/>
      <c r="W539" s="1089"/>
      <c r="X539" s="44"/>
      <c r="Y539" s="44"/>
      <c r="Z539" s="1089"/>
      <c r="AA539" s="1089"/>
      <c r="AB539" s="1089"/>
      <c r="AC539" s="1089"/>
      <c r="AD539" s="1089"/>
      <c r="AE539" s="44"/>
      <c r="AF539" s="44"/>
      <c r="AG539" s="1089"/>
      <c r="AH539" s="1089"/>
      <c r="AI539" s="1326"/>
      <c r="AJ539" s="79"/>
      <c r="AK539" s="79"/>
      <c r="AL539" s="690"/>
      <c r="AM539" s="940"/>
      <c r="AN539" s="91"/>
      <c r="AO539" s="630"/>
      <c r="AP539" s="285"/>
      <c r="AQ539" s="285"/>
      <c r="AR539" s="285"/>
      <c r="AS539" s="285"/>
      <c r="AT539" s="286"/>
      <c r="AU539" s="285"/>
      <c r="AV539" s="287"/>
    </row>
    <row r="540" spans="1:48" s="23" customFormat="1" ht="20.65" hidden="1" customHeight="1" thickBot="1">
      <c r="A540" s="333"/>
      <c r="B540" s="93"/>
      <c r="C540" s="291">
        <f>+C538*0.8</f>
        <v>240000</v>
      </c>
      <c r="D540" s="88" t="s">
        <v>111</v>
      </c>
      <c r="E540" s="1109">
        <f>IF(E539="O/H",E535,0+E535)</f>
        <v>0</v>
      </c>
      <c r="F540" s="1110">
        <f t="shared" ref="F540:AH540" si="1190">IF(F539="O/H",F535,+E540+F535)</f>
        <v>0</v>
      </c>
      <c r="G540" s="1212">
        <f t="shared" si="1190"/>
        <v>0</v>
      </c>
      <c r="H540" s="1110">
        <f t="shared" si="1190"/>
        <v>0</v>
      </c>
      <c r="I540" s="1110">
        <f t="shared" si="1190"/>
        <v>0</v>
      </c>
      <c r="J540" s="1212">
        <f t="shared" si="1190"/>
        <v>0</v>
      </c>
      <c r="K540" s="1212">
        <f t="shared" si="1190"/>
        <v>0</v>
      </c>
      <c r="L540" s="1110">
        <f t="shared" si="1190"/>
        <v>0</v>
      </c>
      <c r="M540" s="1110">
        <f t="shared" si="1190"/>
        <v>0</v>
      </c>
      <c r="N540" s="1110">
        <f t="shared" si="1190"/>
        <v>0</v>
      </c>
      <c r="O540" s="1110">
        <f t="shared" si="1190"/>
        <v>0</v>
      </c>
      <c r="P540" s="1110">
        <f t="shared" si="1190"/>
        <v>0</v>
      </c>
      <c r="Q540" s="1212">
        <f t="shared" si="1190"/>
        <v>0</v>
      </c>
      <c r="R540" s="1212">
        <f t="shared" si="1190"/>
        <v>0</v>
      </c>
      <c r="S540" s="1110">
        <f t="shared" si="1190"/>
        <v>0</v>
      </c>
      <c r="T540" s="1110">
        <f t="shared" si="1190"/>
        <v>0</v>
      </c>
      <c r="U540" s="1110">
        <f t="shared" si="1190"/>
        <v>0</v>
      </c>
      <c r="V540" s="1110">
        <f t="shared" si="1190"/>
        <v>0</v>
      </c>
      <c r="W540" s="1110">
        <f t="shared" si="1190"/>
        <v>0</v>
      </c>
      <c r="X540" s="1212">
        <f t="shared" si="1190"/>
        <v>0</v>
      </c>
      <c r="Y540" s="1212">
        <f t="shared" si="1190"/>
        <v>0</v>
      </c>
      <c r="Z540" s="1110">
        <f t="shared" si="1190"/>
        <v>0</v>
      </c>
      <c r="AA540" s="1110">
        <f t="shared" si="1190"/>
        <v>0</v>
      </c>
      <c r="AB540" s="1110">
        <f t="shared" si="1190"/>
        <v>0</v>
      </c>
      <c r="AC540" s="1110">
        <f t="shared" si="1190"/>
        <v>0</v>
      </c>
      <c r="AD540" s="1110">
        <f t="shared" si="1190"/>
        <v>0</v>
      </c>
      <c r="AE540" s="1212">
        <f t="shared" si="1190"/>
        <v>0</v>
      </c>
      <c r="AF540" s="1212">
        <f t="shared" si="1190"/>
        <v>0</v>
      </c>
      <c r="AG540" s="1110">
        <f t="shared" si="1190"/>
        <v>0</v>
      </c>
      <c r="AH540" s="1110">
        <f t="shared" si="1190"/>
        <v>0</v>
      </c>
      <c r="AI540" s="1429"/>
      <c r="AJ540" s="723"/>
      <c r="AK540" s="723"/>
      <c r="AL540" s="695"/>
      <c r="AM540" s="961"/>
      <c r="AN540" s="145"/>
      <c r="AO540" s="681"/>
      <c r="AP540" s="285"/>
      <c r="AQ540" s="285"/>
      <c r="AR540" s="285"/>
      <c r="AS540" s="285"/>
      <c r="AT540" s="286"/>
      <c r="AU540" s="285"/>
      <c r="AV540" s="287"/>
    </row>
    <row r="541" spans="1:48" s="23" customFormat="1" ht="20.65" customHeight="1" thickTop="1">
      <c r="A541" s="283" t="s">
        <v>700</v>
      </c>
      <c r="B541" s="89" t="s">
        <v>624</v>
      </c>
      <c r="C541" s="1493" t="str">
        <f>Table2[[#This Row],[M/C No.]]</f>
        <v>H16(50ton)</v>
      </c>
      <c r="D541" s="28" t="s">
        <v>82</v>
      </c>
      <c r="E541" s="1124">
        <v>0</v>
      </c>
      <c r="F541" s="1124">
        <v>0</v>
      </c>
      <c r="G541" s="1242">
        <v>0</v>
      </c>
      <c r="H541" s="1124">
        <v>6000</v>
      </c>
      <c r="I541" s="1124">
        <v>13000</v>
      </c>
      <c r="J541" s="1242">
        <v>13000</v>
      </c>
      <c r="K541" s="1242">
        <v>13000</v>
      </c>
      <c r="L541" s="1124">
        <v>13000</v>
      </c>
      <c r="M541" s="1124">
        <v>13000</v>
      </c>
      <c r="N541" s="1124">
        <v>13000</v>
      </c>
      <c r="O541" s="1124">
        <v>13000</v>
      </c>
      <c r="P541" s="1124">
        <v>13000</v>
      </c>
      <c r="Q541" s="1242">
        <v>13000</v>
      </c>
      <c r="R541" s="1242">
        <v>13000</v>
      </c>
      <c r="S541" s="1124">
        <v>0</v>
      </c>
      <c r="T541" s="1124">
        <v>0</v>
      </c>
      <c r="U541" s="1124">
        <v>6000</v>
      </c>
      <c r="V541" s="1124">
        <v>13000</v>
      </c>
      <c r="W541" s="1124">
        <v>13000</v>
      </c>
      <c r="X541" s="1242">
        <v>13000</v>
      </c>
      <c r="Y541" s="1242">
        <v>13000</v>
      </c>
      <c r="Z541" s="1124">
        <v>13000</v>
      </c>
      <c r="AA541" s="1124">
        <v>13000</v>
      </c>
      <c r="AB541" s="1124">
        <v>13000</v>
      </c>
      <c r="AC541" s="1124">
        <v>13000</v>
      </c>
      <c r="AD541" s="1124">
        <v>13000</v>
      </c>
      <c r="AE541" s="1242">
        <v>0</v>
      </c>
      <c r="AF541" s="1242">
        <v>0</v>
      </c>
      <c r="AG541" s="1124">
        <v>0</v>
      </c>
      <c r="AH541" s="1124">
        <v>0</v>
      </c>
      <c r="AI541" s="1124"/>
      <c r="AJ541" s="100">
        <f>SUM(E541:AI541)</f>
        <v>259000</v>
      </c>
      <c r="AK541" s="1000">
        <f>AJ543</f>
        <v>260064</v>
      </c>
      <c r="AL541" s="101">
        <f>+AJ541*AN541</f>
        <v>1089462.78</v>
      </c>
      <c r="AM541" s="1019">
        <f>AL543</f>
        <v>1093938.4108800001</v>
      </c>
      <c r="AN541" s="293">
        <v>4.2064200000000005</v>
      </c>
      <c r="AO541" s="633">
        <f>Table2[[#This Row],[Total]]*B545/1000</f>
        <v>566.95100000000002</v>
      </c>
      <c r="AP541" s="32" t="s">
        <v>426</v>
      </c>
      <c r="AQ541" s="33" t="s">
        <v>84</v>
      </c>
      <c r="AR541" s="33" t="s">
        <v>85</v>
      </c>
      <c r="AS541" s="33" t="s">
        <v>86</v>
      </c>
      <c r="AT541" s="33" t="s">
        <v>87</v>
      </c>
      <c r="AU541" s="33" t="s">
        <v>88</v>
      </c>
      <c r="AV541" s="34" t="s">
        <v>68</v>
      </c>
    </row>
    <row r="542" spans="1:48" s="23" customFormat="1" ht="20.65" customHeight="1">
      <c r="A542" s="274"/>
      <c r="B542" s="89" t="s">
        <v>385</v>
      </c>
      <c r="C542" s="275" t="s">
        <v>95</v>
      </c>
      <c r="D542" s="37" t="s">
        <v>90</v>
      </c>
      <c r="E542" s="1323">
        <f>IF(E541="",0,+ E541/E548)</f>
        <v>0</v>
      </c>
      <c r="F542" s="1096">
        <f t="shared" ref="F542:AC542" si="1191">IF(F541="",0, E542+F541/F548)</f>
        <v>0</v>
      </c>
      <c r="G542" s="1207">
        <f t="shared" si="1191"/>
        <v>0</v>
      </c>
      <c r="H542" s="1096">
        <f t="shared" si="1191"/>
        <v>1500</v>
      </c>
      <c r="I542" s="1096">
        <f t="shared" si="1191"/>
        <v>4750</v>
      </c>
      <c r="J542" s="1207">
        <f t="shared" si="1191"/>
        <v>8000</v>
      </c>
      <c r="K542" s="1207">
        <f t="shared" si="1191"/>
        <v>11250</v>
      </c>
      <c r="L542" s="1096">
        <f t="shared" si="1191"/>
        <v>14500</v>
      </c>
      <c r="M542" s="1096">
        <f t="shared" si="1191"/>
        <v>17750</v>
      </c>
      <c r="N542" s="1096">
        <f t="shared" si="1191"/>
        <v>21000</v>
      </c>
      <c r="O542" s="1096">
        <f t="shared" si="1191"/>
        <v>24250</v>
      </c>
      <c r="P542" s="1096">
        <f t="shared" si="1191"/>
        <v>27500</v>
      </c>
      <c r="Q542" s="1207">
        <f t="shared" si="1191"/>
        <v>30750</v>
      </c>
      <c r="R542" s="1207">
        <f t="shared" si="1191"/>
        <v>34000</v>
      </c>
      <c r="S542" s="1096">
        <f t="shared" si="1191"/>
        <v>34000</v>
      </c>
      <c r="T542" s="1096">
        <f t="shared" si="1191"/>
        <v>34000</v>
      </c>
      <c r="U542" s="1096">
        <f t="shared" si="1191"/>
        <v>35500</v>
      </c>
      <c r="V542" s="1096">
        <f t="shared" si="1191"/>
        <v>38750</v>
      </c>
      <c r="W542" s="1096">
        <f t="shared" si="1191"/>
        <v>42000</v>
      </c>
      <c r="X542" s="1207">
        <f t="shared" si="1191"/>
        <v>45250</v>
      </c>
      <c r="Y542" s="1207">
        <f t="shared" si="1191"/>
        <v>48500</v>
      </c>
      <c r="Z542" s="1096">
        <f t="shared" si="1191"/>
        <v>51750</v>
      </c>
      <c r="AA542" s="1096">
        <f t="shared" si="1191"/>
        <v>55000</v>
      </c>
      <c r="AB542" s="1096">
        <f t="shared" si="1191"/>
        <v>58250</v>
      </c>
      <c r="AC542" s="1096">
        <f t="shared" si="1191"/>
        <v>61500</v>
      </c>
      <c r="AD542" s="1096">
        <f>IF(AD541="",0, Z542+AD541/AD548)</f>
        <v>55000</v>
      </c>
      <c r="AE542" s="1207">
        <f>IF(AE541="",0, AA542+AE541/AE548)</f>
        <v>55000</v>
      </c>
      <c r="AF542" s="1207">
        <f>IF(AF541="",0, AB542+AF541/AF548)</f>
        <v>58250</v>
      </c>
      <c r="AG542" s="1096">
        <f>IF(AG541="",0, AC542+AG541/AG548)</f>
        <v>61500</v>
      </c>
      <c r="AH542" s="1096">
        <f>IF(AH541="",0, AD542+AH541/AH548)</f>
        <v>55000</v>
      </c>
      <c r="AI542" s="1324">
        <f>IF(AI541="",0, AH542+AI541/AI548)</f>
        <v>0</v>
      </c>
      <c r="AJ542" s="716"/>
      <c r="AK542" s="716"/>
      <c r="AL542" s="209"/>
      <c r="AM542" s="794"/>
      <c r="AN542" s="91"/>
      <c r="AO542" s="675"/>
      <c r="AP542" s="39" t="s">
        <v>91</v>
      </c>
      <c r="AQ542" s="40">
        <f>SUM(E541:H541)</f>
        <v>6000</v>
      </c>
      <c r="AR542" s="41">
        <f>SUM(I541:O541)</f>
        <v>91000</v>
      </c>
      <c r="AS542" s="41">
        <f>SUM(P541:V541)</f>
        <v>58000</v>
      </c>
      <c r="AT542" s="41">
        <f>SUM(W541:AC541)</f>
        <v>91000</v>
      </c>
      <c r="AU542" s="41">
        <f>SUM(AD541:AI541)</f>
        <v>13000</v>
      </c>
      <c r="AV542" s="34">
        <f t="shared" ref="AV542:AV547" si="1192">SUM(AQ542:AU542)</f>
        <v>259000</v>
      </c>
    </row>
    <row r="543" spans="1:48" s="23" customFormat="1" ht="20.65" customHeight="1">
      <c r="A543" s="276" t="s">
        <v>401</v>
      </c>
      <c r="B543" s="89" t="s">
        <v>246</v>
      </c>
      <c r="C543" s="1494">
        <v>27500</v>
      </c>
      <c r="D543" s="43" t="s">
        <v>93</v>
      </c>
      <c r="E543" s="1108">
        <v>13104</v>
      </c>
      <c r="F543" s="1089">
        <v>13104</v>
      </c>
      <c r="G543" s="44">
        <v>13104</v>
      </c>
      <c r="H543" s="1089">
        <v>11088</v>
      </c>
      <c r="I543" s="1089">
        <v>12096</v>
      </c>
      <c r="J543" s="44">
        <v>14112</v>
      </c>
      <c r="K543" s="44">
        <v>12096</v>
      </c>
      <c r="L543" s="1089">
        <v>12096</v>
      </c>
      <c r="M543" s="1089">
        <v>12096</v>
      </c>
      <c r="N543" s="1089">
        <v>12096</v>
      </c>
      <c r="O543" s="1089">
        <v>12096</v>
      </c>
      <c r="P543" s="1089">
        <v>12096</v>
      </c>
      <c r="Q543" s="44">
        <v>13104</v>
      </c>
      <c r="R543" s="44">
        <v>13104</v>
      </c>
      <c r="S543" s="1089">
        <v>14112</v>
      </c>
      <c r="T543" s="1089">
        <v>12096</v>
      </c>
      <c r="U543" s="1089">
        <v>12096</v>
      </c>
      <c r="V543" s="1089">
        <v>13104</v>
      </c>
      <c r="W543" s="1089">
        <v>13104</v>
      </c>
      <c r="X543" s="44">
        <v>0</v>
      </c>
      <c r="Y543" s="44">
        <v>0</v>
      </c>
      <c r="Z543" s="1089">
        <v>8064</v>
      </c>
      <c r="AA543" s="1089">
        <v>12096</v>
      </c>
      <c r="AB543" s="1089"/>
      <c r="AC543" s="1089"/>
      <c r="AD543" s="1089"/>
      <c r="AE543" s="44"/>
      <c r="AF543" s="44"/>
      <c r="AG543" s="1089"/>
      <c r="AH543" s="1089"/>
      <c r="AI543" s="1326"/>
      <c r="AJ543" s="45">
        <f>SUM(E543:AI543)</f>
        <v>260064</v>
      </c>
      <c r="AK543" s="45"/>
      <c r="AL543" s="46">
        <f>+AJ543*AN541</f>
        <v>1093938.4108800001</v>
      </c>
      <c r="AM543" s="934"/>
      <c r="AN543" s="277"/>
      <c r="AO543" s="632">
        <f>(AJ543+AJ545+AJ546+AJ547)*B545/1000</f>
        <v>582.80373800000007</v>
      </c>
      <c r="AP543" s="47" t="s">
        <v>94</v>
      </c>
      <c r="AQ543" s="48">
        <f>SUM(E543:H543)</f>
        <v>50400</v>
      </c>
      <c r="AR543" s="49">
        <f>SUM(I543:O543)</f>
        <v>86688</v>
      </c>
      <c r="AS543" s="49">
        <f>SUM(P543:V543)</f>
        <v>89712</v>
      </c>
      <c r="AT543" s="49">
        <f>SUM(W543:AC543)</f>
        <v>33264</v>
      </c>
      <c r="AU543" s="49">
        <f>SUM(AD543:AI543)</f>
        <v>0</v>
      </c>
      <c r="AV543" s="50">
        <f t="shared" si="1192"/>
        <v>260064</v>
      </c>
    </row>
    <row r="544" spans="1:48" s="23" customFormat="1" ht="20.65" customHeight="1">
      <c r="A544" s="276" t="s">
        <v>401</v>
      </c>
      <c r="B544" s="763" t="s">
        <v>247</v>
      </c>
      <c r="C544" s="275" t="s">
        <v>108</v>
      </c>
      <c r="D544" s="53" t="s">
        <v>96</v>
      </c>
      <c r="E544" s="1137">
        <f t="shared" ref="E544:P544" si="1193">+E543-E541</f>
        <v>13104</v>
      </c>
      <c r="F544" s="1097">
        <f t="shared" si="1193"/>
        <v>13104</v>
      </c>
      <c r="G544" s="1205">
        <f t="shared" si="1193"/>
        <v>13104</v>
      </c>
      <c r="H544" s="1097">
        <f t="shared" si="1193"/>
        <v>5088</v>
      </c>
      <c r="I544" s="1097">
        <f t="shared" si="1193"/>
        <v>-904</v>
      </c>
      <c r="J544" s="1205">
        <f t="shared" si="1193"/>
        <v>1112</v>
      </c>
      <c r="K544" s="1205">
        <f t="shared" si="1193"/>
        <v>-904</v>
      </c>
      <c r="L544" s="1097">
        <f t="shared" si="1193"/>
        <v>-904</v>
      </c>
      <c r="M544" s="1097">
        <f t="shared" si="1193"/>
        <v>-904</v>
      </c>
      <c r="N544" s="1097">
        <f t="shared" si="1193"/>
        <v>-904</v>
      </c>
      <c r="O544" s="1097">
        <f t="shared" si="1193"/>
        <v>-904</v>
      </c>
      <c r="P544" s="1097">
        <f t="shared" si="1193"/>
        <v>-904</v>
      </c>
      <c r="Q544" s="1205">
        <f>+Q543-Q541</f>
        <v>104</v>
      </c>
      <c r="R544" s="1205">
        <f>+R543-R541</f>
        <v>104</v>
      </c>
      <c r="S544" s="1097">
        <f t="shared" ref="S544:AJ544" si="1194">+S543-S541</f>
        <v>14112</v>
      </c>
      <c r="T544" s="1097">
        <f t="shared" si="1194"/>
        <v>12096</v>
      </c>
      <c r="U544" s="1097">
        <f t="shared" si="1194"/>
        <v>6096</v>
      </c>
      <c r="V544" s="1097">
        <f t="shared" si="1194"/>
        <v>104</v>
      </c>
      <c r="W544" s="1097">
        <f t="shared" si="1194"/>
        <v>104</v>
      </c>
      <c r="X544" s="1205">
        <f t="shared" si="1194"/>
        <v>-13000</v>
      </c>
      <c r="Y544" s="1205">
        <f t="shared" si="1194"/>
        <v>-13000</v>
      </c>
      <c r="Z544" s="1097">
        <f t="shared" si="1194"/>
        <v>-4936</v>
      </c>
      <c r="AA544" s="1097">
        <f t="shared" si="1194"/>
        <v>-904</v>
      </c>
      <c r="AB544" s="1097">
        <f t="shared" si="1194"/>
        <v>-13000</v>
      </c>
      <c r="AC544" s="1097">
        <f t="shared" si="1194"/>
        <v>-13000</v>
      </c>
      <c r="AD544" s="1097">
        <f t="shared" si="1194"/>
        <v>-13000</v>
      </c>
      <c r="AE544" s="1205">
        <f t="shared" si="1194"/>
        <v>0</v>
      </c>
      <c r="AF544" s="1205">
        <f t="shared" si="1194"/>
        <v>0</v>
      </c>
      <c r="AG544" s="1097">
        <f t="shared" si="1194"/>
        <v>0</v>
      </c>
      <c r="AH544" s="1097">
        <f t="shared" si="1194"/>
        <v>0</v>
      </c>
      <c r="AI544" s="1328">
        <f t="shared" si="1194"/>
        <v>0</v>
      </c>
      <c r="AJ544" s="79">
        <f t="shared" si="1194"/>
        <v>1064</v>
      </c>
      <c r="AK544" s="79"/>
      <c r="AL544" s="55">
        <f>+AJ544*AN541</f>
        <v>4475.6308800000006</v>
      </c>
      <c r="AM544" s="935"/>
      <c r="AN544" s="277" t="s">
        <v>97</v>
      </c>
      <c r="AO544" s="622"/>
      <c r="AP544" s="39" t="s">
        <v>98</v>
      </c>
      <c r="AQ544" s="56">
        <f>AQ543-AQ542</f>
        <v>44400</v>
      </c>
      <c r="AR544" s="70">
        <f>AR543-AR542</f>
        <v>-4312</v>
      </c>
      <c r="AS544" s="70">
        <f>AS543-AS542</f>
        <v>31712</v>
      </c>
      <c r="AT544" s="70">
        <f>AT543-AT542</f>
        <v>-57736</v>
      </c>
      <c r="AU544" s="70">
        <f>AU543-AU542</f>
        <v>-13000</v>
      </c>
      <c r="AV544" s="57">
        <f t="shared" si="1192"/>
        <v>1064</v>
      </c>
    </row>
    <row r="545" spans="1:48" s="23" customFormat="1" ht="20.65" customHeight="1">
      <c r="A545" s="276" t="s">
        <v>401</v>
      </c>
      <c r="B545" s="764">
        <v>2.1890000000000001</v>
      </c>
      <c r="C545" s="1248">
        <f>+C543*0.8</f>
        <v>22000</v>
      </c>
      <c r="D545" s="61" t="s">
        <v>101</v>
      </c>
      <c r="E545" s="1098">
        <v>0</v>
      </c>
      <c r="F545" s="1099">
        <v>0</v>
      </c>
      <c r="G545" s="1208">
        <v>0</v>
      </c>
      <c r="H545" s="1099">
        <v>400</v>
      </c>
      <c r="I545" s="1099">
        <v>80</v>
      </c>
      <c r="J545" s="1208">
        <v>0</v>
      </c>
      <c r="K545" s="1208">
        <v>0</v>
      </c>
      <c r="L545" s="1099">
        <v>0</v>
      </c>
      <c r="M545" s="1099">
        <v>0</v>
      </c>
      <c r="N545" s="1099">
        <v>0</v>
      </c>
      <c r="O545" s="1099">
        <v>0</v>
      </c>
      <c r="P545" s="1099">
        <v>0</v>
      </c>
      <c r="Q545" s="1208">
        <v>0</v>
      </c>
      <c r="R545" s="1208">
        <v>0</v>
      </c>
      <c r="S545" s="1099">
        <v>0</v>
      </c>
      <c r="T545" s="1099">
        <v>320</v>
      </c>
      <c r="U545" s="1099">
        <v>120</v>
      </c>
      <c r="V545" s="1099">
        <v>0</v>
      </c>
      <c r="W545" s="1099">
        <v>0</v>
      </c>
      <c r="X545" s="1208">
        <v>0</v>
      </c>
      <c r="Y545" s="1208">
        <v>0</v>
      </c>
      <c r="Z545" s="1099">
        <v>120</v>
      </c>
      <c r="AA545" s="1099">
        <v>240</v>
      </c>
      <c r="AB545" s="1099"/>
      <c r="AC545" s="1099"/>
      <c r="AD545" s="1099"/>
      <c r="AE545" s="1208"/>
      <c r="AF545" s="1208"/>
      <c r="AG545" s="1099"/>
      <c r="AH545" s="1099"/>
      <c r="AI545" s="1330"/>
      <c r="AJ545" s="62">
        <f>SUM(E545:AI545)</f>
        <v>1280</v>
      </c>
      <c r="AK545" s="62"/>
      <c r="AL545" s="63">
        <f>+AJ545*AN541</f>
        <v>5384.2176000000009</v>
      </c>
      <c r="AM545" s="936"/>
      <c r="AN545" s="301">
        <f>+AJ545/AJ543*100</f>
        <v>0.49218653869816664</v>
      </c>
      <c r="AO545" s="635">
        <f>AO543/AO541</f>
        <v>1.02796138996139</v>
      </c>
      <c r="AP545" s="39" t="s">
        <v>102</v>
      </c>
      <c r="AQ545" s="56">
        <f>SUM(E545:H545)</f>
        <v>400</v>
      </c>
      <c r="AR545" s="70">
        <f>SUM(I545:O545)</f>
        <v>80</v>
      </c>
      <c r="AS545" s="70">
        <f>SUM(P545:V545)</f>
        <v>440</v>
      </c>
      <c r="AT545" s="70">
        <f>SUM(W545:AC545)</f>
        <v>360</v>
      </c>
      <c r="AU545" s="70">
        <f>SUM(AD545:AI545)</f>
        <v>0</v>
      </c>
      <c r="AV545" s="57">
        <f t="shared" si="1192"/>
        <v>1280</v>
      </c>
    </row>
    <row r="546" spans="1:48" s="23" customFormat="1" ht="20.65" customHeight="1">
      <c r="A546" s="276" t="s">
        <v>401</v>
      </c>
      <c r="B546" s="334" t="s">
        <v>390</v>
      </c>
      <c r="C546" s="52"/>
      <c r="D546" s="67" t="s">
        <v>103</v>
      </c>
      <c r="E546" s="1100">
        <v>144</v>
      </c>
      <c r="F546" s="1101">
        <v>324</v>
      </c>
      <c r="G546" s="1209">
        <v>144</v>
      </c>
      <c r="H546" s="1101">
        <v>144</v>
      </c>
      <c r="I546" s="1101">
        <v>144</v>
      </c>
      <c r="J546" s="1209">
        <v>144</v>
      </c>
      <c r="K546" s="1209">
        <v>174</v>
      </c>
      <c r="L546" s="1101">
        <v>144</v>
      </c>
      <c r="M546" s="1101">
        <v>144</v>
      </c>
      <c r="N546" s="1101">
        <v>144</v>
      </c>
      <c r="O546" s="1101">
        <v>144</v>
      </c>
      <c r="P546" s="1101">
        <v>144</v>
      </c>
      <c r="Q546" s="1209">
        <v>144</v>
      </c>
      <c r="R546" s="1209">
        <v>144</v>
      </c>
      <c r="S546" s="1101">
        <v>174</v>
      </c>
      <c r="T546" s="1101">
        <v>144</v>
      </c>
      <c r="U546" s="1101">
        <v>144</v>
      </c>
      <c r="V546" s="1101">
        <v>144</v>
      </c>
      <c r="W546" s="1101">
        <v>144</v>
      </c>
      <c r="X546" s="1209">
        <v>0</v>
      </c>
      <c r="Y546" s="1209">
        <v>0</v>
      </c>
      <c r="Z546" s="1101">
        <v>72</v>
      </c>
      <c r="AA546" s="1101">
        <v>144</v>
      </c>
      <c r="AB546" s="1101"/>
      <c r="AC546" s="1101"/>
      <c r="AD546" s="1101"/>
      <c r="AE546" s="1209"/>
      <c r="AF546" s="1209"/>
      <c r="AG546" s="1101"/>
      <c r="AH546" s="1101"/>
      <c r="AI546" s="1332"/>
      <c r="AJ546" s="68">
        <f>SUM(E546:AI546)</f>
        <v>3192</v>
      </c>
      <c r="AK546" s="68"/>
      <c r="AL546" s="69">
        <f>+AJ546*AN541</f>
        <v>13426.892640000002</v>
      </c>
      <c r="AM546" s="937"/>
      <c r="AN546" s="277"/>
      <c r="AO546" s="679"/>
      <c r="AP546" s="39" t="s">
        <v>19</v>
      </c>
      <c r="AQ546" s="56">
        <f>AQ545*AN541</f>
        <v>1682.5680000000002</v>
      </c>
      <c r="AR546" s="56">
        <f>AR545*AN541</f>
        <v>336.51360000000005</v>
      </c>
      <c r="AS546" s="56">
        <f>AS545*AN541</f>
        <v>1850.8248000000003</v>
      </c>
      <c r="AT546" s="56">
        <f>AT545*AN541</f>
        <v>1514.3112000000001</v>
      </c>
      <c r="AU546" s="56">
        <f>AU545*AN541</f>
        <v>0</v>
      </c>
      <c r="AV546" s="57">
        <f t="shared" si="1192"/>
        <v>5384.2176000000009</v>
      </c>
    </row>
    <row r="547" spans="1:48" s="23" customFormat="1" ht="20.65" customHeight="1">
      <c r="A547" s="330"/>
      <c r="B547" s="334"/>
      <c r="C547" s="306"/>
      <c r="D547" s="73" t="s">
        <v>105</v>
      </c>
      <c r="E547" s="1102">
        <v>64</v>
      </c>
      <c r="F547" s="1103">
        <v>80</v>
      </c>
      <c r="G547" s="1210">
        <v>96</v>
      </c>
      <c r="H547" s="1103">
        <v>88</v>
      </c>
      <c r="I547" s="1103">
        <v>80</v>
      </c>
      <c r="J547" s="1210">
        <v>96</v>
      </c>
      <c r="K547" s="1210">
        <v>96</v>
      </c>
      <c r="L547" s="1103">
        <v>80</v>
      </c>
      <c r="M547" s="1103">
        <v>90</v>
      </c>
      <c r="N547" s="1103">
        <v>96</v>
      </c>
      <c r="O547" s="1103">
        <v>96</v>
      </c>
      <c r="P547" s="1103">
        <v>96</v>
      </c>
      <c r="Q547" s="1210">
        <v>96</v>
      </c>
      <c r="R547" s="1210">
        <v>96</v>
      </c>
      <c r="S547" s="1103">
        <v>80</v>
      </c>
      <c r="T547" s="1103">
        <v>72</v>
      </c>
      <c r="U547" s="1103">
        <v>72</v>
      </c>
      <c r="V547" s="1103">
        <v>80</v>
      </c>
      <c r="W547" s="1103">
        <v>80</v>
      </c>
      <c r="X547" s="1210">
        <v>0</v>
      </c>
      <c r="Y547" s="1210">
        <v>0</v>
      </c>
      <c r="Z547" s="1103">
        <v>0</v>
      </c>
      <c r="AA547" s="1103">
        <v>72</v>
      </c>
      <c r="AB547" s="1103"/>
      <c r="AC547" s="1103"/>
      <c r="AD547" s="1103"/>
      <c r="AE547" s="1210"/>
      <c r="AF547" s="1210"/>
      <c r="AG547" s="1103"/>
      <c r="AH547" s="1103"/>
      <c r="AI547" s="1352"/>
      <c r="AJ547" s="74">
        <f>SUM(E547:AI547)</f>
        <v>1706</v>
      </c>
      <c r="AK547" s="74"/>
      <c r="AL547" s="75">
        <f>+AJ547*AN541</f>
        <v>7176.1525200000005</v>
      </c>
      <c r="AM547" s="938"/>
      <c r="AN547" s="91"/>
      <c r="AO547" s="630"/>
      <c r="AP547" s="47" t="s">
        <v>106</v>
      </c>
      <c r="AQ547" s="48">
        <f>AQ543*AN541</f>
        <v>212003.56800000003</v>
      </c>
      <c r="AR547" s="48">
        <f>AR543*AN541</f>
        <v>364646.13696000003</v>
      </c>
      <c r="AS547" s="48">
        <f>AS543*AN541</f>
        <v>377366.35104000004</v>
      </c>
      <c r="AT547" s="48">
        <f>AT543*AN541</f>
        <v>139922.35488000003</v>
      </c>
      <c r="AU547" s="48">
        <f>AU543*AN541</f>
        <v>0</v>
      </c>
      <c r="AV547" s="50">
        <f t="shared" si="1192"/>
        <v>1093938.4108800001</v>
      </c>
    </row>
    <row r="548" spans="1:48" s="23" customFormat="1" ht="20.65" customHeight="1">
      <c r="A548" s="276" t="s">
        <v>401</v>
      </c>
      <c r="B548" s="334"/>
      <c r="C548" s="307"/>
      <c r="D548" s="78" t="s">
        <v>107</v>
      </c>
      <c r="E548" s="1137">
        <v>4</v>
      </c>
      <c r="F548" s="1097">
        <v>4</v>
      </c>
      <c r="G548" s="1205">
        <v>4</v>
      </c>
      <c r="H548" s="1097">
        <v>4</v>
      </c>
      <c r="I548" s="1097">
        <v>4</v>
      </c>
      <c r="J548" s="1205">
        <v>4</v>
      </c>
      <c r="K548" s="1205">
        <v>4</v>
      </c>
      <c r="L548" s="1097">
        <v>4</v>
      </c>
      <c r="M548" s="1097">
        <v>4</v>
      </c>
      <c r="N548" s="1097">
        <v>4</v>
      </c>
      <c r="O548" s="1097">
        <v>4</v>
      </c>
      <c r="P548" s="1097">
        <v>4</v>
      </c>
      <c r="Q548" s="1205">
        <v>4</v>
      </c>
      <c r="R548" s="1205">
        <v>4</v>
      </c>
      <c r="S548" s="1097">
        <v>4</v>
      </c>
      <c r="T548" s="1097">
        <v>4</v>
      </c>
      <c r="U548" s="1097">
        <v>4</v>
      </c>
      <c r="V548" s="1097">
        <v>4</v>
      </c>
      <c r="W548" s="1097">
        <v>4</v>
      </c>
      <c r="X548" s="1205">
        <v>4</v>
      </c>
      <c r="Y548" s="1205">
        <v>4</v>
      </c>
      <c r="Z548" s="1097">
        <v>4</v>
      </c>
      <c r="AA548" s="1097">
        <v>4</v>
      </c>
      <c r="AB548" s="1097">
        <v>4</v>
      </c>
      <c r="AC548" s="1097">
        <v>4</v>
      </c>
      <c r="AD548" s="1097">
        <v>4</v>
      </c>
      <c r="AE548" s="1205">
        <v>4</v>
      </c>
      <c r="AF548" s="1205">
        <v>4</v>
      </c>
      <c r="AG548" s="1097">
        <v>4</v>
      </c>
      <c r="AH548" s="1097">
        <v>4</v>
      </c>
      <c r="AI548" s="1328">
        <v>4</v>
      </c>
      <c r="AJ548" s="79"/>
      <c r="AK548" s="79"/>
      <c r="AL548" s="69"/>
      <c r="AM548" s="937"/>
      <c r="AN548" s="277"/>
      <c r="AO548" s="679"/>
      <c r="AP548" s="391"/>
      <c r="AQ548" s="48"/>
      <c r="AR548" s="48"/>
      <c r="AS548" s="48"/>
      <c r="AT548" s="48"/>
      <c r="AU548" s="48"/>
      <c r="AV548" s="4"/>
    </row>
    <row r="549" spans="1:48" s="23" customFormat="1" ht="20.65" customHeight="1">
      <c r="A549" s="276" t="s">
        <v>401</v>
      </c>
      <c r="B549" s="334"/>
      <c r="C549" s="305"/>
      <c r="D549" s="81" t="s">
        <v>109</v>
      </c>
      <c r="E549" s="1125">
        <f>SUM(E543+E545+E546+E547)/E548</f>
        <v>3328</v>
      </c>
      <c r="F549" s="1126">
        <f>SUM(F543+F545+F546+F547)/F548</f>
        <v>3377</v>
      </c>
      <c r="G549" s="1235">
        <f t="shared" ref="G549:AH549" si="1195">SUM(G543+G545+G546+G547)/G548</f>
        <v>3336</v>
      </c>
      <c r="H549" s="1126">
        <f t="shared" si="1195"/>
        <v>2930</v>
      </c>
      <c r="I549" s="1126">
        <f t="shared" si="1195"/>
        <v>3100</v>
      </c>
      <c r="J549" s="1235">
        <f t="shared" si="1195"/>
        <v>3588</v>
      </c>
      <c r="K549" s="1235">
        <f t="shared" si="1195"/>
        <v>3091.5</v>
      </c>
      <c r="L549" s="1126">
        <f t="shared" si="1195"/>
        <v>3080</v>
      </c>
      <c r="M549" s="1126">
        <f t="shared" si="1195"/>
        <v>3082.5</v>
      </c>
      <c r="N549" s="1126">
        <f t="shared" si="1195"/>
        <v>3084</v>
      </c>
      <c r="O549" s="1126">
        <f t="shared" si="1195"/>
        <v>3084</v>
      </c>
      <c r="P549" s="1126">
        <f t="shared" si="1195"/>
        <v>3084</v>
      </c>
      <c r="Q549" s="1235">
        <f t="shared" si="1195"/>
        <v>3336</v>
      </c>
      <c r="R549" s="1235">
        <f t="shared" si="1195"/>
        <v>3336</v>
      </c>
      <c r="S549" s="1126">
        <f t="shared" si="1195"/>
        <v>3591.5</v>
      </c>
      <c r="T549" s="1126">
        <f t="shared" si="1195"/>
        <v>3158</v>
      </c>
      <c r="U549" s="1126">
        <f t="shared" si="1195"/>
        <v>3108</v>
      </c>
      <c r="V549" s="1126">
        <f t="shared" si="1195"/>
        <v>3332</v>
      </c>
      <c r="W549" s="1126">
        <f t="shared" si="1195"/>
        <v>3332</v>
      </c>
      <c r="X549" s="1235">
        <f t="shared" si="1195"/>
        <v>0</v>
      </c>
      <c r="Y549" s="1235">
        <f t="shared" si="1195"/>
        <v>0</v>
      </c>
      <c r="Z549" s="1126">
        <f t="shared" si="1195"/>
        <v>2064</v>
      </c>
      <c r="AA549" s="1126">
        <f t="shared" si="1195"/>
        <v>3138</v>
      </c>
      <c r="AB549" s="1126">
        <f t="shared" si="1195"/>
        <v>0</v>
      </c>
      <c r="AC549" s="1126">
        <f t="shared" si="1195"/>
        <v>0</v>
      </c>
      <c r="AD549" s="1126">
        <f t="shared" si="1195"/>
        <v>0</v>
      </c>
      <c r="AE549" s="1235">
        <f t="shared" si="1195"/>
        <v>0</v>
      </c>
      <c r="AF549" s="1235">
        <f t="shared" si="1195"/>
        <v>0</v>
      </c>
      <c r="AG549" s="1126">
        <f t="shared" si="1195"/>
        <v>0</v>
      </c>
      <c r="AH549" s="1126">
        <f t="shared" si="1195"/>
        <v>0</v>
      </c>
      <c r="AI549" s="1335">
        <f>SUM(AI543+AI545+AI546+AI547)/AI548</f>
        <v>0</v>
      </c>
      <c r="AJ549" s="515">
        <f>SUM(E549:AI549)</f>
        <v>66560.5</v>
      </c>
      <c r="AK549" s="515"/>
      <c r="AL549" s="689"/>
      <c r="AM549" s="940"/>
      <c r="AN549" s="277"/>
      <c r="AO549" s="679"/>
      <c r="AP549" s="285"/>
      <c r="AQ549" s="285"/>
      <c r="AR549" s="285"/>
      <c r="AS549" s="285"/>
      <c r="AT549" s="286"/>
      <c r="AU549" s="285"/>
      <c r="AV549" s="287"/>
    </row>
    <row r="550" spans="1:48" s="23" customFormat="1" ht="20.65" customHeight="1">
      <c r="A550" s="276" t="s">
        <v>401</v>
      </c>
      <c r="B550" s="288" t="s">
        <v>546</v>
      </c>
      <c r="C550" s="72"/>
      <c r="D550" s="85" t="s">
        <v>110</v>
      </c>
      <c r="E550" s="1105"/>
      <c r="F550" s="1106"/>
      <c r="G550" s="1228"/>
      <c r="H550" s="1104" t="s">
        <v>534</v>
      </c>
      <c r="I550" s="1104"/>
      <c r="J550" s="1211"/>
      <c r="K550" s="1211"/>
      <c r="L550" s="1104"/>
      <c r="M550" s="1104"/>
      <c r="N550" s="1104"/>
      <c r="O550" s="1104"/>
      <c r="P550" s="1104"/>
      <c r="Q550" s="1211"/>
      <c r="R550" s="1211"/>
      <c r="S550" s="1104"/>
      <c r="T550" s="1104"/>
      <c r="U550" s="1107" t="s">
        <v>534</v>
      </c>
      <c r="V550" s="1104"/>
      <c r="W550" s="1104"/>
      <c r="X550" s="1211" t="s">
        <v>534</v>
      </c>
      <c r="Y550" s="1211"/>
      <c r="Z550" s="1104"/>
      <c r="AA550" s="1104"/>
      <c r="AB550" s="1104"/>
      <c r="AC550" s="1104"/>
      <c r="AD550" s="1104"/>
      <c r="AE550" s="1211"/>
      <c r="AF550" s="1211"/>
      <c r="AG550" s="1104"/>
      <c r="AH550" s="1104"/>
      <c r="AI550" s="1353"/>
      <c r="AJ550" s="86"/>
      <c r="AK550" s="86"/>
      <c r="AL550" s="690"/>
      <c r="AM550" s="940"/>
      <c r="AN550" s="277"/>
      <c r="AO550" s="679"/>
      <c r="AP550" s="285"/>
      <c r="AQ550" s="285"/>
      <c r="AR550" s="285"/>
      <c r="AS550" s="285"/>
      <c r="AT550" s="286"/>
      <c r="AU550" s="285"/>
      <c r="AV550" s="287"/>
    </row>
    <row r="551" spans="1:48" s="23" customFormat="1" ht="20.65" customHeight="1">
      <c r="A551" s="276" t="s">
        <v>401</v>
      </c>
      <c r="B551" s="89"/>
      <c r="C551" s="72" t="s">
        <v>104</v>
      </c>
      <c r="D551" s="88" t="s">
        <v>111</v>
      </c>
      <c r="E551" s="1108">
        <f>IF(E550="O/H",E549,34308+E549)</f>
        <v>37636</v>
      </c>
      <c r="F551" s="1089">
        <f t="shared" ref="F551:AI551" si="1196">IF(F550="O/H",F549,+E551+F549)</f>
        <v>41013</v>
      </c>
      <c r="G551" s="44">
        <f t="shared" si="1196"/>
        <v>44349</v>
      </c>
      <c r="H551" s="1089">
        <f t="shared" si="1196"/>
        <v>2930</v>
      </c>
      <c r="I551" s="1089">
        <f t="shared" si="1196"/>
        <v>6030</v>
      </c>
      <c r="J551" s="44">
        <f t="shared" si="1196"/>
        <v>9618</v>
      </c>
      <c r="K551" s="44">
        <f t="shared" si="1196"/>
        <v>12709.5</v>
      </c>
      <c r="L551" s="1089">
        <f t="shared" si="1196"/>
        <v>15789.5</v>
      </c>
      <c r="M551" s="1089">
        <f t="shared" si="1196"/>
        <v>18872</v>
      </c>
      <c r="N551" s="1089">
        <f t="shared" si="1196"/>
        <v>21956</v>
      </c>
      <c r="O551" s="1089">
        <f t="shared" si="1196"/>
        <v>25040</v>
      </c>
      <c r="P551" s="1089">
        <f t="shared" si="1196"/>
        <v>28124</v>
      </c>
      <c r="Q551" s="44">
        <f t="shared" si="1196"/>
        <v>31460</v>
      </c>
      <c r="R551" s="44">
        <f t="shared" si="1196"/>
        <v>34796</v>
      </c>
      <c r="S551" s="1089">
        <f t="shared" si="1196"/>
        <v>38387.5</v>
      </c>
      <c r="T551" s="1089">
        <f t="shared" si="1196"/>
        <v>41545.5</v>
      </c>
      <c r="U551" s="1089">
        <f t="shared" si="1196"/>
        <v>3108</v>
      </c>
      <c r="V551" s="1089">
        <f t="shared" si="1196"/>
        <v>6440</v>
      </c>
      <c r="W551" s="1089">
        <f t="shared" si="1196"/>
        <v>9772</v>
      </c>
      <c r="X551" s="44">
        <f t="shared" si="1196"/>
        <v>0</v>
      </c>
      <c r="Y551" s="44">
        <f t="shared" si="1196"/>
        <v>0</v>
      </c>
      <c r="Z551" s="1089">
        <f t="shared" si="1196"/>
        <v>2064</v>
      </c>
      <c r="AA551" s="1089">
        <f t="shared" si="1196"/>
        <v>5202</v>
      </c>
      <c r="AB551" s="1089">
        <f t="shared" si="1196"/>
        <v>5202</v>
      </c>
      <c r="AC551" s="1089">
        <f t="shared" si="1196"/>
        <v>5202</v>
      </c>
      <c r="AD551" s="1089">
        <f t="shared" si="1196"/>
        <v>5202</v>
      </c>
      <c r="AE551" s="44">
        <f t="shared" si="1196"/>
        <v>5202</v>
      </c>
      <c r="AF551" s="44">
        <f t="shared" si="1196"/>
        <v>5202</v>
      </c>
      <c r="AG551" s="1089">
        <f t="shared" si="1196"/>
        <v>5202</v>
      </c>
      <c r="AH551" s="1089">
        <f t="shared" si="1196"/>
        <v>5202</v>
      </c>
      <c r="AI551" s="1326">
        <f t="shared" si="1196"/>
        <v>5202</v>
      </c>
      <c r="AJ551" s="79"/>
      <c r="AK551" s="79"/>
      <c r="AL551" s="690"/>
      <c r="AM551" s="940"/>
      <c r="AN551" s="277"/>
      <c r="AO551" s="679"/>
      <c r="AP551" s="285"/>
      <c r="AQ551" s="285"/>
      <c r="AR551" s="285"/>
      <c r="AS551" s="285"/>
      <c r="AT551" s="286"/>
      <c r="AU551" s="285"/>
      <c r="AV551" s="287"/>
    </row>
    <row r="552" spans="1:48" s="23" customFormat="1" ht="20.65" customHeight="1">
      <c r="A552" s="274"/>
      <c r="B552" s="312"/>
      <c r="C552" s="308">
        <v>300000</v>
      </c>
      <c r="D552" s="795" t="s">
        <v>112</v>
      </c>
      <c r="E552" s="1117">
        <f>IF(AND(ISNUMBER(E543)),2803866+E549)</f>
        <v>2807194</v>
      </c>
      <c r="F552" s="1118">
        <f>IF(AND(ISNUMBER(F543)),E552+F549,"")</f>
        <v>2810571</v>
      </c>
      <c r="G552" s="1216">
        <f t="shared" ref="G552:H552" si="1197">IF(AND(ISNUMBER(G543)),F552+G549,"")</f>
        <v>2813907</v>
      </c>
      <c r="H552" s="1118">
        <f t="shared" si="1197"/>
        <v>2816837</v>
      </c>
      <c r="I552" s="1118">
        <f>IF(AND(ISNUMBER(I543)),H552+I549,"")</f>
        <v>2819937</v>
      </c>
      <c r="J552" s="1216">
        <f>IF(AND(ISNUMBER(J543)),I552+J549,"")</f>
        <v>2823525</v>
      </c>
      <c r="K552" s="1216">
        <f>IF(AND(ISNUMBER(K543)),J552+K549,"")</f>
        <v>2826616.5</v>
      </c>
      <c r="L552" s="1118">
        <f t="shared" ref="L552:AI552" si="1198">IF(AND(ISNUMBER(L543)),K552+L549,"")</f>
        <v>2829696.5</v>
      </c>
      <c r="M552" s="1118">
        <f t="shared" si="1198"/>
        <v>2832779</v>
      </c>
      <c r="N552" s="1118">
        <f t="shared" si="1198"/>
        <v>2835863</v>
      </c>
      <c r="O552" s="1118">
        <f t="shared" si="1198"/>
        <v>2838947</v>
      </c>
      <c r="P552" s="1118">
        <f t="shared" si="1198"/>
        <v>2842031</v>
      </c>
      <c r="Q552" s="1216">
        <f t="shared" si="1198"/>
        <v>2845367</v>
      </c>
      <c r="R552" s="1216">
        <f t="shared" si="1198"/>
        <v>2848703</v>
      </c>
      <c r="S552" s="1118">
        <f t="shared" si="1198"/>
        <v>2852294.5</v>
      </c>
      <c r="T552" s="1118">
        <f t="shared" si="1198"/>
        <v>2855452.5</v>
      </c>
      <c r="U552" s="1118">
        <f t="shared" si="1198"/>
        <v>2858560.5</v>
      </c>
      <c r="V552" s="1118">
        <f t="shared" si="1198"/>
        <v>2861892.5</v>
      </c>
      <c r="W552" s="1118">
        <f t="shared" si="1198"/>
        <v>2865224.5</v>
      </c>
      <c r="X552" s="1216">
        <f t="shared" si="1198"/>
        <v>2865224.5</v>
      </c>
      <c r="Y552" s="1216">
        <f t="shared" si="1198"/>
        <v>2865224.5</v>
      </c>
      <c r="Z552" s="1118">
        <f t="shared" si="1198"/>
        <v>2867288.5</v>
      </c>
      <c r="AA552" s="1118">
        <f t="shared" si="1198"/>
        <v>2870426.5</v>
      </c>
      <c r="AB552" s="1118" t="str">
        <f t="shared" si="1198"/>
        <v/>
      </c>
      <c r="AC552" s="1118" t="str">
        <f t="shared" si="1198"/>
        <v/>
      </c>
      <c r="AD552" s="1118" t="str">
        <f t="shared" si="1198"/>
        <v/>
      </c>
      <c r="AE552" s="1216" t="str">
        <f t="shared" si="1198"/>
        <v/>
      </c>
      <c r="AF552" s="1216" t="str">
        <f t="shared" si="1198"/>
        <v/>
      </c>
      <c r="AG552" s="1118" t="str">
        <f t="shared" si="1198"/>
        <v/>
      </c>
      <c r="AH552" s="1118" t="str">
        <f t="shared" si="1198"/>
        <v/>
      </c>
      <c r="AI552" s="1089" t="str">
        <f t="shared" si="1198"/>
        <v/>
      </c>
      <c r="AJ552" s="793"/>
      <c r="AK552" s="793"/>
      <c r="AL552" s="909"/>
      <c r="AM552" s="794"/>
      <c r="AN552" s="76"/>
      <c r="AO552" s="630"/>
      <c r="AP552" s="285"/>
      <c r="AQ552" s="285"/>
      <c r="AR552" s="285"/>
      <c r="AS552" s="285"/>
      <c r="AT552" s="286"/>
      <c r="AU552" s="285"/>
      <c r="AV552" s="287"/>
    </row>
    <row r="553" spans="1:48" s="23" customFormat="1" ht="20.65" customHeight="1">
      <c r="A553" s="276"/>
      <c r="B553" s="89"/>
      <c r="C553" s="80" t="s">
        <v>108</v>
      </c>
      <c r="D553" s="90" t="s">
        <v>104</v>
      </c>
      <c r="E553" s="1338"/>
      <c r="F553" s="1106"/>
      <c r="G553" s="1253"/>
      <c r="H553" s="1106"/>
      <c r="I553" s="1106"/>
      <c r="J553" s="1253"/>
      <c r="K553" s="1253"/>
      <c r="L553" s="1106"/>
      <c r="M553" s="1106"/>
      <c r="N553" s="1106"/>
      <c r="O553" s="1106"/>
      <c r="P553" s="1106"/>
      <c r="Q553" s="1253"/>
      <c r="R553" s="1253"/>
      <c r="S553" s="1106"/>
      <c r="T553" s="1106"/>
      <c r="U553" s="1106"/>
      <c r="V553" s="1106"/>
      <c r="W553" s="1106"/>
      <c r="X553" s="1253"/>
      <c r="Y553" s="1253"/>
      <c r="Z553" s="1106"/>
      <c r="AA553" s="1106"/>
      <c r="AB553" s="1106"/>
      <c r="AC553" s="1106"/>
      <c r="AD553" s="1106"/>
      <c r="AE553" s="1253"/>
      <c r="AF553" s="1253"/>
      <c r="AG553" s="1106"/>
      <c r="AH553" s="1106"/>
      <c r="AI553" s="1339"/>
      <c r="AJ553" s="79"/>
      <c r="AK553" s="79"/>
      <c r="AL553" s="690"/>
      <c r="AM553" s="940"/>
      <c r="AN553" s="301"/>
      <c r="AO553" s="680"/>
      <c r="AP553" s="285"/>
      <c r="AQ553" s="285"/>
      <c r="AR553" s="285"/>
      <c r="AS553" s="285"/>
      <c r="AT553" s="286"/>
      <c r="AU553" s="285"/>
      <c r="AV553" s="287"/>
    </row>
    <row r="554" spans="1:48" s="23" customFormat="1" ht="20.65" customHeight="1" thickBot="1">
      <c r="A554" s="289"/>
      <c r="B554" s="93"/>
      <c r="C554" s="94">
        <f>+C552*0.8</f>
        <v>240000</v>
      </c>
      <c r="D554" s="88" t="s">
        <v>111</v>
      </c>
      <c r="E554" s="1109">
        <f>IF(E553="O/H",E549,533635+E549)</f>
        <v>536963</v>
      </c>
      <c r="F554" s="1110">
        <f t="shared" ref="F554:AI554" si="1199">IF(F553="O/H",F549,+E554+F549)</f>
        <v>540340</v>
      </c>
      <c r="G554" s="1212">
        <f t="shared" si="1199"/>
        <v>543676</v>
      </c>
      <c r="H554" s="1110">
        <f t="shared" si="1199"/>
        <v>546606</v>
      </c>
      <c r="I554" s="1110">
        <f t="shared" si="1199"/>
        <v>549706</v>
      </c>
      <c r="J554" s="1212">
        <f t="shared" si="1199"/>
        <v>553294</v>
      </c>
      <c r="K554" s="1212">
        <f t="shared" si="1199"/>
        <v>556385.5</v>
      </c>
      <c r="L554" s="1110">
        <f t="shared" si="1199"/>
        <v>559465.5</v>
      </c>
      <c r="M554" s="1110">
        <f t="shared" si="1199"/>
        <v>562548</v>
      </c>
      <c r="N554" s="1110">
        <f t="shared" si="1199"/>
        <v>565632</v>
      </c>
      <c r="O554" s="1110">
        <f t="shared" si="1199"/>
        <v>568716</v>
      </c>
      <c r="P554" s="1110">
        <f t="shared" si="1199"/>
        <v>571800</v>
      </c>
      <c r="Q554" s="1212">
        <f t="shared" si="1199"/>
        <v>575136</v>
      </c>
      <c r="R554" s="1212">
        <f t="shared" si="1199"/>
        <v>578472</v>
      </c>
      <c r="S554" s="1110">
        <f t="shared" si="1199"/>
        <v>582063.5</v>
      </c>
      <c r="T554" s="1110">
        <f t="shared" si="1199"/>
        <v>585221.5</v>
      </c>
      <c r="U554" s="1110">
        <f t="shared" si="1199"/>
        <v>588329.5</v>
      </c>
      <c r="V554" s="1110">
        <f t="shared" si="1199"/>
        <v>591661.5</v>
      </c>
      <c r="W554" s="1110">
        <f t="shared" si="1199"/>
        <v>594993.5</v>
      </c>
      <c r="X554" s="1212">
        <f t="shared" si="1199"/>
        <v>594993.5</v>
      </c>
      <c r="Y554" s="1212">
        <f t="shared" si="1199"/>
        <v>594993.5</v>
      </c>
      <c r="Z554" s="1110">
        <f t="shared" si="1199"/>
        <v>597057.5</v>
      </c>
      <c r="AA554" s="1110">
        <f t="shared" si="1199"/>
        <v>600195.5</v>
      </c>
      <c r="AB554" s="1110">
        <f t="shared" si="1199"/>
        <v>600195.5</v>
      </c>
      <c r="AC554" s="1110">
        <f t="shared" si="1199"/>
        <v>600195.5</v>
      </c>
      <c r="AD554" s="1110">
        <f t="shared" si="1199"/>
        <v>600195.5</v>
      </c>
      <c r="AE554" s="1212">
        <f t="shared" si="1199"/>
        <v>600195.5</v>
      </c>
      <c r="AF554" s="1212">
        <f t="shared" si="1199"/>
        <v>600195.5</v>
      </c>
      <c r="AG554" s="1110">
        <f t="shared" si="1199"/>
        <v>600195.5</v>
      </c>
      <c r="AH554" s="1110">
        <f t="shared" si="1199"/>
        <v>600195.5</v>
      </c>
      <c r="AI554" s="1110">
        <f t="shared" si="1199"/>
        <v>600195.5</v>
      </c>
      <c r="AJ554" s="96"/>
      <c r="AK554" s="723"/>
      <c r="AL554" s="695"/>
      <c r="AM554" s="961"/>
      <c r="AN554" s="292"/>
      <c r="AO554" s="681"/>
      <c r="AP554" s="285"/>
      <c r="AQ554" s="285"/>
      <c r="AR554" s="285"/>
      <c r="AS554" s="285"/>
      <c r="AT554" s="286"/>
      <c r="AU554" s="285"/>
      <c r="AV554" s="287"/>
    </row>
    <row r="555" spans="1:48" s="23" customFormat="1" ht="20.65" customHeight="1" thickTop="1">
      <c r="A555" s="283" t="s">
        <v>701</v>
      </c>
      <c r="B555" s="89" t="s">
        <v>625</v>
      </c>
      <c r="C555" s="1493" t="str">
        <f>Table2[[#This Row],[M/C No.]]</f>
        <v>H22(50ton)</v>
      </c>
      <c r="D555" s="28" t="s">
        <v>82</v>
      </c>
      <c r="E555" s="1124">
        <v>13000</v>
      </c>
      <c r="F555" s="1124">
        <v>13000</v>
      </c>
      <c r="G555" s="1242">
        <v>13000</v>
      </c>
      <c r="H555" s="1124">
        <v>5000</v>
      </c>
      <c r="I555" s="1124">
        <v>13000</v>
      </c>
      <c r="J555" s="1242">
        <v>0</v>
      </c>
      <c r="K555" s="1242">
        <v>0</v>
      </c>
      <c r="L555" s="1124">
        <v>5000</v>
      </c>
      <c r="M555" s="1124">
        <v>13000</v>
      </c>
      <c r="N555" s="1124">
        <v>13000</v>
      </c>
      <c r="O555" s="1124">
        <v>13000</v>
      </c>
      <c r="P555" s="1124">
        <v>13000</v>
      </c>
      <c r="Q555" s="1242">
        <v>0</v>
      </c>
      <c r="R555" s="1242">
        <v>0</v>
      </c>
      <c r="S555" s="1124">
        <v>5000</v>
      </c>
      <c r="T555" s="1124">
        <v>13000</v>
      </c>
      <c r="U555" s="1124">
        <v>13000</v>
      </c>
      <c r="V555" s="1124">
        <v>3000</v>
      </c>
      <c r="W555" s="1124">
        <v>0</v>
      </c>
      <c r="X555" s="1242">
        <v>0</v>
      </c>
      <c r="Y555" s="1242">
        <v>0</v>
      </c>
      <c r="Z555" s="1124">
        <v>0</v>
      </c>
      <c r="AA555" s="1124">
        <v>0</v>
      </c>
      <c r="AB555" s="1124">
        <v>0</v>
      </c>
      <c r="AC555" s="1124">
        <v>0</v>
      </c>
      <c r="AD555" s="1124">
        <v>0</v>
      </c>
      <c r="AE555" s="1242">
        <v>0</v>
      </c>
      <c r="AF555" s="1242">
        <v>0</v>
      </c>
      <c r="AG555" s="1124">
        <v>0</v>
      </c>
      <c r="AH555" s="1124">
        <v>0</v>
      </c>
      <c r="AI555" s="1350"/>
      <c r="AJ555" s="100">
        <f>SUM(E555:AI555)</f>
        <v>148000</v>
      </c>
      <c r="AK555" s="1000">
        <f>AJ557</f>
        <v>199920</v>
      </c>
      <c r="AL555" s="101">
        <f>+AJ555*AN555</f>
        <v>760728.88</v>
      </c>
      <c r="AM555" s="1019">
        <f>AL557</f>
        <v>1027600.7952000001</v>
      </c>
      <c r="AN555" s="273">
        <v>5.1400600000000001</v>
      </c>
      <c r="AO555" s="633">
        <f>Table2[[#This Row],[Total]]*B559/1000</f>
        <v>354.75599999999991</v>
      </c>
      <c r="AP555" s="32" t="s">
        <v>558</v>
      </c>
      <c r="AQ555" s="33" t="s">
        <v>84</v>
      </c>
      <c r="AR555" s="33" t="s">
        <v>85</v>
      </c>
      <c r="AS555" s="33" t="s">
        <v>86</v>
      </c>
      <c r="AT555" s="33" t="s">
        <v>87</v>
      </c>
      <c r="AU555" s="33" t="s">
        <v>88</v>
      </c>
      <c r="AV555" s="34" t="s">
        <v>68</v>
      </c>
    </row>
    <row r="556" spans="1:48" s="23" customFormat="1" ht="20.65" customHeight="1">
      <c r="A556" s="274"/>
      <c r="B556" s="89" t="s">
        <v>388</v>
      </c>
      <c r="C556" s="1244">
        <v>67500</v>
      </c>
      <c r="D556" s="37" t="s">
        <v>90</v>
      </c>
      <c r="E556" s="1323">
        <f>IF(E555="",0,+ E555/E562)</f>
        <v>3250</v>
      </c>
      <c r="F556" s="1096">
        <f t="shared" ref="F556:AC556" si="1200">IF(F555="",0, E556+F555/F562)</f>
        <v>6500</v>
      </c>
      <c r="G556" s="1207">
        <f t="shared" si="1200"/>
        <v>9750</v>
      </c>
      <c r="H556" s="1096">
        <f t="shared" si="1200"/>
        <v>11000</v>
      </c>
      <c r="I556" s="1096">
        <f t="shared" si="1200"/>
        <v>14250</v>
      </c>
      <c r="J556" s="1207">
        <f t="shared" si="1200"/>
        <v>14250</v>
      </c>
      <c r="K556" s="1207">
        <f t="shared" si="1200"/>
        <v>14250</v>
      </c>
      <c r="L556" s="1096">
        <f t="shared" si="1200"/>
        <v>15500</v>
      </c>
      <c r="M556" s="1096">
        <f t="shared" si="1200"/>
        <v>18750</v>
      </c>
      <c r="N556" s="1096">
        <f t="shared" si="1200"/>
        <v>22000</v>
      </c>
      <c r="O556" s="1096">
        <f t="shared" si="1200"/>
        <v>25250</v>
      </c>
      <c r="P556" s="1096">
        <f t="shared" si="1200"/>
        <v>28500</v>
      </c>
      <c r="Q556" s="1207">
        <f t="shared" si="1200"/>
        <v>28500</v>
      </c>
      <c r="R556" s="1207">
        <f t="shared" si="1200"/>
        <v>28500</v>
      </c>
      <c r="S556" s="1096">
        <f t="shared" si="1200"/>
        <v>29750</v>
      </c>
      <c r="T556" s="1096">
        <f t="shared" si="1200"/>
        <v>33000</v>
      </c>
      <c r="U556" s="1096">
        <f t="shared" si="1200"/>
        <v>36250</v>
      </c>
      <c r="V556" s="1096">
        <f t="shared" si="1200"/>
        <v>37000</v>
      </c>
      <c r="W556" s="1096">
        <f t="shared" si="1200"/>
        <v>37000</v>
      </c>
      <c r="X556" s="1207">
        <f t="shared" si="1200"/>
        <v>37000</v>
      </c>
      <c r="Y556" s="1207">
        <f t="shared" si="1200"/>
        <v>37000</v>
      </c>
      <c r="Z556" s="1096">
        <f t="shared" si="1200"/>
        <v>37000</v>
      </c>
      <c r="AA556" s="1096">
        <f t="shared" si="1200"/>
        <v>37000</v>
      </c>
      <c r="AB556" s="1096">
        <f t="shared" si="1200"/>
        <v>37000</v>
      </c>
      <c r="AC556" s="1096">
        <f t="shared" si="1200"/>
        <v>37000</v>
      </c>
      <c r="AD556" s="1096">
        <f>IF(AD555="",0, Z556+AD555/AD562)</f>
        <v>37000</v>
      </c>
      <c r="AE556" s="1207">
        <f>IF(AE555="",0, AA556+AE555/AE562)</f>
        <v>37000</v>
      </c>
      <c r="AF556" s="1207">
        <f>IF(AF555="",0, AB556+AF555/AF562)</f>
        <v>37000</v>
      </c>
      <c r="AG556" s="1096">
        <f>IF(AG555="",0, AC556+AG555/AG562)</f>
        <v>37000</v>
      </c>
      <c r="AH556" s="1096">
        <f>IF(AH555="",0, AD556+AH555/AH562)</f>
        <v>37000</v>
      </c>
      <c r="AI556" s="1324">
        <f>IF(AI555="",0, AH556+AI555/AI562)</f>
        <v>0</v>
      </c>
      <c r="AJ556" s="716"/>
      <c r="AK556" s="716"/>
      <c r="AL556" s="209"/>
      <c r="AM556" s="794"/>
      <c r="AN556" s="91"/>
      <c r="AO556" s="675"/>
      <c r="AP556" s="39" t="s">
        <v>91</v>
      </c>
      <c r="AQ556" s="40">
        <f>SUM(E555:H555)</f>
        <v>44000</v>
      </c>
      <c r="AR556" s="41">
        <f>SUM(I555:O555)</f>
        <v>57000</v>
      </c>
      <c r="AS556" s="41">
        <f>SUM(P555:V555)</f>
        <v>47000</v>
      </c>
      <c r="AT556" s="41">
        <f>SUM(W555:AC555)</f>
        <v>0</v>
      </c>
      <c r="AU556" s="41">
        <f>SUM(AD555:AI555)</f>
        <v>0</v>
      </c>
      <c r="AV556" s="34">
        <f t="shared" ref="AV556:AV561" si="1201">SUM(AQ556:AU556)</f>
        <v>148000</v>
      </c>
    </row>
    <row r="557" spans="1:48" s="23" customFormat="1" ht="20.65" customHeight="1">
      <c r="A557" s="276" t="s">
        <v>401</v>
      </c>
      <c r="B557" s="89" t="s">
        <v>246</v>
      </c>
      <c r="C557" s="656" t="s">
        <v>108</v>
      </c>
      <c r="D557" s="43" t="s">
        <v>93</v>
      </c>
      <c r="E557" s="1108">
        <v>8064</v>
      </c>
      <c r="F557" s="1089">
        <v>12096</v>
      </c>
      <c r="G557" s="44">
        <v>12096</v>
      </c>
      <c r="H557" s="1089">
        <v>13104</v>
      </c>
      <c r="I557" s="1089">
        <v>13776</v>
      </c>
      <c r="J557" s="44">
        <v>0</v>
      </c>
      <c r="K557" s="44">
        <v>0</v>
      </c>
      <c r="L557" s="1089">
        <v>9072</v>
      </c>
      <c r="M557" s="1089">
        <v>14112</v>
      </c>
      <c r="N557" s="1089">
        <v>13104</v>
      </c>
      <c r="O557" s="1089">
        <v>13104</v>
      </c>
      <c r="P557" s="1089">
        <v>13104</v>
      </c>
      <c r="Q557" s="44">
        <v>0</v>
      </c>
      <c r="R557" s="44">
        <v>0</v>
      </c>
      <c r="S557" s="1089">
        <v>7728</v>
      </c>
      <c r="T557" s="1089">
        <v>12096</v>
      </c>
      <c r="U557" s="1089">
        <v>13104</v>
      </c>
      <c r="V557" s="1089">
        <v>11088</v>
      </c>
      <c r="W557" s="1089">
        <v>13104</v>
      </c>
      <c r="X557" s="44">
        <v>0</v>
      </c>
      <c r="Y557" s="44">
        <v>0</v>
      </c>
      <c r="Z557" s="1089">
        <v>7056</v>
      </c>
      <c r="AA557" s="1089">
        <v>14112</v>
      </c>
      <c r="AB557" s="1089"/>
      <c r="AC557" s="1089"/>
      <c r="AD557" s="1089"/>
      <c r="AE557" s="44"/>
      <c r="AF557" s="44"/>
      <c r="AG557" s="1089"/>
      <c r="AH557" s="1089"/>
      <c r="AI557" s="1326"/>
      <c r="AJ557" s="45">
        <f>SUM(E557:AI557)</f>
        <v>199920</v>
      </c>
      <c r="AK557" s="45"/>
      <c r="AL557" s="46">
        <f>+AJ557*AN555</f>
        <v>1027600.7952000001</v>
      </c>
      <c r="AM557" s="934"/>
      <c r="AN557" s="277"/>
      <c r="AO557" s="632">
        <f>(AJ557+AJ559+AJ560+AJ561)*B559/1000</f>
        <v>489.22769999999997</v>
      </c>
      <c r="AP557" s="47" t="s">
        <v>94</v>
      </c>
      <c r="AQ557" s="48">
        <f>SUM(E557:H557)</f>
        <v>45360</v>
      </c>
      <c r="AR557" s="49">
        <f>SUM(I557:O557)</f>
        <v>63168</v>
      </c>
      <c r="AS557" s="49">
        <f>SUM(P557:V557)</f>
        <v>57120</v>
      </c>
      <c r="AT557" s="49">
        <f>SUM(W557:AC557)</f>
        <v>34272</v>
      </c>
      <c r="AU557" s="49">
        <f>SUM(AD557:AI557)</f>
        <v>0</v>
      </c>
      <c r="AV557" s="50">
        <f t="shared" si="1201"/>
        <v>199920</v>
      </c>
    </row>
    <row r="558" spans="1:48" s="23" customFormat="1" ht="20.65" customHeight="1">
      <c r="A558" s="276" t="s">
        <v>401</v>
      </c>
      <c r="B558" s="638" t="s">
        <v>247</v>
      </c>
      <c r="C558" s="1245">
        <f>+C556*0.8</f>
        <v>54000</v>
      </c>
      <c r="D558" s="53" t="s">
        <v>96</v>
      </c>
      <c r="E558" s="1137">
        <f t="shared" ref="E558:AJ558" si="1202">+E557-E555</f>
        <v>-4936</v>
      </c>
      <c r="F558" s="1097">
        <f t="shared" si="1202"/>
        <v>-904</v>
      </c>
      <c r="G558" s="1205">
        <f t="shared" si="1202"/>
        <v>-904</v>
      </c>
      <c r="H558" s="1097">
        <f t="shared" si="1202"/>
        <v>8104</v>
      </c>
      <c r="I558" s="1097">
        <f t="shared" si="1202"/>
        <v>776</v>
      </c>
      <c r="J558" s="1205">
        <f t="shared" si="1202"/>
        <v>0</v>
      </c>
      <c r="K558" s="1205">
        <f t="shared" si="1202"/>
        <v>0</v>
      </c>
      <c r="L558" s="1097">
        <f t="shared" si="1202"/>
        <v>4072</v>
      </c>
      <c r="M558" s="1097">
        <f t="shared" si="1202"/>
        <v>1112</v>
      </c>
      <c r="N558" s="1097">
        <f t="shared" si="1202"/>
        <v>104</v>
      </c>
      <c r="O558" s="1097">
        <f t="shared" si="1202"/>
        <v>104</v>
      </c>
      <c r="P558" s="1097">
        <f t="shared" si="1202"/>
        <v>104</v>
      </c>
      <c r="Q558" s="1205">
        <f t="shared" si="1202"/>
        <v>0</v>
      </c>
      <c r="R558" s="1205">
        <f t="shared" si="1202"/>
        <v>0</v>
      </c>
      <c r="S558" s="1097">
        <f t="shared" si="1202"/>
        <v>2728</v>
      </c>
      <c r="T558" s="1097">
        <f t="shared" si="1202"/>
        <v>-904</v>
      </c>
      <c r="U558" s="1097">
        <f t="shared" si="1202"/>
        <v>104</v>
      </c>
      <c r="V558" s="1097">
        <f t="shared" si="1202"/>
        <v>8088</v>
      </c>
      <c r="W558" s="1097">
        <f t="shared" si="1202"/>
        <v>13104</v>
      </c>
      <c r="X558" s="1205">
        <f t="shared" si="1202"/>
        <v>0</v>
      </c>
      <c r="Y558" s="1205">
        <f t="shared" si="1202"/>
        <v>0</v>
      </c>
      <c r="Z558" s="1097">
        <f t="shared" si="1202"/>
        <v>7056</v>
      </c>
      <c r="AA558" s="1097">
        <f t="shared" si="1202"/>
        <v>14112</v>
      </c>
      <c r="AB558" s="1097">
        <f t="shared" si="1202"/>
        <v>0</v>
      </c>
      <c r="AC558" s="1097">
        <f t="shared" si="1202"/>
        <v>0</v>
      </c>
      <c r="AD558" s="1097">
        <f t="shared" si="1202"/>
        <v>0</v>
      </c>
      <c r="AE558" s="1205">
        <f t="shared" si="1202"/>
        <v>0</v>
      </c>
      <c r="AF558" s="1205">
        <f t="shared" si="1202"/>
        <v>0</v>
      </c>
      <c r="AG558" s="1097">
        <f t="shared" si="1202"/>
        <v>0</v>
      </c>
      <c r="AH558" s="1097">
        <f t="shared" si="1202"/>
        <v>0</v>
      </c>
      <c r="AI558" s="1328">
        <f t="shared" si="1202"/>
        <v>0</v>
      </c>
      <c r="AJ558" s="79">
        <f t="shared" si="1202"/>
        <v>51920</v>
      </c>
      <c r="AK558" s="79"/>
      <c r="AL558" s="55">
        <f>+AJ558*AN555</f>
        <v>266871.91519999999</v>
      </c>
      <c r="AM558" s="935"/>
      <c r="AN558" s="277" t="s">
        <v>97</v>
      </c>
      <c r="AO558" s="622"/>
      <c r="AP558" s="39" t="s">
        <v>98</v>
      </c>
      <c r="AQ558" s="56">
        <f>AQ557-AQ556</f>
        <v>1360</v>
      </c>
      <c r="AR558" s="70">
        <f>AR557-AR556</f>
        <v>6168</v>
      </c>
      <c r="AS558" s="70">
        <f>AS557-AS556</f>
        <v>10120</v>
      </c>
      <c r="AT558" s="70">
        <f>AT557-AT556</f>
        <v>34272</v>
      </c>
      <c r="AU558" s="70">
        <f>AU557-AU556</f>
        <v>0</v>
      </c>
      <c r="AV558" s="57">
        <f t="shared" si="1201"/>
        <v>51920</v>
      </c>
    </row>
    <row r="559" spans="1:48" s="23" customFormat="1" ht="20.65" customHeight="1">
      <c r="A559" s="276" t="s">
        <v>401</v>
      </c>
      <c r="B559" s="659">
        <v>2.3969999999999998</v>
      </c>
      <c r="C559" s="305"/>
      <c r="D559" s="61" t="s">
        <v>101</v>
      </c>
      <c r="E559" s="1098">
        <v>120</v>
      </c>
      <c r="F559" s="1099">
        <v>0</v>
      </c>
      <c r="G559" s="1208">
        <v>0</v>
      </c>
      <c r="H559" s="1099">
        <v>0</v>
      </c>
      <c r="I559" s="1099">
        <v>0</v>
      </c>
      <c r="J559" s="1208">
        <v>0</v>
      </c>
      <c r="K559" s="1208">
        <v>0</v>
      </c>
      <c r="L559" s="1099">
        <v>200</v>
      </c>
      <c r="M559" s="1099">
        <v>0</v>
      </c>
      <c r="N559" s="1099">
        <v>0</v>
      </c>
      <c r="O559" s="1099">
        <v>0</v>
      </c>
      <c r="P559" s="1099">
        <v>0</v>
      </c>
      <c r="Q559" s="1208">
        <v>0</v>
      </c>
      <c r="R559" s="1208">
        <v>0</v>
      </c>
      <c r="S559" s="1099">
        <v>120</v>
      </c>
      <c r="T559" s="1099">
        <v>0</v>
      </c>
      <c r="U559" s="1099">
        <v>0</v>
      </c>
      <c r="V559" s="1099">
        <v>120</v>
      </c>
      <c r="W559" s="1099">
        <v>0</v>
      </c>
      <c r="X559" s="1208">
        <v>0</v>
      </c>
      <c r="Y559" s="1208">
        <v>0</v>
      </c>
      <c r="Z559" s="1099">
        <v>120</v>
      </c>
      <c r="AA559" s="1099">
        <v>0</v>
      </c>
      <c r="AB559" s="1099"/>
      <c r="AC559" s="1099"/>
      <c r="AD559" s="1099"/>
      <c r="AE559" s="1208"/>
      <c r="AF559" s="1208"/>
      <c r="AG559" s="1099"/>
      <c r="AH559" s="1099"/>
      <c r="AI559" s="1330"/>
      <c r="AJ559" s="62">
        <f>SUM(E559:AI559)</f>
        <v>680</v>
      </c>
      <c r="AK559" s="62"/>
      <c r="AL559" s="63">
        <f>+AJ559*AN555</f>
        <v>3495.2408</v>
      </c>
      <c r="AM559" s="936"/>
      <c r="AN559" s="303">
        <f>+AJ559/AJ557</f>
        <v>3.4013605442176869E-3</v>
      </c>
      <c r="AO559" s="635">
        <f>AO557/AO555</f>
        <v>1.3790540540540543</v>
      </c>
      <c r="AP559" s="39" t="s">
        <v>102</v>
      </c>
      <c r="AQ559" s="56">
        <f>SUM(E559:H559)</f>
        <v>120</v>
      </c>
      <c r="AR559" s="70">
        <f>SUM(I559:O559)</f>
        <v>200</v>
      </c>
      <c r="AS559" s="70">
        <f>SUM(P559:V559)</f>
        <v>240</v>
      </c>
      <c r="AT559" s="70">
        <f>SUM(W559:AC559)</f>
        <v>120</v>
      </c>
      <c r="AU559" s="70">
        <f>SUM(AD559:AI559)</f>
        <v>0</v>
      </c>
      <c r="AV559" s="57">
        <f t="shared" si="1201"/>
        <v>680</v>
      </c>
    </row>
    <row r="560" spans="1:48" s="23" customFormat="1" ht="20.65" customHeight="1">
      <c r="A560" s="276" t="s">
        <v>401</v>
      </c>
      <c r="B560" s="334" t="s">
        <v>390</v>
      </c>
      <c r="C560" s="52" t="s">
        <v>95</v>
      </c>
      <c r="D560" s="67" t="s">
        <v>103</v>
      </c>
      <c r="E560" s="1100">
        <v>84</v>
      </c>
      <c r="F560" s="1101">
        <v>144</v>
      </c>
      <c r="G560" s="1209">
        <v>144</v>
      </c>
      <c r="H560" s="1101">
        <v>144</v>
      </c>
      <c r="I560" s="1101">
        <v>144</v>
      </c>
      <c r="J560" s="1209">
        <v>0</v>
      </c>
      <c r="K560" s="1209">
        <v>0</v>
      </c>
      <c r="L560" s="1101">
        <v>108</v>
      </c>
      <c r="M560" s="1101">
        <v>144</v>
      </c>
      <c r="N560" s="1101">
        <v>144</v>
      </c>
      <c r="O560" s="1101">
        <v>144</v>
      </c>
      <c r="P560" s="1101">
        <v>144</v>
      </c>
      <c r="Q560" s="1209">
        <v>0</v>
      </c>
      <c r="R560" s="1209">
        <v>0</v>
      </c>
      <c r="S560" s="1101">
        <v>96</v>
      </c>
      <c r="T560" s="1101">
        <v>144</v>
      </c>
      <c r="U560" s="1101">
        <v>144</v>
      </c>
      <c r="V560" s="1101">
        <v>144</v>
      </c>
      <c r="W560" s="1101">
        <v>144</v>
      </c>
      <c r="X560" s="1209">
        <v>0</v>
      </c>
      <c r="Y560" s="1209">
        <v>0</v>
      </c>
      <c r="Z560" s="1101">
        <v>84</v>
      </c>
      <c r="AA560" s="1101">
        <v>144</v>
      </c>
      <c r="AB560" s="1101"/>
      <c r="AC560" s="1101"/>
      <c r="AD560" s="1101"/>
      <c r="AE560" s="1209"/>
      <c r="AF560" s="1209"/>
      <c r="AG560" s="1101"/>
      <c r="AH560" s="1101"/>
      <c r="AI560" s="1332"/>
      <c r="AJ560" s="68">
        <f>SUM(E560:AI560)</f>
        <v>2244</v>
      </c>
      <c r="AK560" s="68"/>
      <c r="AL560" s="69">
        <f>+AJ560*AN555</f>
        <v>11534.29464</v>
      </c>
      <c r="AM560" s="937"/>
      <c r="AN560" s="277"/>
      <c r="AO560" s="679"/>
      <c r="AP560" s="39" t="s">
        <v>19</v>
      </c>
      <c r="AQ560" s="56">
        <f>AQ559*AN555</f>
        <v>616.80719999999997</v>
      </c>
      <c r="AR560" s="56">
        <f>AR559*AN555</f>
        <v>1028.0119999999999</v>
      </c>
      <c r="AS560" s="56">
        <f>AS559*AN555</f>
        <v>1233.6143999999999</v>
      </c>
      <c r="AT560" s="56">
        <f>AT559*AN555</f>
        <v>616.80719999999997</v>
      </c>
      <c r="AU560" s="56">
        <f>AU559*AN555</f>
        <v>0</v>
      </c>
      <c r="AV560" s="57">
        <f t="shared" si="1201"/>
        <v>3495.2407999999996</v>
      </c>
    </row>
    <row r="561" spans="1:48" s="23" customFormat="1" ht="20.65" customHeight="1">
      <c r="A561" s="330"/>
      <c r="B561" s="89"/>
      <c r="C561" s="306" t="s">
        <v>387</v>
      </c>
      <c r="D561" s="73" t="s">
        <v>105</v>
      </c>
      <c r="E561" s="1102">
        <v>32</v>
      </c>
      <c r="F561" s="1103">
        <v>80</v>
      </c>
      <c r="G561" s="1210">
        <v>96</v>
      </c>
      <c r="H561" s="1103">
        <v>96</v>
      </c>
      <c r="I561" s="1103">
        <v>80</v>
      </c>
      <c r="J561" s="1210">
        <v>0</v>
      </c>
      <c r="K561" s="1210">
        <v>0</v>
      </c>
      <c r="L561" s="1103">
        <v>56</v>
      </c>
      <c r="M561" s="1103">
        <v>80</v>
      </c>
      <c r="N561" s="1103">
        <v>96</v>
      </c>
      <c r="O561" s="1103">
        <v>96</v>
      </c>
      <c r="P561" s="1103">
        <v>96</v>
      </c>
      <c r="Q561" s="1210">
        <v>0</v>
      </c>
      <c r="R561" s="1210">
        <v>0</v>
      </c>
      <c r="S561" s="1103">
        <v>48</v>
      </c>
      <c r="T561" s="1103">
        <v>80</v>
      </c>
      <c r="U561" s="1103">
        <v>80</v>
      </c>
      <c r="V561" s="1103">
        <v>80</v>
      </c>
      <c r="W561" s="1103">
        <v>80</v>
      </c>
      <c r="X561" s="1210">
        <v>0</v>
      </c>
      <c r="Y561" s="1210">
        <v>0</v>
      </c>
      <c r="Z561" s="1103">
        <v>0</v>
      </c>
      <c r="AA561" s="1103">
        <v>80</v>
      </c>
      <c r="AB561" s="1103"/>
      <c r="AC561" s="1103"/>
      <c r="AD561" s="1103"/>
      <c r="AE561" s="1210"/>
      <c r="AF561" s="1210"/>
      <c r="AG561" s="1103"/>
      <c r="AH561" s="1103"/>
      <c r="AI561" s="1352"/>
      <c r="AJ561" s="74">
        <f>SUM(E561:AI561)</f>
        <v>1256</v>
      </c>
      <c r="AK561" s="74"/>
      <c r="AL561" s="75">
        <f>+AJ561*AN555</f>
        <v>6455.91536</v>
      </c>
      <c r="AM561" s="938"/>
      <c r="AN561" s="91"/>
      <c r="AO561" s="630"/>
      <c r="AP561" s="47" t="s">
        <v>106</v>
      </c>
      <c r="AQ561" s="48">
        <f>AQ557*AN555</f>
        <v>233153.12160000001</v>
      </c>
      <c r="AR561" s="48">
        <f>AR557*AN555</f>
        <v>324687.31008000002</v>
      </c>
      <c r="AS561" s="48">
        <f>AS557*AN555</f>
        <v>293600.22720000002</v>
      </c>
      <c r="AT561" s="48">
        <f>AT557*AN555</f>
        <v>176160.13631999999</v>
      </c>
      <c r="AU561" s="48">
        <f>AU557*AN555</f>
        <v>0</v>
      </c>
      <c r="AV561" s="50">
        <f t="shared" si="1201"/>
        <v>1027600.7952000001</v>
      </c>
    </row>
    <row r="562" spans="1:48" s="23" customFormat="1" ht="20.65" customHeight="1">
      <c r="A562" s="276" t="s">
        <v>401</v>
      </c>
      <c r="B562" s="313"/>
      <c r="C562" s="307"/>
      <c r="D562" s="78" t="s">
        <v>107</v>
      </c>
      <c r="E562" s="1137">
        <v>4</v>
      </c>
      <c r="F562" s="1097">
        <v>4</v>
      </c>
      <c r="G562" s="1205">
        <v>4</v>
      </c>
      <c r="H562" s="1097">
        <v>4</v>
      </c>
      <c r="I562" s="1097">
        <v>4</v>
      </c>
      <c r="J562" s="1205">
        <v>4</v>
      </c>
      <c r="K562" s="1205">
        <v>4</v>
      </c>
      <c r="L562" s="1097">
        <v>4</v>
      </c>
      <c r="M562" s="1097">
        <v>4</v>
      </c>
      <c r="N562" s="1097">
        <v>4</v>
      </c>
      <c r="O562" s="1097">
        <v>4</v>
      </c>
      <c r="P562" s="1097">
        <v>4</v>
      </c>
      <c r="Q562" s="1205">
        <v>4</v>
      </c>
      <c r="R562" s="1205">
        <v>4</v>
      </c>
      <c r="S562" s="1097">
        <v>4</v>
      </c>
      <c r="T562" s="1097">
        <v>4</v>
      </c>
      <c r="U562" s="1097">
        <v>4</v>
      </c>
      <c r="V562" s="1097">
        <v>4</v>
      </c>
      <c r="W562" s="1097">
        <v>4</v>
      </c>
      <c r="X562" s="1205">
        <v>4</v>
      </c>
      <c r="Y562" s="1205">
        <v>4</v>
      </c>
      <c r="Z562" s="1097">
        <v>4</v>
      </c>
      <c r="AA562" s="1097">
        <v>4</v>
      </c>
      <c r="AB562" s="1097">
        <v>4</v>
      </c>
      <c r="AC562" s="1097">
        <v>4</v>
      </c>
      <c r="AD562" s="1097">
        <v>4</v>
      </c>
      <c r="AE562" s="1205">
        <v>4</v>
      </c>
      <c r="AF562" s="1205">
        <v>4</v>
      </c>
      <c r="AG562" s="1097">
        <v>4</v>
      </c>
      <c r="AH562" s="1097">
        <v>4</v>
      </c>
      <c r="AI562" s="1328">
        <v>4</v>
      </c>
      <c r="AJ562" s="79"/>
      <c r="AK562" s="79"/>
      <c r="AL562" s="69"/>
      <c r="AM562" s="937"/>
      <c r="AN562" s="277"/>
      <c r="AO562" s="679"/>
      <c r="AP562" s="47"/>
      <c r="AQ562" s="48"/>
      <c r="AR562" s="48"/>
      <c r="AS562" s="48"/>
      <c r="AT562" s="48"/>
      <c r="AU562" s="48"/>
      <c r="AV562" s="284"/>
    </row>
    <row r="563" spans="1:48" s="23" customFormat="1" ht="20.65" customHeight="1">
      <c r="A563" s="276" t="s">
        <v>401</v>
      </c>
      <c r="B563" s="89"/>
      <c r="C563" s="305"/>
      <c r="D563" s="81" t="s">
        <v>109</v>
      </c>
      <c r="E563" s="1125">
        <f>SUM(E557+E559+E560+E561)/E562</f>
        <v>2075</v>
      </c>
      <c r="F563" s="1126">
        <f>SUM(F557+F559+F560+F561)/F562</f>
        <v>3080</v>
      </c>
      <c r="G563" s="1235">
        <f t="shared" ref="G563:AI563" si="1203">SUM(G557+G559+G560+G561)/G562</f>
        <v>3084</v>
      </c>
      <c r="H563" s="1126">
        <f t="shared" si="1203"/>
        <v>3336</v>
      </c>
      <c r="I563" s="1126">
        <f t="shared" si="1203"/>
        <v>3500</v>
      </c>
      <c r="J563" s="1235">
        <f t="shared" si="1203"/>
        <v>0</v>
      </c>
      <c r="K563" s="1235">
        <f t="shared" si="1203"/>
        <v>0</v>
      </c>
      <c r="L563" s="1126">
        <f t="shared" si="1203"/>
        <v>2359</v>
      </c>
      <c r="M563" s="1126">
        <f t="shared" si="1203"/>
        <v>3584</v>
      </c>
      <c r="N563" s="1126">
        <f t="shared" si="1203"/>
        <v>3336</v>
      </c>
      <c r="O563" s="1126">
        <f t="shared" si="1203"/>
        <v>3336</v>
      </c>
      <c r="P563" s="1126">
        <f t="shared" si="1203"/>
        <v>3336</v>
      </c>
      <c r="Q563" s="1235">
        <f t="shared" si="1203"/>
        <v>0</v>
      </c>
      <c r="R563" s="1235">
        <f t="shared" si="1203"/>
        <v>0</v>
      </c>
      <c r="S563" s="1126">
        <f t="shared" si="1203"/>
        <v>1998</v>
      </c>
      <c r="T563" s="1126">
        <f t="shared" si="1203"/>
        <v>3080</v>
      </c>
      <c r="U563" s="1126">
        <f t="shared" si="1203"/>
        <v>3332</v>
      </c>
      <c r="V563" s="1126">
        <f t="shared" si="1203"/>
        <v>2858</v>
      </c>
      <c r="W563" s="1126">
        <f t="shared" si="1203"/>
        <v>3332</v>
      </c>
      <c r="X563" s="1235">
        <f t="shared" si="1203"/>
        <v>0</v>
      </c>
      <c r="Y563" s="1235">
        <f t="shared" si="1203"/>
        <v>0</v>
      </c>
      <c r="Z563" s="1126">
        <f t="shared" si="1203"/>
        <v>1815</v>
      </c>
      <c r="AA563" s="1126">
        <f t="shared" si="1203"/>
        <v>3584</v>
      </c>
      <c r="AB563" s="1126">
        <f t="shared" si="1203"/>
        <v>0</v>
      </c>
      <c r="AC563" s="1126">
        <f t="shared" si="1203"/>
        <v>0</v>
      </c>
      <c r="AD563" s="1126">
        <f t="shared" si="1203"/>
        <v>0</v>
      </c>
      <c r="AE563" s="1235">
        <f t="shared" si="1203"/>
        <v>0</v>
      </c>
      <c r="AF563" s="1235">
        <f t="shared" si="1203"/>
        <v>0</v>
      </c>
      <c r="AG563" s="1126">
        <f t="shared" si="1203"/>
        <v>0</v>
      </c>
      <c r="AH563" s="1126">
        <f t="shared" si="1203"/>
        <v>0</v>
      </c>
      <c r="AI563" s="1335">
        <f t="shared" si="1203"/>
        <v>0</v>
      </c>
      <c r="AJ563" s="515">
        <f>SUM(E563:AI563)</f>
        <v>51025</v>
      </c>
      <c r="AK563" s="515"/>
      <c r="AL563" s="689"/>
      <c r="AM563" s="940"/>
      <c r="AN563" s="277"/>
      <c r="AO563" s="679"/>
      <c r="AP563" s="285"/>
      <c r="AQ563" s="285"/>
      <c r="AR563" s="285"/>
      <c r="AS563" s="285"/>
      <c r="AT563" s="286"/>
      <c r="AU563" s="285"/>
      <c r="AV563" s="287"/>
    </row>
    <row r="564" spans="1:48" s="23" customFormat="1" ht="20.65" customHeight="1">
      <c r="A564" s="276" t="s">
        <v>401</v>
      </c>
      <c r="B564" s="89" t="s">
        <v>547</v>
      </c>
      <c r="C564" s="72"/>
      <c r="D564" s="85" t="s">
        <v>110</v>
      </c>
      <c r="E564" s="1336"/>
      <c r="F564" s="1106"/>
      <c r="G564" s="1228"/>
      <c r="H564" s="1107"/>
      <c r="I564" s="1107"/>
      <c r="J564" s="1228"/>
      <c r="K564" s="1228"/>
      <c r="L564" s="1107"/>
      <c r="M564" s="1107"/>
      <c r="N564" s="1107"/>
      <c r="O564" s="1107"/>
      <c r="P564" s="1107"/>
      <c r="Q564" s="1228"/>
      <c r="R564" s="1228"/>
      <c r="S564" s="1107"/>
      <c r="T564" s="1107"/>
      <c r="U564" s="1107"/>
      <c r="V564" s="1107"/>
      <c r="W564" s="1107"/>
      <c r="X564" s="1228"/>
      <c r="Y564" s="1228"/>
      <c r="Z564" s="1107"/>
      <c r="AA564" s="1107"/>
      <c r="AB564" s="1107"/>
      <c r="AC564" s="1107"/>
      <c r="AD564" s="1107"/>
      <c r="AE564" s="1228"/>
      <c r="AF564" s="1228"/>
      <c r="AG564" s="1107"/>
      <c r="AH564" s="1107"/>
      <c r="AI564" s="1337"/>
      <c r="AJ564" s="86"/>
      <c r="AK564" s="86"/>
      <c r="AL564" s="690"/>
      <c r="AM564" s="940"/>
      <c r="AN564" s="277"/>
      <c r="AO564" s="679"/>
      <c r="AP564" s="285"/>
      <c r="AQ564" s="285"/>
      <c r="AR564" s="285"/>
      <c r="AS564" s="285"/>
      <c r="AT564" s="286"/>
      <c r="AU564" s="285"/>
      <c r="AV564" s="287"/>
    </row>
    <row r="565" spans="1:48" s="23" customFormat="1" ht="20.65" customHeight="1">
      <c r="A565" s="276" t="s">
        <v>401</v>
      </c>
      <c r="B565" s="89"/>
      <c r="C565" s="72" t="s">
        <v>104</v>
      </c>
      <c r="D565" s="88" t="s">
        <v>111</v>
      </c>
      <c r="E565" s="1108">
        <f>IF(E564="O/H",E563,50330+E563)</f>
        <v>52405</v>
      </c>
      <c r="F565" s="1089">
        <f t="shared" ref="F565:AI565" si="1204">IF(F564="O/H",F563,+E565+F563)</f>
        <v>55485</v>
      </c>
      <c r="G565" s="44">
        <f t="shared" si="1204"/>
        <v>58569</v>
      </c>
      <c r="H565" s="1089">
        <f t="shared" si="1204"/>
        <v>61905</v>
      </c>
      <c r="I565" s="1089">
        <f t="shared" si="1204"/>
        <v>65405</v>
      </c>
      <c r="J565" s="44">
        <f t="shared" si="1204"/>
        <v>65405</v>
      </c>
      <c r="K565" s="44">
        <f t="shared" si="1204"/>
        <v>65405</v>
      </c>
      <c r="L565" s="1089">
        <f t="shared" si="1204"/>
        <v>67764</v>
      </c>
      <c r="M565" s="1089">
        <f t="shared" si="1204"/>
        <v>71348</v>
      </c>
      <c r="N565" s="1089">
        <f t="shared" si="1204"/>
        <v>74684</v>
      </c>
      <c r="O565" s="1089">
        <f t="shared" si="1204"/>
        <v>78020</v>
      </c>
      <c r="P565" s="1089">
        <f t="shared" si="1204"/>
        <v>81356</v>
      </c>
      <c r="Q565" s="44">
        <f t="shared" si="1204"/>
        <v>81356</v>
      </c>
      <c r="R565" s="44">
        <f t="shared" si="1204"/>
        <v>81356</v>
      </c>
      <c r="S565" s="1089">
        <f t="shared" si="1204"/>
        <v>83354</v>
      </c>
      <c r="T565" s="1089">
        <f t="shared" si="1204"/>
        <v>86434</v>
      </c>
      <c r="U565" s="1089">
        <f t="shared" si="1204"/>
        <v>89766</v>
      </c>
      <c r="V565" s="1089">
        <f t="shared" si="1204"/>
        <v>92624</v>
      </c>
      <c r="W565" s="1089">
        <f t="shared" si="1204"/>
        <v>95956</v>
      </c>
      <c r="X565" s="44">
        <f t="shared" si="1204"/>
        <v>95956</v>
      </c>
      <c r="Y565" s="44">
        <f t="shared" si="1204"/>
        <v>95956</v>
      </c>
      <c r="Z565" s="1089">
        <f t="shared" si="1204"/>
        <v>97771</v>
      </c>
      <c r="AA565" s="1089">
        <f t="shared" si="1204"/>
        <v>101355</v>
      </c>
      <c r="AB565" s="1089">
        <f t="shared" si="1204"/>
        <v>101355</v>
      </c>
      <c r="AC565" s="1089">
        <f t="shared" si="1204"/>
        <v>101355</v>
      </c>
      <c r="AD565" s="1089">
        <f t="shared" si="1204"/>
        <v>101355</v>
      </c>
      <c r="AE565" s="44">
        <f t="shared" si="1204"/>
        <v>101355</v>
      </c>
      <c r="AF565" s="44">
        <f t="shared" si="1204"/>
        <v>101355</v>
      </c>
      <c r="AG565" s="1089">
        <f t="shared" si="1204"/>
        <v>101355</v>
      </c>
      <c r="AH565" s="1089">
        <f t="shared" si="1204"/>
        <v>101355</v>
      </c>
      <c r="AI565" s="1326">
        <f t="shared" si="1204"/>
        <v>101355</v>
      </c>
      <c r="AJ565" s="79"/>
      <c r="AK565" s="79"/>
      <c r="AL565" s="690"/>
      <c r="AM565" s="940"/>
      <c r="AN565" s="277"/>
      <c r="AO565" s="679"/>
      <c r="AP565" s="285"/>
      <c r="AQ565" s="285"/>
      <c r="AR565" s="285"/>
      <c r="AS565" s="285"/>
      <c r="AT565" s="286"/>
      <c r="AU565" s="285"/>
      <c r="AV565" s="287"/>
    </row>
    <row r="566" spans="1:48" s="23" customFormat="1" ht="20.65" customHeight="1">
      <c r="A566" s="274"/>
      <c r="B566" s="312"/>
      <c r="C566" s="308">
        <v>300000</v>
      </c>
      <c r="D566" s="795" t="s">
        <v>112</v>
      </c>
      <c r="E566" s="1117">
        <f>IF(AND(ISNUMBER(E557)),50344+E563)</f>
        <v>52419</v>
      </c>
      <c r="F566" s="1118">
        <f>IF(AND(ISNUMBER(F557)),E566+F563,"")</f>
        <v>55499</v>
      </c>
      <c r="G566" s="1216">
        <f t="shared" ref="G566" si="1205">IF(AND(ISNUMBER(G557)),F566+G563,"")</f>
        <v>58583</v>
      </c>
      <c r="H566" s="1118">
        <f t="shared" ref="H566" si="1206">IF(AND(ISNUMBER(H557)),G566+H563,"")</f>
        <v>61919</v>
      </c>
      <c r="I566" s="1118">
        <f>IF(AND(ISNUMBER(I557)),H566+I563,"")</f>
        <v>65419</v>
      </c>
      <c r="J566" s="1216">
        <f>IF(AND(ISNUMBER(J557)),I566+J563,"")</f>
        <v>65419</v>
      </c>
      <c r="K566" s="1216">
        <f>IF(AND(ISNUMBER(K557)),J566+K563,"")</f>
        <v>65419</v>
      </c>
      <c r="L566" s="1118">
        <f t="shared" ref="L566" si="1207">IF(AND(ISNUMBER(L557)),K566+L563,"")</f>
        <v>67778</v>
      </c>
      <c r="M566" s="1118">
        <f t="shared" ref="M566" si="1208">IF(AND(ISNUMBER(M557)),L566+M563,"")</f>
        <v>71362</v>
      </c>
      <c r="N566" s="1118">
        <f t="shared" ref="N566" si="1209">IF(AND(ISNUMBER(N557)),M566+N563,"")</f>
        <v>74698</v>
      </c>
      <c r="O566" s="1118">
        <f t="shared" ref="O566" si="1210">IF(AND(ISNUMBER(O557)),N566+O563,"")</f>
        <v>78034</v>
      </c>
      <c r="P566" s="1118">
        <f t="shared" ref="P566" si="1211">IF(AND(ISNUMBER(P557)),O566+P563,"")</f>
        <v>81370</v>
      </c>
      <c r="Q566" s="1216">
        <f t="shared" ref="Q566" si="1212">IF(AND(ISNUMBER(Q557)),P566+Q563,"")</f>
        <v>81370</v>
      </c>
      <c r="R566" s="1216">
        <f t="shared" ref="R566" si="1213">IF(AND(ISNUMBER(R557)),Q566+R563,"")</f>
        <v>81370</v>
      </c>
      <c r="S566" s="1118">
        <f t="shared" ref="S566" si="1214">IF(AND(ISNUMBER(S557)),R566+S563,"")</f>
        <v>83368</v>
      </c>
      <c r="T566" s="1118">
        <f t="shared" ref="T566" si="1215">IF(AND(ISNUMBER(T557)),S566+T563,"")</f>
        <v>86448</v>
      </c>
      <c r="U566" s="1118">
        <f t="shared" ref="U566" si="1216">IF(AND(ISNUMBER(U557)),T566+U563,"")</f>
        <v>89780</v>
      </c>
      <c r="V566" s="1118">
        <f t="shared" ref="V566" si="1217">IF(AND(ISNUMBER(V557)),U566+V563,"")</f>
        <v>92638</v>
      </c>
      <c r="W566" s="1118">
        <f t="shared" ref="W566" si="1218">IF(AND(ISNUMBER(W557)),V566+W563,"")</f>
        <v>95970</v>
      </c>
      <c r="X566" s="1216">
        <f t="shared" ref="X566" si="1219">IF(AND(ISNUMBER(X557)),W566+X563,"")</f>
        <v>95970</v>
      </c>
      <c r="Y566" s="1216">
        <f t="shared" ref="Y566" si="1220">IF(AND(ISNUMBER(Y557)),X566+Y563,"")</f>
        <v>95970</v>
      </c>
      <c r="Z566" s="1118">
        <f t="shared" ref="Z566" si="1221">IF(AND(ISNUMBER(Z557)),Y566+Z563,"")</f>
        <v>97785</v>
      </c>
      <c r="AA566" s="1118">
        <f t="shared" ref="AA566" si="1222">IF(AND(ISNUMBER(AA557)),Z566+AA563,"")</f>
        <v>101369</v>
      </c>
      <c r="AB566" s="1118" t="str">
        <f t="shared" ref="AB566" si="1223">IF(AND(ISNUMBER(AB557)),AA566+AB563,"")</f>
        <v/>
      </c>
      <c r="AC566" s="1118" t="str">
        <f t="shared" ref="AC566" si="1224">IF(AND(ISNUMBER(AC557)),AB566+AC563,"")</f>
        <v/>
      </c>
      <c r="AD566" s="1118" t="str">
        <f t="shared" ref="AD566" si="1225">IF(AND(ISNUMBER(AD557)),AC566+AD563,"")</f>
        <v/>
      </c>
      <c r="AE566" s="1216" t="str">
        <f t="shared" ref="AE566" si="1226">IF(AND(ISNUMBER(AE557)),AD566+AE563,"")</f>
        <v/>
      </c>
      <c r="AF566" s="1216" t="str">
        <f t="shared" ref="AF566" si="1227">IF(AND(ISNUMBER(AF557)),AE566+AF563,"")</f>
        <v/>
      </c>
      <c r="AG566" s="1118" t="str">
        <f t="shared" ref="AG566" si="1228">IF(AND(ISNUMBER(AG557)),AF566+AG563,"")</f>
        <v/>
      </c>
      <c r="AH566" s="1118" t="str">
        <f t="shared" ref="AH566" si="1229">IF(AND(ISNUMBER(AH557)),AG566+AH563,"")</f>
        <v/>
      </c>
      <c r="AI566" s="1118" t="str">
        <f t="shared" ref="AI566" si="1230">IF(AND(ISNUMBER(AI557)),AH566+AI563,"")</f>
        <v/>
      </c>
      <c r="AJ566" s="793"/>
      <c r="AK566" s="793"/>
      <c r="AL566" s="909"/>
      <c r="AM566" s="794"/>
      <c r="AN566" s="76"/>
      <c r="AO566" s="630"/>
      <c r="AP566" s="285"/>
      <c r="AQ566" s="285"/>
      <c r="AR566" s="285"/>
      <c r="AS566" s="285"/>
      <c r="AT566" s="286"/>
      <c r="AU566" s="285"/>
      <c r="AV566" s="287"/>
    </row>
    <row r="567" spans="1:48" s="23" customFormat="1" ht="20.65" customHeight="1">
      <c r="A567" s="276"/>
      <c r="B567" s="89"/>
      <c r="C567" s="80" t="s">
        <v>108</v>
      </c>
      <c r="D567" s="90" t="s">
        <v>104</v>
      </c>
      <c r="E567" s="1338"/>
      <c r="F567" s="1106"/>
      <c r="G567" s="1253"/>
      <c r="H567" s="1106"/>
      <c r="I567" s="1106"/>
      <c r="J567" s="1253"/>
      <c r="K567" s="1253"/>
      <c r="L567" s="1106"/>
      <c r="M567" s="1106"/>
      <c r="N567" s="1106"/>
      <c r="O567" s="1106"/>
      <c r="P567" s="1106"/>
      <c r="Q567" s="1253"/>
      <c r="R567" s="1253"/>
      <c r="S567" s="1106"/>
      <c r="T567" s="1106"/>
      <c r="U567" s="1106"/>
      <c r="V567" s="1106"/>
      <c r="W567" s="1106"/>
      <c r="X567" s="1253"/>
      <c r="Y567" s="1253"/>
      <c r="Z567" s="1106"/>
      <c r="AA567" s="1106"/>
      <c r="AB567" s="1106"/>
      <c r="AC567" s="1106"/>
      <c r="AD567" s="1106"/>
      <c r="AE567" s="1253"/>
      <c r="AF567" s="1253"/>
      <c r="AG567" s="1106"/>
      <c r="AH567" s="1106"/>
      <c r="AI567" s="1339"/>
      <c r="AJ567" s="79"/>
      <c r="AK567" s="79"/>
      <c r="AL567" s="690"/>
      <c r="AM567" s="940"/>
      <c r="AN567" s="301"/>
      <c r="AO567" s="680"/>
      <c r="AP567" s="285"/>
      <c r="AQ567" s="285"/>
      <c r="AR567" s="285"/>
      <c r="AS567" s="285"/>
      <c r="AT567" s="286"/>
      <c r="AU567" s="285"/>
      <c r="AV567" s="287"/>
    </row>
    <row r="568" spans="1:48" s="23" customFormat="1" ht="20.65" customHeight="1" thickBot="1">
      <c r="A568" s="289"/>
      <c r="B568" s="93"/>
      <c r="C568" s="94">
        <f>+C566*0.8</f>
        <v>240000</v>
      </c>
      <c r="D568" s="88" t="s">
        <v>111</v>
      </c>
      <c r="E568" s="1109">
        <f>IF(E567="O/H",E563,50330+E563)</f>
        <v>52405</v>
      </c>
      <c r="F568" s="1110">
        <f t="shared" ref="F568:AI568" si="1231">IF(F567="O/H",F563,+E568+F563)</f>
        <v>55485</v>
      </c>
      <c r="G568" s="1212">
        <f t="shared" si="1231"/>
        <v>58569</v>
      </c>
      <c r="H568" s="1110">
        <f t="shared" si="1231"/>
        <v>61905</v>
      </c>
      <c r="I568" s="1110">
        <f t="shared" si="1231"/>
        <v>65405</v>
      </c>
      <c r="J568" s="1212">
        <f t="shared" si="1231"/>
        <v>65405</v>
      </c>
      <c r="K568" s="1212">
        <f t="shared" si="1231"/>
        <v>65405</v>
      </c>
      <c r="L568" s="1110">
        <f t="shared" si="1231"/>
        <v>67764</v>
      </c>
      <c r="M568" s="1110">
        <f t="shared" si="1231"/>
        <v>71348</v>
      </c>
      <c r="N568" s="1110">
        <f t="shared" si="1231"/>
        <v>74684</v>
      </c>
      <c r="O568" s="1110">
        <f t="shared" si="1231"/>
        <v>78020</v>
      </c>
      <c r="P568" s="1110">
        <f t="shared" si="1231"/>
        <v>81356</v>
      </c>
      <c r="Q568" s="1212">
        <f t="shared" si="1231"/>
        <v>81356</v>
      </c>
      <c r="R568" s="1212">
        <f t="shared" si="1231"/>
        <v>81356</v>
      </c>
      <c r="S568" s="1110">
        <f t="shared" si="1231"/>
        <v>83354</v>
      </c>
      <c r="T568" s="1110">
        <f t="shared" si="1231"/>
        <v>86434</v>
      </c>
      <c r="U568" s="1110">
        <f t="shared" si="1231"/>
        <v>89766</v>
      </c>
      <c r="V568" s="1110">
        <f t="shared" si="1231"/>
        <v>92624</v>
      </c>
      <c r="W568" s="1110">
        <f t="shared" si="1231"/>
        <v>95956</v>
      </c>
      <c r="X568" s="1212">
        <f t="shared" si="1231"/>
        <v>95956</v>
      </c>
      <c r="Y568" s="1212">
        <f t="shared" si="1231"/>
        <v>95956</v>
      </c>
      <c r="Z568" s="1110">
        <f t="shared" si="1231"/>
        <v>97771</v>
      </c>
      <c r="AA568" s="1110">
        <f t="shared" si="1231"/>
        <v>101355</v>
      </c>
      <c r="AB568" s="1110">
        <f t="shared" si="1231"/>
        <v>101355</v>
      </c>
      <c r="AC568" s="1110">
        <f t="shared" si="1231"/>
        <v>101355</v>
      </c>
      <c r="AD568" s="1110">
        <f t="shared" si="1231"/>
        <v>101355</v>
      </c>
      <c r="AE568" s="1212">
        <f t="shared" si="1231"/>
        <v>101355</v>
      </c>
      <c r="AF568" s="1212">
        <f t="shared" si="1231"/>
        <v>101355</v>
      </c>
      <c r="AG568" s="1110">
        <f t="shared" si="1231"/>
        <v>101355</v>
      </c>
      <c r="AH568" s="1110">
        <f t="shared" si="1231"/>
        <v>101355</v>
      </c>
      <c r="AI568" s="1340">
        <f t="shared" si="1231"/>
        <v>101355</v>
      </c>
      <c r="AJ568" s="96"/>
      <c r="AK568" s="723"/>
      <c r="AL568" s="695"/>
      <c r="AM568" s="961"/>
      <c r="AN568" s="292"/>
      <c r="AO568" s="681"/>
      <c r="AP568" s="285"/>
      <c r="AQ568" s="285"/>
      <c r="AR568" s="285"/>
      <c r="AS568" s="285"/>
      <c r="AT568" s="286"/>
      <c r="AU568" s="285"/>
      <c r="AV568" s="287"/>
    </row>
    <row r="569" spans="1:48" s="23" customFormat="1" ht="20.65" hidden="1" customHeight="1" thickTop="1">
      <c r="A569" s="283" t="s">
        <v>700</v>
      </c>
      <c r="B569" s="89"/>
      <c r="C569" s="1493" t="str">
        <f>Table2[[#This Row],[M/C No.]]</f>
        <v>H16(50ton)</v>
      </c>
      <c r="D569" s="28" t="s">
        <v>82</v>
      </c>
      <c r="E569" s="1124"/>
      <c r="F569" s="1124"/>
      <c r="G569" s="1242"/>
      <c r="H569" s="1124"/>
      <c r="I569" s="1124"/>
      <c r="J569" s="1242"/>
      <c r="K569" s="1242"/>
      <c r="L569" s="1124"/>
      <c r="M569" s="1124"/>
      <c r="N569" s="1124"/>
      <c r="O569" s="1124"/>
      <c r="P569" s="1124"/>
      <c r="Q569" s="1242"/>
      <c r="R569" s="1242"/>
      <c r="S569" s="1124"/>
      <c r="T569" s="1124"/>
      <c r="U569" s="1124"/>
      <c r="V569" s="1124"/>
      <c r="W569" s="1124"/>
      <c r="X569" s="1242"/>
      <c r="Y569" s="1242"/>
      <c r="Z569" s="1124"/>
      <c r="AA569" s="1124"/>
      <c r="AB569" s="1124"/>
      <c r="AC569" s="1124"/>
      <c r="AD569" s="1124"/>
      <c r="AE569" s="1242"/>
      <c r="AF569" s="1242"/>
      <c r="AG569" s="1124"/>
      <c r="AH569" s="1124"/>
      <c r="AI569" s="1350"/>
      <c r="AJ569" s="100">
        <f>SUM(E569:AI569)</f>
        <v>0</v>
      </c>
      <c r="AK569" s="1000">
        <f>AJ571</f>
        <v>0</v>
      </c>
      <c r="AL569" s="101">
        <f>+AJ569*AN569</f>
        <v>0</v>
      </c>
      <c r="AM569" s="1019">
        <f>AL571</f>
        <v>0</v>
      </c>
      <c r="AN569" s="293">
        <v>4.2064200000000005</v>
      </c>
      <c r="AO569" s="633">
        <f>Table2[[#This Row],[Total]]*B573/1000</f>
        <v>0</v>
      </c>
      <c r="AP569" s="32" t="s">
        <v>426</v>
      </c>
      <c r="AQ569" s="33" t="s">
        <v>84</v>
      </c>
      <c r="AR569" s="33" t="s">
        <v>85</v>
      </c>
      <c r="AS569" s="33" t="s">
        <v>86</v>
      </c>
      <c r="AT569" s="33" t="s">
        <v>87</v>
      </c>
      <c r="AU569" s="33" t="s">
        <v>88</v>
      </c>
      <c r="AV569" s="34" t="s">
        <v>68</v>
      </c>
    </row>
    <row r="570" spans="1:48" s="23" customFormat="1" ht="20.65" hidden="1" customHeight="1">
      <c r="A570" s="274"/>
      <c r="B570" s="89" t="s">
        <v>385</v>
      </c>
      <c r="C570" s="275"/>
      <c r="D570" s="37" t="s">
        <v>90</v>
      </c>
      <c r="E570" s="1323">
        <f>IF(E569="",0,+ E569/E576)</f>
        <v>0</v>
      </c>
      <c r="F570" s="1096">
        <f t="shared" ref="F570:AC570" si="1232">IF(F569="",0, E570+F569/F576)</f>
        <v>0</v>
      </c>
      <c r="G570" s="1207">
        <f t="shared" si="1232"/>
        <v>0</v>
      </c>
      <c r="H570" s="1096">
        <f t="shared" si="1232"/>
        <v>0</v>
      </c>
      <c r="I570" s="1096">
        <f t="shared" si="1232"/>
        <v>0</v>
      </c>
      <c r="J570" s="1207">
        <f t="shared" si="1232"/>
        <v>0</v>
      </c>
      <c r="K570" s="1207">
        <f t="shared" si="1232"/>
        <v>0</v>
      </c>
      <c r="L570" s="1096">
        <f t="shared" si="1232"/>
        <v>0</v>
      </c>
      <c r="M570" s="1096">
        <f t="shared" si="1232"/>
        <v>0</v>
      </c>
      <c r="N570" s="1096">
        <f t="shared" si="1232"/>
        <v>0</v>
      </c>
      <c r="O570" s="1096">
        <f t="shared" si="1232"/>
        <v>0</v>
      </c>
      <c r="P570" s="1096">
        <f t="shared" si="1232"/>
        <v>0</v>
      </c>
      <c r="Q570" s="1207">
        <f t="shared" si="1232"/>
        <v>0</v>
      </c>
      <c r="R570" s="1207">
        <f t="shared" si="1232"/>
        <v>0</v>
      </c>
      <c r="S570" s="1096">
        <f t="shared" si="1232"/>
        <v>0</v>
      </c>
      <c r="T570" s="1096">
        <f t="shared" si="1232"/>
        <v>0</v>
      </c>
      <c r="U570" s="1096">
        <f t="shared" si="1232"/>
        <v>0</v>
      </c>
      <c r="V570" s="1096">
        <f t="shared" si="1232"/>
        <v>0</v>
      </c>
      <c r="W570" s="1096">
        <f t="shared" si="1232"/>
        <v>0</v>
      </c>
      <c r="X570" s="1207">
        <f t="shared" si="1232"/>
        <v>0</v>
      </c>
      <c r="Y570" s="1207">
        <f>IF(Y569="",0, X570+Y569/Y576)</f>
        <v>0</v>
      </c>
      <c r="Z570" s="1096">
        <f>IF(Z569="",0, Y570+Z569/Z576)</f>
        <v>0</v>
      </c>
      <c r="AA570" s="1096">
        <f t="shared" si="1232"/>
        <v>0</v>
      </c>
      <c r="AB570" s="1096">
        <f t="shared" si="1232"/>
        <v>0</v>
      </c>
      <c r="AC570" s="1096">
        <f t="shared" si="1232"/>
        <v>0</v>
      </c>
      <c r="AD570" s="1096">
        <f>IF(AD569="",0, Z570+AD569/AD576)</f>
        <v>0</v>
      </c>
      <c r="AE570" s="1207">
        <f>IF(AE569="",0, AA570+AE569/AE576)</f>
        <v>0</v>
      </c>
      <c r="AF570" s="1207">
        <f>IF(AF569="",0, AB570+AF569/AF576)</f>
        <v>0</v>
      </c>
      <c r="AG570" s="1096">
        <f>IF(AG569="",0, AC570+AG569/AG576)</f>
        <v>0</v>
      </c>
      <c r="AH570" s="1096">
        <f>IF(AH569="",0, AD570+AH569/AH576)</f>
        <v>0</v>
      </c>
      <c r="AI570" s="1324">
        <f>IF(AI569="",0, AH570+AI569/AI576)</f>
        <v>0</v>
      </c>
      <c r="AJ570" s="716"/>
      <c r="AK570" s="716"/>
      <c r="AL570" s="209"/>
      <c r="AM570" s="794"/>
      <c r="AN570" s="91"/>
      <c r="AO570" s="675"/>
      <c r="AP570" s="39" t="s">
        <v>91</v>
      </c>
      <c r="AQ570" s="40">
        <f>SUM(E569:H569)</f>
        <v>0</v>
      </c>
      <c r="AR570" s="41">
        <f>SUM(I569:O569)</f>
        <v>0</v>
      </c>
      <c r="AS570" s="41">
        <f>SUM(P569:V569)</f>
        <v>0</v>
      </c>
      <c r="AT570" s="41">
        <f>SUM(W569:AC569)</f>
        <v>0</v>
      </c>
      <c r="AU570" s="41">
        <f>SUM(AD569:AI569)</f>
        <v>0</v>
      </c>
      <c r="AV570" s="34">
        <f t="shared" ref="AV570:AV575" si="1233">SUM(AQ570:AU570)</f>
        <v>0</v>
      </c>
    </row>
    <row r="571" spans="1:48" s="23" customFormat="1" ht="20.65" hidden="1" customHeight="1">
      <c r="A571" s="276" t="s">
        <v>401</v>
      </c>
      <c r="B571" s="89" t="s">
        <v>246</v>
      </c>
      <c r="C571" s="275" t="s">
        <v>95</v>
      </c>
      <c r="D571" s="43" t="s">
        <v>93</v>
      </c>
      <c r="E571" s="1108"/>
      <c r="F571" s="1089"/>
      <c r="G571" s="44"/>
      <c r="H571" s="1089"/>
      <c r="I571" s="1089"/>
      <c r="J571" s="44"/>
      <c r="K571" s="44"/>
      <c r="L571" s="1089"/>
      <c r="M571" s="1089"/>
      <c r="N571" s="1089"/>
      <c r="O571" s="1089"/>
      <c r="P571" s="1089"/>
      <c r="Q571" s="44"/>
      <c r="R571" s="44"/>
      <c r="S571" s="1089"/>
      <c r="T571" s="1089"/>
      <c r="U571" s="1089"/>
      <c r="V571" s="1089"/>
      <c r="W571" s="1089"/>
      <c r="X571" s="44"/>
      <c r="Y571" s="44"/>
      <c r="Z571" s="1089"/>
      <c r="AA571" s="1089"/>
      <c r="AB571" s="1089"/>
      <c r="AC571" s="1089"/>
      <c r="AD571" s="1089"/>
      <c r="AE571" s="44"/>
      <c r="AF571" s="44"/>
      <c r="AG571" s="1089"/>
      <c r="AH571" s="1089"/>
      <c r="AI571" s="1326"/>
      <c r="AJ571" s="45">
        <f>SUM(E571:AI571)</f>
        <v>0</v>
      </c>
      <c r="AK571" s="45"/>
      <c r="AL571" s="46">
        <f>+AJ571*AN569</f>
        <v>0</v>
      </c>
      <c r="AM571" s="934"/>
      <c r="AN571" s="277"/>
      <c r="AO571" s="632">
        <f>(AJ571+AJ573+AJ574+AJ575)*B573/1000</f>
        <v>0</v>
      </c>
      <c r="AP571" s="47" t="s">
        <v>94</v>
      </c>
      <c r="AQ571" s="48">
        <f>SUM(E571:H571)</f>
        <v>0</v>
      </c>
      <c r="AR571" s="49">
        <f>SUM(I571:O571)</f>
        <v>0</v>
      </c>
      <c r="AS571" s="49">
        <f>SUM(P571:V571)</f>
        <v>0</v>
      </c>
      <c r="AT571" s="49">
        <f>SUM(W571:AC571)</f>
        <v>0</v>
      </c>
      <c r="AU571" s="49">
        <f>SUM(AD571:AI571)</f>
        <v>0</v>
      </c>
      <c r="AV571" s="50">
        <f t="shared" si="1233"/>
        <v>0</v>
      </c>
    </row>
    <row r="572" spans="1:48" s="23" customFormat="1" ht="20.65" hidden="1" customHeight="1">
      <c r="A572" s="276" t="s">
        <v>401</v>
      </c>
      <c r="B572" s="763" t="s">
        <v>247</v>
      </c>
      <c r="C572" s="1494">
        <v>31250</v>
      </c>
      <c r="D572" s="53" t="s">
        <v>96</v>
      </c>
      <c r="E572" s="1137">
        <f t="shared" ref="E572:AI572" si="1234">+E571-E569</f>
        <v>0</v>
      </c>
      <c r="F572" s="1097">
        <f>+F571-F569</f>
        <v>0</v>
      </c>
      <c r="G572" s="1205">
        <f t="shared" si="1234"/>
        <v>0</v>
      </c>
      <c r="H572" s="1097">
        <f>+H571-H569</f>
        <v>0</v>
      </c>
      <c r="I572" s="1097">
        <f t="shared" si="1234"/>
        <v>0</v>
      </c>
      <c r="J572" s="1205">
        <f>+J571-J569</f>
        <v>0</v>
      </c>
      <c r="K572" s="1205">
        <f t="shared" si="1234"/>
        <v>0</v>
      </c>
      <c r="L572" s="1097">
        <f t="shared" si="1234"/>
        <v>0</v>
      </c>
      <c r="M572" s="1097">
        <f t="shared" si="1234"/>
        <v>0</v>
      </c>
      <c r="N572" s="1097">
        <f t="shared" si="1234"/>
        <v>0</v>
      </c>
      <c r="O572" s="1097">
        <f t="shared" si="1234"/>
        <v>0</v>
      </c>
      <c r="P572" s="1097">
        <f t="shared" si="1234"/>
        <v>0</v>
      </c>
      <c r="Q572" s="1205">
        <f t="shared" si="1234"/>
        <v>0</v>
      </c>
      <c r="R572" s="1205">
        <f t="shared" si="1234"/>
        <v>0</v>
      </c>
      <c r="S572" s="1097">
        <f t="shared" si="1234"/>
        <v>0</v>
      </c>
      <c r="T572" s="1097">
        <f>+T571-T569</f>
        <v>0</v>
      </c>
      <c r="U572" s="1097">
        <f>+U571-U569</f>
        <v>0</v>
      </c>
      <c r="V572" s="1097">
        <f>+V571-V569</f>
        <v>0</v>
      </c>
      <c r="W572" s="1097">
        <f>+W571-W569</f>
        <v>0</v>
      </c>
      <c r="X572" s="1205">
        <f t="shared" si="1234"/>
        <v>0</v>
      </c>
      <c r="Y572" s="1205">
        <f t="shared" si="1234"/>
        <v>0</v>
      </c>
      <c r="Z572" s="1097">
        <f t="shared" si="1234"/>
        <v>0</v>
      </c>
      <c r="AA572" s="1097">
        <f t="shared" si="1234"/>
        <v>0</v>
      </c>
      <c r="AB572" s="1097">
        <f t="shared" si="1234"/>
        <v>0</v>
      </c>
      <c r="AC572" s="1097">
        <f t="shared" si="1234"/>
        <v>0</v>
      </c>
      <c r="AD572" s="1097">
        <f t="shared" si="1234"/>
        <v>0</v>
      </c>
      <c r="AE572" s="1205">
        <f t="shared" si="1234"/>
        <v>0</v>
      </c>
      <c r="AF572" s="1205">
        <f t="shared" si="1234"/>
        <v>0</v>
      </c>
      <c r="AG572" s="1097">
        <f t="shared" si="1234"/>
        <v>0</v>
      </c>
      <c r="AH572" s="1097">
        <f t="shared" si="1234"/>
        <v>0</v>
      </c>
      <c r="AI572" s="1328">
        <f t="shared" si="1234"/>
        <v>0</v>
      </c>
      <c r="AJ572" s="79">
        <f>+AJ571-AJ569</f>
        <v>0</v>
      </c>
      <c r="AK572" s="79"/>
      <c r="AL572" s="55">
        <f>+AJ572*AN569</f>
        <v>0</v>
      </c>
      <c r="AM572" s="935"/>
      <c r="AN572" s="277" t="s">
        <v>97</v>
      </c>
      <c r="AO572" s="622"/>
      <c r="AP572" s="39" t="s">
        <v>98</v>
      </c>
      <c r="AQ572" s="56">
        <f>AQ571-AQ570</f>
        <v>0</v>
      </c>
      <c r="AR572" s="70">
        <f>AR571-AR570</f>
        <v>0</v>
      </c>
      <c r="AS572" s="70">
        <f>AS571-AS570</f>
        <v>0</v>
      </c>
      <c r="AT572" s="70">
        <f>AT571-AT570</f>
        <v>0</v>
      </c>
      <c r="AU572" s="70">
        <f>AU571-AU570</f>
        <v>0</v>
      </c>
      <c r="AV572" s="57">
        <f t="shared" si="1233"/>
        <v>0</v>
      </c>
    </row>
    <row r="573" spans="1:48" s="23" customFormat="1" ht="20.65" hidden="1" customHeight="1">
      <c r="A573" s="276" t="s">
        <v>401</v>
      </c>
      <c r="B573" s="764">
        <v>2.1890000000000001</v>
      </c>
      <c r="C573" s="89" t="s">
        <v>108</v>
      </c>
      <c r="D573" s="61" t="s">
        <v>101</v>
      </c>
      <c r="E573" s="1098"/>
      <c r="F573" s="1099"/>
      <c r="G573" s="1208"/>
      <c r="H573" s="1099"/>
      <c r="I573" s="1099"/>
      <c r="J573" s="1208"/>
      <c r="K573" s="1208"/>
      <c r="L573" s="1099"/>
      <c r="M573" s="1099"/>
      <c r="N573" s="1099"/>
      <c r="O573" s="1099"/>
      <c r="P573" s="1099"/>
      <c r="Q573" s="1208"/>
      <c r="R573" s="1208"/>
      <c r="S573" s="1099"/>
      <c r="T573" s="1099"/>
      <c r="U573" s="1099"/>
      <c r="V573" s="1099"/>
      <c r="W573" s="1099"/>
      <c r="X573" s="1208"/>
      <c r="Y573" s="1208"/>
      <c r="Z573" s="1099"/>
      <c r="AA573" s="1099"/>
      <c r="AB573" s="1099"/>
      <c r="AC573" s="1099"/>
      <c r="AD573" s="1099"/>
      <c r="AE573" s="1208"/>
      <c r="AF573" s="1208"/>
      <c r="AG573" s="1099"/>
      <c r="AH573" s="1099"/>
      <c r="AI573" s="1330"/>
      <c r="AJ573" s="62">
        <f>SUM(E573:AI573)</f>
        <v>0</v>
      </c>
      <c r="AK573" s="62"/>
      <c r="AL573" s="63">
        <f>+AJ573*AN569</f>
        <v>0</v>
      </c>
      <c r="AM573" s="936"/>
      <c r="AN573" s="301" t="e">
        <f>+AJ573/AJ571*100</f>
        <v>#DIV/0!</v>
      </c>
      <c r="AO573" s="635" t="e">
        <f>AO571/AO569</f>
        <v>#DIV/0!</v>
      </c>
      <c r="AP573" s="39" t="s">
        <v>102</v>
      </c>
      <c r="AQ573" s="56">
        <f>SUM(E573:H573)</f>
        <v>0</v>
      </c>
      <c r="AR573" s="70">
        <f>SUM(I573:O573)</f>
        <v>0</v>
      </c>
      <c r="AS573" s="70">
        <f>SUM(P573:V573)</f>
        <v>0</v>
      </c>
      <c r="AT573" s="70">
        <f>SUM(W573:AC573)</f>
        <v>0</v>
      </c>
      <c r="AU573" s="70">
        <f>SUM(AD573:AI573)</f>
        <v>0</v>
      </c>
      <c r="AV573" s="57">
        <f t="shared" si="1233"/>
        <v>0</v>
      </c>
    </row>
    <row r="574" spans="1:48" s="23" customFormat="1" ht="20.65" hidden="1" customHeight="1">
      <c r="A574" s="276" t="s">
        <v>401</v>
      </c>
      <c r="B574" s="334" t="s">
        <v>390</v>
      </c>
      <c r="C574" s="1248">
        <f>+C572*0.8</f>
        <v>25000</v>
      </c>
      <c r="D574" s="67" t="s">
        <v>103</v>
      </c>
      <c r="E574" s="1100"/>
      <c r="F574" s="1101"/>
      <c r="G574" s="1209"/>
      <c r="H574" s="1101"/>
      <c r="I574" s="1101"/>
      <c r="J574" s="1209"/>
      <c r="K574" s="1209"/>
      <c r="L574" s="1101"/>
      <c r="M574" s="1101"/>
      <c r="N574" s="1101"/>
      <c r="O574" s="1101"/>
      <c r="P574" s="1101"/>
      <c r="Q574" s="1209"/>
      <c r="R574" s="1209"/>
      <c r="S574" s="1101"/>
      <c r="T574" s="1101"/>
      <c r="U574" s="1101"/>
      <c r="V574" s="1101"/>
      <c r="W574" s="1101"/>
      <c r="X574" s="1209"/>
      <c r="Y574" s="1209"/>
      <c r="Z574" s="1101"/>
      <c r="AA574" s="1101"/>
      <c r="AB574" s="1101"/>
      <c r="AC574" s="1101"/>
      <c r="AD574" s="1101"/>
      <c r="AE574" s="1209"/>
      <c r="AF574" s="1209"/>
      <c r="AG574" s="1101"/>
      <c r="AH574" s="1101"/>
      <c r="AI574" s="1332"/>
      <c r="AJ574" s="68">
        <f>SUM(E574:AI574)</f>
        <v>0</v>
      </c>
      <c r="AK574" s="68"/>
      <c r="AL574" s="69">
        <f>+AJ574*AN569</f>
        <v>0</v>
      </c>
      <c r="AM574" s="937"/>
      <c r="AN574" s="277"/>
      <c r="AO574" s="679"/>
      <c r="AP574" s="39" t="s">
        <v>19</v>
      </c>
      <c r="AQ574" s="56">
        <f>AQ573*AN569</f>
        <v>0</v>
      </c>
      <c r="AR574" s="56">
        <f>AR573*AN569</f>
        <v>0</v>
      </c>
      <c r="AS574" s="56">
        <f>AS573*AN569</f>
        <v>0</v>
      </c>
      <c r="AT574" s="56">
        <f>AT573*AN569</f>
        <v>0</v>
      </c>
      <c r="AU574" s="56">
        <f>AU573*AN569</f>
        <v>0</v>
      </c>
      <c r="AV574" s="57">
        <f t="shared" si="1233"/>
        <v>0</v>
      </c>
    </row>
    <row r="575" spans="1:48" s="23" customFormat="1" ht="20.65" hidden="1" customHeight="1">
      <c r="A575" s="330"/>
      <c r="B575" s="334"/>
      <c r="C575" s="306"/>
      <c r="D575" s="73" t="s">
        <v>105</v>
      </c>
      <c r="E575" s="1102"/>
      <c r="F575" s="1103"/>
      <c r="G575" s="1210"/>
      <c r="H575" s="1103"/>
      <c r="I575" s="1103"/>
      <c r="J575" s="1210"/>
      <c r="K575" s="1210"/>
      <c r="L575" s="1103"/>
      <c r="M575" s="1103"/>
      <c r="N575" s="1103"/>
      <c r="O575" s="1103"/>
      <c r="P575" s="1103"/>
      <c r="Q575" s="1210"/>
      <c r="R575" s="1210"/>
      <c r="S575" s="1103"/>
      <c r="T575" s="1103"/>
      <c r="U575" s="1103"/>
      <c r="V575" s="1103"/>
      <c r="W575" s="1103"/>
      <c r="X575" s="1210"/>
      <c r="Y575" s="1210"/>
      <c r="Z575" s="1103"/>
      <c r="AA575" s="1103"/>
      <c r="AB575" s="1103"/>
      <c r="AC575" s="1103"/>
      <c r="AD575" s="1103"/>
      <c r="AE575" s="1210"/>
      <c r="AF575" s="1210"/>
      <c r="AG575" s="1103"/>
      <c r="AH575" s="1103"/>
      <c r="AI575" s="1352"/>
      <c r="AJ575" s="74">
        <f>SUM(E575:AI575)</f>
        <v>0</v>
      </c>
      <c r="AK575" s="74"/>
      <c r="AL575" s="75">
        <f>+AJ575*AN571</f>
        <v>0</v>
      </c>
      <c r="AM575" s="938"/>
      <c r="AN575" s="91"/>
      <c r="AO575" s="630"/>
      <c r="AP575" s="47" t="s">
        <v>106</v>
      </c>
      <c r="AQ575" s="48">
        <f>AQ571*AN569</f>
        <v>0</v>
      </c>
      <c r="AR575" s="48">
        <f>AR571*AN569</f>
        <v>0</v>
      </c>
      <c r="AS575" s="48">
        <f>AS571*AN569</f>
        <v>0</v>
      </c>
      <c r="AT575" s="48">
        <f>AT571*AN569</f>
        <v>0</v>
      </c>
      <c r="AU575" s="48">
        <f>AU571*AN569</f>
        <v>0</v>
      </c>
      <c r="AV575" s="50">
        <f t="shared" si="1233"/>
        <v>0</v>
      </c>
    </row>
    <row r="576" spans="1:48" s="23" customFormat="1" ht="20.65" hidden="1" customHeight="1">
      <c r="A576" s="276" t="s">
        <v>401</v>
      </c>
      <c r="B576" s="334"/>
      <c r="C576" s="307"/>
      <c r="D576" s="78" t="s">
        <v>107</v>
      </c>
      <c r="E576" s="1137">
        <v>4</v>
      </c>
      <c r="F576" s="1097">
        <v>4</v>
      </c>
      <c r="G576" s="1205">
        <v>4</v>
      </c>
      <c r="H576" s="1097">
        <v>4</v>
      </c>
      <c r="I576" s="1097">
        <v>4</v>
      </c>
      <c r="J576" s="1205">
        <v>4</v>
      </c>
      <c r="K576" s="1205">
        <v>4</v>
      </c>
      <c r="L576" s="1097">
        <v>4</v>
      </c>
      <c r="M576" s="1097">
        <v>4</v>
      </c>
      <c r="N576" s="1097">
        <v>4</v>
      </c>
      <c r="O576" s="1097">
        <v>4</v>
      </c>
      <c r="P576" s="1097">
        <v>4</v>
      </c>
      <c r="Q576" s="1205">
        <v>4</v>
      </c>
      <c r="R576" s="1205">
        <v>4</v>
      </c>
      <c r="S576" s="1097">
        <v>4</v>
      </c>
      <c r="T576" s="1097">
        <v>4</v>
      </c>
      <c r="U576" s="1097">
        <v>4</v>
      </c>
      <c r="V576" s="1097">
        <v>4</v>
      </c>
      <c r="W576" s="1097">
        <v>4</v>
      </c>
      <c r="X576" s="1205">
        <v>4</v>
      </c>
      <c r="Y576" s="1205">
        <v>4</v>
      </c>
      <c r="Z576" s="1097">
        <v>4</v>
      </c>
      <c r="AA576" s="1097">
        <v>4</v>
      </c>
      <c r="AB576" s="1097">
        <v>4</v>
      </c>
      <c r="AC576" s="1097">
        <v>4</v>
      </c>
      <c r="AD576" s="1097">
        <v>4</v>
      </c>
      <c r="AE576" s="1205">
        <v>4</v>
      </c>
      <c r="AF576" s="1205">
        <v>4</v>
      </c>
      <c r="AG576" s="1097">
        <v>4</v>
      </c>
      <c r="AH576" s="1097">
        <v>4</v>
      </c>
      <c r="AI576" s="1328">
        <v>4</v>
      </c>
      <c r="AJ576" s="79"/>
      <c r="AK576" s="79"/>
      <c r="AL576" s="69"/>
      <c r="AM576" s="937"/>
      <c r="AN576" s="277"/>
      <c r="AO576" s="679"/>
      <c r="AP576" s="391"/>
      <c r="AQ576" s="48"/>
      <c r="AR576" s="48"/>
      <c r="AS576" s="48"/>
      <c r="AT576" s="48"/>
      <c r="AU576" s="48"/>
      <c r="AV576" s="4"/>
    </row>
    <row r="577" spans="1:48" s="23" customFormat="1" ht="20.65" hidden="1" customHeight="1">
      <c r="A577" s="276" t="s">
        <v>401</v>
      </c>
      <c r="B577" s="334"/>
      <c r="C577" s="305"/>
      <c r="D577" s="81" t="s">
        <v>109</v>
      </c>
      <c r="E577" s="1125">
        <f>SUM(E571+E573+E574+E575)/E576</f>
        <v>0</v>
      </c>
      <c r="F577" s="1126">
        <f>SUM(F571+F573+F574+F575)/F576</f>
        <v>0</v>
      </c>
      <c r="G577" s="1235">
        <f t="shared" ref="G577:S577" si="1235">SUM(G571+G573+G574+G575)/G576</f>
        <v>0</v>
      </c>
      <c r="H577" s="1126">
        <f>SUM(H571+H573+H574+H575)/H576</f>
        <v>0</v>
      </c>
      <c r="I577" s="1126">
        <f t="shared" si="1235"/>
        <v>0</v>
      </c>
      <c r="J577" s="1235">
        <f t="shared" si="1235"/>
        <v>0</v>
      </c>
      <c r="K577" s="1235">
        <f t="shared" si="1235"/>
        <v>0</v>
      </c>
      <c r="L577" s="1126">
        <f t="shared" si="1235"/>
        <v>0</v>
      </c>
      <c r="M577" s="1126">
        <f t="shared" si="1235"/>
        <v>0</v>
      </c>
      <c r="N577" s="1126">
        <f t="shared" si="1235"/>
        <v>0</v>
      </c>
      <c r="O577" s="1126">
        <f t="shared" si="1235"/>
        <v>0</v>
      </c>
      <c r="P577" s="1126">
        <f t="shared" si="1235"/>
        <v>0</v>
      </c>
      <c r="Q577" s="1235">
        <f t="shared" si="1235"/>
        <v>0</v>
      </c>
      <c r="R577" s="1235">
        <f t="shared" si="1235"/>
        <v>0</v>
      </c>
      <c r="S577" s="1126">
        <f t="shared" si="1235"/>
        <v>0</v>
      </c>
      <c r="T577" s="1126">
        <f t="shared" ref="T577:Z577" si="1236">SUM(T571+T573+T574+T575)/T576</f>
        <v>0</v>
      </c>
      <c r="U577" s="1126">
        <f t="shared" si="1236"/>
        <v>0</v>
      </c>
      <c r="V577" s="1126">
        <f t="shared" si="1236"/>
        <v>0</v>
      </c>
      <c r="W577" s="1126">
        <f t="shared" si="1236"/>
        <v>0</v>
      </c>
      <c r="X577" s="1235">
        <f t="shared" si="1236"/>
        <v>0</v>
      </c>
      <c r="Y577" s="1235">
        <f t="shared" si="1236"/>
        <v>0</v>
      </c>
      <c r="Z577" s="1126">
        <f t="shared" si="1236"/>
        <v>0</v>
      </c>
      <c r="AA577" s="1126">
        <f t="shared" ref="AA577:AH577" si="1237">SUM(AA571+AA573+AA574+AA575)/AA576</f>
        <v>0</v>
      </c>
      <c r="AB577" s="1126">
        <f t="shared" si="1237"/>
        <v>0</v>
      </c>
      <c r="AC577" s="1126">
        <f t="shared" si="1237"/>
        <v>0</v>
      </c>
      <c r="AD577" s="1126">
        <f t="shared" si="1237"/>
        <v>0</v>
      </c>
      <c r="AE577" s="1235">
        <f t="shared" si="1237"/>
        <v>0</v>
      </c>
      <c r="AF577" s="1235">
        <f t="shared" si="1237"/>
        <v>0</v>
      </c>
      <c r="AG577" s="1126">
        <f t="shared" si="1237"/>
        <v>0</v>
      </c>
      <c r="AH577" s="1126">
        <f t="shared" si="1237"/>
        <v>0</v>
      </c>
      <c r="AI577" s="1335">
        <f>SUM(AI571+AI573+AI574+AI575)/AI576</f>
        <v>0</v>
      </c>
      <c r="AJ577" s="515">
        <f>SUM(E577:AI577)</f>
        <v>0</v>
      </c>
      <c r="AK577" s="515"/>
      <c r="AL577" s="689"/>
      <c r="AM577" s="940"/>
      <c r="AN577" s="277"/>
      <c r="AO577" s="679"/>
      <c r="AP577" s="285"/>
      <c r="AQ577" s="285"/>
      <c r="AR577" s="285"/>
      <c r="AS577" s="285"/>
      <c r="AT577" s="286"/>
      <c r="AU577" s="285"/>
      <c r="AV577" s="287"/>
    </row>
    <row r="578" spans="1:48" s="23" customFormat="1" ht="20.65" hidden="1" customHeight="1">
      <c r="A578" s="276" t="s">
        <v>401</v>
      </c>
      <c r="B578" s="288" t="s">
        <v>546</v>
      </c>
      <c r="C578" s="72"/>
      <c r="D578" s="85" t="s">
        <v>110</v>
      </c>
      <c r="E578" s="1336"/>
      <c r="F578" s="1106"/>
      <c r="G578" s="1228"/>
      <c r="H578" s="1107"/>
      <c r="I578" s="1107"/>
      <c r="J578" s="1228"/>
      <c r="K578" s="1228"/>
      <c r="L578" s="1107"/>
      <c r="M578" s="1107"/>
      <c r="N578" s="1107"/>
      <c r="O578" s="1107"/>
      <c r="P578" s="1107"/>
      <c r="Q578" s="1228"/>
      <c r="R578" s="1228"/>
      <c r="S578" s="1107"/>
      <c r="T578" s="1107"/>
      <c r="U578" s="1107"/>
      <c r="V578" s="1107"/>
      <c r="W578" s="1107"/>
      <c r="X578" s="1228"/>
      <c r="Y578" s="1228"/>
      <c r="Z578" s="1107"/>
      <c r="AA578" s="1107"/>
      <c r="AB578" s="1107"/>
      <c r="AC578" s="1107"/>
      <c r="AD578" s="1107"/>
      <c r="AE578" s="1228"/>
      <c r="AF578" s="1228"/>
      <c r="AG578" s="1107"/>
      <c r="AH578" s="1107"/>
      <c r="AI578" s="1337"/>
      <c r="AJ578" s="86"/>
      <c r="AK578" s="86"/>
      <c r="AL578" s="690"/>
      <c r="AM578" s="940"/>
      <c r="AN578" s="277"/>
      <c r="AO578" s="679"/>
      <c r="AP578" s="285"/>
      <c r="AQ578" s="285"/>
      <c r="AR578" s="285"/>
      <c r="AS578" s="285"/>
      <c r="AT578" s="286"/>
      <c r="AU578" s="285"/>
      <c r="AV578" s="287"/>
    </row>
    <row r="579" spans="1:48" s="23" customFormat="1" ht="20.65" hidden="1" customHeight="1">
      <c r="A579" s="276" t="s">
        <v>401</v>
      </c>
      <c r="B579" s="89"/>
      <c r="C579" s="72" t="s">
        <v>104</v>
      </c>
      <c r="D579" s="88" t="s">
        <v>111</v>
      </c>
      <c r="E579" s="1108">
        <f>IF(E578="O/H",E577,34308+E577)</f>
        <v>34308</v>
      </c>
      <c r="F579" s="1089">
        <f t="shared" ref="F579:AI579" si="1238">IF(F578="O/H",F577,+E579+F577)</f>
        <v>34308</v>
      </c>
      <c r="G579" s="44">
        <f t="shared" si="1238"/>
        <v>34308</v>
      </c>
      <c r="H579" s="1089">
        <f t="shared" si="1238"/>
        <v>34308</v>
      </c>
      <c r="I579" s="1089">
        <f t="shared" si="1238"/>
        <v>34308</v>
      </c>
      <c r="J579" s="44">
        <f t="shared" si="1238"/>
        <v>34308</v>
      </c>
      <c r="K579" s="44">
        <f t="shared" si="1238"/>
        <v>34308</v>
      </c>
      <c r="L579" s="1089">
        <f t="shared" si="1238"/>
        <v>34308</v>
      </c>
      <c r="M579" s="1089">
        <f t="shared" si="1238"/>
        <v>34308</v>
      </c>
      <c r="N579" s="1089">
        <f t="shared" si="1238"/>
        <v>34308</v>
      </c>
      <c r="O579" s="1089">
        <f t="shared" si="1238"/>
        <v>34308</v>
      </c>
      <c r="P579" s="1089">
        <f t="shared" si="1238"/>
        <v>34308</v>
      </c>
      <c r="Q579" s="44">
        <f t="shared" si="1238"/>
        <v>34308</v>
      </c>
      <c r="R579" s="44">
        <f t="shared" si="1238"/>
        <v>34308</v>
      </c>
      <c r="S579" s="1089">
        <f t="shared" si="1238"/>
        <v>34308</v>
      </c>
      <c r="T579" s="1089">
        <f t="shared" si="1238"/>
        <v>34308</v>
      </c>
      <c r="U579" s="1089">
        <f t="shared" si="1238"/>
        <v>34308</v>
      </c>
      <c r="V579" s="1089">
        <f t="shared" si="1238"/>
        <v>34308</v>
      </c>
      <c r="W579" s="1089">
        <f t="shared" si="1238"/>
        <v>34308</v>
      </c>
      <c r="X579" s="44">
        <f t="shared" si="1238"/>
        <v>34308</v>
      </c>
      <c r="Y579" s="44">
        <f t="shared" si="1238"/>
        <v>34308</v>
      </c>
      <c r="Z579" s="1089">
        <f t="shared" si="1238"/>
        <v>34308</v>
      </c>
      <c r="AA579" s="1089">
        <f t="shared" si="1238"/>
        <v>34308</v>
      </c>
      <c r="AB579" s="1089">
        <f t="shared" si="1238"/>
        <v>34308</v>
      </c>
      <c r="AC579" s="1089">
        <f t="shared" si="1238"/>
        <v>34308</v>
      </c>
      <c r="AD579" s="1089">
        <f t="shared" si="1238"/>
        <v>34308</v>
      </c>
      <c r="AE579" s="44">
        <f t="shared" si="1238"/>
        <v>34308</v>
      </c>
      <c r="AF579" s="44">
        <f t="shared" si="1238"/>
        <v>34308</v>
      </c>
      <c r="AG579" s="1089">
        <f t="shared" si="1238"/>
        <v>34308</v>
      </c>
      <c r="AH579" s="1089">
        <f t="shared" si="1238"/>
        <v>34308</v>
      </c>
      <c r="AI579" s="1326">
        <f t="shared" si="1238"/>
        <v>34308</v>
      </c>
      <c r="AJ579" s="79"/>
      <c r="AK579" s="79"/>
      <c r="AL579" s="690"/>
      <c r="AM579" s="940"/>
      <c r="AN579" s="277"/>
      <c r="AO579" s="679"/>
      <c r="AP579" s="285"/>
      <c r="AQ579" s="285"/>
      <c r="AR579" s="285"/>
      <c r="AS579" s="285"/>
      <c r="AT579" s="286"/>
      <c r="AU579" s="285"/>
      <c r="AV579" s="287"/>
    </row>
    <row r="580" spans="1:48" s="23" customFormat="1" ht="20.65" hidden="1" customHeight="1">
      <c r="A580" s="274"/>
      <c r="B580" s="312"/>
      <c r="C580" s="308">
        <v>300000</v>
      </c>
      <c r="D580" s="795" t="s">
        <v>112</v>
      </c>
      <c r="E580" s="1117" t="b">
        <f>IF(AND(ISNUMBER(E571)),1818364+E577)</f>
        <v>0</v>
      </c>
      <c r="F580" s="1118" t="str">
        <f>IF(AND(ISNUMBER(F571)),E580+F577,"")</f>
        <v/>
      </c>
      <c r="G580" s="1216" t="str">
        <f t="shared" ref="G580" si="1239">IF(AND(ISNUMBER(G571)),F580+G577,"")</f>
        <v/>
      </c>
      <c r="H580" s="1118" t="str">
        <f>IF(AND(ISNUMBER(H571)),G580+H577,"")</f>
        <v/>
      </c>
      <c r="I580" s="1118" t="str">
        <f>IF(AND(ISNUMBER(I571)),H580+I577,"")</f>
        <v/>
      </c>
      <c r="J580" s="1216" t="str">
        <f>IF(AND(ISNUMBER(J571)),I580+J577,"")</f>
        <v/>
      </c>
      <c r="K580" s="1216" t="str">
        <f>IF(AND(ISNUMBER(K571)),J580+K577,"")</f>
        <v/>
      </c>
      <c r="L580" s="1118" t="str">
        <f t="shared" ref="L580:AI580" si="1240">IF(AND(ISNUMBER(L571)),K580+L577,"")</f>
        <v/>
      </c>
      <c r="M580" s="1118" t="str">
        <f t="shared" si="1240"/>
        <v/>
      </c>
      <c r="N580" s="1118" t="str">
        <f t="shared" si="1240"/>
        <v/>
      </c>
      <c r="O580" s="1118" t="str">
        <f t="shared" si="1240"/>
        <v/>
      </c>
      <c r="P580" s="1118" t="str">
        <f t="shared" si="1240"/>
        <v/>
      </c>
      <c r="Q580" s="1216" t="str">
        <f t="shared" si="1240"/>
        <v/>
      </c>
      <c r="R580" s="1216" t="str">
        <f t="shared" si="1240"/>
        <v/>
      </c>
      <c r="S580" s="1118" t="str">
        <f t="shared" si="1240"/>
        <v/>
      </c>
      <c r="T580" s="1118" t="str">
        <f t="shared" si="1240"/>
        <v/>
      </c>
      <c r="U580" s="1118" t="str">
        <f t="shared" si="1240"/>
        <v/>
      </c>
      <c r="V580" s="1118" t="str">
        <f t="shared" si="1240"/>
        <v/>
      </c>
      <c r="W580" s="1118" t="str">
        <f t="shared" si="1240"/>
        <v/>
      </c>
      <c r="X580" s="1216" t="str">
        <f t="shared" si="1240"/>
        <v/>
      </c>
      <c r="Y580" s="1216" t="str">
        <f t="shared" si="1240"/>
        <v/>
      </c>
      <c r="Z580" s="1118" t="str">
        <f t="shared" si="1240"/>
        <v/>
      </c>
      <c r="AA580" s="1118" t="str">
        <f t="shared" si="1240"/>
        <v/>
      </c>
      <c r="AB580" s="1118" t="str">
        <f t="shared" si="1240"/>
        <v/>
      </c>
      <c r="AC580" s="1118" t="str">
        <f t="shared" si="1240"/>
        <v/>
      </c>
      <c r="AD580" s="1118" t="str">
        <f t="shared" si="1240"/>
        <v/>
      </c>
      <c r="AE580" s="1216" t="str">
        <f t="shared" si="1240"/>
        <v/>
      </c>
      <c r="AF580" s="1216" t="str">
        <f t="shared" si="1240"/>
        <v/>
      </c>
      <c r="AG580" s="1118" t="str">
        <f t="shared" si="1240"/>
        <v/>
      </c>
      <c r="AH580" s="1118" t="str">
        <f t="shared" si="1240"/>
        <v/>
      </c>
      <c r="AI580" s="1089" t="str">
        <f t="shared" si="1240"/>
        <v/>
      </c>
      <c r="AJ580" s="793"/>
      <c r="AK580" s="793"/>
      <c r="AL580" s="909"/>
      <c r="AM580" s="794"/>
      <c r="AN580" s="76"/>
      <c r="AO580" s="630"/>
      <c r="AP580" s="285"/>
      <c r="AQ580" s="285"/>
      <c r="AR580" s="285"/>
      <c r="AS580" s="285"/>
      <c r="AT580" s="286"/>
      <c r="AU580" s="285"/>
      <c r="AV580" s="287"/>
    </row>
    <row r="581" spans="1:48" s="23" customFormat="1" ht="20.65" hidden="1" customHeight="1">
      <c r="A581" s="276"/>
      <c r="B581" s="89"/>
      <c r="C581" s="80" t="s">
        <v>108</v>
      </c>
      <c r="D581" s="90" t="s">
        <v>104</v>
      </c>
      <c r="E581" s="1338"/>
      <c r="F581" s="1106"/>
      <c r="G581" s="1253"/>
      <c r="H581" s="1106"/>
      <c r="I581" s="1106"/>
      <c r="J581" s="1253"/>
      <c r="K581" s="1253"/>
      <c r="L581" s="1106"/>
      <c r="M581" s="1106"/>
      <c r="N581" s="1106"/>
      <c r="O581" s="1106"/>
      <c r="P581" s="1106"/>
      <c r="Q581" s="1253"/>
      <c r="R581" s="1253"/>
      <c r="S581" s="1106"/>
      <c r="T581" s="1106"/>
      <c r="U581" s="1106"/>
      <c r="V581" s="1106"/>
      <c r="W581" s="1106"/>
      <c r="X581" s="1253"/>
      <c r="Y581" s="1253"/>
      <c r="Z581" s="1106"/>
      <c r="AA581" s="1106"/>
      <c r="AB581" s="1106"/>
      <c r="AC581" s="1106"/>
      <c r="AD581" s="1106"/>
      <c r="AE581" s="1253"/>
      <c r="AF581" s="1253"/>
      <c r="AG581" s="1106"/>
      <c r="AH581" s="1106"/>
      <c r="AI581" s="1339"/>
      <c r="AJ581" s="79"/>
      <c r="AK581" s="79"/>
      <c r="AL581" s="690"/>
      <c r="AM581" s="940"/>
      <c r="AN581" s="301"/>
      <c r="AO581" s="680"/>
      <c r="AP581" s="285"/>
      <c r="AQ581" s="285"/>
      <c r="AR581" s="285"/>
      <c r="AS581" s="285"/>
      <c r="AT581" s="286"/>
      <c r="AU581" s="285"/>
      <c r="AV581" s="287"/>
    </row>
    <row r="582" spans="1:48" s="23" customFormat="1" ht="20.65" hidden="1" customHeight="1" thickBot="1">
      <c r="A582" s="289"/>
      <c r="B582" s="93"/>
      <c r="C582" s="94">
        <f>+C580*0.8</f>
        <v>240000</v>
      </c>
      <c r="D582" s="88" t="s">
        <v>111</v>
      </c>
      <c r="E582" s="1109">
        <f>IF(E581="O/H",E577,533635+E577)</f>
        <v>533635</v>
      </c>
      <c r="F582" s="1110">
        <f>IF(F581="O/H",F577,+E582+F577)</f>
        <v>533635</v>
      </c>
      <c r="G582" s="1212">
        <f t="shared" ref="G582:AI582" si="1241">IF(G581="O/H",G577,+F582+G577)</f>
        <v>533635</v>
      </c>
      <c r="H582" s="1110">
        <f t="shared" si="1241"/>
        <v>533635</v>
      </c>
      <c r="I582" s="1110">
        <f t="shared" si="1241"/>
        <v>533635</v>
      </c>
      <c r="J582" s="1212">
        <f t="shared" si="1241"/>
        <v>533635</v>
      </c>
      <c r="K582" s="1212">
        <f t="shared" si="1241"/>
        <v>533635</v>
      </c>
      <c r="L582" s="1110">
        <f t="shared" si="1241"/>
        <v>533635</v>
      </c>
      <c r="M582" s="1110">
        <f t="shared" si="1241"/>
        <v>533635</v>
      </c>
      <c r="N582" s="1110">
        <f t="shared" si="1241"/>
        <v>533635</v>
      </c>
      <c r="O582" s="1110">
        <f t="shared" si="1241"/>
        <v>533635</v>
      </c>
      <c r="P582" s="1110">
        <f t="shared" si="1241"/>
        <v>533635</v>
      </c>
      <c r="Q582" s="1212">
        <f t="shared" si="1241"/>
        <v>533635</v>
      </c>
      <c r="R582" s="1212">
        <f t="shared" si="1241"/>
        <v>533635</v>
      </c>
      <c r="S582" s="1110">
        <f t="shared" si="1241"/>
        <v>533635</v>
      </c>
      <c r="T582" s="1110">
        <f t="shared" si="1241"/>
        <v>533635</v>
      </c>
      <c r="U582" s="1110">
        <f t="shared" si="1241"/>
        <v>533635</v>
      </c>
      <c r="V582" s="1110">
        <f t="shared" si="1241"/>
        <v>533635</v>
      </c>
      <c r="W582" s="1110">
        <f t="shared" si="1241"/>
        <v>533635</v>
      </c>
      <c r="X582" s="1212">
        <f t="shared" si="1241"/>
        <v>533635</v>
      </c>
      <c r="Y582" s="1212">
        <f t="shared" si="1241"/>
        <v>533635</v>
      </c>
      <c r="Z582" s="1110">
        <f t="shared" si="1241"/>
        <v>533635</v>
      </c>
      <c r="AA582" s="1110">
        <f t="shared" si="1241"/>
        <v>533635</v>
      </c>
      <c r="AB582" s="1110">
        <f t="shared" si="1241"/>
        <v>533635</v>
      </c>
      <c r="AC582" s="1110">
        <f t="shared" si="1241"/>
        <v>533635</v>
      </c>
      <c r="AD582" s="1110">
        <f t="shared" si="1241"/>
        <v>533635</v>
      </c>
      <c r="AE582" s="1212">
        <f t="shared" si="1241"/>
        <v>533635</v>
      </c>
      <c r="AF582" s="1212">
        <f t="shared" si="1241"/>
        <v>533635</v>
      </c>
      <c r="AG582" s="1110">
        <f t="shared" si="1241"/>
        <v>533635</v>
      </c>
      <c r="AH582" s="1110">
        <f t="shared" si="1241"/>
        <v>533635</v>
      </c>
      <c r="AI582" s="1340">
        <f t="shared" si="1241"/>
        <v>533635</v>
      </c>
      <c r="AJ582" s="96"/>
      <c r="AK582" s="723"/>
      <c r="AL582" s="695"/>
      <c r="AM582" s="961"/>
      <c r="AN582" s="292"/>
      <c r="AO582" s="681"/>
      <c r="AP582" s="285"/>
      <c r="AQ582" s="285"/>
      <c r="AR582" s="285"/>
      <c r="AS582" s="285"/>
      <c r="AT582" s="286"/>
      <c r="AU582" s="285"/>
      <c r="AV582" s="287"/>
    </row>
    <row r="583" spans="1:48" s="23" customFormat="1" ht="24" customHeight="1" thickTop="1">
      <c r="A583" s="336"/>
      <c r="B583" s="337"/>
      <c r="C583" s="338"/>
      <c r="D583" s="339" t="s">
        <v>82</v>
      </c>
      <c r="E583" s="1354">
        <f t="shared" ref="E583:T583" si="1242">E569+E555+E541+E513+E499+E485+E471+E457+E443+E429+E415+E401+E527+E387+E373+E359+E345+E331+E317+E303+E289+E275+E261+E247+E233+E219+E205+E191+E177+E163+E149+E135+E121+E107+E93+E65+E51+E37+E23+E9+E79</f>
        <v>94600</v>
      </c>
      <c r="F583" s="1147">
        <f t="shared" si="1242"/>
        <v>94600</v>
      </c>
      <c r="G583" s="1236">
        <f t="shared" si="1242"/>
        <v>113300</v>
      </c>
      <c r="H583" s="1147">
        <f t="shared" si="1242"/>
        <v>127300</v>
      </c>
      <c r="I583" s="1147">
        <f t="shared" si="1242"/>
        <v>168300</v>
      </c>
      <c r="J583" s="1236">
        <f t="shared" si="1242"/>
        <v>77000</v>
      </c>
      <c r="K583" s="1236">
        <f t="shared" si="1242"/>
        <v>77000</v>
      </c>
      <c r="L583" s="1147">
        <f t="shared" si="1242"/>
        <v>95000</v>
      </c>
      <c r="M583" s="1147">
        <f t="shared" si="1242"/>
        <v>146300</v>
      </c>
      <c r="N583" s="1147">
        <f t="shared" si="1242"/>
        <v>160300</v>
      </c>
      <c r="O583" s="1147">
        <f t="shared" si="1242"/>
        <v>168300</v>
      </c>
      <c r="P583" s="1147">
        <f t="shared" si="1242"/>
        <v>168300</v>
      </c>
      <c r="Q583" s="1236">
        <f t="shared" si="1242"/>
        <v>51000</v>
      </c>
      <c r="R583" s="1236">
        <f t="shared" si="1242"/>
        <v>51000</v>
      </c>
      <c r="S583" s="1147">
        <f t="shared" si="1242"/>
        <v>64000</v>
      </c>
      <c r="T583" s="1147">
        <f t="shared" si="1242"/>
        <v>128300</v>
      </c>
      <c r="U583" s="1147">
        <f>X549</f>
        <v>0</v>
      </c>
      <c r="V583" s="1147">
        <f t="shared" ref="V583:AJ583" si="1243">V569+V555+V541+V513+V499+V485+V471+V457+V443+V429+V415+V401+V527+V387+V373+V359+V345+V331+V317+V303+V289+V275+V261+V247+V233+V219+V205+V191+V177+V163+V149+V135+V121+V107+V93+V65+V51+V37+V23+V9+V79</f>
        <v>136700</v>
      </c>
      <c r="W583" s="1147">
        <f t="shared" si="1243"/>
        <v>106300</v>
      </c>
      <c r="X583" s="1236">
        <f t="shared" si="1243"/>
        <v>51000</v>
      </c>
      <c r="Y583" s="1236">
        <f t="shared" si="1243"/>
        <v>51000</v>
      </c>
      <c r="Z583" s="1147">
        <f t="shared" si="1243"/>
        <v>61000</v>
      </c>
      <c r="AA583" s="1147">
        <f t="shared" si="1243"/>
        <v>92300</v>
      </c>
      <c r="AB583" s="1147">
        <f t="shared" si="1243"/>
        <v>98300</v>
      </c>
      <c r="AC583" s="1147">
        <f t="shared" si="1243"/>
        <v>106300</v>
      </c>
      <c r="AD583" s="1147">
        <f t="shared" si="1243"/>
        <v>93300</v>
      </c>
      <c r="AE583" s="1236">
        <f t="shared" si="1243"/>
        <v>11000</v>
      </c>
      <c r="AF583" s="1236">
        <f t="shared" si="1243"/>
        <v>11000</v>
      </c>
      <c r="AG583" s="1147">
        <f t="shared" si="1243"/>
        <v>42000</v>
      </c>
      <c r="AH583" s="1147">
        <f t="shared" si="1243"/>
        <v>78900</v>
      </c>
      <c r="AI583" s="1359">
        <f t="shared" si="1243"/>
        <v>0</v>
      </c>
      <c r="AJ583" s="528">
        <f t="shared" si="1243"/>
        <v>2870000</v>
      </c>
      <c r="AK583" s="1084">
        <f>AJ584</f>
        <v>2238144</v>
      </c>
      <c r="AL583" s="697">
        <f>AL569+AL555+AL541+AL513+AL499+AL485+AL471+AL457+AL443+AL429+AL415+AL401+AL527+AL387+AL373+AL359+AL345+AL331+AL317+AL303+AL289+AL275+AL261+AL247+AL233+AL219+AL205+AL191+AL177+AL163+AL149+AL135+AL121+AL107+AL93+AL65+AL51+AL37+AL23+AL9+AL79</f>
        <v>12828186.500000002</v>
      </c>
      <c r="AM583" s="1085">
        <f>AL584</f>
        <v>10725687.124399999</v>
      </c>
      <c r="AN583" s="119"/>
      <c r="AO583" s="685"/>
      <c r="AP583" s="285"/>
      <c r="AQ583" s="285"/>
      <c r="AR583" s="285"/>
      <c r="AS583" s="285"/>
      <c r="AT583" s="286"/>
      <c r="AU583" s="285"/>
    </row>
    <row r="584" spans="1:48" s="23" customFormat="1" ht="23.25" customHeight="1">
      <c r="A584" s="336"/>
      <c r="B584" s="337"/>
      <c r="C584" s="338"/>
      <c r="D584" s="340" t="s">
        <v>93</v>
      </c>
      <c r="E584" s="1355">
        <f t="shared" ref="E584:AJ584" si="1244">+E571+E557+E487+E473+E445+E417+E389+E347+E305+E291+E207+E53+E25+E11+E109+E543+E431+E403+E375+E361+E333+E319+E277+E263+E249+E235+E221+E193+E179+E165+E151+E137+E123+E95+E67+E39+E459+E501+E515+E529+E81</f>
        <v>106448</v>
      </c>
      <c r="F584" s="1167">
        <f t="shared" si="1244"/>
        <v>124432</v>
      </c>
      <c r="G584" s="1237">
        <f t="shared" si="1244"/>
        <v>120672</v>
      </c>
      <c r="H584" s="1167">
        <f t="shared" si="1244"/>
        <v>113984</v>
      </c>
      <c r="I584" s="1167">
        <f t="shared" si="1244"/>
        <v>121568</v>
      </c>
      <c r="J584" s="1237">
        <f t="shared" si="1244"/>
        <v>66672</v>
      </c>
      <c r="K584" s="1237">
        <f t="shared" si="1244"/>
        <v>62640</v>
      </c>
      <c r="L584" s="1167">
        <f t="shared" si="1244"/>
        <v>95440</v>
      </c>
      <c r="M584" s="1167">
        <f t="shared" si="1244"/>
        <v>115920</v>
      </c>
      <c r="N584" s="1167">
        <f t="shared" si="1244"/>
        <v>105056</v>
      </c>
      <c r="O584" s="1167">
        <f t="shared" si="1244"/>
        <v>97176</v>
      </c>
      <c r="P584" s="1167">
        <f t="shared" si="1244"/>
        <v>111728</v>
      </c>
      <c r="Q584" s="1237">
        <f t="shared" si="1244"/>
        <v>64656</v>
      </c>
      <c r="R584" s="1237">
        <f t="shared" si="1244"/>
        <v>62640</v>
      </c>
      <c r="S584" s="1167">
        <f t="shared" si="1244"/>
        <v>91776</v>
      </c>
      <c r="T584" s="1167">
        <f t="shared" si="1244"/>
        <v>121968</v>
      </c>
      <c r="U584" s="1167">
        <f t="shared" si="1244"/>
        <v>123136</v>
      </c>
      <c r="V584" s="1167">
        <f t="shared" si="1244"/>
        <v>113112</v>
      </c>
      <c r="W584" s="1167">
        <f t="shared" si="1244"/>
        <v>108672</v>
      </c>
      <c r="X584" s="1237">
        <f t="shared" si="1244"/>
        <v>51552</v>
      </c>
      <c r="Y584" s="1237">
        <f t="shared" si="1244"/>
        <v>47520</v>
      </c>
      <c r="Z584" s="1167">
        <f t="shared" si="1244"/>
        <v>79616</v>
      </c>
      <c r="AA584" s="1167">
        <f t="shared" si="1244"/>
        <v>131760</v>
      </c>
      <c r="AB584" s="1167">
        <f t="shared" si="1244"/>
        <v>0</v>
      </c>
      <c r="AC584" s="1167">
        <f t="shared" si="1244"/>
        <v>0</v>
      </c>
      <c r="AD584" s="1167">
        <f t="shared" si="1244"/>
        <v>0</v>
      </c>
      <c r="AE584" s="1237">
        <f t="shared" si="1244"/>
        <v>0</v>
      </c>
      <c r="AF584" s="1237">
        <f t="shared" si="1244"/>
        <v>0</v>
      </c>
      <c r="AG584" s="1167">
        <f t="shared" si="1244"/>
        <v>0</v>
      </c>
      <c r="AH584" s="1167">
        <f t="shared" si="1244"/>
        <v>0</v>
      </c>
      <c r="AI584" s="1360">
        <f t="shared" si="1244"/>
        <v>0</v>
      </c>
      <c r="AJ584" s="529">
        <f t="shared" si="1244"/>
        <v>2238144</v>
      </c>
      <c r="AK584" s="529"/>
      <c r="AL584" s="698">
        <f>+AL571+AL557+AL487+AL473+AL445+AL417+AL389+AL347+AL305+AL291+AL207+AL53+AL25+AL11+AL109+AL543+AL431+AL403+AL375+AL361+AL333+AL319+AL277+AL263+AL249+AL235+AL221+AL193+AL179+AL165+AL151+AL137+AL123+AL95+AL67+AL39+AL459+AL501+AL515+AL529+AL81</f>
        <v>10725687.124399999</v>
      </c>
      <c r="AM584" s="941"/>
      <c r="AN584" s="124"/>
      <c r="AO584" s="686"/>
      <c r="AP584" s="285"/>
      <c r="AQ584" s="285"/>
      <c r="AR584" s="285"/>
      <c r="AS584" s="285"/>
      <c r="AT584" s="286"/>
      <c r="AU584" s="285"/>
    </row>
    <row r="585" spans="1:48" s="23" customFormat="1" ht="23.25" customHeight="1">
      <c r="A585" s="336"/>
      <c r="B585" s="742" t="s">
        <v>68</v>
      </c>
      <c r="C585" s="338"/>
      <c r="D585" s="341" t="s">
        <v>229</v>
      </c>
      <c r="E585" s="1356">
        <f t="shared" ref="E585:AJ585" si="1245">E27+E111+E153+E223+E237+E265+E279+E307+E321+E335+E349+E405+E419+E475+E13+E363+E97+E55+E293+E41+E167+E391+E251+E559+E125+E489+E209+E181+E447+E69+E573+E545+E433+E377+E195+E139+E461+E503+E517+E531+E83</f>
        <v>1772</v>
      </c>
      <c r="F585" s="1168">
        <f t="shared" si="1245"/>
        <v>200</v>
      </c>
      <c r="G585" s="1238">
        <f t="shared" si="1245"/>
        <v>0</v>
      </c>
      <c r="H585" s="1168">
        <f t="shared" si="1245"/>
        <v>2014</v>
      </c>
      <c r="I585" s="1168">
        <f t="shared" si="1245"/>
        <v>1572</v>
      </c>
      <c r="J585" s="1238">
        <f t="shared" si="1245"/>
        <v>0</v>
      </c>
      <c r="K585" s="1238">
        <f t="shared" si="1245"/>
        <v>0</v>
      </c>
      <c r="L585" s="1168">
        <f t="shared" si="1245"/>
        <v>3628</v>
      </c>
      <c r="M585" s="1168">
        <f t="shared" si="1245"/>
        <v>3712</v>
      </c>
      <c r="N585" s="1168">
        <f t="shared" si="1245"/>
        <v>836</v>
      </c>
      <c r="O585" s="1168">
        <f t="shared" si="1245"/>
        <v>4948</v>
      </c>
      <c r="P585" s="1168">
        <f t="shared" si="1245"/>
        <v>1716</v>
      </c>
      <c r="Q585" s="1238">
        <f t="shared" si="1245"/>
        <v>40</v>
      </c>
      <c r="R585" s="1238">
        <f t="shared" si="1245"/>
        <v>120</v>
      </c>
      <c r="S585" s="1168">
        <f t="shared" si="1245"/>
        <v>3924</v>
      </c>
      <c r="T585" s="1168">
        <f t="shared" si="1245"/>
        <v>1080</v>
      </c>
      <c r="U585" s="1168">
        <f t="shared" si="1245"/>
        <v>1828</v>
      </c>
      <c r="V585" s="1168">
        <f t="shared" si="1245"/>
        <v>1760</v>
      </c>
      <c r="W585" s="1168">
        <f t="shared" si="1245"/>
        <v>1568</v>
      </c>
      <c r="X585" s="1238">
        <f t="shared" si="1245"/>
        <v>0</v>
      </c>
      <c r="Y585" s="1238">
        <f t="shared" si="1245"/>
        <v>701</v>
      </c>
      <c r="Z585" s="1168">
        <f t="shared" si="1245"/>
        <v>1788</v>
      </c>
      <c r="AA585" s="1168">
        <f t="shared" si="1245"/>
        <v>2388</v>
      </c>
      <c r="AB585" s="1168">
        <f t="shared" si="1245"/>
        <v>0</v>
      </c>
      <c r="AC585" s="1168">
        <f t="shared" si="1245"/>
        <v>0</v>
      </c>
      <c r="AD585" s="1168">
        <f t="shared" si="1245"/>
        <v>0</v>
      </c>
      <c r="AE585" s="1238">
        <f t="shared" si="1245"/>
        <v>0</v>
      </c>
      <c r="AF585" s="1238">
        <f t="shared" si="1245"/>
        <v>0</v>
      </c>
      <c r="AG585" s="1168">
        <f t="shared" si="1245"/>
        <v>0</v>
      </c>
      <c r="AH585" s="1168">
        <f t="shared" si="1245"/>
        <v>0</v>
      </c>
      <c r="AI585" s="1361">
        <f t="shared" si="1245"/>
        <v>0</v>
      </c>
      <c r="AJ585" s="530">
        <f t="shared" si="1245"/>
        <v>35595</v>
      </c>
      <c r="AK585" s="530"/>
      <c r="AL585" s="699">
        <f>AL27+AL111+AL153+AL223+AL237+AL265+AL279+AL307+AL321+AL335+AL349+AL405+AL419+AL475+AL13+AL363+AL97+AL55+AL293+AL41+AL167+AL391+AL251+AL559+AL125+AL489+AL209+AL181+AL447+AL69+AL573+AL545+AL433+AL377+AL195+AL139+AL461+AL503+AL517+AL531+AL83</f>
        <v>114515.37328</v>
      </c>
      <c r="AM585" s="963"/>
      <c r="AN585" s="91"/>
      <c r="AO585" s="630"/>
      <c r="AP585" s="285"/>
      <c r="AQ585" s="285"/>
      <c r="AR585" s="285"/>
      <c r="AS585" s="285"/>
      <c r="AT585" s="286"/>
      <c r="AU585" s="285"/>
    </row>
    <row r="586" spans="1:48" s="23" customFormat="1" ht="23.1" customHeight="1">
      <c r="A586" s="336"/>
      <c r="B586" s="342"/>
      <c r="C586" s="338"/>
      <c r="D586" s="343" t="s">
        <v>103</v>
      </c>
      <c r="E586" s="1357">
        <f t="shared" ref="E586:AJ586" si="1246">E28+E112+E154+E224+E238+E266+E280+E308+E322+E336+E350+E406+E420+E476+E14+E364+E98+E56+E294+E42+E168+E392+E252+E560+E126+E490+E210+E182+E448+E70+E574+E546+E434+E378+E196+E140+E462+E504+E518+E532+E84</f>
        <v>1224</v>
      </c>
      <c r="F586" s="1169">
        <f t="shared" si="1246"/>
        <v>1668</v>
      </c>
      <c r="G586" s="1239">
        <f t="shared" si="1246"/>
        <v>1440</v>
      </c>
      <c r="H586" s="1169">
        <f t="shared" si="1246"/>
        <v>1428</v>
      </c>
      <c r="I586" s="1169">
        <f t="shared" si="1246"/>
        <v>1464</v>
      </c>
      <c r="J586" s="1239">
        <f t="shared" si="1246"/>
        <v>720</v>
      </c>
      <c r="K586" s="1239">
        <f t="shared" si="1246"/>
        <v>780</v>
      </c>
      <c r="L586" s="1169">
        <f t="shared" si="1246"/>
        <v>1152</v>
      </c>
      <c r="M586" s="1169">
        <f t="shared" si="1246"/>
        <v>1380</v>
      </c>
      <c r="N586" s="1169">
        <f t="shared" si="1246"/>
        <v>1296</v>
      </c>
      <c r="O586" s="1169">
        <f t="shared" si="1246"/>
        <v>1176</v>
      </c>
      <c r="P586" s="1169">
        <f t="shared" si="1246"/>
        <v>1392</v>
      </c>
      <c r="Q586" s="1239">
        <f t="shared" si="1246"/>
        <v>720</v>
      </c>
      <c r="R586" s="1239">
        <f t="shared" si="1246"/>
        <v>720</v>
      </c>
      <c r="S586" s="1169">
        <f t="shared" si="1246"/>
        <v>1123</v>
      </c>
      <c r="T586" s="1169">
        <f t="shared" si="1246"/>
        <v>1500</v>
      </c>
      <c r="U586" s="1169">
        <f t="shared" si="1246"/>
        <v>1512</v>
      </c>
      <c r="V586" s="1169">
        <f t="shared" si="1246"/>
        <v>1368</v>
      </c>
      <c r="W586" s="1169">
        <f t="shared" si="1246"/>
        <v>1344</v>
      </c>
      <c r="X586" s="1239">
        <f t="shared" si="1246"/>
        <v>756</v>
      </c>
      <c r="Y586" s="1239">
        <f t="shared" si="1246"/>
        <v>576</v>
      </c>
      <c r="Z586" s="1169">
        <f t="shared" si="1246"/>
        <v>876</v>
      </c>
      <c r="AA586" s="1169">
        <f t="shared" si="1246"/>
        <v>1344</v>
      </c>
      <c r="AB586" s="1169">
        <f t="shared" si="1246"/>
        <v>0</v>
      </c>
      <c r="AC586" s="1169">
        <f t="shared" si="1246"/>
        <v>0</v>
      </c>
      <c r="AD586" s="1169">
        <f t="shared" si="1246"/>
        <v>0</v>
      </c>
      <c r="AE586" s="1239">
        <f t="shared" si="1246"/>
        <v>0</v>
      </c>
      <c r="AF586" s="1239">
        <f t="shared" si="1246"/>
        <v>0</v>
      </c>
      <c r="AG586" s="1169">
        <f t="shared" si="1246"/>
        <v>0</v>
      </c>
      <c r="AH586" s="1169">
        <f t="shared" si="1246"/>
        <v>0</v>
      </c>
      <c r="AI586" s="1362">
        <f t="shared" si="1246"/>
        <v>0</v>
      </c>
      <c r="AJ586" s="724">
        <f t="shared" si="1246"/>
        <v>26959</v>
      </c>
      <c r="AK586" s="724"/>
      <c r="AL586" s="700">
        <f>AL28+AL112+AL154+AL224+AL238+AL266+AL280+AL308+AL322+AL336+AL350+AL406+AL420+AL476+AL14+AL364+AL98+AL56+AL294+AL42+AL168+AL392+AL252+AL560+AL126+AL490+AL210+AL182+AL448+AL70+AL574+AL546+AL434+AL378+AL196+AL140+AL462+AL504+AL518+AL532+AL84</f>
        <v>112679.68923</v>
      </c>
      <c r="AM586" s="964"/>
      <c r="AN586" s="91"/>
      <c r="AO586" s="630"/>
      <c r="AP586" s="285"/>
      <c r="AQ586" s="285"/>
      <c r="AR586" s="285"/>
      <c r="AS586" s="285"/>
      <c r="AT586" s="286"/>
      <c r="AU586" s="285"/>
    </row>
    <row r="587" spans="1:48" s="23" customFormat="1" ht="23.1" customHeight="1">
      <c r="A587" s="336"/>
      <c r="B587" s="337"/>
      <c r="C587" s="338"/>
      <c r="D587" s="344" t="s">
        <v>105</v>
      </c>
      <c r="E587" s="1358">
        <f t="shared" ref="E587:AJ587" si="1247">E29+E113+E155+E225+E239+E267+E281+E309+E323+E337+E351+E407+E421+E477+E15+E365+E99+E57+E295+E43+E169+E393+E253+E561+E127+E491+E211+E183+E449+E71+E575+E547+E435+E379+E197+E141+E463+E505+E519+E533+E85</f>
        <v>512</v>
      </c>
      <c r="F587" s="1170">
        <f t="shared" si="1247"/>
        <v>832</v>
      </c>
      <c r="G587" s="1240">
        <f t="shared" si="1247"/>
        <v>960</v>
      </c>
      <c r="H587" s="1170">
        <f t="shared" si="1247"/>
        <v>912</v>
      </c>
      <c r="I587" s="1170">
        <f t="shared" si="1247"/>
        <v>800</v>
      </c>
      <c r="J587" s="1240">
        <f t="shared" si="1247"/>
        <v>480</v>
      </c>
      <c r="K587" s="1240">
        <f t="shared" si="1247"/>
        <v>480</v>
      </c>
      <c r="L587" s="1170">
        <f t="shared" si="1247"/>
        <v>624</v>
      </c>
      <c r="M587" s="1170">
        <f t="shared" si="1247"/>
        <v>802</v>
      </c>
      <c r="N587" s="1170">
        <f t="shared" si="1247"/>
        <v>864</v>
      </c>
      <c r="O587" s="1170">
        <f t="shared" si="1247"/>
        <v>784</v>
      </c>
      <c r="P587" s="1170">
        <f t="shared" si="1247"/>
        <v>912</v>
      </c>
      <c r="Q587" s="1240">
        <f t="shared" si="1247"/>
        <v>480</v>
      </c>
      <c r="R587" s="1240">
        <f t="shared" si="1247"/>
        <v>480</v>
      </c>
      <c r="S587" s="1170">
        <f t="shared" si="1247"/>
        <v>592</v>
      </c>
      <c r="T587" s="1170">
        <f t="shared" si="1247"/>
        <v>816</v>
      </c>
      <c r="U587" s="1170">
        <f t="shared" si="1247"/>
        <v>808</v>
      </c>
      <c r="V587" s="1170">
        <f t="shared" si="1247"/>
        <v>752</v>
      </c>
      <c r="W587" s="1170">
        <f t="shared" si="1247"/>
        <v>752</v>
      </c>
      <c r="X587" s="1240">
        <f t="shared" si="1247"/>
        <v>384</v>
      </c>
      <c r="Y587" s="1240">
        <f t="shared" si="1247"/>
        <v>376</v>
      </c>
      <c r="Z587" s="1170">
        <f t="shared" si="1247"/>
        <v>128</v>
      </c>
      <c r="AA587" s="1170">
        <f t="shared" si="1247"/>
        <v>792</v>
      </c>
      <c r="AB587" s="1170">
        <f t="shared" si="1247"/>
        <v>0</v>
      </c>
      <c r="AC587" s="1170">
        <f t="shared" si="1247"/>
        <v>0</v>
      </c>
      <c r="AD587" s="1170">
        <f t="shared" si="1247"/>
        <v>0</v>
      </c>
      <c r="AE587" s="1240">
        <f t="shared" si="1247"/>
        <v>0</v>
      </c>
      <c r="AF587" s="1240">
        <f t="shared" si="1247"/>
        <v>0</v>
      </c>
      <c r="AG587" s="1170">
        <f t="shared" si="1247"/>
        <v>0</v>
      </c>
      <c r="AH587" s="1170">
        <f t="shared" si="1247"/>
        <v>0</v>
      </c>
      <c r="AI587" s="1363">
        <f t="shared" si="1247"/>
        <v>0</v>
      </c>
      <c r="AJ587" s="725">
        <f t="shared" si="1247"/>
        <v>15322</v>
      </c>
      <c r="AK587" s="725"/>
      <c r="AL587" s="701">
        <f>AL29+AL113+AL155+AL225+AL239+AL267+AL281+AL309+AL323+AL337+AL351+AL407+AL421+AL477+AL15+AL365+AL99+AL57+AL295+AL43+AL169+AL393+AL253+AL561+AL127+AL491+AL211+AL183+AL449+AL71+AL575+AL547+AL435+AL379+AL197+AL141+AL463+AL505+AL519+AL533+AL85</f>
        <v>72327.023480000003</v>
      </c>
      <c r="AM587" s="965"/>
      <c r="AN587" s="91"/>
      <c r="AO587" s="630"/>
      <c r="AP587" s="285"/>
      <c r="AQ587" s="285"/>
      <c r="AR587" s="285"/>
      <c r="AS587" s="285"/>
      <c r="AT587" s="286"/>
      <c r="AU587" s="285"/>
    </row>
    <row r="588" spans="1:48" s="23" customFormat="1" ht="27.75" customHeight="1" thickBot="1">
      <c r="A588" s="336"/>
      <c r="B588" s="337"/>
      <c r="C588" s="338"/>
      <c r="D588" s="345" t="s">
        <v>230</v>
      </c>
      <c r="E588" s="1348">
        <f>+E585/(E584+E585)</f>
        <v>1.6374052855294769E-2</v>
      </c>
      <c r="F588" s="1171">
        <f t="shared" ref="F588:AI588" si="1248">+F585/(F584+F585)</f>
        <v>1.6047243083638231E-3</v>
      </c>
      <c r="G588" s="1241">
        <f t="shared" si="1248"/>
        <v>0</v>
      </c>
      <c r="H588" s="1171">
        <f t="shared" si="1248"/>
        <v>1.7362368316695114E-2</v>
      </c>
      <c r="I588" s="1171">
        <f t="shared" si="1248"/>
        <v>1.276595744680851E-2</v>
      </c>
      <c r="J588" s="1241">
        <f t="shared" si="1248"/>
        <v>0</v>
      </c>
      <c r="K588" s="1241">
        <f t="shared" si="1248"/>
        <v>0</v>
      </c>
      <c r="L588" s="1171">
        <f t="shared" si="1248"/>
        <v>3.6621310614931159E-2</v>
      </c>
      <c r="M588" s="1171">
        <f t="shared" si="1248"/>
        <v>3.1028487361241138E-2</v>
      </c>
      <c r="N588" s="1171">
        <f t="shared" si="1248"/>
        <v>7.8948362482529361E-3</v>
      </c>
      <c r="O588" s="1171">
        <f t="shared" si="1248"/>
        <v>4.8450902824017858E-2</v>
      </c>
      <c r="P588" s="1171">
        <f t="shared" si="1248"/>
        <v>1.5126405980043016E-2</v>
      </c>
      <c r="Q588" s="1241">
        <f t="shared" si="1248"/>
        <v>6.1827624582663538E-4</v>
      </c>
      <c r="R588" s="1241">
        <f t="shared" si="1248"/>
        <v>1.9120458891013384E-3</v>
      </c>
      <c r="S588" s="1171">
        <f t="shared" si="1248"/>
        <v>4.1003134796238246E-2</v>
      </c>
      <c r="T588" s="1171">
        <f t="shared" si="1248"/>
        <v>8.777062609713282E-3</v>
      </c>
      <c r="U588" s="1171">
        <f t="shared" si="1248"/>
        <v>1.4628212925322492E-2</v>
      </c>
      <c r="V588" s="1171">
        <f t="shared" si="1248"/>
        <v>1.5321401211783551E-2</v>
      </c>
      <c r="W588" s="1171">
        <f t="shared" si="1248"/>
        <v>1.4223512336719884E-2</v>
      </c>
      <c r="X588" s="1241">
        <f t="shared" si="1248"/>
        <v>0</v>
      </c>
      <c r="Y588" s="1241">
        <f t="shared" si="1248"/>
        <v>1.4537234814707286E-2</v>
      </c>
      <c r="Z588" s="1171">
        <f t="shared" si="1248"/>
        <v>2.1964522627880692E-2</v>
      </c>
      <c r="AA588" s="1171">
        <f t="shared" si="1248"/>
        <v>1.7801234457464888E-2</v>
      </c>
      <c r="AB588" s="1171" t="e">
        <f t="shared" si="1248"/>
        <v>#DIV/0!</v>
      </c>
      <c r="AC588" s="1171" t="e">
        <f t="shared" si="1248"/>
        <v>#DIV/0!</v>
      </c>
      <c r="AD588" s="1171" t="e">
        <f t="shared" si="1248"/>
        <v>#DIV/0!</v>
      </c>
      <c r="AE588" s="1241" t="e">
        <f t="shared" si="1248"/>
        <v>#DIV/0!</v>
      </c>
      <c r="AF588" s="1241" t="e">
        <f t="shared" si="1248"/>
        <v>#DIV/0!</v>
      </c>
      <c r="AG588" s="1171" t="e">
        <f t="shared" si="1248"/>
        <v>#DIV/0!</v>
      </c>
      <c r="AH588" s="1171" t="e">
        <f t="shared" si="1248"/>
        <v>#DIV/0!</v>
      </c>
      <c r="AI588" s="1349" t="e">
        <f t="shared" si="1248"/>
        <v>#DIV/0!</v>
      </c>
      <c r="AJ588" s="479">
        <f t="shared" ref="AJ588:AL588" si="1249">+AJ585/(AJ584+AJ585)</f>
        <v>1.5654831095389576E-2</v>
      </c>
      <c r="AK588" s="479"/>
      <c r="AL588" s="480">
        <f t="shared" si="1249"/>
        <v>1.0563951485639532E-2</v>
      </c>
      <c r="AM588" s="966"/>
      <c r="AN588" s="91"/>
      <c r="AO588" s="630"/>
      <c r="AP588" s="285"/>
      <c r="AQ588" s="285"/>
      <c r="AR588" s="285"/>
      <c r="AS588" s="285"/>
      <c r="AT588" s="286"/>
      <c r="AU588" s="285"/>
    </row>
    <row r="589" spans="1:48" ht="17.25" customHeight="1" thickTop="1">
      <c r="D589" s="4"/>
      <c r="AJ589" s="147"/>
      <c r="AK589" s="147"/>
    </row>
    <row r="590" spans="1:48" ht="25.15" customHeight="1">
      <c r="D590" s="151"/>
      <c r="E590" s="346"/>
      <c r="F590" s="346"/>
      <c r="G590" s="346"/>
      <c r="H590" s="346"/>
      <c r="I590" s="346"/>
      <c r="J590" s="346"/>
      <c r="K590" s="346"/>
      <c r="L590" s="346"/>
      <c r="M590" s="346"/>
      <c r="N590" s="346"/>
      <c r="O590" s="346"/>
      <c r="P590" s="346"/>
      <c r="Q590" s="346"/>
      <c r="R590" s="346"/>
      <c r="S590" s="346"/>
      <c r="T590" s="346"/>
      <c r="U590" s="346"/>
      <c r="V590" s="346"/>
      <c r="W590" s="346"/>
      <c r="X590" s="346"/>
      <c r="Y590" s="346"/>
      <c r="Z590" s="346"/>
      <c r="AA590" s="346"/>
      <c r="AB590" s="346"/>
      <c r="AC590" s="346"/>
      <c r="AD590" s="346"/>
      <c r="AE590" s="346"/>
      <c r="AF590" s="346"/>
      <c r="AG590" s="346"/>
      <c r="AH590" s="346"/>
      <c r="AI590" s="346"/>
      <c r="AJ590" s="346"/>
      <c r="AK590" s="346"/>
      <c r="AL590" s="347"/>
      <c r="AM590" s="347"/>
      <c r="AN590" s="347"/>
      <c r="AO590" s="347"/>
      <c r="AP590" s="156" t="s">
        <v>427</v>
      </c>
      <c r="AQ590" s="157" t="s">
        <v>232</v>
      </c>
      <c r="AR590" s="157" t="s">
        <v>233</v>
      </c>
      <c r="AS590" s="157" t="s">
        <v>234</v>
      </c>
      <c r="AT590" s="157" t="s">
        <v>235</v>
      </c>
      <c r="AU590" s="157" t="s">
        <v>236</v>
      </c>
      <c r="AV590" s="157" t="s">
        <v>68</v>
      </c>
    </row>
    <row r="591" spans="1:48" ht="30" customHeight="1">
      <c r="D591" s="348"/>
      <c r="E591" s="151"/>
      <c r="F591" s="152"/>
      <c r="G591" s="152"/>
      <c r="H591" s="152"/>
      <c r="I591" s="152"/>
      <c r="J591" s="152"/>
      <c r="K591" s="152"/>
      <c r="L591" s="153"/>
      <c r="R591" s="164"/>
      <c r="S591" s="164"/>
      <c r="T591" s="164"/>
      <c r="U591" s="164"/>
      <c r="V591" s="164"/>
      <c r="W591" s="164"/>
      <c r="X591" s="164"/>
      <c r="Y591" s="164"/>
      <c r="Z591" s="164"/>
      <c r="AA591" s="164"/>
      <c r="AB591" s="164"/>
      <c r="AC591" s="164"/>
      <c r="AD591" s="164"/>
      <c r="AE591" s="164"/>
      <c r="AF591" s="164"/>
      <c r="AG591" s="164"/>
      <c r="AH591" s="164"/>
      <c r="AI591" s="164"/>
      <c r="AJ591" s="164"/>
      <c r="AK591" s="164"/>
      <c r="AL591" s="347"/>
      <c r="AM591" s="347"/>
      <c r="AN591" s="347"/>
      <c r="AO591" s="347"/>
      <c r="AP591" s="165" t="s">
        <v>91</v>
      </c>
      <c r="AQ591" s="163">
        <f t="shared" ref="AQ591:AV591" si="1250">+AQ570+AQ556+AQ542+AQ528+AQ514+AQ500+AQ486+AQ472+AQ458+AQ444+AQ430+AQ416+AQ402+AQ388+AQ374+AQ360+AQ346+AQ332+AQ318+AQ304+AQ290+AQ276+AQ262+AQ248+AQ234+AQ220+AQ206+AQ192+AQ178+AQ164+AQ150+AQ136+AQ123+AQ108+AQ94+AQ80+AQ66+AQ52+AQ38+AQ24+AQ10</f>
        <v>429800</v>
      </c>
      <c r="AR591" s="163">
        <f t="shared" si="1250"/>
        <v>892200</v>
      </c>
      <c r="AS591" s="163">
        <f t="shared" si="1250"/>
        <v>745600</v>
      </c>
      <c r="AT591" s="163">
        <f t="shared" si="1250"/>
        <v>566200</v>
      </c>
      <c r="AU591" s="163">
        <f t="shared" si="1250"/>
        <v>236200</v>
      </c>
      <c r="AV591" s="163">
        <f t="shared" si="1250"/>
        <v>2870000</v>
      </c>
    </row>
    <row r="592" spans="1:48" ht="30" customHeight="1">
      <c r="D592" s="161"/>
      <c r="E592" s="162"/>
      <c r="F592" s="163"/>
      <c r="G592" s="163"/>
      <c r="H592" s="163"/>
      <c r="I592" s="163"/>
      <c r="J592" s="163"/>
      <c r="K592" s="163"/>
      <c r="L592" s="163"/>
      <c r="N592" s="164"/>
      <c r="R592" s="164"/>
      <c r="S592" s="164"/>
      <c r="T592" s="164"/>
      <c r="U592" s="164"/>
      <c r="V592" s="164"/>
      <c r="W592" s="164"/>
      <c r="X592" s="164"/>
      <c r="Y592" s="164"/>
      <c r="Z592" s="164"/>
      <c r="AA592" s="164"/>
      <c r="AB592" s="164"/>
      <c r="AC592" s="164"/>
      <c r="AD592" s="164"/>
      <c r="AE592" s="164"/>
      <c r="AF592" s="164"/>
      <c r="AG592" s="164"/>
      <c r="AH592" s="164"/>
      <c r="AI592" s="164"/>
      <c r="AJ592" s="243"/>
      <c r="AK592" s="243"/>
      <c r="AL592" s="349"/>
      <c r="AM592" s="349"/>
      <c r="AN592" s="349"/>
      <c r="AO592" s="349"/>
      <c r="AP592" s="172" t="s">
        <v>94</v>
      </c>
      <c r="AQ592" s="171">
        <f>AQ571+AQ557+AQ543+AQ529+AQ515+AQ501+AQ487+AQ473+AQ459+AQ445+AQ431+AQ417+AQ403+AQ389+AQ375+AQ361+AQ347+AQ333+AQ319+AQ305+AQ291+AQ277+AQ263+AQ249+AQ235+AQ221+AQ207+AQ193+AQ179+AQ165+AQ151+AQ137+AQ123+AQ109+AQ95+AQ67+AQ53+AQ39+AQ25+AQ11+AQ81</f>
        <v>465536</v>
      </c>
      <c r="AR592" s="171">
        <f>AR571+AR557+AR543+AR529+AR515+AR501+AR487+AR473+AR459+AR445+AR431+AR417+AR403+AR389+AR375+AR361+AR347+AR333+AR319+AR305+AR291+AR277+AR263+AR249+AR235+AR221+AR207+AR193+AR179+AR165+AR151+AR137+AR123+AR109+AR95+AR67+AR53+AR39+AR25+AR11+AR81</f>
        <v>664472</v>
      </c>
      <c r="AS592" s="171">
        <f>AS571+AS557+AS543+AS529+AS515+AS501+AS487+AS473+AS459+AS445+AS431+AS417+AS403+AS389+AS375+AS361+AS347+AS333+AS319+AS305+AS291+AS277+AS263+AS249+AS235+AS221+AS207+AS193+AS179+AS165+AS151+AS137+AS123+AS109+AS95+AS67+AS53+AS39+AS25+AS11+AS81</f>
        <v>689016</v>
      </c>
      <c r="AT592" s="171">
        <f>AT571+AT557+AT543+AT529+AT515+AT501+AT487+AT473+AT459+AT445+AT431+AT417+AT403+AT389+AT375+AT361+AT347+AT333+AT319+AT305+AT291+AT277+AT263+AT249+AT235+AT221+AT207+AT193+AT179+AT165+AT151+AT137+AT123+AT109+AT95+AT67+AT53+AT39+AT25+AT11+AT81</f>
        <v>419120</v>
      </c>
      <c r="AU592" s="171">
        <f>AU571+AU557+AU543+AU529+AU515+AU501+AU487+AU473+AU459+AU445+AU431+AU417+AU403+AU389+AU375+AU361+AU347+AU333+AU319+AU305+AU291+AU277+AU263+AU249+AU235+AU221+AU207+AU193+AU179+AU165+AU151+AU137+AU123+AU109+AU95+AU67+AU53+AU39+AU25+AU11+AU81</f>
        <v>0</v>
      </c>
      <c r="AV592" s="542">
        <f>SUM(AQ592:AU592)</f>
        <v>2238144</v>
      </c>
    </row>
    <row r="593" spans="4:48" ht="30" customHeight="1">
      <c r="D593" s="169"/>
      <c r="E593" s="170"/>
      <c r="F593" s="171"/>
      <c r="G593" s="171"/>
      <c r="H593" s="171"/>
      <c r="I593" s="171"/>
      <c r="J593" s="171"/>
      <c r="K593" s="171"/>
      <c r="L593" s="171"/>
      <c r="R593" s="346"/>
      <c r="S593" s="346"/>
      <c r="T593" s="346"/>
      <c r="U593" s="346"/>
      <c r="V593" s="346"/>
      <c r="W593" s="346"/>
      <c r="X593" s="346"/>
      <c r="Y593" s="346"/>
      <c r="Z593" s="346"/>
      <c r="AA593" s="346"/>
      <c r="AB593" s="346"/>
      <c r="AC593" s="346"/>
      <c r="AD593" s="346"/>
      <c r="AE593" s="346"/>
      <c r="AF593" s="346"/>
      <c r="AG593" s="346"/>
      <c r="AH593" s="1522"/>
      <c r="AI593" s="1522"/>
      <c r="AJ593" s="243"/>
      <c r="AK593" s="243"/>
      <c r="AL593" s="2"/>
      <c r="AM593" s="2"/>
      <c r="AN593" s="350"/>
      <c r="AO593" s="350"/>
      <c r="AP593" s="176" t="s">
        <v>237</v>
      </c>
      <c r="AQ593" s="177">
        <f>AQ592-AQ591</f>
        <v>35736</v>
      </c>
      <c r="AR593" s="177">
        <f>AR592-AR591</f>
        <v>-227728</v>
      </c>
      <c r="AS593" s="177">
        <f>AS592-AS591</f>
        <v>-56584</v>
      </c>
      <c r="AT593" s="177">
        <f>AT592-AT591</f>
        <v>-147080</v>
      </c>
      <c r="AU593" s="177">
        <f>AU592-AU591</f>
        <v>-236200</v>
      </c>
      <c r="AV593" s="543">
        <f>SUM(AQ593:AU593)</f>
        <v>-631856</v>
      </c>
    </row>
    <row r="594" spans="4:48" ht="30" customHeight="1">
      <c r="D594" s="174"/>
      <c r="E594" s="151"/>
      <c r="F594" s="175"/>
      <c r="G594" s="175"/>
      <c r="H594" s="175"/>
      <c r="I594" s="175"/>
      <c r="J594" s="175"/>
      <c r="K594" s="175"/>
      <c r="L594" s="175"/>
      <c r="R594" s="164"/>
      <c r="S594" s="164"/>
      <c r="T594" s="164"/>
      <c r="U594" s="164"/>
      <c r="V594" s="164"/>
      <c r="W594" s="164"/>
      <c r="X594" s="164"/>
      <c r="Y594" s="164"/>
      <c r="Z594" s="164"/>
      <c r="AA594" s="164"/>
      <c r="AB594" s="164"/>
      <c r="AC594" s="164"/>
      <c r="AD594" s="164"/>
      <c r="AE594" s="164"/>
      <c r="AF594" s="164"/>
      <c r="AG594" s="164"/>
      <c r="AH594" s="1522"/>
      <c r="AI594" s="1522"/>
      <c r="AJ594" s="351"/>
      <c r="AK594" s="351"/>
      <c r="AL594" s="352"/>
      <c r="AM594" s="352"/>
      <c r="AN594" s="187"/>
      <c r="AO594" s="187"/>
      <c r="AP594" s="165" t="s">
        <v>238</v>
      </c>
      <c r="AQ594" s="177">
        <f>AQ573+AQ559+AQ545+AQ531+AQ517+AQ503+AQ489+AQ476+AQ461+AQ447+AQ433+AQ419+AQ405+AQ391+AQ377+AQ363+AQ349+AQ335+AQ321+AQ307+AQ293+AQ279+AQ265+AQ251+AQ237+AQ223+AQ209+AQ195+AQ181+AQ167+AQ153+AQ139+AQ125+AQ111+AQ97+AQ69+AQ55+AQ41+AQ27+AQ13+AQ83</f>
        <v>3986</v>
      </c>
      <c r="AR594" s="177">
        <f>AR573+AR559+AR545+AR531+AR517+AR503+AR489+AR476+AR461+AR447+AR433+AR419+AR405+AR391+AR377+AR363+AR349+AR335+AR321+AR307+AR293+AR279+AR265+AR251+AR237+AR223+AR209+AR195+AR181+AR167+AR153+AR139+AR125+AR111+AR97+AR69+AR55+AR41+AR27+AR13+AR83</f>
        <v>14696</v>
      </c>
      <c r="AS594" s="177">
        <f>AS573+AS559+AS545+AS531+AS517+AS503+AS489+AS476+AS461+AS447+AS433+AS419+AS405+AS391+AS377+AS363+AS349+AS335+AS321+AS307+AS293+AS279+AS265+AS251+AS237+AS223+AS209+AS195+AS181+AS167+AS153+AS139+AS125+AS111+AS97+AS69+AS55+AS41+AS27+AS13+AS83</f>
        <v>10468</v>
      </c>
      <c r="AT594" s="177">
        <f>AT573+AT559+AT545+AT531+AT517+AT503+AT489+AT476+AT461+AT447+AT433+AT419+AT405+AT391+AT377+AT363+AT349+AT335+AT321+AT307+AT293+AT279+AT265+AT251+AT237+AT223+AT209+AT195+AT181+AT167+AT153+AT139+AT125+AT111+AT97+AT69+AT55+AT41+AT27+AT13+AT83</f>
        <v>6445</v>
      </c>
      <c r="AU594" s="177">
        <f>AU573+AU559+AU545+AU531+AU517+AU503+AU489+AU476+AU461+AU447+AU433+AU419+AU405+AU391+AU377+AU363+AU349+AU335+AU321+AU307+AU293+AU279+AU265+AU251+AU237+AU223+AU209+AU195+AU181+AU167+AU153+AU139+AU125+AU111+AU97+AU69+AU55+AU41+AU27+AU13+AU83</f>
        <v>0</v>
      </c>
      <c r="AV594" s="543">
        <f>SUM(AQ594:AU594)</f>
        <v>35595</v>
      </c>
    </row>
    <row r="595" spans="4:48" ht="30" customHeight="1">
      <c r="D595" s="161"/>
      <c r="F595" s="177"/>
      <c r="G595" s="177"/>
      <c r="H595" s="177"/>
      <c r="I595" s="177"/>
      <c r="J595" s="177"/>
      <c r="K595" s="171"/>
      <c r="L595" s="175"/>
      <c r="AH595" s="1522"/>
      <c r="AI595" s="1522"/>
      <c r="AP595" s="188" t="s">
        <v>97</v>
      </c>
      <c r="AQ595" s="185">
        <f>AQ594/AQ592</f>
        <v>8.5621734946384389E-3</v>
      </c>
      <c r="AR595" s="185">
        <f t="shared" ref="AR595:AV595" si="1251">AR594/AR592</f>
        <v>2.2116808533692918E-2</v>
      </c>
      <c r="AS595" s="185">
        <f t="shared" si="1251"/>
        <v>1.519268057635817E-2</v>
      </c>
      <c r="AT595" s="185">
        <f t="shared" si="1251"/>
        <v>1.5377457530062989E-2</v>
      </c>
      <c r="AU595" s="185" t="e">
        <f t="shared" si="1251"/>
        <v>#DIV/0!</v>
      </c>
      <c r="AV595" s="544">
        <f t="shared" si="1251"/>
        <v>1.5903802436304366E-2</v>
      </c>
    </row>
    <row r="596" spans="4:48" ht="30" customHeight="1">
      <c r="D596" s="183"/>
      <c r="E596" s="184"/>
      <c r="F596" s="185"/>
      <c r="G596" s="185"/>
      <c r="H596" s="185"/>
      <c r="I596" s="185"/>
      <c r="J596" s="185"/>
      <c r="K596" s="185"/>
      <c r="L596" s="185"/>
      <c r="AP596" s="194" t="s">
        <v>19</v>
      </c>
      <c r="AQ596" s="177">
        <f t="shared" ref="AQ596:AU597" si="1252">AQ574+AQ560+AQ546+AQ532+AQ518+AQ504+AQ490+AQ476+AQ462+AQ448+AQ434+AQ420+AQ406+AQ392+AQ378+AQ364+AQ350+AQ336+AQ322+AQ308+AQ294+AQ280+AQ266+AQ252+AQ238+AQ224+AQ210+AQ196+AQ182+AQ168+AQ154+AQ140+AQ126+AQ112+AQ98+AQ70+AQ56+AQ42+AQ28+AQ14+AQ84</f>
        <v>16660.202980000002</v>
      </c>
      <c r="AR596" s="177">
        <f t="shared" si="1252"/>
        <v>44479.639960000008</v>
      </c>
      <c r="AS596" s="177">
        <f t="shared" si="1252"/>
        <v>33628.147840000005</v>
      </c>
      <c r="AT596" s="177">
        <f t="shared" si="1252"/>
        <v>19747.3825</v>
      </c>
      <c r="AU596" s="177">
        <f t="shared" si="1252"/>
        <v>0</v>
      </c>
      <c r="AV596" s="543">
        <f>SUM(AQ596:AU596)</f>
        <v>114515.37328000003</v>
      </c>
    </row>
    <row r="597" spans="4:48" ht="30" customHeight="1">
      <c r="D597" s="190"/>
      <c r="E597" s="191"/>
      <c r="F597" s="353"/>
      <c r="G597" s="353"/>
      <c r="H597" s="353"/>
      <c r="I597" s="353"/>
      <c r="J597" s="353"/>
      <c r="K597" s="353"/>
      <c r="L597" s="354"/>
      <c r="AP597" s="197" t="s">
        <v>106</v>
      </c>
      <c r="AQ597" s="171">
        <f t="shared" si="1252"/>
        <v>2226784.4150399999</v>
      </c>
      <c r="AR597" s="171">
        <f t="shared" si="1252"/>
        <v>3182071.3905600002</v>
      </c>
      <c r="AS597" s="171">
        <f t="shared" si="1252"/>
        <v>3328569.9511200003</v>
      </c>
      <c r="AT597" s="171">
        <f t="shared" si="1252"/>
        <v>1988261.3676799999</v>
      </c>
      <c r="AU597" s="171">
        <f t="shared" si="1252"/>
        <v>0</v>
      </c>
      <c r="AV597" s="542">
        <f>SUM(AQ597:AU597)</f>
        <v>10725687.124400001</v>
      </c>
    </row>
    <row r="599" spans="4:48">
      <c r="AT599" s="256"/>
    </row>
    <row r="600" spans="4:48">
      <c r="AP600" s="581"/>
      <c r="AQ600" s="582"/>
      <c r="AR600" s="582"/>
      <c r="AS600" s="582"/>
      <c r="AT600" s="582"/>
      <c r="AU600" s="582"/>
    </row>
    <row r="601" spans="4:48">
      <c r="AP601" s="581"/>
      <c r="AQ601" s="582"/>
      <c r="AR601" s="582"/>
      <c r="AS601" s="582"/>
      <c r="AT601" s="582"/>
      <c r="AU601" s="582"/>
    </row>
    <row r="602" spans="4:48">
      <c r="AT602" s="256"/>
    </row>
    <row r="603" spans="4:48">
      <c r="AL603" s="163"/>
      <c r="AM603" s="163"/>
      <c r="AT603" s="256"/>
    </row>
    <row r="604" spans="4:48" ht="20.25">
      <c r="AL604" s="243"/>
      <c r="AM604" s="243"/>
      <c r="AT604" s="256"/>
    </row>
    <row r="605" spans="4:48">
      <c r="AL605" s="163"/>
      <c r="AM605" s="163"/>
      <c r="AT605" s="256"/>
    </row>
    <row r="606" spans="4:48">
      <c r="AL606" s="163"/>
      <c r="AM606" s="163"/>
      <c r="AT606" s="256"/>
    </row>
    <row r="607" spans="4:48">
      <c r="AL607" s="164"/>
      <c r="AM607" s="164"/>
    </row>
  </sheetData>
  <sheetProtection selectLockedCells="1" selectUnlockedCells="1"/>
  <mergeCells count="3">
    <mergeCell ref="D4:D5"/>
    <mergeCell ref="P6:Q6"/>
    <mergeCell ref="AH593:AI595"/>
  </mergeCells>
  <phoneticPr fontId="143" type="noConversion"/>
  <conditionalFormatting sqref="E414">
    <cfRule type="cellIs" dxfId="584" priority="208" operator="greaterThan">
      <formula>300001</formula>
    </cfRule>
    <cfRule type="cellIs" dxfId="583" priority="209" operator="greaterThan">
      <formula>240001</formula>
    </cfRule>
    <cfRule type="cellIs" dxfId="582" priority="210" operator="greaterThan">
      <formula>150001</formula>
    </cfRule>
  </conditionalFormatting>
  <conditionalFormatting sqref="E442">
    <cfRule type="cellIs" dxfId="581" priority="214" operator="greaterThan">
      <formula>300001</formula>
    </cfRule>
    <cfRule type="cellIs" dxfId="580" priority="215" operator="greaterThan">
      <formula>240001</formula>
    </cfRule>
    <cfRule type="cellIs" dxfId="579" priority="216" operator="greaterThan">
      <formula>150001</formula>
    </cfRule>
  </conditionalFormatting>
  <conditionalFormatting sqref="E456">
    <cfRule type="cellIs" dxfId="578" priority="217" operator="greaterThan">
      <formula>300001</formula>
    </cfRule>
    <cfRule type="cellIs" dxfId="577" priority="218" operator="greaterThan">
      <formula>240001</formula>
    </cfRule>
    <cfRule type="cellIs" dxfId="576" priority="219" operator="greaterThan">
      <formula>150001</formula>
    </cfRule>
  </conditionalFormatting>
  <conditionalFormatting sqref="E498">
    <cfRule type="cellIs" dxfId="575" priority="73" operator="greaterThan">
      <formula>300001</formula>
    </cfRule>
    <cfRule type="cellIs" dxfId="574" priority="74" operator="greaterThan">
      <formula>240001</formula>
    </cfRule>
    <cfRule type="cellIs" dxfId="573" priority="75" operator="greaterThan">
      <formula>150001</formula>
    </cfRule>
  </conditionalFormatting>
  <conditionalFormatting sqref="E88:AF88">
    <cfRule type="containsText" dxfId="572" priority="54" operator="containsText" text="O/H">
      <formula>NOT(ISERROR(SEARCH("O/H",E88)))</formula>
    </cfRule>
  </conditionalFormatting>
  <conditionalFormatting sqref="E91:AF91">
    <cfRule type="containsText" dxfId="571" priority="52" operator="containsText" text="O/H">
      <formula>NOT(ISERROR(SEARCH("O/H",E91)))</formula>
    </cfRule>
  </conditionalFormatting>
  <conditionalFormatting sqref="E106:AF106">
    <cfRule type="cellIs" dxfId="570" priority="66" operator="greaterThan">
      <formula>300001</formula>
    </cfRule>
    <cfRule type="cellIs" dxfId="569" priority="67" operator="greaterThan">
      <formula>240001</formula>
    </cfRule>
    <cfRule type="cellIs" dxfId="568" priority="68" operator="greaterThan">
      <formula>150001</formula>
    </cfRule>
  </conditionalFormatting>
  <conditionalFormatting sqref="E32:AH32">
    <cfRule type="containsText" dxfId="567" priority="282" operator="containsText" text="O/H">
      <formula>NOT(ISERROR(SEARCH("O/H",E32)))</formula>
    </cfRule>
  </conditionalFormatting>
  <conditionalFormatting sqref="E35:AH35">
    <cfRule type="containsText" dxfId="566" priority="281" operator="containsText" text="O/H">
      <formula>NOT(ISERROR(SEARCH("O/H",E35)))</formula>
    </cfRule>
  </conditionalFormatting>
  <conditionalFormatting sqref="E161:AH161">
    <cfRule type="containsText" dxfId="565" priority="130" operator="containsText" text="O/H">
      <formula>NOT(ISERROR(SEARCH("O/H",E161)))</formula>
    </cfRule>
  </conditionalFormatting>
  <conditionalFormatting sqref="E228:AH228">
    <cfRule type="containsText" dxfId="564" priority="97" operator="containsText" text="O/H">
      <formula>NOT(ISERROR(SEARCH("O/H",E228)))</formula>
    </cfRule>
  </conditionalFormatting>
  <conditionalFormatting sqref="E231:AH231">
    <cfRule type="containsText" dxfId="563" priority="96" operator="containsText" text="O/H">
      <formula>NOT(ISERROR(SEARCH("O/H",E231)))</formula>
    </cfRule>
  </conditionalFormatting>
  <conditionalFormatting sqref="E232:AH232">
    <cfRule type="cellIs" dxfId="562" priority="98" operator="greaterThan">
      <formula>300001</formula>
    </cfRule>
    <cfRule type="cellIs" dxfId="561" priority="99" operator="greaterThan">
      <formula>240001</formula>
    </cfRule>
    <cfRule type="cellIs" dxfId="560" priority="100" operator="greaterThan">
      <formula>150001</formula>
    </cfRule>
  </conditionalFormatting>
  <conditionalFormatting sqref="E245:AH245">
    <cfRule type="containsText" dxfId="559" priority="114" operator="containsText" text="O/H">
      <formula>NOT(ISERROR(SEARCH("O/H",E245)))</formula>
    </cfRule>
  </conditionalFormatting>
  <conditionalFormatting sqref="E298:AH298">
    <cfRule type="containsText" dxfId="558" priority="283" operator="containsText" text="O/H">
      <formula>NOT(ISERROR(SEARCH("O/H",E298)))</formula>
    </cfRule>
  </conditionalFormatting>
  <conditionalFormatting sqref="E301:AH301">
    <cfRule type="containsText" dxfId="557" priority="110" operator="containsText" text="O/H">
      <formula>NOT(ISERROR(SEARCH("O/H",E301)))</formula>
    </cfRule>
  </conditionalFormatting>
  <conditionalFormatting sqref="E368:AH368">
    <cfRule type="containsText" dxfId="556" priority="89" operator="containsText" text="O/H">
      <formula>NOT(ISERROR(SEARCH("O/H",E368)))</formula>
    </cfRule>
  </conditionalFormatting>
  <conditionalFormatting sqref="E371:AH371">
    <cfRule type="containsText" dxfId="555" priority="88" operator="containsText" text="O/H">
      <formula>NOT(ISERROR(SEARCH("O/H",E371)))</formula>
    </cfRule>
  </conditionalFormatting>
  <conditionalFormatting sqref="E372:AH372">
    <cfRule type="cellIs" dxfId="554" priority="90" operator="greaterThan">
      <formula>300001</formula>
    </cfRule>
    <cfRule type="cellIs" dxfId="553" priority="92" operator="greaterThan">
      <formula>240001</formula>
    </cfRule>
    <cfRule type="cellIs" dxfId="552" priority="93" operator="greaterThan">
      <formula>150001</formula>
    </cfRule>
  </conditionalFormatting>
  <conditionalFormatting sqref="E424:AH424">
    <cfRule type="containsText" dxfId="551" priority="187" operator="containsText" text="O/H">
      <formula>NOT(ISERROR(SEARCH("O/H",E424)))</formula>
    </cfRule>
  </conditionalFormatting>
  <conditionalFormatting sqref="E425:AH425">
    <cfRule type="cellIs" dxfId="550" priority="211" operator="greaterThan">
      <formula>27501</formula>
    </cfRule>
    <cfRule type="cellIs" dxfId="549" priority="212" operator="greaterThan">
      <formula>22001</formula>
    </cfRule>
    <cfRule type="cellIs" dxfId="548" priority="213" operator="greaterThan">
      <formula>15001</formula>
    </cfRule>
  </conditionalFormatting>
  <conditionalFormatting sqref="E427:AH427">
    <cfRule type="containsText" dxfId="547" priority="186" operator="containsText" text="O/H">
      <formula>NOT(ISERROR(SEARCH("O/H",E427)))</formula>
    </cfRule>
  </conditionalFormatting>
  <conditionalFormatting sqref="E428:AH428">
    <cfRule type="cellIs" dxfId="546" priority="189" operator="greaterThan">
      <formula>300001</formula>
    </cfRule>
    <cfRule type="cellIs" dxfId="545" priority="190" operator="greaterThan">
      <formula>240001</formula>
    </cfRule>
    <cfRule type="cellIs" dxfId="544" priority="191" operator="greaterThan">
      <formula>150001</formula>
    </cfRule>
  </conditionalFormatting>
  <conditionalFormatting sqref="E578:AH578">
    <cfRule type="containsText" dxfId="543" priority="106" operator="containsText" text="O/H">
      <formula>NOT(ISERROR(SEARCH("O/H",E578)))</formula>
    </cfRule>
  </conditionalFormatting>
  <conditionalFormatting sqref="E581:AH581">
    <cfRule type="containsText" dxfId="542" priority="105" operator="containsText" text="O/H">
      <formula>NOT(ISERROR(SEARCH("O/H",E581)))</formula>
    </cfRule>
  </conditionalFormatting>
  <conditionalFormatting sqref="E18:AI18">
    <cfRule type="containsText" dxfId="541" priority="274" operator="containsText" text="O/H">
      <formula>NOT(ISERROR(SEARCH("O/H",E18)))</formula>
    </cfRule>
  </conditionalFormatting>
  <conditionalFormatting sqref="E19:AI19">
    <cfRule type="cellIs" dxfId="540" priority="1" operator="greaterThan">
      <formula>50001</formula>
    </cfRule>
    <cfRule type="cellIs" dxfId="539" priority="2" operator="greaterThan">
      <formula>40001</formula>
    </cfRule>
    <cfRule type="cellIs" dxfId="538" priority="3" operator="greaterThan">
      <formula>25001</formula>
    </cfRule>
  </conditionalFormatting>
  <conditionalFormatting sqref="E21:AI21">
    <cfRule type="containsText" dxfId="537" priority="41" operator="containsText" text="O/H">
      <formula>NOT(ISERROR(SEARCH("O/H",E21)))</formula>
    </cfRule>
  </conditionalFormatting>
  <conditionalFormatting sqref="E22:AI22">
    <cfRule type="cellIs" dxfId="536" priority="263" operator="greaterThan">
      <formula>300001</formula>
    </cfRule>
    <cfRule type="cellIs" dxfId="535" priority="264" operator="greaterThan">
      <formula>240001</formula>
    </cfRule>
    <cfRule type="cellIs" dxfId="534" priority="265" operator="greaterThan">
      <formula>150001</formula>
    </cfRule>
  </conditionalFormatting>
  <conditionalFormatting sqref="E33:AI33">
    <cfRule type="cellIs" dxfId="533" priority="234" operator="greaterThan">
      <formula>98001</formula>
    </cfRule>
    <cfRule type="cellIs" dxfId="532" priority="235" operator="greaterThan">
      <formula>78401</formula>
    </cfRule>
    <cfRule type="cellIs" dxfId="531" priority="236" operator="greaterThan">
      <formula>49001</formula>
    </cfRule>
  </conditionalFormatting>
  <conditionalFormatting sqref="E35:AI35">
    <cfRule type="containsText" dxfId="530" priority="232" operator="containsText" text="O/H">
      <formula>NOT(ISERROR(SEARCH("O/H",E35)))</formula>
    </cfRule>
    <cfRule type="containsText" dxfId="529" priority="237" operator="containsText" text="O/H">
      <formula>NOT(ISERROR(SEARCH("O/H",E35)))</formula>
    </cfRule>
  </conditionalFormatting>
  <conditionalFormatting sqref="E46:AI46">
    <cfRule type="containsText" dxfId="528" priority="76" operator="containsText" text="O/H">
      <formula>NOT(ISERROR(SEARCH("O/H",E46)))</formula>
    </cfRule>
  </conditionalFormatting>
  <conditionalFormatting sqref="E63:AI63">
    <cfRule type="containsText" dxfId="527" priority="165" operator="containsText" text="O/H">
      <formula>NOT(ISERROR(SEARCH("O/H",E63)))</formula>
    </cfRule>
  </conditionalFormatting>
  <conditionalFormatting sqref="E89:AI89">
    <cfRule type="cellIs" dxfId="526" priority="38" operator="greaterThan">
      <formula>67501</formula>
    </cfRule>
    <cfRule type="cellIs" dxfId="525" priority="39" operator="greaterThan">
      <formula>54001</formula>
    </cfRule>
    <cfRule type="cellIs" dxfId="524" priority="40" operator="greaterThan">
      <formula>33751</formula>
    </cfRule>
  </conditionalFormatting>
  <conditionalFormatting sqref="E92:AI92">
    <cfRule type="cellIs" dxfId="523" priority="47" operator="greaterThan">
      <formula>300001</formula>
    </cfRule>
    <cfRule type="cellIs" dxfId="522" priority="50" operator="greaterThan">
      <formula>240001</formula>
    </cfRule>
    <cfRule type="cellIs" dxfId="521" priority="51" operator="greaterThan">
      <formula>150001</formula>
    </cfRule>
  </conditionalFormatting>
  <conditionalFormatting sqref="E102:AI102">
    <cfRule type="containsText" dxfId="520" priority="169" operator="containsText" text="O/H">
      <formula>NOT(ISERROR(SEARCH("O/H",E102)))</formula>
    </cfRule>
  </conditionalFormatting>
  <conditionalFormatting sqref="E103:AI103">
    <cfRule type="cellIs" dxfId="519" priority="35" operator="greaterThan">
      <formula>67501</formula>
    </cfRule>
    <cfRule type="cellIs" dxfId="518" priority="36" operator="greaterThan">
      <formula>54001</formula>
    </cfRule>
    <cfRule type="cellIs" dxfId="517" priority="37" operator="greaterThan">
      <formula>33751</formula>
    </cfRule>
  </conditionalFormatting>
  <conditionalFormatting sqref="E105:AI105">
    <cfRule type="containsText" dxfId="516" priority="168" operator="containsText" text="O/H">
      <formula>NOT(ISERROR(SEARCH("O/H",E105)))</formula>
    </cfRule>
  </conditionalFormatting>
  <conditionalFormatting sqref="E130:AI130">
    <cfRule type="containsText" dxfId="515" priority="161" operator="containsText" text="O/H">
      <formula>NOT(ISERROR(SEARCH("O/H",E130)))</formula>
    </cfRule>
  </conditionalFormatting>
  <conditionalFormatting sqref="E133:AI133">
    <cfRule type="containsText" dxfId="514" priority="160" operator="containsText" text="O/H">
      <formula>NOT(ISERROR(SEARCH("O/H",E133)))</formula>
    </cfRule>
  </conditionalFormatting>
  <conditionalFormatting sqref="E144:AI144">
    <cfRule type="containsText" dxfId="513" priority="245" operator="containsText" text="O/H">
      <formula>NOT(ISERROR(SEARCH("O/H",E144)))</formula>
    </cfRule>
  </conditionalFormatting>
  <conditionalFormatting sqref="E145:AI145">
    <cfRule type="cellIs" dxfId="512" priority="32" operator="greaterThan">
      <formula>67501</formula>
    </cfRule>
    <cfRule type="cellIs" dxfId="511" priority="33" operator="greaterThan">
      <formula>54001</formula>
    </cfRule>
    <cfRule type="cellIs" dxfId="510" priority="34" operator="greaterThan">
      <formula>33751</formula>
    </cfRule>
  </conditionalFormatting>
  <conditionalFormatting sqref="E147:AI147">
    <cfRule type="containsText" dxfId="509" priority="246" operator="containsText" text="O/H">
      <formula>NOT(ISERROR(SEARCH("O/H",E147)))</formula>
    </cfRule>
  </conditionalFormatting>
  <conditionalFormatting sqref="E148:AI148">
    <cfRule type="cellIs" dxfId="508" priority="260" operator="greaterThan">
      <formula>300001</formula>
    </cfRule>
    <cfRule type="cellIs" dxfId="507" priority="277" operator="greaterThan">
      <formula>240001</formula>
    </cfRule>
    <cfRule type="cellIs" dxfId="506" priority="278" operator="greaterThan">
      <formula>150001</formula>
    </cfRule>
  </conditionalFormatting>
  <conditionalFormatting sqref="E158:AI158">
    <cfRule type="containsText" dxfId="505" priority="159" operator="containsText" text="O/H">
      <formula>NOT(ISERROR(SEARCH("O/H",E158)))</formula>
    </cfRule>
  </conditionalFormatting>
  <conditionalFormatting sqref="E161:AI161">
    <cfRule type="containsText" dxfId="504" priority="158" operator="containsText" text="O/H">
      <formula>NOT(ISERROR(SEARCH("O/H",E161)))</formula>
    </cfRule>
  </conditionalFormatting>
  <conditionalFormatting sqref="E162:AI162">
    <cfRule type="cellIs" dxfId="503" priority="101" operator="greaterThan">
      <formula>300001</formula>
    </cfRule>
    <cfRule type="cellIs" dxfId="502" priority="102" operator="greaterThan">
      <formula>240001</formula>
    </cfRule>
    <cfRule type="cellIs" dxfId="501" priority="104" operator="greaterThan">
      <formula>150001</formula>
    </cfRule>
  </conditionalFormatting>
  <conditionalFormatting sqref="E214:AI214">
    <cfRule type="containsText" dxfId="500" priority="157" operator="containsText" text="O/H">
      <formula>NOT(ISERROR(SEARCH("O/H",E214)))</formula>
    </cfRule>
  </conditionalFormatting>
  <conditionalFormatting sqref="E215:AI215">
    <cfRule type="cellIs" dxfId="499" priority="29" operator="greaterThan">
      <formula>67501</formula>
    </cfRule>
    <cfRule type="cellIs" dxfId="498" priority="30" operator="greaterThan">
      <formula>54001</formula>
    </cfRule>
    <cfRule type="cellIs" dxfId="497" priority="31" operator="greaterThan">
      <formula>33751</formula>
    </cfRule>
  </conditionalFormatting>
  <conditionalFormatting sqref="E217:AI217">
    <cfRule type="containsText" dxfId="496" priority="156" operator="containsText" text="O/H">
      <formula>NOT(ISERROR(SEARCH("O/H",E217)))</formula>
    </cfRule>
  </conditionalFormatting>
  <conditionalFormatting sqref="E218:AI218">
    <cfRule type="cellIs" dxfId="495" priority="42" operator="greaterThan">
      <formula>300001</formula>
    </cfRule>
    <cfRule type="cellIs" dxfId="494" priority="43" operator="greaterThan">
      <formula>240001</formula>
    </cfRule>
    <cfRule type="cellIs" dxfId="493" priority="44" operator="greaterThan">
      <formula>150001</formula>
    </cfRule>
  </conditionalFormatting>
  <conditionalFormatting sqref="E242:AI242">
    <cfRule type="containsText" dxfId="492" priority="81" operator="containsText" text="O/H">
      <formula>NOT(ISERROR(SEARCH("O/H",E242)))</formula>
    </cfRule>
  </conditionalFormatting>
  <conditionalFormatting sqref="E243:AI243">
    <cfRule type="cellIs" dxfId="491" priority="26" operator="greaterThan">
      <formula>67501</formula>
    </cfRule>
    <cfRule type="cellIs" dxfId="490" priority="27" operator="greaterThan">
      <formula>54001</formula>
    </cfRule>
    <cfRule type="cellIs" dxfId="489" priority="28" operator="greaterThan">
      <formula>33751</formula>
    </cfRule>
  </conditionalFormatting>
  <conditionalFormatting sqref="E246:AI246">
    <cfRule type="cellIs" dxfId="488" priority="111" operator="greaterThan">
      <formula>300001</formula>
    </cfRule>
    <cfRule type="cellIs" dxfId="487" priority="112" operator="greaterThan">
      <formula>240001</formula>
    </cfRule>
    <cfRule type="cellIs" dxfId="486" priority="113" operator="greaterThan">
      <formula>150001</formula>
    </cfRule>
  </conditionalFormatting>
  <conditionalFormatting sqref="E256:AI256">
    <cfRule type="containsText" dxfId="485" priority="170" operator="containsText" text="O/H">
      <formula>NOT(ISERROR(SEARCH("O/H",E256)))</formula>
    </cfRule>
  </conditionalFormatting>
  <conditionalFormatting sqref="E259:AI259">
    <cfRule type="containsText" dxfId="484" priority="172" operator="containsText" text="O/H">
      <formula>NOT(ISERROR(SEARCH("O/H",E259)))</formula>
    </cfRule>
  </conditionalFormatting>
  <conditionalFormatting sqref="E260:AI260">
    <cfRule type="cellIs" dxfId="483" priority="174" operator="greaterThan">
      <formula>300001</formula>
    </cfRule>
    <cfRule type="cellIs" dxfId="482" priority="175" operator="greaterThan">
      <formula>240001</formula>
    </cfRule>
    <cfRule type="cellIs" dxfId="481" priority="176" operator="greaterThan">
      <formula>150001</formula>
    </cfRule>
    <cfRule type="containsText" dxfId="480" priority="177" operator="containsText" text="300001">
      <formula>NOT(ISERROR(SEARCH("300001",E260)))</formula>
    </cfRule>
    <cfRule type="containsText" dxfId="479" priority="178" operator="containsText" text="240001">
      <formula>NOT(ISERROR(SEARCH("240001",E260)))</formula>
    </cfRule>
    <cfRule type="containsText" dxfId="478" priority="179" operator="containsText" text="150001">
      <formula>NOT(ISERROR(SEARCH("150001",E260)))</formula>
    </cfRule>
  </conditionalFormatting>
  <conditionalFormatting sqref="E302:AI302">
    <cfRule type="cellIs" dxfId="477" priority="257" operator="greaterThan">
      <formula>300001</formula>
    </cfRule>
    <cfRule type="cellIs" dxfId="476" priority="258" operator="greaterThan">
      <formula>240001</formula>
    </cfRule>
    <cfRule type="cellIs" dxfId="475" priority="259" operator="greaterThan">
      <formula>150001</formula>
    </cfRule>
  </conditionalFormatting>
  <conditionalFormatting sqref="E312:AI312">
    <cfRule type="containsText" dxfId="474" priority="248" operator="containsText" text="O/H">
      <formula>NOT(ISERROR(SEARCH("O/H",E312)))</formula>
    </cfRule>
  </conditionalFormatting>
  <conditionalFormatting sqref="E315:AI315">
    <cfRule type="containsText" dxfId="473" priority="247" operator="containsText" text="O/H">
      <formula>NOT(ISERROR(SEARCH("O/H",E315)))</formula>
    </cfRule>
  </conditionalFormatting>
  <conditionalFormatting sqref="E316:AI316">
    <cfRule type="cellIs" dxfId="472" priority="254" operator="greaterThan">
      <formula>300001</formula>
    </cfRule>
    <cfRule type="cellIs" dxfId="471" priority="255" operator="greaterThan">
      <formula>240001</formula>
    </cfRule>
    <cfRule type="cellIs" dxfId="470" priority="256" operator="greaterThan">
      <formula>150001</formula>
    </cfRule>
  </conditionalFormatting>
  <conditionalFormatting sqref="E326:AI326">
    <cfRule type="containsText" dxfId="469" priority="201" operator="containsText" text="O/H">
      <formula>NOT(ISERROR(SEARCH("O/H",E326)))</formula>
    </cfRule>
  </conditionalFormatting>
  <conditionalFormatting sqref="E329:AI329">
    <cfRule type="containsText" dxfId="468" priority="200" operator="containsText" text="O/H">
      <formula>NOT(ISERROR(SEARCH("O/H",E329)))</formula>
    </cfRule>
  </conditionalFormatting>
  <conditionalFormatting sqref="E330:AI330">
    <cfRule type="cellIs" dxfId="467" priority="197" operator="greaterThan">
      <formula>300001</formula>
    </cfRule>
    <cfRule type="cellIs" dxfId="466" priority="198" operator="greaterThan">
      <formula>240001</formula>
    </cfRule>
    <cfRule type="cellIs" dxfId="465" priority="199" operator="greaterThan">
      <formula>150001</formula>
    </cfRule>
  </conditionalFormatting>
  <conditionalFormatting sqref="E340:AI340">
    <cfRule type="containsText" dxfId="464" priority="155" operator="containsText" text="O/H">
      <formula>NOT(ISERROR(SEARCH("O/H",E340)))</formula>
    </cfRule>
  </conditionalFormatting>
  <conditionalFormatting sqref="E341:AI341">
    <cfRule type="cellIs" dxfId="463" priority="23" operator="greaterThan">
      <formula>30001</formula>
    </cfRule>
    <cfRule type="cellIs" dxfId="462" priority="24" operator="greaterThan">
      <formula>24001</formula>
    </cfRule>
    <cfRule type="cellIs" dxfId="461" priority="25" operator="greaterThan">
      <formula>15001</formula>
    </cfRule>
  </conditionalFormatting>
  <conditionalFormatting sqref="E343:AI343">
    <cfRule type="containsText" dxfId="460" priority="154" operator="containsText" text="O/H">
      <formula>NOT(ISERROR(SEARCH("O/H",E343)))</formula>
    </cfRule>
  </conditionalFormatting>
  <conditionalFormatting sqref="E344:AI344">
    <cfRule type="cellIs" dxfId="459" priority="192" operator="greaterThan">
      <formula>300001</formula>
    </cfRule>
    <cfRule type="cellIs" dxfId="458" priority="193" operator="greaterThan">
      <formula>240001</formula>
    </cfRule>
    <cfRule type="cellIs" dxfId="457" priority="194" operator="greaterThan">
      <formula>150001</formula>
    </cfRule>
  </conditionalFormatting>
  <conditionalFormatting sqref="E354:AI354">
    <cfRule type="containsText" dxfId="456" priority="153" operator="containsText" text="O/H">
      <formula>NOT(ISERROR(SEARCH("O/H",E354)))</formula>
    </cfRule>
  </conditionalFormatting>
  <conditionalFormatting sqref="E355:AI355">
    <cfRule type="cellIs" dxfId="455" priority="20" operator="greaterThan">
      <formula>67501</formula>
    </cfRule>
    <cfRule type="cellIs" dxfId="454" priority="21" operator="greaterThan">
      <formula>54001</formula>
    </cfRule>
    <cfRule type="cellIs" dxfId="453" priority="22" operator="greaterThan">
      <formula>33751</formula>
    </cfRule>
  </conditionalFormatting>
  <conditionalFormatting sqref="E357:AI357">
    <cfRule type="containsText" dxfId="452" priority="152" operator="containsText" text="O/H">
      <formula>NOT(ISERROR(SEARCH("O/H",E357)))</formula>
    </cfRule>
  </conditionalFormatting>
  <conditionalFormatting sqref="E358:AI358">
    <cfRule type="cellIs" dxfId="451" priority="139" operator="greaterThanOrEqual">
      <formula>300001</formula>
    </cfRule>
    <cfRule type="cellIs" dxfId="450" priority="140" operator="greaterThanOrEqual">
      <formula>240001</formula>
    </cfRule>
    <cfRule type="cellIs" dxfId="449" priority="141" operator="greaterThanOrEqual">
      <formula>150001</formula>
    </cfRule>
  </conditionalFormatting>
  <conditionalFormatting sqref="E424:AI424">
    <cfRule type="containsText" dxfId="448" priority="151" operator="containsText" text="O/H">
      <formula>NOT(ISERROR(SEARCH("O/H",E424)))</formula>
    </cfRule>
  </conditionalFormatting>
  <conditionalFormatting sqref="E427:AI427">
    <cfRule type="containsText" dxfId="447" priority="150" operator="containsText" text="O/H">
      <formula>NOT(ISERROR(SEARCH("O/H",E427)))</formula>
    </cfRule>
  </conditionalFormatting>
  <conditionalFormatting sqref="E466:AI466">
    <cfRule type="containsText" dxfId="446" priority="149" operator="containsText" text="O/H">
      <formula>NOT(ISERROR(SEARCH("O/H",E466)))</formula>
    </cfRule>
  </conditionalFormatting>
  <conditionalFormatting sqref="E469:AI469">
    <cfRule type="containsText" dxfId="445" priority="148" operator="containsText" text="O/H">
      <formula>NOT(ISERROR(SEARCH("O/H",E469)))</formula>
    </cfRule>
  </conditionalFormatting>
  <conditionalFormatting sqref="E470:AI470">
    <cfRule type="cellIs" dxfId="444" priority="223" operator="greaterThan">
      <formula>300001</formula>
    </cfRule>
    <cfRule type="cellIs" dxfId="443" priority="224" operator="greaterThan">
      <formula>240001</formula>
    </cfRule>
    <cfRule type="cellIs" dxfId="442" priority="225" operator="greaterThan">
      <formula>150001</formula>
    </cfRule>
  </conditionalFormatting>
  <conditionalFormatting sqref="E480:AI480">
    <cfRule type="containsText" dxfId="441" priority="147" operator="containsText" text="O/H">
      <formula>NOT(ISERROR(SEARCH("O/H",E480)))</formula>
    </cfRule>
  </conditionalFormatting>
  <conditionalFormatting sqref="E481:AI481">
    <cfRule type="cellIs" dxfId="440" priority="17" operator="greaterThan">
      <formula>33751</formula>
    </cfRule>
    <cfRule type="cellIs" dxfId="439" priority="18" operator="greaterThan">
      <formula>27001</formula>
    </cfRule>
    <cfRule type="cellIs" dxfId="438" priority="19" operator="greaterThan">
      <formula>16875</formula>
    </cfRule>
  </conditionalFormatting>
  <conditionalFormatting sqref="E483:AI483">
    <cfRule type="containsText" dxfId="437" priority="146" operator="containsText" text="O/H">
      <formula>NOT(ISERROR(SEARCH("O/H",E483)))</formula>
    </cfRule>
  </conditionalFormatting>
  <conditionalFormatting sqref="E484:AI484">
    <cfRule type="cellIs" dxfId="436" priority="14" operator="greaterThan">
      <formula>300001</formula>
    </cfRule>
    <cfRule type="cellIs" dxfId="435" priority="15" operator="greaterThan">
      <formula>240001</formula>
    </cfRule>
    <cfRule type="cellIs" dxfId="434" priority="16" operator="greaterThan">
      <formula>150001</formula>
    </cfRule>
  </conditionalFormatting>
  <conditionalFormatting sqref="E494:AI494">
    <cfRule type="containsText" dxfId="433" priority="249" operator="containsText" text="O/H">
      <formula>NOT(ISERROR(SEARCH("O/H",E494)))</formula>
    </cfRule>
  </conditionalFormatting>
  <conditionalFormatting sqref="E497:AI497">
    <cfRule type="containsText" dxfId="432" priority="250" operator="containsText" text="O/H">
      <formula>NOT(ISERROR(SEARCH("O/H",E497)))</formula>
    </cfRule>
  </conditionalFormatting>
  <conditionalFormatting sqref="E550:AI550">
    <cfRule type="containsText" dxfId="431" priority="145" operator="containsText" text="O/H">
      <formula>NOT(ISERROR(SEARCH("O/H",E550)))</formula>
    </cfRule>
  </conditionalFormatting>
  <conditionalFormatting sqref="E551:AI551">
    <cfRule type="cellIs" dxfId="430" priority="11" operator="greaterThan">
      <formula>27501</formula>
    </cfRule>
    <cfRule type="cellIs" dxfId="429" priority="12" operator="greaterThan">
      <formula>22001</formula>
    </cfRule>
    <cfRule type="cellIs" dxfId="428" priority="13" operator="greaterThan">
      <formula>13750</formula>
    </cfRule>
  </conditionalFormatting>
  <conditionalFormatting sqref="E553:AI553">
    <cfRule type="containsText" dxfId="427" priority="144" operator="containsText" text="O/H">
      <formula>NOT(ISERROR(SEARCH("O/H",E553)))</formula>
    </cfRule>
  </conditionalFormatting>
  <conditionalFormatting sqref="E554:AI554">
    <cfRule type="cellIs" dxfId="426" priority="85" operator="greaterThan">
      <formula>300001</formula>
    </cfRule>
    <cfRule type="cellIs" dxfId="425" priority="86" operator="greaterThan">
      <formula>240001</formula>
    </cfRule>
    <cfRule type="cellIs" dxfId="424" priority="87" operator="greaterThan">
      <formula>150001</formula>
    </cfRule>
  </conditionalFormatting>
  <conditionalFormatting sqref="E564:AI564">
    <cfRule type="containsText" dxfId="423" priority="142" operator="containsText" text="O/H">
      <formula>NOT(ISERROR(SEARCH("O/H",E564)))</formula>
    </cfRule>
  </conditionalFormatting>
  <conditionalFormatting sqref="E565:AI565">
    <cfRule type="cellIs" dxfId="422" priority="8" operator="greaterThan">
      <formula>67501</formula>
    </cfRule>
    <cfRule type="cellIs" dxfId="421" priority="9" operator="greaterThan">
      <formula>54001</formula>
    </cfRule>
    <cfRule type="cellIs" dxfId="420" priority="10" operator="greaterThan">
      <formula>33751</formula>
    </cfRule>
  </conditionalFormatting>
  <conditionalFormatting sqref="E567:AI567">
    <cfRule type="containsText" dxfId="419" priority="7" operator="containsText" text="O/H">
      <formula>NOT(ISERROR(SEARCH("O/H",E567)))</formula>
    </cfRule>
  </conditionalFormatting>
  <conditionalFormatting sqref="E579:AI579">
    <cfRule type="cellIs" dxfId="418" priority="4" operator="greaterThan">
      <formula>31251</formula>
    </cfRule>
    <cfRule type="cellIs" dxfId="417" priority="5" operator="greaterThan">
      <formula>25001</formula>
    </cfRule>
    <cfRule type="cellIs" dxfId="416" priority="6" operator="greaterThan">
      <formula>15626</formula>
    </cfRule>
  </conditionalFormatting>
  <conditionalFormatting sqref="E582:AI582">
    <cfRule type="cellIs" dxfId="415" priority="107" operator="greaterThan">
      <formula>300001</formula>
    </cfRule>
    <cfRule type="cellIs" dxfId="414" priority="108" operator="greaterThan">
      <formula>240001</formula>
    </cfRule>
    <cfRule type="cellIs" dxfId="413" priority="109" operator="greaterThan">
      <formula>150001</formula>
    </cfRule>
  </conditionalFormatting>
  <conditionalFormatting sqref="F498:AI498">
    <cfRule type="cellIs" dxfId="412" priority="251" operator="greaterThan">
      <formula>300001</formula>
    </cfRule>
    <cfRule type="cellIs" dxfId="411" priority="252" operator="greaterThan">
      <formula>240001</formula>
    </cfRule>
    <cfRule type="cellIs" dxfId="410" priority="253" operator="greaterThan">
      <formula>150001</formula>
    </cfRule>
  </conditionalFormatting>
  <conditionalFormatting sqref="R591:R592 R594:AG594">
    <cfRule type="cellIs" dxfId="409" priority="284" stopIfTrue="1" operator="between">
      <formula>1</formula>
      <formula>999999</formula>
    </cfRule>
    <cfRule type="cellIs" dxfId="408" priority="285" stopIfTrue="1" operator="between">
      <formula>-1</formula>
      <formula>-999999</formula>
    </cfRule>
  </conditionalFormatting>
  <conditionalFormatting sqref="S591:AK591 S592:AI592 AJ594:AK594">
    <cfRule type="cellIs" dxfId="407" priority="286" stopIfTrue="1" operator="between">
      <formula>1</formula>
      <formula>999999</formula>
    </cfRule>
    <cfRule type="cellIs" dxfId="406" priority="287" stopIfTrue="1" operator="between">
      <formula>-1</formula>
      <formula>-999999</formula>
    </cfRule>
  </conditionalFormatting>
  <printOptions horizontalCentered="1"/>
  <pageMargins left="0.11" right="0.17" top="0.38" bottom="0.12" header="0.12" footer="0.12"/>
  <pageSetup paperSize="8" scale="30" orientation="landscape" horizontalDpi="4294967294" verticalDpi="300" r:id="rId1"/>
  <headerFooter alignWithMargins="0"/>
  <drawing r:id="rId2"/>
  <legacyDrawing r:id="rId3"/>
  <tableParts count="1"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646E8-E66F-4F6B-B8A7-CE42FAD8A39A}">
  <sheetPr codeName="Sheet6">
    <tabColor rgb="FF00CC00"/>
  </sheetPr>
  <dimension ref="A1:AV478"/>
  <sheetViews>
    <sheetView showGridLines="0" zoomScale="60" zoomScaleNormal="60" workbookViewId="0">
      <pane xSplit="5" ySplit="7" topLeftCell="T22" activePane="bottomRight" state="frozen"/>
      <selection pane="topRight" activeCell="B477" sqref="B477"/>
      <selection pane="bottomLeft" activeCell="B477" sqref="B477"/>
      <selection pane="bottomRight" activeCell="AA29" sqref="AA29"/>
    </sheetView>
  </sheetViews>
  <sheetFormatPr defaultColWidth="9.42578125" defaultRowHeight="15.75"/>
  <cols>
    <col min="1" max="1" width="14.5703125" style="1" customWidth="1"/>
    <col min="2" max="2" width="56.42578125" style="2" customWidth="1"/>
    <col min="3" max="3" width="22" style="3" customWidth="1"/>
    <col min="4" max="4" width="33.5703125" style="195" customWidth="1"/>
    <col min="5" max="5" width="13" style="146" customWidth="1"/>
    <col min="6" max="34" width="13" style="1" customWidth="1"/>
    <col min="35" max="35" width="13.42578125" style="1" hidden="1" customWidth="1"/>
    <col min="36" max="36" width="17.5703125" style="1" customWidth="1"/>
    <col min="37" max="37" width="23.28515625" style="1" customWidth="1"/>
    <col min="38" max="38" width="17.5703125" style="1" customWidth="1"/>
    <col min="39" max="39" width="26.28515625" style="1" customWidth="1"/>
    <col min="40" max="40" width="17.5703125" style="1" customWidth="1"/>
    <col min="41" max="41" width="13.5703125" style="1" customWidth="1"/>
    <col min="42" max="42" width="36.7109375" style="1" customWidth="1"/>
    <col min="43" max="48" width="13.42578125" style="1" customWidth="1"/>
    <col min="49" max="16384" width="9.42578125" style="1"/>
  </cols>
  <sheetData>
    <row r="1" spans="1:48" ht="25.5" customHeight="1">
      <c r="D1" s="4"/>
    </row>
    <row r="2" spans="1:48" ht="25.5" customHeight="1">
      <c r="D2" s="4"/>
    </row>
    <row r="3" spans="1:48" ht="11.1" customHeight="1">
      <c r="D3" s="1520" t="s">
        <v>32</v>
      </c>
      <c r="N3" s="1517"/>
      <c r="O3" s="1517"/>
    </row>
    <row r="4" spans="1:48" ht="25.35" customHeight="1">
      <c r="A4" s="5" t="s">
        <v>564</v>
      </c>
      <c r="D4" s="1520"/>
      <c r="H4" s="159"/>
      <c r="N4" s="4"/>
      <c r="O4" s="4"/>
    </row>
    <row r="5" spans="1:48" s="7" customFormat="1" ht="25.35" customHeight="1" thickBot="1">
      <c r="A5" s="6" t="s">
        <v>33</v>
      </c>
      <c r="C5" s="8"/>
      <c r="D5" s="9"/>
      <c r="E5" s="560"/>
      <c r="P5" s="1518"/>
      <c r="Q5" s="1518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</row>
    <row r="6" spans="1:48" ht="40.9" customHeight="1" thickTop="1" thickBot="1">
      <c r="A6" s="11" t="s">
        <v>34</v>
      </c>
      <c r="B6" s="11" t="s">
        <v>35</v>
      </c>
      <c r="C6" s="11" t="s">
        <v>36</v>
      </c>
      <c r="D6" s="12" t="s">
        <v>37</v>
      </c>
      <c r="E6" s="13" t="s">
        <v>561</v>
      </c>
      <c r="F6" s="14" t="s">
        <v>38</v>
      </c>
      <c r="G6" s="14" t="s">
        <v>39</v>
      </c>
      <c r="H6" s="14" t="s">
        <v>40</v>
      </c>
      <c r="I6" s="14" t="s">
        <v>41</v>
      </c>
      <c r="J6" s="14" t="s">
        <v>42</v>
      </c>
      <c r="K6" s="14" t="s">
        <v>43</v>
      </c>
      <c r="L6" s="14" t="s">
        <v>44</v>
      </c>
      <c r="M6" s="14" t="s">
        <v>45</v>
      </c>
      <c r="N6" s="14" t="s">
        <v>46</v>
      </c>
      <c r="O6" s="14" t="s">
        <v>47</v>
      </c>
      <c r="P6" s="14" t="s">
        <v>48</v>
      </c>
      <c r="Q6" s="14" t="s">
        <v>49</v>
      </c>
      <c r="R6" s="14" t="s">
        <v>50</v>
      </c>
      <c r="S6" s="14" t="s">
        <v>51</v>
      </c>
      <c r="T6" s="14" t="s">
        <v>52</v>
      </c>
      <c r="U6" s="14" t="s">
        <v>53</v>
      </c>
      <c r="V6" s="14" t="s">
        <v>54</v>
      </c>
      <c r="W6" s="14" t="s">
        <v>55</v>
      </c>
      <c r="X6" s="14" t="s">
        <v>56</v>
      </c>
      <c r="Y6" s="14" t="s">
        <v>57</v>
      </c>
      <c r="Z6" s="14" t="s">
        <v>58</v>
      </c>
      <c r="AA6" s="14" t="s">
        <v>59</v>
      </c>
      <c r="AB6" s="14" t="s">
        <v>60</v>
      </c>
      <c r="AC6" s="14" t="s">
        <v>61</v>
      </c>
      <c r="AD6" s="14" t="s">
        <v>62</v>
      </c>
      <c r="AE6" s="14" t="s">
        <v>63</v>
      </c>
      <c r="AF6" s="14" t="s">
        <v>64</v>
      </c>
      <c r="AG6" s="14" t="s">
        <v>65</v>
      </c>
      <c r="AH6" s="14" t="s">
        <v>66</v>
      </c>
      <c r="AI6" s="14" t="s">
        <v>67</v>
      </c>
      <c r="AJ6" s="15" t="s">
        <v>68</v>
      </c>
      <c r="AK6" s="1051" t="s">
        <v>69</v>
      </c>
      <c r="AL6" s="506" t="s">
        <v>70</v>
      </c>
      <c r="AM6" s="1052" t="s">
        <v>71</v>
      </c>
      <c r="AN6" s="16" t="s">
        <v>72</v>
      </c>
      <c r="AO6" s="620" t="s">
        <v>73</v>
      </c>
      <c r="AP6" s="1" t="s">
        <v>74</v>
      </c>
      <c r="AQ6" s="1" t="s">
        <v>75</v>
      </c>
      <c r="AR6" s="1" t="s">
        <v>76</v>
      </c>
      <c r="AS6" s="1" t="s">
        <v>77</v>
      </c>
      <c r="AT6" s="1" t="s">
        <v>78</v>
      </c>
      <c r="AU6" s="1" t="s">
        <v>79</v>
      </c>
      <c r="AV6" s="1" t="s">
        <v>80</v>
      </c>
    </row>
    <row r="7" spans="1:48" s="24" customFormat="1" ht="35.25" customHeight="1" thickBot="1">
      <c r="A7" s="17"/>
      <c r="B7" s="17"/>
      <c r="C7" s="18"/>
      <c r="D7" s="19"/>
      <c r="E7" s="1364">
        <v>46174</v>
      </c>
      <c r="F7" s="1094">
        <f>Table7[[#This Row],[June''2026]]+1</f>
        <v>46175</v>
      </c>
      <c r="G7" s="1206">
        <f>Table7[[#This Row],[Column1]]+1</f>
        <v>46176</v>
      </c>
      <c r="H7" s="1094">
        <f>Table7[[#This Row],[Column2]]+1</f>
        <v>46177</v>
      </c>
      <c r="I7" s="1094">
        <f>Table7[[#This Row],[Column3]]+1</f>
        <v>46178</v>
      </c>
      <c r="J7" s="1206">
        <f>Table7[[#This Row],[Column4]]+1</f>
        <v>46179</v>
      </c>
      <c r="K7" s="1206">
        <f>Table7[[#This Row],[Column5]]+1</f>
        <v>46180</v>
      </c>
      <c r="L7" s="1094">
        <f>Table7[[#This Row],[Column6]]+1</f>
        <v>46181</v>
      </c>
      <c r="M7" s="1094">
        <f>Table7[[#This Row],[Column7]]+1</f>
        <v>46182</v>
      </c>
      <c r="N7" s="1094">
        <f>Table7[[#This Row],[Column8]]+1</f>
        <v>46183</v>
      </c>
      <c r="O7" s="1094">
        <f>Table7[[#This Row],[Column9]]+1</f>
        <v>46184</v>
      </c>
      <c r="P7" s="1094">
        <f>Table7[[#This Row],[Column10]]+1</f>
        <v>46185</v>
      </c>
      <c r="Q7" s="1206">
        <f>Table7[[#This Row],[Column11]]+1</f>
        <v>46186</v>
      </c>
      <c r="R7" s="1206">
        <f>Table7[[#This Row],[Column12]]+1</f>
        <v>46187</v>
      </c>
      <c r="S7" s="1094">
        <f>Table7[[#This Row],[Column13]]+1</f>
        <v>46188</v>
      </c>
      <c r="T7" s="1094">
        <f>Table7[[#This Row],[Column14]]+1</f>
        <v>46189</v>
      </c>
      <c r="U7" s="1094">
        <f>Table7[[#This Row],[Column15]]+1</f>
        <v>46190</v>
      </c>
      <c r="V7" s="1094">
        <f>Table7[[#This Row],[Column16]]+1</f>
        <v>46191</v>
      </c>
      <c r="W7" s="1094">
        <f>Table7[[#This Row],[Column17]]+1</f>
        <v>46192</v>
      </c>
      <c r="X7" s="1206">
        <f>Table7[[#This Row],[Column18]]+1</f>
        <v>46193</v>
      </c>
      <c r="Y7" s="1206">
        <f>Table7[[#This Row],[Column19]]+1</f>
        <v>46194</v>
      </c>
      <c r="Z7" s="1094">
        <f>Table7[[#This Row],[Column20]]+1</f>
        <v>46195</v>
      </c>
      <c r="AA7" s="1094">
        <f>Table7[[#This Row],[Column21]]+1</f>
        <v>46196</v>
      </c>
      <c r="AB7" s="1094">
        <f>Table7[[#This Row],[Column22]]+1</f>
        <v>46197</v>
      </c>
      <c r="AC7" s="1094">
        <f>Table7[[#This Row],[Column23]]+1</f>
        <v>46198</v>
      </c>
      <c r="AD7" s="1094">
        <f>Table7[[#This Row],[Column24]]+1</f>
        <v>46199</v>
      </c>
      <c r="AE7" s="1206">
        <f>Table7[[#This Row],[Column242]]+1</f>
        <v>46200</v>
      </c>
      <c r="AF7" s="1206">
        <f>Table7[[#This Row],[Column243]]+1</f>
        <v>46201</v>
      </c>
      <c r="AG7" s="1094">
        <f>Table7[[#This Row],[Column244]]+1</f>
        <v>46202</v>
      </c>
      <c r="AH7" s="1094">
        <f>Table7[[#This Row],[Column25]]+1</f>
        <v>46203</v>
      </c>
      <c r="AI7" s="1094">
        <f>Table7[[#This Row],[Column26]]+1</f>
        <v>46204</v>
      </c>
      <c r="AJ7" s="20"/>
      <c r="AK7" s="944"/>
      <c r="AL7" s="372"/>
      <c r="AM7" s="976"/>
      <c r="AN7" s="22"/>
      <c r="AO7" s="621"/>
      <c r="AP7" s="23"/>
      <c r="AQ7" s="23"/>
      <c r="AR7" s="23"/>
      <c r="AS7" s="23"/>
      <c r="AT7" s="23"/>
      <c r="AU7" s="23"/>
      <c r="AV7" s="23"/>
    </row>
    <row r="8" spans="1:48" ht="24.75" hidden="1" customHeight="1" thickTop="1">
      <c r="A8" s="906" t="s">
        <v>606</v>
      </c>
      <c r="B8" s="26"/>
      <c r="C8" s="518" t="str">
        <f>Table7[[#This Row],[M/C No.]]</f>
        <v>H7(50ton)</v>
      </c>
      <c r="D8" s="28" t="s">
        <v>82</v>
      </c>
      <c r="E8" s="1095"/>
      <c r="F8" s="1095"/>
      <c r="G8" s="1194"/>
      <c r="H8" s="1095"/>
      <c r="I8" s="1095"/>
      <c r="J8" s="1194"/>
      <c r="K8" s="1194"/>
      <c r="L8" s="1095"/>
      <c r="M8" s="1095"/>
      <c r="N8" s="1095"/>
      <c r="O8" s="1095"/>
      <c r="P8" s="1095"/>
      <c r="Q8" s="1194"/>
      <c r="R8" s="1194"/>
      <c r="S8" s="1095"/>
      <c r="T8" s="1095"/>
      <c r="U8" s="1095"/>
      <c r="V8" s="1095"/>
      <c r="W8" s="1095"/>
      <c r="X8" s="1194"/>
      <c r="Y8" s="1194"/>
      <c r="Z8" s="1095"/>
      <c r="AA8" s="1095"/>
      <c r="AB8" s="1095"/>
      <c r="AC8" s="1095"/>
      <c r="AD8" s="1095"/>
      <c r="AE8" s="1194"/>
      <c r="AF8" s="1194"/>
      <c r="AG8" s="1095"/>
      <c r="AH8" s="1095"/>
      <c r="AI8" s="1095"/>
      <c r="AJ8" s="29">
        <f>SUM(E8:AI8)</f>
        <v>0</v>
      </c>
      <c r="AK8" s="1020">
        <f t="shared" ref="AK8:AK38" si="0">AJ10</f>
        <v>0</v>
      </c>
      <c r="AL8" s="30">
        <f>+AJ8*AN8</f>
        <v>0</v>
      </c>
      <c r="AM8" s="1019">
        <f t="shared" ref="AM8:AM38" si="1">AL10</f>
        <v>0</v>
      </c>
      <c r="AN8" s="31">
        <v>3.84606</v>
      </c>
      <c r="AO8" s="622"/>
      <c r="AP8" s="32" t="s">
        <v>398</v>
      </c>
      <c r="AQ8" s="33" t="s">
        <v>84</v>
      </c>
      <c r="AR8" s="33" t="s">
        <v>85</v>
      </c>
      <c r="AS8" s="33" t="s">
        <v>86</v>
      </c>
      <c r="AT8" s="33" t="s">
        <v>87</v>
      </c>
      <c r="AU8" s="33" t="s">
        <v>88</v>
      </c>
      <c r="AV8" s="34" t="s">
        <v>68</v>
      </c>
    </row>
    <row r="9" spans="1:48" ht="19.899999999999999" hidden="1" customHeight="1">
      <c r="A9" s="25"/>
      <c r="B9" s="35" t="s">
        <v>495</v>
      </c>
      <c r="C9" s="42"/>
      <c r="D9" s="37" t="s">
        <v>90</v>
      </c>
      <c r="E9" s="1373">
        <f>IF(E8="",0,+ E8/E15)</f>
        <v>0</v>
      </c>
      <c r="F9" s="1096">
        <f t="shared" ref="F9:AI9" si="2">IF(F8="",0, E9+F8/F15)</f>
        <v>0</v>
      </c>
      <c r="G9" s="1207">
        <f t="shared" si="2"/>
        <v>0</v>
      </c>
      <c r="H9" s="1096">
        <f t="shared" si="2"/>
        <v>0</v>
      </c>
      <c r="I9" s="1096">
        <f t="shared" si="2"/>
        <v>0</v>
      </c>
      <c r="J9" s="1207">
        <f t="shared" si="2"/>
        <v>0</v>
      </c>
      <c r="K9" s="1207">
        <f t="shared" si="2"/>
        <v>0</v>
      </c>
      <c r="L9" s="1096">
        <f t="shared" si="2"/>
        <v>0</v>
      </c>
      <c r="M9" s="1096">
        <f t="shared" si="2"/>
        <v>0</v>
      </c>
      <c r="N9" s="1096">
        <f t="shared" si="2"/>
        <v>0</v>
      </c>
      <c r="O9" s="1096">
        <f>IF(O8="",0, N9+O8/O15)</f>
        <v>0</v>
      </c>
      <c r="P9" s="1096">
        <f>IF(P8="",0, O9+P8/P15)</f>
        <v>0</v>
      </c>
      <c r="Q9" s="1207">
        <f t="shared" si="2"/>
        <v>0</v>
      </c>
      <c r="R9" s="1207">
        <f t="shared" si="2"/>
        <v>0</v>
      </c>
      <c r="S9" s="1096">
        <f t="shared" si="2"/>
        <v>0</v>
      </c>
      <c r="T9" s="1096">
        <f t="shared" si="2"/>
        <v>0</v>
      </c>
      <c r="U9" s="1096">
        <f t="shared" si="2"/>
        <v>0</v>
      </c>
      <c r="V9" s="1096">
        <f t="shared" si="2"/>
        <v>0</v>
      </c>
      <c r="W9" s="1096">
        <f t="shared" si="2"/>
        <v>0</v>
      </c>
      <c r="X9" s="1207">
        <f t="shared" si="2"/>
        <v>0</v>
      </c>
      <c r="Y9" s="1207">
        <f t="shared" si="2"/>
        <v>0</v>
      </c>
      <c r="Z9" s="1096">
        <f t="shared" si="2"/>
        <v>0</v>
      </c>
      <c r="AA9" s="1096">
        <f t="shared" si="2"/>
        <v>0</v>
      </c>
      <c r="AB9" s="1096">
        <f t="shared" si="2"/>
        <v>0</v>
      </c>
      <c r="AC9" s="1096">
        <f t="shared" si="2"/>
        <v>0</v>
      </c>
      <c r="AD9" s="1096">
        <f t="shared" si="2"/>
        <v>0</v>
      </c>
      <c r="AE9" s="1207">
        <f t="shared" si="2"/>
        <v>0</v>
      </c>
      <c r="AF9" s="1207">
        <f t="shared" si="2"/>
        <v>0</v>
      </c>
      <c r="AG9" s="1096">
        <f t="shared" si="2"/>
        <v>0</v>
      </c>
      <c r="AH9" s="1096">
        <f t="shared" si="2"/>
        <v>0</v>
      </c>
      <c r="AI9" s="1324">
        <f t="shared" si="2"/>
        <v>0</v>
      </c>
      <c r="AJ9" s="38"/>
      <c r="AK9" s="1053">
        <f t="shared" si="0"/>
        <v>0</v>
      </c>
      <c r="AL9" s="30"/>
      <c r="AM9" s="989">
        <f t="shared" si="1"/>
        <v>0</v>
      </c>
      <c r="AN9" s="31"/>
      <c r="AO9" s="622"/>
      <c r="AP9" s="39" t="s">
        <v>91</v>
      </c>
      <c r="AQ9" s="40">
        <f>SUM(E8:I8)</f>
        <v>0</v>
      </c>
      <c r="AR9" s="41">
        <f>SUM(J8:P8)</f>
        <v>0</v>
      </c>
      <c r="AS9" s="41">
        <f>SUM(Q8:W8)</f>
        <v>0</v>
      </c>
      <c r="AT9" s="41">
        <f>SUM(X8:AD8)</f>
        <v>0</v>
      </c>
      <c r="AU9" s="41">
        <f>SUM(AE8:AI8)</f>
        <v>0</v>
      </c>
      <c r="AV9" s="34">
        <f t="shared" ref="AV9:AV14" si="3">SUM(AQ9:AU9)</f>
        <v>0</v>
      </c>
    </row>
    <row r="10" spans="1:48" ht="19.899999999999999" hidden="1" customHeight="1">
      <c r="A10" s="25"/>
      <c r="B10" s="26" t="s">
        <v>496</v>
      </c>
      <c r="C10" s="431" t="s">
        <v>95</v>
      </c>
      <c r="D10" s="43" t="s">
        <v>93</v>
      </c>
      <c r="E10" s="1325"/>
      <c r="F10" s="1089"/>
      <c r="G10" s="44"/>
      <c r="H10" s="1089"/>
      <c r="I10" s="1089"/>
      <c r="J10" s="44"/>
      <c r="K10" s="44"/>
      <c r="L10" s="1089"/>
      <c r="M10" s="1089"/>
      <c r="N10" s="1089"/>
      <c r="O10" s="1089"/>
      <c r="P10" s="1089"/>
      <c r="Q10" s="44"/>
      <c r="R10" s="44"/>
      <c r="S10" s="1089"/>
      <c r="T10" s="1089"/>
      <c r="U10" s="1089"/>
      <c r="V10" s="1089"/>
      <c r="W10" s="1089"/>
      <c r="X10" s="44"/>
      <c r="Y10" s="44"/>
      <c r="Z10" s="1089"/>
      <c r="AA10" s="1089"/>
      <c r="AB10" s="1089"/>
      <c r="AC10" s="1089"/>
      <c r="AD10" s="1089"/>
      <c r="AE10" s="44"/>
      <c r="AF10" s="44"/>
      <c r="AG10" s="1089"/>
      <c r="AH10" s="1089"/>
      <c r="AI10" s="1326"/>
      <c r="AJ10" s="45">
        <f>SUM(E10:AI10)</f>
        <v>0</v>
      </c>
      <c r="AK10" s="983">
        <f t="shared" si="0"/>
        <v>0</v>
      </c>
      <c r="AL10" s="46">
        <f>+AJ10*AN8</f>
        <v>0</v>
      </c>
      <c r="AM10" s="988">
        <f t="shared" si="1"/>
        <v>0</v>
      </c>
      <c r="AN10" s="31"/>
      <c r="AO10" s="622"/>
      <c r="AP10" s="47" t="s">
        <v>94</v>
      </c>
      <c r="AQ10" s="48">
        <f>SUM(E10:I10)</f>
        <v>0</v>
      </c>
      <c r="AR10" s="49">
        <f>SUM(J10:P10)</f>
        <v>0</v>
      </c>
      <c r="AS10" s="49">
        <f>SUM(Q10:W10)</f>
        <v>0</v>
      </c>
      <c r="AT10" s="49">
        <f>SUM(X10:AD10)</f>
        <v>0</v>
      </c>
      <c r="AU10" s="49">
        <f>SUM(AE10:AI10)</f>
        <v>0</v>
      </c>
      <c r="AV10" s="50">
        <f t="shared" si="3"/>
        <v>0</v>
      </c>
    </row>
    <row r="11" spans="1:48" ht="19.899999999999999" hidden="1" customHeight="1">
      <c r="A11" s="25"/>
      <c r="B11" s="51"/>
      <c r="C11" s="379">
        <v>50000</v>
      </c>
      <c r="D11" s="53" t="s">
        <v>96</v>
      </c>
      <c r="E11" s="1327">
        <f t="shared" ref="E11:AI11" si="4">+E10-E8</f>
        <v>0</v>
      </c>
      <c r="F11" s="1097">
        <f t="shared" si="4"/>
        <v>0</v>
      </c>
      <c r="G11" s="1205">
        <f t="shared" si="4"/>
        <v>0</v>
      </c>
      <c r="H11" s="1097">
        <f t="shared" si="4"/>
        <v>0</v>
      </c>
      <c r="I11" s="1097">
        <f t="shared" si="4"/>
        <v>0</v>
      </c>
      <c r="J11" s="1205">
        <f t="shared" si="4"/>
        <v>0</v>
      </c>
      <c r="K11" s="1205">
        <f t="shared" si="4"/>
        <v>0</v>
      </c>
      <c r="L11" s="1097">
        <f t="shared" si="4"/>
        <v>0</v>
      </c>
      <c r="M11" s="1097">
        <f t="shared" si="4"/>
        <v>0</v>
      </c>
      <c r="N11" s="1097">
        <f t="shared" si="4"/>
        <v>0</v>
      </c>
      <c r="O11" s="1097">
        <f t="shared" si="4"/>
        <v>0</v>
      </c>
      <c r="P11" s="1097">
        <f t="shared" si="4"/>
        <v>0</v>
      </c>
      <c r="Q11" s="1205">
        <f t="shared" si="4"/>
        <v>0</v>
      </c>
      <c r="R11" s="1205">
        <f t="shared" si="4"/>
        <v>0</v>
      </c>
      <c r="S11" s="1097">
        <f t="shared" si="4"/>
        <v>0</v>
      </c>
      <c r="T11" s="1097">
        <f t="shared" si="4"/>
        <v>0</v>
      </c>
      <c r="U11" s="1097">
        <f>+U10-U8</f>
        <v>0</v>
      </c>
      <c r="V11" s="1097">
        <f t="shared" si="4"/>
        <v>0</v>
      </c>
      <c r="W11" s="1097">
        <f t="shared" si="4"/>
        <v>0</v>
      </c>
      <c r="X11" s="1205">
        <f t="shared" si="4"/>
        <v>0</v>
      </c>
      <c r="Y11" s="1205">
        <f t="shared" si="4"/>
        <v>0</v>
      </c>
      <c r="Z11" s="1097">
        <f t="shared" si="4"/>
        <v>0</v>
      </c>
      <c r="AA11" s="1097">
        <f>+AA10-AA8</f>
        <v>0</v>
      </c>
      <c r="AB11" s="1097">
        <f t="shared" ref="AB11" si="5">+AB10-AB8</f>
        <v>0</v>
      </c>
      <c r="AC11" s="1097">
        <f t="shared" si="4"/>
        <v>0</v>
      </c>
      <c r="AD11" s="1097">
        <f t="shared" si="4"/>
        <v>0</v>
      </c>
      <c r="AE11" s="1205">
        <f t="shared" si="4"/>
        <v>0</v>
      </c>
      <c r="AF11" s="1205">
        <f t="shared" si="4"/>
        <v>0</v>
      </c>
      <c r="AG11" s="1097">
        <f t="shared" si="4"/>
        <v>0</v>
      </c>
      <c r="AH11" s="1097">
        <f t="shared" si="4"/>
        <v>0</v>
      </c>
      <c r="AI11" s="1328">
        <f t="shared" si="4"/>
        <v>0</v>
      </c>
      <c r="AJ11" s="54">
        <f>+AJ10-AJ8</f>
        <v>0</v>
      </c>
      <c r="AK11" s="1053">
        <f t="shared" si="0"/>
        <v>0</v>
      </c>
      <c r="AL11" s="55">
        <f>+AJ11*AN8</f>
        <v>0</v>
      </c>
      <c r="AM11" s="988">
        <f t="shared" si="1"/>
        <v>0</v>
      </c>
      <c r="AN11" s="31" t="s">
        <v>97</v>
      </c>
      <c r="AO11" s="622"/>
      <c r="AP11" s="39" t="s">
        <v>98</v>
      </c>
      <c r="AQ11" s="56">
        <f>AQ10-AQ9</f>
        <v>0</v>
      </c>
      <c r="AR11" s="70">
        <f>AR10-AR9</f>
        <v>0</v>
      </c>
      <c r="AS11" s="70">
        <f>AS10-AS9</f>
        <v>0</v>
      </c>
      <c r="AT11" s="70">
        <f>AT10-AT9</f>
        <v>0</v>
      </c>
      <c r="AU11" s="70">
        <f>AU10-AU9</f>
        <v>0</v>
      </c>
      <c r="AV11" s="57">
        <f t="shared" si="3"/>
        <v>0</v>
      </c>
    </row>
    <row r="12" spans="1:48" ht="19.899999999999999" hidden="1" customHeight="1">
      <c r="A12" s="58"/>
      <c r="B12" s="59"/>
      <c r="C12" s="494"/>
      <c r="D12" s="61" t="s">
        <v>101</v>
      </c>
      <c r="E12" s="1329"/>
      <c r="F12" s="1099"/>
      <c r="G12" s="1208"/>
      <c r="H12" s="1099"/>
      <c r="I12" s="1099"/>
      <c r="J12" s="1208"/>
      <c r="K12" s="1208"/>
      <c r="L12" s="1099"/>
      <c r="M12" s="1099"/>
      <c r="N12" s="1099"/>
      <c r="O12" s="1099"/>
      <c r="P12" s="1099"/>
      <c r="Q12" s="1208"/>
      <c r="R12" s="1208"/>
      <c r="S12" s="1099"/>
      <c r="T12" s="1099"/>
      <c r="U12" s="1099"/>
      <c r="V12" s="1099"/>
      <c r="W12" s="1099"/>
      <c r="X12" s="1208"/>
      <c r="Y12" s="1208"/>
      <c r="Z12" s="1099"/>
      <c r="AA12" s="1099"/>
      <c r="AB12" s="1099"/>
      <c r="AC12" s="1099"/>
      <c r="AD12" s="1099"/>
      <c r="AE12" s="1208"/>
      <c r="AF12" s="1208"/>
      <c r="AG12" s="1099"/>
      <c r="AH12" s="1099"/>
      <c r="AI12" s="1330"/>
      <c r="AJ12" s="62">
        <f>SUM(E12:AI12)</f>
        <v>0</v>
      </c>
      <c r="AK12" s="983">
        <f t="shared" si="0"/>
        <v>0</v>
      </c>
      <c r="AL12" s="63">
        <f>+AJ12*AN8</f>
        <v>0</v>
      </c>
      <c r="AM12" s="989">
        <f t="shared" si="1"/>
        <v>0</v>
      </c>
      <c r="AN12" s="64" t="e">
        <f>+AJ12/AJ10*100</f>
        <v>#DIV/0!</v>
      </c>
      <c r="AO12" s="624"/>
      <c r="AP12" s="39" t="s">
        <v>102</v>
      </c>
      <c r="AQ12" s="56">
        <f>SUM(E12:I12)</f>
        <v>0</v>
      </c>
      <c r="AR12" s="70">
        <f>SUM(J12:P12)</f>
        <v>0</v>
      </c>
      <c r="AS12" s="70">
        <f>SUM(Q12:W12)</f>
        <v>0</v>
      </c>
      <c r="AT12" s="70">
        <f>SUM(X12:AD12)</f>
        <v>0</v>
      </c>
      <c r="AU12" s="70">
        <f>SUM(AE12:AH12)</f>
        <v>0</v>
      </c>
      <c r="AV12" s="57">
        <f t="shared" si="3"/>
        <v>0</v>
      </c>
    </row>
    <row r="13" spans="1:48" ht="19.899999999999999" hidden="1" customHeight="1">
      <c r="A13" s="25"/>
      <c r="B13" s="65"/>
      <c r="C13" s="89" t="s">
        <v>108</v>
      </c>
      <c r="D13" s="67" t="s">
        <v>103</v>
      </c>
      <c r="E13" s="1331"/>
      <c r="F13" s="1101"/>
      <c r="G13" s="1209"/>
      <c r="H13" s="1101"/>
      <c r="I13" s="1101"/>
      <c r="J13" s="1209"/>
      <c r="K13" s="1209"/>
      <c r="L13" s="1101"/>
      <c r="M13" s="1101"/>
      <c r="N13" s="1101"/>
      <c r="O13" s="1101"/>
      <c r="P13" s="1101"/>
      <c r="Q13" s="1209"/>
      <c r="R13" s="1209"/>
      <c r="S13" s="1101"/>
      <c r="T13" s="1101"/>
      <c r="U13" s="1101"/>
      <c r="V13" s="1101"/>
      <c r="W13" s="1101"/>
      <c r="X13" s="1209"/>
      <c r="Y13" s="1209"/>
      <c r="Z13" s="1101"/>
      <c r="AA13" s="1101"/>
      <c r="AB13" s="1101"/>
      <c r="AC13" s="1101"/>
      <c r="AD13" s="1101"/>
      <c r="AE13" s="1209"/>
      <c r="AF13" s="1209"/>
      <c r="AG13" s="1101"/>
      <c r="AH13" s="1101"/>
      <c r="AI13" s="1332"/>
      <c r="AJ13" s="68">
        <f>SUM(E13:AI13)</f>
        <v>0</v>
      </c>
      <c r="AK13" s="983">
        <f t="shared" si="0"/>
        <v>0</v>
      </c>
      <c r="AL13" s="69">
        <f>+AJ13*AN8</f>
        <v>0</v>
      </c>
      <c r="AM13" s="989">
        <f t="shared" si="1"/>
        <v>0</v>
      </c>
      <c r="AN13" s="31"/>
      <c r="AO13" s="622"/>
      <c r="AP13" s="39" t="s">
        <v>19</v>
      </c>
      <c r="AQ13" s="56">
        <f>AQ12*AN8</f>
        <v>0</v>
      </c>
      <c r="AR13" s="56">
        <f>AR12*AN8</f>
        <v>0</v>
      </c>
      <c r="AS13" s="56">
        <f>AS12*AN8</f>
        <v>0</v>
      </c>
      <c r="AT13" s="56">
        <f>AT12*AN8</f>
        <v>0</v>
      </c>
      <c r="AU13" s="56">
        <f>AU12*AN8</f>
        <v>0</v>
      </c>
      <c r="AV13" s="57">
        <f t="shared" si="3"/>
        <v>0</v>
      </c>
    </row>
    <row r="14" spans="1:48" ht="19.899999999999999" hidden="1" customHeight="1">
      <c r="A14" s="71"/>
      <c r="B14" s="65"/>
      <c r="C14" s="383">
        <f>+C11*0.8</f>
        <v>40000</v>
      </c>
      <c r="D14" s="73" t="s">
        <v>105</v>
      </c>
      <c r="E14" s="1333"/>
      <c r="F14" s="1103"/>
      <c r="G14" s="1210"/>
      <c r="H14" s="1103"/>
      <c r="I14" s="1103"/>
      <c r="J14" s="1210"/>
      <c r="K14" s="1210"/>
      <c r="L14" s="1103"/>
      <c r="M14" s="1103"/>
      <c r="N14" s="1103"/>
      <c r="O14" s="1103"/>
      <c r="P14" s="1103"/>
      <c r="Q14" s="1210"/>
      <c r="R14" s="1210"/>
      <c r="S14" s="1103"/>
      <c r="T14" s="1103"/>
      <c r="U14" s="1103"/>
      <c r="V14" s="1103"/>
      <c r="W14" s="1103"/>
      <c r="X14" s="1210"/>
      <c r="Y14" s="1210"/>
      <c r="Z14" s="1103"/>
      <c r="AA14" s="1103"/>
      <c r="AB14" s="1103"/>
      <c r="AC14" s="1103"/>
      <c r="AD14" s="1103"/>
      <c r="AE14" s="1210"/>
      <c r="AF14" s="1210"/>
      <c r="AG14" s="1103"/>
      <c r="AH14" s="1103"/>
      <c r="AI14" s="1352"/>
      <c r="AJ14" s="74">
        <f>SUM(E14:AI14)</f>
        <v>0</v>
      </c>
      <c r="AK14" s="983">
        <f t="shared" si="0"/>
        <v>0</v>
      </c>
      <c r="AL14" s="75">
        <f>+AJ14*AN9</f>
        <v>0</v>
      </c>
      <c r="AM14" s="989">
        <f t="shared" si="1"/>
        <v>0</v>
      </c>
      <c r="AN14" s="76"/>
      <c r="AO14" s="636"/>
      <c r="AP14" s="47" t="s">
        <v>106</v>
      </c>
      <c r="AQ14" s="48">
        <f>AQ10*AN8</f>
        <v>0</v>
      </c>
      <c r="AR14" s="48">
        <f>AR10*AN8</f>
        <v>0</v>
      </c>
      <c r="AS14" s="48">
        <f>AS10*AN8</f>
        <v>0</v>
      </c>
      <c r="AT14" s="48">
        <f>AT10*AN8</f>
        <v>0</v>
      </c>
      <c r="AU14" s="48">
        <f>AU10*AN8</f>
        <v>0</v>
      </c>
      <c r="AV14" s="50">
        <f t="shared" si="3"/>
        <v>0</v>
      </c>
    </row>
    <row r="15" spans="1:48" ht="19.899999999999999" hidden="1" customHeight="1">
      <c r="A15" s="25"/>
      <c r="B15" s="65"/>
      <c r="C15" s="300"/>
      <c r="D15" s="78" t="s">
        <v>107</v>
      </c>
      <c r="E15" s="1327">
        <v>4</v>
      </c>
      <c r="F15" s="1097">
        <v>4</v>
      </c>
      <c r="G15" s="1205">
        <v>4</v>
      </c>
      <c r="H15" s="1097">
        <v>4</v>
      </c>
      <c r="I15" s="1097">
        <v>4</v>
      </c>
      <c r="J15" s="1205">
        <v>4</v>
      </c>
      <c r="K15" s="1205">
        <v>4</v>
      </c>
      <c r="L15" s="1097">
        <v>4</v>
      </c>
      <c r="M15" s="1097">
        <v>4</v>
      </c>
      <c r="N15" s="1097">
        <v>4</v>
      </c>
      <c r="O15" s="1097">
        <v>4</v>
      </c>
      <c r="P15" s="1097">
        <v>4</v>
      </c>
      <c r="Q15" s="1205">
        <v>4</v>
      </c>
      <c r="R15" s="1205">
        <v>4</v>
      </c>
      <c r="S15" s="1097">
        <v>4</v>
      </c>
      <c r="T15" s="1097">
        <v>4</v>
      </c>
      <c r="U15" s="1097">
        <v>4</v>
      </c>
      <c r="V15" s="1097">
        <v>4</v>
      </c>
      <c r="W15" s="1097">
        <v>4</v>
      </c>
      <c r="X15" s="1205">
        <v>4</v>
      </c>
      <c r="Y15" s="1205">
        <v>4</v>
      </c>
      <c r="Z15" s="1097">
        <v>4</v>
      </c>
      <c r="AA15" s="1097">
        <v>4</v>
      </c>
      <c r="AB15" s="1097">
        <v>4</v>
      </c>
      <c r="AC15" s="1097">
        <v>4</v>
      </c>
      <c r="AD15" s="1097">
        <v>4</v>
      </c>
      <c r="AE15" s="1205">
        <v>4</v>
      </c>
      <c r="AF15" s="1205">
        <v>4</v>
      </c>
      <c r="AG15" s="1097">
        <v>4</v>
      </c>
      <c r="AH15" s="1097">
        <v>4</v>
      </c>
      <c r="AI15" s="1328">
        <v>4</v>
      </c>
      <c r="AJ15" s="79"/>
      <c r="AK15" s="983">
        <f t="shared" si="0"/>
        <v>0</v>
      </c>
      <c r="AL15" s="55"/>
      <c r="AM15" s="988">
        <f t="shared" si="1"/>
        <v>0</v>
      </c>
      <c r="AN15" s="31"/>
      <c r="AO15" s="622"/>
      <c r="AP15" s="23"/>
      <c r="AQ15" s="23"/>
      <c r="AR15" s="23"/>
      <c r="AS15" s="23"/>
      <c r="AT15" s="23"/>
      <c r="AU15" s="23"/>
      <c r="AV15" s="23"/>
    </row>
    <row r="16" spans="1:48" ht="19.899999999999999" hidden="1" customHeight="1">
      <c r="A16" s="25"/>
      <c r="B16" s="65"/>
      <c r="C16" s="495"/>
      <c r="D16" s="81" t="s">
        <v>109</v>
      </c>
      <c r="E16" s="1374">
        <f>SUM(E10+E12+E13+E14)/E15</f>
        <v>0</v>
      </c>
      <c r="F16" s="1104">
        <f t="shared" ref="F16:AI16" si="6">SUM(F10+F12+F13+F14)/F15</f>
        <v>0</v>
      </c>
      <c r="G16" s="1211">
        <f t="shared" si="6"/>
        <v>0</v>
      </c>
      <c r="H16" s="1104">
        <f t="shared" si="6"/>
        <v>0</v>
      </c>
      <c r="I16" s="1104">
        <f t="shared" si="6"/>
        <v>0</v>
      </c>
      <c r="J16" s="1211">
        <f t="shared" si="6"/>
        <v>0</v>
      </c>
      <c r="K16" s="1211">
        <f t="shared" si="6"/>
        <v>0</v>
      </c>
      <c r="L16" s="1104">
        <f t="shared" si="6"/>
        <v>0</v>
      </c>
      <c r="M16" s="1104">
        <f t="shared" si="6"/>
        <v>0</v>
      </c>
      <c r="N16" s="1104">
        <f t="shared" si="6"/>
        <v>0</v>
      </c>
      <c r="O16" s="1104">
        <f t="shared" si="6"/>
        <v>0</v>
      </c>
      <c r="P16" s="1104">
        <f t="shared" si="6"/>
        <v>0</v>
      </c>
      <c r="Q16" s="1211">
        <f t="shared" si="6"/>
        <v>0</v>
      </c>
      <c r="R16" s="1211">
        <f t="shared" si="6"/>
        <v>0</v>
      </c>
      <c r="S16" s="1104">
        <f t="shared" si="6"/>
        <v>0</v>
      </c>
      <c r="T16" s="1104">
        <f t="shared" si="6"/>
        <v>0</v>
      </c>
      <c r="U16" s="1104">
        <f t="shared" si="6"/>
        <v>0</v>
      </c>
      <c r="V16" s="1104">
        <f t="shared" si="6"/>
        <v>0</v>
      </c>
      <c r="W16" s="1104">
        <f t="shared" si="6"/>
        <v>0</v>
      </c>
      <c r="X16" s="1211">
        <f t="shared" si="6"/>
        <v>0</v>
      </c>
      <c r="Y16" s="1211">
        <f t="shared" si="6"/>
        <v>0</v>
      </c>
      <c r="Z16" s="1104">
        <f t="shared" si="6"/>
        <v>0</v>
      </c>
      <c r="AA16" s="1104">
        <f t="shared" si="6"/>
        <v>0</v>
      </c>
      <c r="AB16" s="1104">
        <f t="shared" si="6"/>
        <v>0</v>
      </c>
      <c r="AC16" s="1104">
        <f t="shared" si="6"/>
        <v>0</v>
      </c>
      <c r="AD16" s="1104">
        <f t="shared" si="6"/>
        <v>0</v>
      </c>
      <c r="AE16" s="1211">
        <f t="shared" si="6"/>
        <v>0</v>
      </c>
      <c r="AF16" s="1211">
        <f t="shared" si="6"/>
        <v>0</v>
      </c>
      <c r="AG16" s="1104">
        <f t="shared" si="6"/>
        <v>0</v>
      </c>
      <c r="AH16" s="1104">
        <f t="shared" si="6"/>
        <v>0</v>
      </c>
      <c r="AI16" s="1104">
        <f t="shared" si="6"/>
        <v>0</v>
      </c>
      <c r="AJ16" s="82">
        <f>SUM(E16:AI16)</f>
        <v>0</v>
      </c>
      <c r="AK16" s="1054">
        <f t="shared" si="0"/>
        <v>0</v>
      </c>
      <c r="AL16" s="83"/>
      <c r="AM16" s="989">
        <f t="shared" si="1"/>
        <v>0</v>
      </c>
      <c r="AN16" s="31"/>
      <c r="AO16" s="622"/>
      <c r="AP16" s="23"/>
      <c r="AQ16" s="23"/>
      <c r="AR16" s="23"/>
      <c r="AS16" s="23"/>
      <c r="AT16" s="23"/>
      <c r="AU16" s="23"/>
      <c r="AV16" s="23"/>
    </row>
    <row r="17" spans="1:48" ht="19.899999999999999" hidden="1" customHeight="1">
      <c r="A17" s="25"/>
      <c r="B17" s="59"/>
      <c r="C17" s="387"/>
      <c r="D17" s="85" t="s">
        <v>110</v>
      </c>
      <c r="E17" s="1105"/>
      <c r="F17" s="1106"/>
      <c r="G17" s="1211"/>
      <c r="H17" s="1104"/>
      <c r="I17" s="1104"/>
      <c r="J17" s="1211"/>
      <c r="K17" s="1211"/>
      <c r="L17" s="1104"/>
      <c r="M17" s="1104"/>
      <c r="N17" s="1104"/>
      <c r="O17" s="1104"/>
      <c r="P17" s="1104"/>
      <c r="Q17" s="1211"/>
      <c r="R17" s="1211"/>
      <c r="S17" s="1104"/>
      <c r="T17" s="1107"/>
      <c r="U17" s="1104"/>
      <c r="V17" s="1107"/>
      <c r="W17" s="1104"/>
      <c r="X17" s="1211"/>
      <c r="Y17" s="1211"/>
      <c r="Z17" s="1104"/>
      <c r="AA17" s="1104"/>
      <c r="AB17" s="1104"/>
      <c r="AC17" s="1104"/>
      <c r="AD17" s="1104"/>
      <c r="AE17" s="1211"/>
      <c r="AF17" s="1211"/>
      <c r="AG17" s="1104"/>
      <c r="AH17" s="1104"/>
      <c r="AI17" s="1353"/>
      <c r="AJ17" s="86"/>
      <c r="AK17" s="984">
        <f t="shared" si="0"/>
        <v>0</v>
      </c>
      <c r="AL17" s="690"/>
      <c r="AM17" s="989">
        <f t="shared" si="1"/>
        <v>0</v>
      </c>
      <c r="AN17" s="31"/>
      <c r="AO17" s="622"/>
      <c r="AP17" s="23"/>
      <c r="AQ17" s="23"/>
      <c r="AR17" s="23"/>
      <c r="AS17" s="23"/>
      <c r="AT17" s="23"/>
      <c r="AU17" s="23"/>
      <c r="AV17" s="23"/>
    </row>
    <row r="18" spans="1:48" ht="19.899999999999999" hidden="1" customHeight="1">
      <c r="A18" s="25"/>
      <c r="B18" s="87" t="s">
        <v>497</v>
      </c>
      <c r="C18" s="387" t="s">
        <v>104</v>
      </c>
      <c r="D18" s="88" t="s">
        <v>111</v>
      </c>
      <c r="E18" s="1108">
        <f>IF(E17="O/H",E16,0+E16)</f>
        <v>0</v>
      </c>
      <c r="F18" s="1089">
        <f t="shared" ref="F18:AI18" si="7">IF(F17="O/H",F16,+E18+F16)</f>
        <v>0</v>
      </c>
      <c r="G18" s="44">
        <f t="shared" si="7"/>
        <v>0</v>
      </c>
      <c r="H18" s="1089">
        <f t="shared" si="7"/>
        <v>0</v>
      </c>
      <c r="I18" s="1089">
        <f t="shared" si="7"/>
        <v>0</v>
      </c>
      <c r="J18" s="44">
        <f t="shared" si="7"/>
        <v>0</v>
      </c>
      <c r="K18" s="44">
        <f t="shared" si="7"/>
        <v>0</v>
      </c>
      <c r="L18" s="1089">
        <f t="shared" si="7"/>
        <v>0</v>
      </c>
      <c r="M18" s="1089">
        <f t="shared" si="7"/>
        <v>0</v>
      </c>
      <c r="N18" s="1089">
        <f t="shared" si="7"/>
        <v>0</v>
      </c>
      <c r="O18" s="1089">
        <f t="shared" si="7"/>
        <v>0</v>
      </c>
      <c r="P18" s="1089">
        <f t="shared" si="7"/>
        <v>0</v>
      </c>
      <c r="Q18" s="44">
        <f t="shared" si="7"/>
        <v>0</v>
      </c>
      <c r="R18" s="44">
        <f t="shared" si="7"/>
        <v>0</v>
      </c>
      <c r="S18" s="1089">
        <f t="shared" si="7"/>
        <v>0</v>
      </c>
      <c r="T18" s="1089">
        <f t="shared" si="7"/>
        <v>0</v>
      </c>
      <c r="U18" s="1089">
        <f t="shared" si="7"/>
        <v>0</v>
      </c>
      <c r="V18" s="1089">
        <f t="shared" si="7"/>
        <v>0</v>
      </c>
      <c r="W18" s="1089">
        <f t="shared" si="7"/>
        <v>0</v>
      </c>
      <c r="X18" s="44">
        <f t="shared" si="7"/>
        <v>0</v>
      </c>
      <c r="Y18" s="44">
        <f t="shared" si="7"/>
        <v>0</v>
      </c>
      <c r="Z18" s="1089">
        <f t="shared" si="7"/>
        <v>0</v>
      </c>
      <c r="AA18" s="1089">
        <f t="shared" si="7"/>
        <v>0</v>
      </c>
      <c r="AB18" s="1089">
        <f t="shared" si="7"/>
        <v>0</v>
      </c>
      <c r="AC18" s="1089">
        <f t="shared" si="7"/>
        <v>0</v>
      </c>
      <c r="AD18" s="1089">
        <f t="shared" si="7"/>
        <v>0</v>
      </c>
      <c r="AE18" s="44">
        <f t="shared" si="7"/>
        <v>0</v>
      </c>
      <c r="AF18" s="44">
        <f>IF(AF17="O/H",AF16,+AE18+AF16)</f>
        <v>0</v>
      </c>
      <c r="AG18" s="1089">
        <f t="shared" si="7"/>
        <v>0</v>
      </c>
      <c r="AH18" s="1089">
        <f t="shared" si="7"/>
        <v>0</v>
      </c>
      <c r="AI18" s="1326">
        <f t="shared" si="7"/>
        <v>0</v>
      </c>
      <c r="AJ18" s="79"/>
      <c r="AK18" s="984">
        <f t="shared" si="0"/>
        <v>0</v>
      </c>
      <c r="AL18" s="689"/>
      <c r="AM18" s="989">
        <f t="shared" si="1"/>
        <v>0</v>
      </c>
      <c r="AN18" s="31"/>
      <c r="AO18" s="622"/>
      <c r="AP18" s="23"/>
      <c r="AQ18" s="23"/>
      <c r="AR18" s="23"/>
      <c r="AS18" s="23"/>
      <c r="AT18" s="23"/>
      <c r="AU18" s="23"/>
      <c r="AV18" s="23"/>
    </row>
    <row r="19" spans="1:48" s="23" customFormat="1" ht="20.45" hidden="1" customHeight="1">
      <c r="A19" s="312"/>
      <c r="B19" s="312"/>
      <c r="C19" s="379">
        <v>300000</v>
      </c>
      <c r="D19" s="795" t="s">
        <v>112</v>
      </c>
      <c r="E19" s="1117" t="b">
        <f>IF(AND(ISNUMBER(E10)),1996846+E16)</f>
        <v>0</v>
      </c>
      <c r="F19" s="1118" t="str">
        <f>IF(AND(ISNUMBER(F10)),E19+F16,"")</f>
        <v/>
      </c>
      <c r="G19" s="1216" t="str">
        <f t="shared" ref="G19:AI19" si="8">IF(AND(ISNUMBER(G10)),F19+G16,"")</f>
        <v/>
      </c>
      <c r="H19" s="1118" t="str">
        <f t="shared" si="8"/>
        <v/>
      </c>
      <c r="I19" s="1118" t="str">
        <f t="shared" si="8"/>
        <v/>
      </c>
      <c r="J19" s="1216" t="str">
        <f t="shared" si="8"/>
        <v/>
      </c>
      <c r="K19" s="1216" t="str">
        <f t="shared" si="8"/>
        <v/>
      </c>
      <c r="L19" s="1118" t="str">
        <f t="shared" si="8"/>
        <v/>
      </c>
      <c r="M19" s="1118" t="str">
        <f t="shared" si="8"/>
        <v/>
      </c>
      <c r="N19" s="1118" t="str">
        <f t="shared" si="8"/>
        <v/>
      </c>
      <c r="O19" s="1118" t="str">
        <f t="shared" si="8"/>
        <v/>
      </c>
      <c r="P19" s="1118" t="str">
        <f t="shared" si="8"/>
        <v/>
      </c>
      <c r="Q19" s="1216" t="str">
        <f t="shared" si="8"/>
        <v/>
      </c>
      <c r="R19" s="1216" t="str">
        <f t="shared" si="8"/>
        <v/>
      </c>
      <c r="S19" s="1118" t="str">
        <f t="shared" si="8"/>
        <v/>
      </c>
      <c r="T19" s="1118" t="str">
        <f t="shared" si="8"/>
        <v/>
      </c>
      <c r="U19" s="1118" t="str">
        <f t="shared" si="8"/>
        <v/>
      </c>
      <c r="V19" s="1118" t="str">
        <f t="shared" si="8"/>
        <v/>
      </c>
      <c r="W19" s="1118" t="str">
        <f t="shared" si="8"/>
        <v/>
      </c>
      <c r="X19" s="1216" t="str">
        <f t="shared" si="8"/>
        <v/>
      </c>
      <c r="Y19" s="1216" t="str">
        <f t="shared" si="8"/>
        <v/>
      </c>
      <c r="Z19" s="1118" t="str">
        <f t="shared" si="8"/>
        <v/>
      </c>
      <c r="AA19" s="1118" t="str">
        <f t="shared" si="8"/>
        <v/>
      </c>
      <c r="AB19" s="1118" t="str">
        <f t="shared" si="8"/>
        <v/>
      </c>
      <c r="AC19" s="1118" t="str">
        <f t="shared" si="8"/>
        <v/>
      </c>
      <c r="AD19" s="1118" t="str">
        <f t="shared" si="8"/>
        <v/>
      </c>
      <c r="AE19" s="1216" t="str">
        <f t="shared" si="8"/>
        <v/>
      </c>
      <c r="AF19" s="1216" t="str">
        <f t="shared" si="8"/>
        <v/>
      </c>
      <c r="AG19" s="1118" t="str">
        <f t="shared" si="8"/>
        <v/>
      </c>
      <c r="AH19" s="1118" t="str">
        <f t="shared" si="8"/>
        <v/>
      </c>
      <c r="AI19" s="1118" t="str">
        <f t="shared" si="8"/>
        <v/>
      </c>
      <c r="AJ19" s="793"/>
      <c r="AK19" s="985">
        <f t="shared" si="0"/>
        <v>0</v>
      </c>
      <c r="AL19" s="909"/>
      <c r="AM19" s="987">
        <f t="shared" si="1"/>
        <v>0</v>
      </c>
      <c r="AN19" s="429"/>
      <c r="AO19" s="675"/>
      <c r="AP19" s="285"/>
      <c r="AQ19" s="285"/>
      <c r="AR19" s="285"/>
      <c r="AS19" s="285"/>
      <c r="AT19" s="286"/>
      <c r="AU19" s="285"/>
      <c r="AV19" s="287"/>
    </row>
    <row r="20" spans="1:48" ht="19.899999999999999" hidden="1" customHeight="1">
      <c r="A20" s="25"/>
      <c r="B20" s="89"/>
      <c r="C20" s="89" t="s">
        <v>108</v>
      </c>
      <c r="D20" s="90" t="s">
        <v>104</v>
      </c>
      <c r="E20" s="1108"/>
      <c r="F20" s="1089"/>
      <c r="G20" s="44"/>
      <c r="H20" s="1089"/>
      <c r="I20" s="1089"/>
      <c r="J20" s="44"/>
      <c r="K20" s="44"/>
      <c r="L20" s="1089"/>
      <c r="M20" s="1089"/>
      <c r="N20" s="1089"/>
      <c r="O20" s="1089"/>
      <c r="P20" s="1089"/>
      <c r="Q20" s="44"/>
      <c r="R20" s="44"/>
      <c r="S20" s="1089"/>
      <c r="T20" s="1089"/>
      <c r="U20" s="1089"/>
      <c r="V20" s="1089"/>
      <c r="W20" s="1089"/>
      <c r="X20" s="44"/>
      <c r="Y20" s="44"/>
      <c r="Z20" s="1089"/>
      <c r="AA20" s="1089"/>
      <c r="AB20" s="1089"/>
      <c r="AC20" s="1089"/>
      <c r="AD20" s="1089"/>
      <c r="AE20" s="44"/>
      <c r="AF20" s="44"/>
      <c r="AG20" s="1089"/>
      <c r="AH20" s="1089"/>
      <c r="AI20" s="1326"/>
      <c r="AJ20" s="79"/>
      <c r="AK20" s="983">
        <f t="shared" si="0"/>
        <v>19000</v>
      </c>
      <c r="AL20" s="63"/>
      <c r="AM20" s="989">
        <f t="shared" si="1"/>
        <v>73075.14</v>
      </c>
      <c r="AN20" s="91"/>
      <c r="AO20" s="623"/>
      <c r="AP20" s="23"/>
      <c r="AQ20" s="23"/>
      <c r="AR20" s="23"/>
      <c r="AS20" s="23"/>
      <c r="AT20" s="23"/>
      <c r="AU20" s="23"/>
      <c r="AV20" s="23"/>
    </row>
    <row r="21" spans="1:48" ht="19.899999999999999" hidden="1" customHeight="1" thickBot="1">
      <c r="A21" s="92"/>
      <c r="B21" s="93"/>
      <c r="C21" s="407">
        <f>+C19*0.8</f>
        <v>240000</v>
      </c>
      <c r="D21" s="88" t="s">
        <v>111</v>
      </c>
      <c r="E21" s="1109">
        <f>IF(E20="O/H",E16,0+E16)</f>
        <v>0</v>
      </c>
      <c r="F21" s="1110">
        <f t="shared" ref="F21:AI21" si="9">IF(F20="O/H",F16,+E21+F16)</f>
        <v>0</v>
      </c>
      <c r="G21" s="1212">
        <f t="shared" si="9"/>
        <v>0</v>
      </c>
      <c r="H21" s="1110">
        <f t="shared" si="9"/>
        <v>0</v>
      </c>
      <c r="I21" s="1110">
        <f t="shared" si="9"/>
        <v>0</v>
      </c>
      <c r="J21" s="1212">
        <f t="shared" si="9"/>
        <v>0</v>
      </c>
      <c r="K21" s="1212">
        <f t="shared" si="9"/>
        <v>0</v>
      </c>
      <c r="L21" s="1110">
        <f t="shared" si="9"/>
        <v>0</v>
      </c>
      <c r="M21" s="1110">
        <f t="shared" si="9"/>
        <v>0</v>
      </c>
      <c r="N21" s="1110">
        <f t="shared" si="9"/>
        <v>0</v>
      </c>
      <c r="O21" s="1110">
        <f t="shared" si="9"/>
        <v>0</v>
      </c>
      <c r="P21" s="1110">
        <f t="shared" si="9"/>
        <v>0</v>
      </c>
      <c r="Q21" s="1212">
        <f t="shared" si="9"/>
        <v>0</v>
      </c>
      <c r="R21" s="1212">
        <f t="shared" si="9"/>
        <v>0</v>
      </c>
      <c r="S21" s="1110">
        <f t="shared" si="9"/>
        <v>0</v>
      </c>
      <c r="T21" s="1110">
        <f t="shared" si="9"/>
        <v>0</v>
      </c>
      <c r="U21" s="1110">
        <f t="shared" si="9"/>
        <v>0</v>
      </c>
      <c r="V21" s="1110">
        <f t="shared" si="9"/>
        <v>0</v>
      </c>
      <c r="W21" s="1110">
        <f t="shared" si="9"/>
        <v>0</v>
      </c>
      <c r="X21" s="1212">
        <f t="shared" si="9"/>
        <v>0</v>
      </c>
      <c r="Y21" s="1212">
        <f t="shared" si="9"/>
        <v>0</v>
      </c>
      <c r="Z21" s="1110">
        <f t="shared" si="9"/>
        <v>0</v>
      </c>
      <c r="AA21" s="1110">
        <f t="shared" si="9"/>
        <v>0</v>
      </c>
      <c r="AB21" s="1110">
        <f t="shared" si="9"/>
        <v>0</v>
      </c>
      <c r="AC21" s="1110">
        <f t="shared" si="9"/>
        <v>0</v>
      </c>
      <c r="AD21" s="1110">
        <f t="shared" si="9"/>
        <v>0</v>
      </c>
      <c r="AE21" s="1212">
        <f t="shared" si="9"/>
        <v>0</v>
      </c>
      <c r="AF21" s="1212">
        <f t="shared" si="9"/>
        <v>0</v>
      </c>
      <c r="AG21" s="1110">
        <f t="shared" si="9"/>
        <v>0</v>
      </c>
      <c r="AH21" s="1110">
        <f t="shared" si="9"/>
        <v>0</v>
      </c>
      <c r="AI21" s="1340">
        <f t="shared" si="9"/>
        <v>0</v>
      </c>
      <c r="AJ21" s="96"/>
      <c r="AK21" s="986">
        <f t="shared" si="0"/>
        <v>0</v>
      </c>
      <c r="AL21" s="97"/>
      <c r="AM21" s="1057">
        <f t="shared" si="1"/>
        <v>0</v>
      </c>
      <c r="AN21" s="98"/>
      <c r="AO21" s="625"/>
      <c r="AP21" s="23"/>
      <c r="AQ21" s="23"/>
      <c r="AR21" s="23"/>
      <c r="AS21" s="23"/>
      <c r="AT21" s="23"/>
      <c r="AU21" s="23"/>
      <c r="AV21" s="23"/>
    </row>
    <row r="22" spans="1:48" ht="20.65" customHeight="1" thickTop="1">
      <c r="A22" s="908" t="s">
        <v>605</v>
      </c>
      <c r="B22" s="750" t="s">
        <v>626</v>
      </c>
      <c r="C22" s="400" t="str">
        <f>Table7[[#This Row],[M/C No.]]</f>
        <v>H12(50ton)</v>
      </c>
      <c r="D22" s="28" t="s">
        <v>82</v>
      </c>
      <c r="E22" s="1111">
        <v>0</v>
      </c>
      <c r="F22" s="1111">
        <v>0</v>
      </c>
      <c r="G22" s="1201">
        <v>0</v>
      </c>
      <c r="H22" s="1111">
        <v>0</v>
      </c>
      <c r="I22" s="1111">
        <v>0</v>
      </c>
      <c r="J22" s="1201">
        <v>0</v>
      </c>
      <c r="K22" s="1201">
        <v>0</v>
      </c>
      <c r="L22" s="1111">
        <v>0</v>
      </c>
      <c r="M22" s="1111">
        <v>0</v>
      </c>
      <c r="N22" s="1111">
        <v>0</v>
      </c>
      <c r="O22" s="1111">
        <v>0</v>
      </c>
      <c r="P22" s="1111">
        <v>0</v>
      </c>
      <c r="Q22" s="1201">
        <v>0</v>
      </c>
      <c r="R22" s="1201">
        <v>0</v>
      </c>
      <c r="S22" s="1111">
        <v>4000</v>
      </c>
      <c r="T22" s="1111">
        <v>15000</v>
      </c>
      <c r="U22" s="1111">
        <v>0</v>
      </c>
      <c r="V22" s="1111">
        <v>0</v>
      </c>
      <c r="W22" s="1111">
        <v>0</v>
      </c>
      <c r="X22" s="1201">
        <v>0</v>
      </c>
      <c r="Y22" s="1201">
        <v>0</v>
      </c>
      <c r="Z22" s="1111">
        <v>0</v>
      </c>
      <c r="AA22" s="1111">
        <v>0</v>
      </c>
      <c r="AB22" s="1111">
        <v>0</v>
      </c>
      <c r="AC22" s="1111">
        <v>0</v>
      </c>
      <c r="AD22" s="1111">
        <v>0</v>
      </c>
      <c r="AE22" s="1201">
        <v>0</v>
      </c>
      <c r="AF22" s="1201">
        <v>0</v>
      </c>
      <c r="AG22" s="1111">
        <v>0</v>
      </c>
      <c r="AH22" s="1111">
        <v>0</v>
      </c>
      <c r="AI22" s="1111"/>
      <c r="AJ22" s="100">
        <f>SUM(Table7[[#This Row],[June''2026]:[Column27]])</f>
        <v>19000</v>
      </c>
      <c r="AK22" s="1000">
        <f t="shared" si="0"/>
        <v>19040</v>
      </c>
      <c r="AL22" s="101">
        <f>+AJ22*AN22</f>
        <v>73075.14</v>
      </c>
      <c r="AM22" s="1019">
        <f t="shared" si="1"/>
        <v>73228.982399999994</v>
      </c>
      <c r="AN22" s="31">
        <v>3.84606</v>
      </c>
      <c r="AO22" s="622">
        <f>Table7[[#This Row],[Total]]*B26/1000</f>
        <v>38.512999999999998</v>
      </c>
      <c r="AP22" s="32" t="s">
        <v>418</v>
      </c>
      <c r="AQ22" s="33" t="s">
        <v>84</v>
      </c>
      <c r="AR22" s="33" t="s">
        <v>85</v>
      </c>
      <c r="AS22" s="33" t="s">
        <v>86</v>
      </c>
      <c r="AT22" s="33" t="s">
        <v>87</v>
      </c>
      <c r="AU22" s="33" t="s">
        <v>88</v>
      </c>
      <c r="AV22" s="34" t="s">
        <v>68</v>
      </c>
    </row>
    <row r="23" spans="1:48" ht="20.65" customHeight="1">
      <c r="A23" s="103"/>
      <c r="B23" s="751" t="s">
        <v>495</v>
      </c>
      <c r="C23" s="42"/>
      <c r="D23" s="37" t="s">
        <v>90</v>
      </c>
      <c r="E23" s="1373">
        <f>IF(E22="",0,+ E22/E29)</f>
        <v>0</v>
      </c>
      <c r="F23" s="1096">
        <f t="shared" ref="F23:AI23" si="10">IF(F22="",0, E23+F22/F29)</f>
        <v>0</v>
      </c>
      <c r="G23" s="1207">
        <f t="shared" si="10"/>
        <v>0</v>
      </c>
      <c r="H23" s="1096">
        <f t="shared" si="10"/>
        <v>0</v>
      </c>
      <c r="I23" s="1096">
        <f t="shared" si="10"/>
        <v>0</v>
      </c>
      <c r="J23" s="1207">
        <f t="shared" si="10"/>
        <v>0</v>
      </c>
      <c r="K23" s="1207">
        <f t="shared" si="10"/>
        <v>0</v>
      </c>
      <c r="L23" s="1096">
        <f t="shared" si="10"/>
        <v>0</v>
      </c>
      <c r="M23" s="1096">
        <f t="shared" si="10"/>
        <v>0</v>
      </c>
      <c r="N23" s="1096">
        <f t="shared" si="10"/>
        <v>0</v>
      </c>
      <c r="O23" s="1096">
        <f t="shared" si="10"/>
        <v>0</v>
      </c>
      <c r="P23" s="1096">
        <f t="shared" si="10"/>
        <v>0</v>
      </c>
      <c r="Q23" s="1207">
        <f t="shared" si="10"/>
        <v>0</v>
      </c>
      <c r="R23" s="1207">
        <f t="shared" si="10"/>
        <v>0</v>
      </c>
      <c r="S23" s="1096">
        <f t="shared" si="10"/>
        <v>1000</v>
      </c>
      <c r="T23" s="1096">
        <f t="shared" si="10"/>
        <v>4750</v>
      </c>
      <c r="U23" s="1096">
        <f t="shared" si="10"/>
        <v>4750</v>
      </c>
      <c r="V23" s="1096">
        <f t="shared" si="10"/>
        <v>4750</v>
      </c>
      <c r="W23" s="1096">
        <f t="shared" si="10"/>
        <v>4750</v>
      </c>
      <c r="X23" s="1207">
        <f t="shared" si="10"/>
        <v>4750</v>
      </c>
      <c r="Y23" s="1207">
        <f t="shared" si="10"/>
        <v>4750</v>
      </c>
      <c r="Z23" s="1096">
        <f t="shared" si="10"/>
        <v>4750</v>
      </c>
      <c r="AA23" s="1096">
        <f t="shared" si="10"/>
        <v>4750</v>
      </c>
      <c r="AB23" s="1096">
        <f t="shared" si="10"/>
        <v>4750</v>
      </c>
      <c r="AC23" s="1096">
        <f t="shared" si="10"/>
        <v>4750</v>
      </c>
      <c r="AD23" s="1096">
        <f t="shared" si="10"/>
        <v>4750</v>
      </c>
      <c r="AE23" s="1207">
        <f t="shared" si="10"/>
        <v>4750</v>
      </c>
      <c r="AF23" s="1207">
        <f t="shared" si="10"/>
        <v>4750</v>
      </c>
      <c r="AG23" s="1096">
        <f t="shared" si="10"/>
        <v>4750</v>
      </c>
      <c r="AH23" s="1096">
        <f t="shared" si="10"/>
        <v>4750</v>
      </c>
      <c r="AI23" s="1324">
        <f t="shared" si="10"/>
        <v>0</v>
      </c>
      <c r="AJ23" s="38"/>
      <c r="AK23" s="1053">
        <f t="shared" si="0"/>
        <v>40</v>
      </c>
      <c r="AL23" s="30"/>
      <c r="AM23" s="989">
        <f t="shared" si="1"/>
        <v>153.8424</v>
      </c>
      <c r="AN23" s="31"/>
      <c r="AO23" s="675"/>
      <c r="AP23" s="39" t="s">
        <v>91</v>
      </c>
      <c r="AQ23" s="40">
        <f>SUM(E22:H22)</f>
        <v>0</v>
      </c>
      <c r="AR23" s="41">
        <f>SUM(I22:O22)</f>
        <v>0</v>
      </c>
      <c r="AS23" s="41">
        <f>SUM(P22:V22)</f>
        <v>19000</v>
      </c>
      <c r="AT23" s="41">
        <f>SUM(W22:AC22)</f>
        <v>0</v>
      </c>
      <c r="AU23" s="41">
        <f>SUM(AD22:AI22)</f>
        <v>0</v>
      </c>
      <c r="AV23" s="34">
        <f t="shared" ref="AV23:AV28" si="11">SUM(AQ23:AU23)</f>
        <v>19000</v>
      </c>
    </row>
    <row r="24" spans="1:48" ht="20.65" customHeight="1">
      <c r="A24" s="103"/>
      <c r="B24" s="752" t="s">
        <v>246</v>
      </c>
      <c r="C24" s="431" t="s">
        <v>95</v>
      </c>
      <c r="D24" s="43" t="s">
        <v>93</v>
      </c>
      <c r="E24" s="1325">
        <v>0</v>
      </c>
      <c r="F24" s="1089">
        <v>0</v>
      </c>
      <c r="G24" s="44">
        <v>0</v>
      </c>
      <c r="H24" s="1089">
        <v>0</v>
      </c>
      <c r="I24" s="1089">
        <v>0</v>
      </c>
      <c r="J24" s="44">
        <v>0</v>
      </c>
      <c r="K24" s="44">
        <v>0</v>
      </c>
      <c r="L24" s="1089">
        <v>0</v>
      </c>
      <c r="M24" s="1089">
        <v>0</v>
      </c>
      <c r="N24" s="1089">
        <v>0</v>
      </c>
      <c r="O24" s="1089">
        <v>0</v>
      </c>
      <c r="P24" s="1089">
        <v>0</v>
      </c>
      <c r="Q24" s="44">
        <v>0</v>
      </c>
      <c r="R24" s="44">
        <v>0</v>
      </c>
      <c r="S24" s="1089">
        <v>3584</v>
      </c>
      <c r="T24" s="1089">
        <v>15456</v>
      </c>
      <c r="U24" s="1089">
        <v>0</v>
      </c>
      <c r="V24" s="1089">
        <v>0</v>
      </c>
      <c r="W24" s="1089">
        <v>0</v>
      </c>
      <c r="X24" s="44">
        <v>0</v>
      </c>
      <c r="Y24" s="44">
        <v>0</v>
      </c>
      <c r="Z24" s="1089">
        <v>0</v>
      </c>
      <c r="AA24" s="1089">
        <v>0</v>
      </c>
      <c r="AB24" s="1089"/>
      <c r="AC24" s="1089"/>
      <c r="AD24" s="1089"/>
      <c r="AE24" s="44"/>
      <c r="AF24" s="44"/>
      <c r="AG24" s="1089"/>
      <c r="AH24" s="1089"/>
      <c r="AI24" s="1326"/>
      <c r="AJ24" s="45">
        <f>SUM(E24:AI24)</f>
        <v>19040</v>
      </c>
      <c r="AK24" s="983">
        <f t="shared" si="0"/>
        <v>828</v>
      </c>
      <c r="AL24" s="46">
        <f>+AJ24*AN22</f>
        <v>73228.982399999994</v>
      </c>
      <c r="AM24" s="988">
        <f t="shared" si="1"/>
        <v>3184.5376799999999</v>
      </c>
      <c r="AN24" s="31"/>
      <c r="AO24" s="632">
        <f>(AJ24+AJ26+AJ27+AJ28)*B26/1000</f>
        <v>40.848103999999999</v>
      </c>
      <c r="AP24" s="47" t="s">
        <v>94</v>
      </c>
      <c r="AQ24" s="48">
        <f>SUM(E24:H24)</f>
        <v>0</v>
      </c>
      <c r="AR24" s="49">
        <f>SUM(I24:O24)</f>
        <v>0</v>
      </c>
      <c r="AS24" s="49">
        <f>SUM(P24:V24)</f>
        <v>19040</v>
      </c>
      <c r="AT24" s="49">
        <f>SUM(W24:AC24)</f>
        <v>0</v>
      </c>
      <c r="AU24" s="49">
        <f>SUM(AD24:AI24)</f>
        <v>0</v>
      </c>
      <c r="AV24" s="50">
        <f t="shared" si="11"/>
        <v>19040</v>
      </c>
    </row>
    <row r="25" spans="1:48" ht="20.65" customHeight="1">
      <c r="A25" s="103"/>
      <c r="B25" s="767" t="s">
        <v>247</v>
      </c>
      <c r="C25" s="379">
        <v>100000</v>
      </c>
      <c r="D25" s="53" t="s">
        <v>96</v>
      </c>
      <c r="E25" s="1327">
        <f t="shared" ref="E25" si="12">+E24-E22</f>
        <v>0</v>
      </c>
      <c r="F25" s="1097">
        <f t="shared" ref="F25:AJ25" si="13">+F24-F22</f>
        <v>0</v>
      </c>
      <c r="G25" s="1205">
        <f t="shared" si="13"/>
        <v>0</v>
      </c>
      <c r="H25" s="1097">
        <f>+H24-H22</f>
        <v>0</v>
      </c>
      <c r="I25" s="1097">
        <f>+I24-I22</f>
        <v>0</v>
      </c>
      <c r="J25" s="1205">
        <f>+J24-J22</f>
        <v>0</v>
      </c>
      <c r="K25" s="1205">
        <f>+K24-K22</f>
        <v>0</v>
      </c>
      <c r="L25" s="1097">
        <f t="shared" si="13"/>
        <v>0</v>
      </c>
      <c r="M25" s="1097">
        <f t="shared" si="13"/>
        <v>0</v>
      </c>
      <c r="N25" s="1097">
        <f t="shared" si="13"/>
        <v>0</v>
      </c>
      <c r="O25" s="1097">
        <f t="shared" si="13"/>
        <v>0</v>
      </c>
      <c r="P25" s="1097">
        <f t="shared" si="13"/>
        <v>0</v>
      </c>
      <c r="Q25" s="1205">
        <f t="shared" si="13"/>
        <v>0</v>
      </c>
      <c r="R25" s="1205">
        <f t="shared" si="13"/>
        <v>0</v>
      </c>
      <c r="S25" s="1097">
        <f t="shared" si="13"/>
        <v>-416</v>
      </c>
      <c r="T25" s="1097">
        <f t="shared" si="13"/>
        <v>456</v>
      </c>
      <c r="U25" s="1097">
        <f>+U24-U22</f>
        <v>0</v>
      </c>
      <c r="V25" s="1097">
        <f t="shared" si="13"/>
        <v>0</v>
      </c>
      <c r="W25" s="1097">
        <f t="shared" si="13"/>
        <v>0</v>
      </c>
      <c r="X25" s="1205">
        <f t="shared" si="13"/>
        <v>0</v>
      </c>
      <c r="Y25" s="1205">
        <f t="shared" si="13"/>
        <v>0</v>
      </c>
      <c r="Z25" s="1097">
        <f t="shared" si="13"/>
        <v>0</v>
      </c>
      <c r="AA25" s="1097">
        <f t="shared" ref="AA25:AB25" si="14">+AA24-AA22</f>
        <v>0</v>
      </c>
      <c r="AB25" s="1097">
        <f t="shared" si="14"/>
        <v>0</v>
      </c>
      <c r="AC25" s="1097">
        <f t="shared" si="13"/>
        <v>0</v>
      </c>
      <c r="AD25" s="1097">
        <f t="shared" si="13"/>
        <v>0</v>
      </c>
      <c r="AE25" s="1205">
        <f t="shared" si="13"/>
        <v>0</v>
      </c>
      <c r="AF25" s="1205">
        <f t="shared" ref="AF25" si="15">+AF24-AF22</f>
        <v>0</v>
      </c>
      <c r="AG25" s="1097">
        <f t="shared" si="13"/>
        <v>0</v>
      </c>
      <c r="AH25" s="1097">
        <f t="shared" si="13"/>
        <v>0</v>
      </c>
      <c r="AI25" s="1328">
        <f t="shared" si="13"/>
        <v>0</v>
      </c>
      <c r="AJ25" s="54">
        <f t="shared" si="13"/>
        <v>40</v>
      </c>
      <c r="AK25" s="1053">
        <f t="shared" si="0"/>
        <v>180</v>
      </c>
      <c r="AL25" s="55">
        <f>+AJ25*AN22</f>
        <v>153.8424</v>
      </c>
      <c r="AM25" s="988">
        <f t="shared" si="1"/>
        <v>692.29079999999999</v>
      </c>
      <c r="AN25" s="31" t="s">
        <v>97</v>
      </c>
      <c r="AO25" s="622"/>
      <c r="AP25" s="39" t="s">
        <v>98</v>
      </c>
      <c r="AQ25" s="56">
        <f>AQ24-AQ23</f>
        <v>0</v>
      </c>
      <c r="AR25" s="70">
        <f>AR24-AR23</f>
        <v>0</v>
      </c>
      <c r="AS25" s="70">
        <f>AS24-AS23</f>
        <v>40</v>
      </c>
      <c r="AT25" s="70">
        <f>AT24-AT23</f>
        <v>0</v>
      </c>
      <c r="AU25" s="70">
        <f>AU24-AU23</f>
        <v>0</v>
      </c>
      <c r="AV25" s="57">
        <f t="shared" si="11"/>
        <v>40</v>
      </c>
    </row>
    <row r="26" spans="1:48" ht="20.65" customHeight="1">
      <c r="A26" s="58"/>
      <c r="B26" s="767">
        <v>2.0270000000000001</v>
      </c>
      <c r="C26" s="431"/>
      <c r="D26" s="61" t="s">
        <v>101</v>
      </c>
      <c r="E26" s="1329">
        <v>0</v>
      </c>
      <c r="F26" s="1099">
        <v>0</v>
      </c>
      <c r="G26" s="1208">
        <v>0</v>
      </c>
      <c r="H26" s="1099">
        <v>0</v>
      </c>
      <c r="I26" s="1099">
        <v>0</v>
      </c>
      <c r="J26" s="1208">
        <v>0</v>
      </c>
      <c r="K26" s="1208">
        <v>0</v>
      </c>
      <c r="L26" s="1099">
        <v>0</v>
      </c>
      <c r="M26" s="1099">
        <v>0</v>
      </c>
      <c r="N26" s="1099">
        <v>0</v>
      </c>
      <c r="O26" s="1099">
        <v>0</v>
      </c>
      <c r="P26" s="1099">
        <v>0</v>
      </c>
      <c r="Q26" s="1208">
        <v>0</v>
      </c>
      <c r="R26" s="1208">
        <v>0</v>
      </c>
      <c r="S26" s="1099">
        <v>828</v>
      </c>
      <c r="T26" s="1099">
        <v>0</v>
      </c>
      <c r="U26" s="1099">
        <v>0</v>
      </c>
      <c r="V26" s="1099">
        <v>0</v>
      </c>
      <c r="W26" s="1099">
        <v>0</v>
      </c>
      <c r="X26" s="1208">
        <v>0</v>
      </c>
      <c r="Y26" s="1208">
        <v>0</v>
      </c>
      <c r="Z26" s="1099">
        <v>0</v>
      </c>
      <c r="AA26" s="1099">
        <v>0</v>
      </c>
      <c r="AB26" s="1099"/>
      <c r="AC26" s="1099"/>
      <c r="AD26" s="1099"/>
      <c r="AE26" s="1208"/>
      <c r="AF26" s="1208"/>
      <c r="AG26" s="1099"/>
      <c r="AH26" s="1099"/>
      <c r="AI26" s="1330"/>
      <c r="AJ26" s="62">
        <f>SUM(E26:AI26)</f>
        <v>828</v>
      </c>
      <c r="AK26" s="983">
        <f t="shared" si="0"/>
        <v>104</v>
      </c>
      <c r="AL26" s="63">
        <f>+AJ26*AN22</f>
        <v>3184.5376799999999</v>
      </c>
      <c r="AM26" s="989">
        <f t="shared" si="1"/>
        <v>399.99024000000003</v>
      </c>
      <c r="AN26" s="64">
        <f>+AJ26/AJ24*100</f>
        <v>4.348739495798319</v>
      </c>
      <c r="AO26" s="635">
        <f>AO24/AO22</f>
        <v>1.0606315789473684</v>
      </c>
      <c r="AP26" s="39" t="s">
        <v>102</v>
      </c>
      <c r="AQ26" s="56">
        <f>SUM(E26:H26)</f>
        <v>0</v>
      </c>
      <c r="AR26" s="70">
        <f>SUM(I26:O26)</f>
        <v>0</v>
      </c>
      <c r="AS26" s="70">
        <f>SUM(P26:V26)</f>
        <v>828</v>
      </c>
      <c r="AT26" s="70">
        <f>SUM(W26:AC26)</f>
        <v>0</v>
      </c>
      <c r="AU26" s="70">
        <f>SUM(AD26:AI26)</f>
        <v>0</v>
      </c>
      <c r="AV26" s="57">
        <f t="shared" si="11"/>
        <v>828</v>
      </c>
    </row>
    <row r="27" spans="1:48" ht="20.65" customHeight="1">
      <c r="A27" s="58"/>
      <c r="B27" s="334" t="s">
        <v>390</v>
      </c>
      <c r="C27" s="89" t="s">
        <v>108</v>
      </c>
      <c r="D27" s="67" t="s">
        <v>103</v>
      </c>
      <c r="E27" s="1331">
        <v>0</v>
      </c>
      <c r="F27" s="1101">
        <v>0</v>
      </c>
      <c r="G27" s="1209">
        <v>0</v>
      </c>
      <c r="H27" s="1101">
        <v>0</v>
      </c>
      <c r="I27" s="1101">
        <v>0</v>
      </c>
      <c r="J27" s="1209">
        <v>0</v>
      </c>
      <c r="K27" s="1209">
        <v>0</v>
      </c>
      <c r="L27" s="1101">
        <v>0</v>
      </c>
      <c r="M27" s="1101">
        <v>0</v>
      </c>
      <c r="N27" s="1101">
        <v>0</v>
      </c>
      <c r="O27" s="1101">
        <v>0</v>
      </c>
      <c r="P27" s="1101">
        <v>0</v>
      </c>
      <c r="Q27" s="1209">
        <v>0</v>
      </c>
      <c r="R27" s="1209">
        <v>0</v>
      </c>
      <c r="S27" s="1101">
        <v>36</v>
      </c>
      <c r="T27" s="1101">
        <v>144</v>
      </c>
      <c r="U27" s="1101">
        <v>0</v>
      </c>
      <c r="V27" s="1101">
        <v>0</v>
      </c>
      <c r="W27" s="1101">
        <v>0</v>
      </c>
      <c r="X27" s="1209">
        <v>0</v>
      </c>
      <c r="Y27" s="1209">
        <v>0</v>
      </c>
      <c r="Z27" s="1101">
        <v>0</v>
      </c>
      <c r="AA27" s="1101">
        <v>0</v>
      </c>
      <c r="AB27" s="1101"/>
      <c r="AC27" s="1101"/>
      <c r="AD27" s="1101"/>
      <c r="AE27" s="1209"/>
      <c r="AF27" s="1209"/>
      <c r="AG27" s="1101"/>
      <c r="AH27" s="1101"/>
      <c r="AI27" s="1332"/>
      <c r="AJ27" s="68">
        <f>SUM(E27:AI27)</f>
        <v>180</v>
      </c>
      <c r="AK27" s="983">
        <f t="shared" si="0"/>
        <v>0</v>
      </c>
      <c r="AL27" s="69">
        <f>+AJ27*AN22</f>
        <v>692.29079999999999</v>
      </c>
      <c r="AM27" s="989">
        <f t="shared" si="1"/>
        <v>0</v>
      </c>
      <c r="AN27" s="31"/>
      <c r="AO27" s="622"/>
      <c r="AP27" s="39" t="s">
        <v>19</v>
      </c>
      <c r="AQ27" s="56">
        <f>AQ26*AN22</f>
        <v>0</v>
      </c>
      <c r="AR27" s="56">
        <f>AR26*AN22</f>
        <v>0</v>
      </c>
      <c r="AS27" s="56">
        <f>AS26*AN22</f>
        <v>3184.5376799999999</v>
      </c>
      <c r="AT27" s="56">
        <f>AT26*AN22</f>
        <v>0</v>
      </c>
      <c r="AU27" s="56">
        <f>AU26*AN22</f>
        <v>0</v>
      </c>
      <c r="AV27" s="57">
        <f t="shared" si="11"/>
        <v>3184.5376799999999</v>
      </c>
    </row>
    <row r="28" spans="1:48" ht="20.65" customHeight="1">
      <c r="A28" s="103"/>
      <c r="B28" s="65"/>
      <c r="C28" s="383">
        <f>+C25*0.8</f>
        <v>80000</v>
      </c>
      <c r="D28" s="73" t="s">
        <v>105</v>
      </c>
      <c r="E28" s="1333">
        <v>0</v>
      </c>
      <c r="F28" s="1103">
        <v>0</v>
      </c>
      <c r="G28" s="1210">
        <v>0</v>
      </c>
      <c r="H28" s="1103">
        <v>0</v>
      </c>
      <c r="I28" s="1103">
        <v>0</v>
      </c>
      <c r="J28" s="1210">
        <v>0</v>
      </c>
      <c r="K28" s="1210">
        <v>0</v>
      </c>
      <c r="L28" s="1103">
        <v>0</v>
      </c>
      <c r="M28" s="1103">
        <v>0</v>
      </c>
      <c r="N28" s="1103">
        <v>0</v>
      </c>
      <c r="O28" s="1103">
        <v>0</v>
      </c>
      <c r="P28" s="1103">
        <v>0</v>
      </c>
      <c r="Q28" s="1210">
        <v>0</v>
      </c>
      <c r="R28" s="1210">
        <v>0</v>
      </c>
      <c r="S28" s="1103">
        <v>24</v>
      </c>
      <c r="T28" s="1103">
        <v>80</v>
      </c>
      <c r="U28" s="1103">
        <v>0</v>
      </c>
      <c r="V28" s="1103">
        <v>0</v>
      </c>
      <c r="W28" s="1103">
        <v>0</v>
      </c>
      <c r="X28" s="1210">
        <v>0</v>
      </c>
      <c r="Y28" s="1210">
        <v>0</v>
      </c>
      <c r="Z28" s="1103">
        <v>0</v>
      </c>
      <c r="AA28" s="1103">
        <v>0</v>
      </c>
      <c r="AB28" s="1103"/>
      <c r="AC28" s="1103"/>
      <c r="AD28" s="1103"/>
      <c r="AE28" s="1210"/>
      <c r="AF28" s="1210"/>
      <c r="AG28" s="1103"/>
      <c r="AH28" s="1103"/>
      <c r="AI28" s="1352"/>
      <c r="AJ28" s="74">
        <f>SUM(E28:AI28)</f>
        <v>104</v>
      </c>
      <c r="AK28" s="983">
        <f t="shared" si="0"/>
        <v>5038</v>
      </c>
      <c r="AL28" s="75">
        <f>+AJ28*AN22</f>
        <v>399.99024000000003</v>
      </c>
      <c r="AM28" s="989">
        <f t="shared" si="1"/>
        <v>0</v>
      </c>
      <c r="AN28" s="76"/>
      <c r="AO28" s="636"/>
      <c r="AP28" s="47" t="s">
        <v>106</v>
      </c>
      <c r="AQ28" s="48">
        <f>AQ24*AN22</f>
        <v>0</v>
      </c>
      <c r="AR28" s="48">
        <f>AR24*AN22</f>
        <v>0</v>
      </c>
      <c r="AS28" s="48">
        <f>AS24*AN22</f>
        <v>73228.982399999994</v>
      </c>
      <c r="AT28" s="48">
        <f>AT24*AN22</f>
        <v>0</v>
      </c>
      <c r="AU28" s="48">
        <f>AU24*AN22</f>
        <v>0</v>
      </c>
      <c r="AV28" s="50">
        <f t="shared" si="11"/>
        <v>73228.982399999994</v>
      </c>
    </row>
    <row r="29" spans="1:48" ht="20.65" customHeight="1">
      <c r="A29" s="103"/>
      <c r="B29" s="65"/>
      <c r="C29" s="300"/>
      <c r="D29" s="78" t="s">
        <v>107</v>
      </c>
      <c r="E29" s="1327">
        <v>4</v>
      </c>
      <c r="F29" s="1097">
        <v>4</v>
      </c>
      <c r="G29" s="1205">
        <v>4</v>
      </c>
      <c r="H29" s="1097">
        <v>4</v>
      </c>
      <c r="I29" s="1097">
        <v>4</v>
      </c>
      <c r="J29" s="1205">
        <v>4</v>
      </c>
      <c r="K29" s="1205">
        <v>4</v>
      </c>
      <c r="L29" s="1097">
        <v>4</v>
      </c>
      <c r="M29" s="1097">
        <v>4</v>
      </c>
      <c r="N29" s="1097">
        <v>4</v>
      </c>
      <c r="O29" s="1097">
        <v>4</v>
      </c>
      <c r="P29" s="1097">
        <v>4</v>
      </c>
      <c r="Q29" s="1205">
        <v>4</v>
      </c>
      <c r="R29" s="1205">
        <v>4</v>
      </c>
      <c r="S29" s="1097">
        <v>4</v>
      </c>
      <c r="T29" s="1097">
        <v>4</v>
      </c>
      <c r="U29" s="1097">
        <v>4</v>
      </c>
      <c r="V29" s="1097">
        <v>4</v>
      </c>
      <c r="W29" s="1097">
        <v>4</v>
      </c>
      <c r="X29" s="1205">
        <v>4</v>
      </c>
      <c r="Y29" s="1205">
        <v>4</v>
      </c>
      <c r="Z29" s="1097">
        <v>4</v>
      </c>
      <c r="AA29" s="1097">
        <v>4</v>
      </c>
      <c r="AB29" s="1097">
        <v>4</v>
      </c>
      <c r="AC29" s="1097">
        <v>4</v>
      </c>
      <c r="AD29" s="1097">
        <v>4</v>
      </c>
      <c r="AE29" s="1205">
        <v>4</v>
      </c>
      <c r="AF29" s="1205">
        <v>4</v>
      </c>
      <c r="AG29" s="1097">
        <v>4</v>
      </c>
      <c r="AH29" s="1097">
        <v>4</v>
      </c>
      <c r="AI29" s="1328">
        <v>4</v>
      </c>
      <c r="AJ29" s="79"/>
      <c r="AK29" s="983">
        <f t="shared" si="0"/>
        <v>0</v>
      </c>
      <c r="AL29" s="55"/>
      <c r="AM29" s="988">
        <f t="shared" si="1"/>
        <v>0</v>
      </c>
      <c r="AN29" s="31"/>
      <c r="AO29" s="622"/>
      <c r="AP29" s="23"/>
      <c r="AQ29" s="23"/>
      <c r="AR29" s="23"/>
      <c r="AS29" s="23"/>
      <c r="AT29" s="23"/>
      <c r="AU29" s="23"/>
      <c r="AV29" s="23"/>
    </row>
    <row r="30" spans="1:48" ht="20.65" customHeight="1">
      <c r="A30" s="103"/>
      <c r="B30" s="65"/>
      <c r="C30" s="495"/>
      <c r="D30" s="81" t="s">
        <v>109</v>
      </c>
      <c r="E30" s="1374">
        <f>SUM(E24+E26+E27+E28)/E29</f>
        <v>0</v>
      </c>
      <c r="F30" s="1104">
        <f>SUM(F24+F26+F27+F28)/F29</f>
        <v>0</v>
      </c>
      <c r="G30" s="1211">
        <f>SUM(G24+G26+G27+G28)/G29</f>
        <v>0</v>
      </c>
      <c r="H30" s="1104">
        <f t="shared" ref="H30:AH30" si="16">SUM(H24+H26+H27+H28)/H29</f>
        <v>0</v>
      </c>
      <c r="I30" s="1104">
        <f t="shared" si="16"/>
        <v>0</v>
      </c>
      <c r="J30" s="1211">
        <f t="shared" si="16"/>
        <v>0</v>
      </c>
      <c r="K30" s="1211">
        <f t="shared" si="16"/>
        <v>0</v>
      </c>
      <c r="L30" s="1104">
        <f t="shared" si="16"/>
        <v>0</v>
      </c>
      <c r="M30" s="1104">
        <f t="shared" si="16"/>
        <v>0</v>
      </c>
      <c r="N30" s="1104">
        <f t="shared" si="16"/>
        <v>0</v>
      </c>
      <c r="O30" s="1104">
        <f t="shared" si="16"/>
        <v>0</v>
      </c>
      <c r="P30" s="1104">
        <f t="shared" si="16"/>
        <v>0</v>
      </c>
      <c r="Q30" s="1211">
        <f t="shared" si="16"/>
        <v>0</v>
      </c>
      <c r="R30" s="1211">
        <f t="shared" si="16"/>
        <v>0</v>
      </c>
      <c r="S30" s="1104">
        <f t="shared" si="16"/>
        <v>1118</v>
      </c>
      <c r="T30" s="1104">
        <f t="shared" si="16"/>
        <v>3920</v>
      </c>
      <c r="U30" s="1104">
        <f t="shared" si="16"/>
        <v>0</v>
      </c>
      <c r="V30" s="1104">
        <f t="shared" si="16"/>
        <v>0</v>
      </c>
      <c r="W30" s="1104">
        <f t="shared" si="16"/>
        <v>0</v>
      </c>
      <c r="X30" s="1211">
        <f t="shared" si="16"/>
        <v>0</v>
      </c>
      <c r="Y30" s="1211">
        <f t="shared" si="16"/>
        <v>0</v>
      </c>
      <c r="Z30" s="1104">
        <f t="shared" si="16"/>
        <v>0</v>
      </c>
      <c r="AA30" s="1104">
        <f t="shared" si="16"/>
        <v>0</v>
      </c>
      <c r="AB30" s="1104">
        <f t="shared" si="16"/>
        <v>0</v>
      </c>
      <c r="AC30" s="1104">
        <f t="shared" si="16"/>
        <v>0</v>
      </c>
      <c r="AD30" s="1104">
        <f t="shared" si="16"/>
        <v>0</v>
      </c>
      <c r="AE30" s="1211">
        <f t="shared" si="16"/>
        <v>0</v>
      </c>
      <c r="AF30" s="1211">
        <f t="shared" si="16"/>
        <v>0</v>
      </c>
      <c r="AG30" s="1104">
        <f t="shared" si="16"/>
        <v>0</v>
      </c>
      <c r="AH30" s="1104">
        <f t="shared" si="16"/>
        <v>0</v>
      </c>
      <c r="AI30" s="1335">
        <f>SUM(AI24+AI26+AI27+AI28)/AI29</f>
        <v>0</v>
      </c>
      <c r="AJ30" s="104">
        <f>SUM(E30:AI30)</f>
        <v>5038</v>
      </c>
      <c r="AK30" s="993">
        <f t="shared" si="0"/>
        <v>0</v>
      </c>
      <c r="AL30" s="83"/>
      <c r="AM30" s="989">
        <f t="shared" si="1"/>
        <v>0</v>
      </c>
      <c r="AN30" s="31"/>
      <c r="AO30" s="622"/>
      <c r="AP30" s="23"/>
      <c r="AQ30" s="23"/>
      <c r="AR30" s="23"/>
      <c r="AS30" s="23"/>
      <c r="AT30" s="23"/>
      <c r="AU30" s="23"/>
      <c r="AV30" s="23"/>
    </row>
    <row r="31" spans="1:48" ht="20.65" customHeight="1">
      <c r="A31" s="103"/>
      <c r="B31" s="59"/>
      <c r="C31" s="387"/>
      <c r="D31" s="85" t="s">
        <v>110</v>
      </c>
      <c r="E31" s="1105"/>
      <c r="F31" s="1106"/>
      <c r="G31" s="1228"/>
      <c r="H31" s="1104"/>
      <c r="I31" s="1104"/>
      <c r="J31" s="1211"/>
      <c r="K31" s="1211"/>
      <c r="L31" s="1104"/>
      <c r="M31" s="1104"/>
      <c r="N31" s="1104"/>
      <c r="O31" s="1107"/>
      <c r="P31" s="1104"/>
      <c r="Q31" s="1211"/>
      <c r="R31" s="1211"/>
      <c r="S31" s="1104"/>
      <c r="T31" s="1104"/>
      <c r="U31" s="1104"/>
      <c r="V31" s="1104"/>
      <c r="W31" s="1104"/>
      <c r="X31" s="1211"/>
      <c r="Y31" s="1211"/>
      <c r="Z31" s="1104"/>
      <c r="AA31" s="1104"/>
      <c r="AB31" s="1104"/>
      <c r="AC31" s="1104"/>
      <c r="AD31" s="1104"/>
      <c r="AE31" s="1211"/>
      <c r="AF31" s="1211"/>
      <c r="AG31" s="1104"/>
      <c r="AH31" s="1104"/>
      <c r="AI31" s="1353"/>
      <c r="AJ31" s="86"/>
      <c r="AK31" s="984">
        <f t="shared" si="0"/>
        <v>0</v>
      </c>
      <c r="AL31" s="690"/>
      <c r="AM31" s="989">
        <f t="shared" si="1"/>
        <v>0</v>
      </c>
      <c r="AN31" s="31"/>
      <c r="AO31" s="622"/>
      <c r="AP31" s="23"/>
      <c r="AQ31" s="23"/>
      <c r="AR31" s="23"/>
      <c r="AS31" s="23"/>
      <c r="AT31" s="23"/>
      <c r="AU31" s="23"/>
      <c r="AV31" s="23"/>
    </row>
    <row r="32" spans="1:48" ht="20.25" customHeight="1">
      <c r="A32" s="103"/>
      <c r="B32" s="105"/>
      <c r="C32" s="387" t="s">
        <v>104</v>
      </c>
      <c r="D32" s="88" t="s">
        <v>111</v>
      </c>
      <c r="E32" s="1108">
        <f>IF(E31="O/H",E30,0+E30)</f>
        <v>0</v>
      </c>
      <c r="F32" s="1089">
        <f t="shared" ref="F32:AI32" si="17">IF(F31="O/H",F30,+E32+F30)</f>
        <v>0</v>
      </c>
      <c r="G32" s="44">
        <f t="shared" si="17"/>
        <v>0</v>
      </c>
      <c r="H32" s="1089">
        <f t="shared" si="17"/>
        <v>0</v>
      </c>
      <c r="I32" s="1089">
        <f t="shared" si="17"/>
        <v>0</v>
      </c>
      <c r="J32" s="44">
        <f t="shared" si="17"/>
        <v>0</v>
      </c>
      <c r="K32" s="44">
        <f t="shared" si="17"/>
        <v>0</v>
      </c>
      <c r="L32" s="1089">
        <f t="shared" si="17"/>
        <v>0</v>
      </c>
      <c r="M32" s="1089">
        <f t="shared" si="17"/>
        <v>0</v>
      </c>
      <c r="N32" s="1089">
        <f t="shared" si="17"/>
        <v>0</v>
      </c>
      <c r="O32" s="1089">
        <f t="shared" si="17"/>
        <v>0</v>
      </c>
      <c r="P32" s="1089">
        <f t="shared" si="17"/>
        <v>0</v>
      </c>
      <c r="Q32" s="44">
        <f t="shared" si="17"/>
        <v>0</v>
      </c>
      <c r="R32" s="44">
        <f t="shared" si="17"/>
        <v>0</v>
      </c>
      <c r="S32" s="1089">
        <f t="shared" si="17"/>
        <v>1118</v>
      </c>
      <c r="T32" s="1089">
        <f t="shared" si="17"/>
        <v>5038</v>
      </c>
      <c r="U32" s="1089">
        <f t="shared" si="17"/>
        <v>5038</v>
      </c>
      <c r="V32" s="1089">
        <f t="shared" si="17"/>
        <v>5038</v>
      </c>
      <c r="W32" s="1089">
        <f t="shared" si="17"/>
        <v>5038</v>
      </c>
      <c r="X32" s="44">
        <f t="shared" si="17"/>
        <v>5038</v>
      </c>
      <c r="Y32" s="44">
        <f t="shared" si="17"/>
        <v>5038</v>
      </c>
      <c r="Z32" s="1089">
        <f t="shared" si="17"/>
        <v>5038</v>
      </c>
      <c r="AA32" s="1089">
        <f t="shared" si="17"/>
        <v>5038</v>
      </c>
      <c r="AB32" s="1089">
        <f t="shared" si="17"/>
        <v>5038</v>
      </c>
      <c r="AC32" s="1089">
        <f t="shared" si="17"/>
        <v>5038</v>
      </c>
      <c r="AD32" s="1089">
        <f t="shared" si="17"/>
        <v>5038</v>
      </c>
      <c r="AE32" s="44">
        <f t="shared" si="17"/>
        <v>5038</v>
      </c>
      <c r="AF32" s="44">
        <f t="shared" si="17"/>
        <v>5038</v>
      </c>
      <c r="AG32" s="1089">
        <f t="shared" si="17"/>
        <v>5038</v>
      </c>
      <c r="AH32" s="1089">
        <f t="shared" si="17"/>
        <v>5038</v>
      </c>
      <c r="AI32" s="1326">
        <f t="shared" si="17"/>
        <v>5038</v>
      </c>
      <c r="AJ32" s="79"/>
      <c r="AK32" s="984">
        <f t="shared" si="0"/>
        <v>0</v>
      </c>
      <c r="AL32" s="689"/>
      <c r="AM32" s="989">
        <f t="shared" si="1"/>
        <v>0</v>
      </c>
      <c r="AN32" s="31"/>
      <c r="AO32" s="622"/>
      <c r="AP32" s="23"/>
      <c r="AQ32" s="23"/>
      <c r="AR32" s="23"/>
      <c r="AS32" s="23"/>
      <c r="AT32" s="23"/>
      <c r="AU32" s="23"/>
      <c r="AV32" s="23"/>
    </row>
    <row r="33" spans="1:48" s="23" customFormat="1" ht="20.45" customHeight="1">
      <c r="A33" s="312"/>
      <c r="B33" s="312"/>
      <c r="C33" s="379">
        <v>300000</v>
      </c>
      <c r="D33" s="795" t="s">
        <v>112</v>
      </c>
      <c r="E33" s="1117">
        <f>IF(AND(ISNUMBER(E24)),2036047+E30)</f>
        <v>2036047</v>
      </c>
      <c r="F33" s="1118">
        <f>IF(AND(ISNUMBER(F24)),E33+F30,"")</f>
        <v>2036047</v>
      </c>
      <c r="G33" s="1216">
        <f t="shared" ref="G33:AI33" si="18">IF(AND(ISNUMBER(G24)),F33+G30,"")</f>
        <v>2036047</v>
      </c>
      <c r="H33" s="1118">
        <f t="shared" si="18"/>
        <v>2036047</v>
      </c>
      <c r="I33" s="1118">
        <f t="shared" si="18"/>
        <v>2036047</v>
      </c>
      <c r="J33" s="1216">
        <f t="shared" si="18"/>
        <v>2036047</v>
      </c>
      <c r="K33" s="1216">
        <f t="shared" si="18"/>
        <v>2036047</v>
      </c>
      <c r="L33" s="1118">
        <f t="shared" si="18"/>
        <v>2036047</v>
      </c>
      <c r="M33" s="1118">
        <f t="shared" si="18"/>
        <v>2036047</v>
      </c>
      <c r="N33" s="1118">
        <f t="shared" si="18"/>
        <v>2036047</v>
      </c>
      <c r="O33" s="1118">
        <f t="shared" si="18"/>
        <v>2036047</v>
      </c>
      <c r="P33" s="1118">
        <f t="shared" si="18"/>
        <v>2036047</v>
      </c>
      <c r="Q33" s="1216">
        <f t="shared" si="18"/>
        <v>2036047</v>
      </c>
      <c r="R33" s="1216">
        <f t="shared" si="18"/>
        <v>2036047</v>
      </c>
      <c r="S33" s="1118">
        <f t="shared" si="18"/>
        <v>2037165</v>
      </c>
      <c r="T33" s="1118">
        <f t="shared" si="18"/>
        <v>2041085</v>
      </c>
      <c r="U33" s="1118">
        <f t="shared" si="18"/>
        <v>2041085</v>
      </c>
      <c r="V33" s="1118">
        <f t="shared" si="18"/>
        <v>2041085</v>
      </c>
      <c r="W33" s="1118">
        <f t="shared" si="18"/>
        <v>2041085</v>
      </c>
      <c r="X33" s="1216">
        <f t="shared" si="18"/>
        <v>2041085</v>
      </c>
      <c r="Y33" s="1216">
        <f t="shared" si="18"/>
        <v>2041085</v>
      </c>
      <c r="Z33" s="1118">
        <f t="shared" si="18"/>
        <v>2041085</v>
      </c>
      <c r="AA33" s="1118">
        <f t="shared" si="18"/>
        <v>2041085</v>
      </c>
      <c r="AB33" s="1118" t="str">
        <f t="shared" si="18"/>
        <v/>
      </c>
      <c r="AC33" s="1118" t="str">
        <f t="shared" si="18"/>
        <v/>
      </c>
      <c r="AD33" s="1118" t="str">
        <f t="shared" si="18"/>
        <v/>
      </c>
      <c r="AE33" s="1216" t="str">
        <f t="shared" si="18"/>
        <v/>
      </c>
      <c r="AF33" s="1216" t="str">
        <f t="shared" si="18"/>
        <v/>
      </c>
      <c r="AG33" s="1118" t="str">
        <f t="shared" si="18"/>
        <v/>
      </c>
      <c r="AH33" s="1118" t="str">
        <f t="shared" si="18"/>
        <v/>
      </c>
      <c r="AI33" s="1089" t="str">
        <f t="shared" si="18"/>
        <v/>
      </c>
      <c r="AJ33" s="793"/>
      <c r="AK33" s="985">
        <f t="shared" si="0"/>
        <v>0</v>
      </c>
      <c r="AL33" s="909"/>
      <c r="AM33" s="987">
        <f t="shared" si="1"/>
        <v>0</v>
      </c>
      <c r="AN33" s="429"/>
      <c r="AO33" s="675"/>
      <c r="AP33" s="285"/>
      <c r="AQ33" s="285"/>
      <c r="AR33" s="285"/>
      <c r="AS33" s="285"/>
      <c r="AT33" s="286"/>
      <c r="AU33" s="285"/>
      <c r="AV33" s="287"/>
    </row>
    <row r="34" spans="1:48" ht="20.25" customHeight="1">
      <c r="A34" s="103"/>
      <c r="B34" s="89"/>
      <c r="C34" s="89" t="s">
        <v>108</v>
      </c>
      <c r="D34" s="90" t="s">
        <v>104</v>
      </c>
      <c r="E34" s="1108"/>
      <c r="F34" s="1089"/>
      <c r="G34" s="1253"/>
      <c r="H34" s="1089"/>
      <c r="I34" s="1089"/>
      <c r="J34" s="44"/>
      <c r="K34" s="44"/>
      <c r="L34" s="1089"/>
      <c r="M34" s="1089"/>
      <c r="N34" s="1089"/>
      <c r="O34" s="1089"/>
      <c r="P34" s="1089"/>
      <c r="Q34" s="44"/>
      <c r="R34" s="44"/>
      <c r="S34" s="1089"/>
      <c r="T34" s="1089"/>
      <c r="U34" s="1089"/>
      <c r="V34" s="1089"/>
      <c r="W34" s="1089"/>
      <c r="X34" s="44"/>
      <c r="Y34" s="44"/>
      <c r="Z34" s="1089"/>
      <c r="AA34" s="1089"/>
      <c r="AB34" s="1089"/>
      <c r="AC34" s="1089"/>
      <c r="AD34" s="1089"/>
      <c r="AE34" s="44"/>
      <c r="AF34" s="44"/>
      <c r="AG34" s="1089"/>
      <c r="AH34" s="1089"/>
      <c r="AI34" s="1326"/>
      <c r="AJ34" s="79"/>
      <c r="AK34" s="983">
        <f t="shared" si="0"/>
        <v>0</v>
      </c>
      <c r="AL34" s="63"/>
      <c r="AM34" s="989">
        <f t="shared" si="1"/>
        <v>0</v>
      </c>
      <c r="AN34" s="64"/>
      <c r="AO34" s="624"/>
      <c r="AP34" s="23"/>
      <c r="AQ34" s="23"/>
      <c r="AR34" s="23"/>
      <c r="AS34" s="23"/>
      <c r="AT34" s="23"/>
      <c r="AU34" s="23"/>
      <c r="AV34" s="23"/>
    </row>
    <row r="35" spans="1:48" ht="20.65" customHeight="1" thickBot="1">
      <c r="A35" s="106"/>
      <c r="B35" s="93"/>
      <c r="C35" s="407">
        <f>+C33*0.8</f>
        <v>240000</v>
      </c>
      <c r="D35" s="88" t="s">
        <v>111</v>
      </c>
      <c r="E35" s="1109">
        <f>IF(E34="O/H",E30,0+E30)</f>
        <v>0</v>
      </c>
      <c r="F35" s="1110">
        <f t="shared" ref="F35:AI35" si="19">IF(F34="O/H",F30,+E35+F30)</f>
        <v>0</v>
      </c>
      <c r="G35" s="1212">
        <f t="shared" si="19"/>
        <v>0</v>
      </c>
      <c r="H35" s="1110">
        <f t="shared" si="19"/>
        <v>0</v>
      </c>
      <c r="I35" s="1110">
        <f t="shared" si="19"/>
        <v>0</v>
      </c>
      <c r="J35" s="1212">
        <f t="shared" si="19"/>
        <v>0</v>
      </c>
      <c r="K35" s="1212">
        <f t="shared" si="19"/>
        <v>0</v>
      </c>
      <c r="L35" s="1110">
        <f t="shared" si="19"/>
        <v>0</v>
      </c>
      <c r="M35" s="1110">
        <f t="shared" si="19"/>
        <v>0</v>
      </c>
      <c r="N35" s="1110">
        <f t="shared" si="19"/>
        <v>0</v>
      </c>
      <c r="O35" s="1110">
        <f t="shared" si="19"/>
        <v>0</v>
      </c>
      <c r="P35" s="1110">
        <f t="shared" si="19"/>
        <v>0</v>
      </c>
      <c r="Q35" s="1212">
        <f t="shared" si="19"/>
        <v>0</v>
      </c>
      <c r="R35" s="1212">
        <f t="shared" si="19"/>
        <v>0</v>
      </c>
      <c r="S35" s="1110">
        <f t="shared" si="19"/>
        <v>1118</v>
      </c>
      <c r="T35" s="1110">
        <f t="shared" si="19"/>
        <v>5038</v>
      </c>
      <c r="U35" s="1110">
        <f t="shared" si="19"/>
        <v>5038</v>
      </c>
      <c r="V35" s="1110">
        <f t="shared" si="19"/>
        <v>5038</v>
      </c>
      <c r="W35" s="1110">
        <f t="shared" si="19"/>
        <v>5038</v>
      </c>
      <c r="X35" s="1212">
        <f t="shared" si="19"/>
        <v>5038</v>
      </c>
      <c r="Y35" s="1212">
        <f t="shared" si="19"/>
        <v>5038</v>
      </c>
      <c r="Z35" s="1110">
        <f t="shared" si="19"/>
        <v>5038</v>
      </c>
      <c r="AA35" s="1110">
        <f t="shared" si="19"/>
        <v>5038</v>
      </c>
      <c r="AB35" s="1110">
        <f t="shared" si="19"/>
        <v>5038</v>
      </c>
      <c r="AC35" s="1110">
        <f t="shared" si="19"/>
        <v>5038</v>
      </c>
      <c r="AD35" s="1110">
        <f t="shared" si="19"/>
        <v>5038</v>
      </c>
      <c r="AE35" s="1212">
        <f t="shared" si="19"/>
        <v>5038</v>
      </c>
      <c r="AF35" s="1212">
        <f t="shared" si="19"/>
        <v>5038</v>
      </c>
      <c r="AG35" s="1110">
        <f t="shared" si="19"/>
        <v>5038</v>
      </c>
      <c r="AH35" s="1110">
        <f t="shared" si="19"/>
        <v>5038</v>
      </c>
      <c r="AI35" s="1340">
        <f t="shared" si="19"/>
        <v>5038</v>
      </c>
      <c r="AJ35" s="96"/>
      <c r="AK35" s="986">
        <f t="shared" si="0"/>
        <v>0</v>
      </c>
      <c r="AL35" s="97"/>
      <c r="AM35" s="1057">
        <f t="shared" si="1"/>
        <v>0</v>
      </c>
      <c r="AN35" s="98"/>
      <c r="AO35" s="625"/>
      <c r="AP35" s="23"/>
      <c r="AQ35" s="23"/>
      <c r="AR35" s="23"/>
      <c r="AS35" s="23"/>
      <c r="AT35" s="23"/>
      <c r="AU35" s="23"/>
      <c r="AV35" s="23"/>
    </row>
    <row r="36" spans="1:48" ht="19.899999999999999" hidden="1" customHeight="1" thickTop="1">
      <c r="A36" s="906" t="s">
        <v>605</v>
      </c>
      <c r="B36" s="496" t="s">
        <v>627</v>
      </c>
      <c r="C36" s="497" t="str">
        <f>Table7[[#This Row],[M/C No.]]</f>
        <v>H12(50ton)</v>
      </c>
      <c r="D36" s="28" t="s">
        <v>82</v>
      </c>
      <c r="E36" s="1095"/>
      <c r="F36" s="1095"/>
      <c r="G36" s="1194"/>
      <c r="H36" s="1095"/>
      <c r="I36" s="1095"/>
      <c r="J36" s="1194"/>
      <c r="K36" s="1194"/>
      <c r="L36" s="1095"/>
      <c r="M36" s="1095"/>
      <c r="N36" s="1095"/>
      <c r="O36" s="1095"/>
      <c r="P36" s="1095"/>
      <c r="Q36" s="1194"/>
      <c r="R36" s="1194"/>
      <c r="S36" s="1095"/>
      <c r="T36" s="1095"/>
      <c r="U36" s="1095"/>
      <c r="V36" s="1095"/>
      <c r="W36" s="1095"/>
      <c r="X36" s="1194"/>
      <c r="Y36" s="1194"/>
      <c r="Z36" s="1095"/>
      <c r="AA36" s="1095"/>
      <c r="AB36" s="1095"/>
      <c r="AC36" s="1095"/>
      <c r="AD36" s="1095"/>
      <c r="AE36" s="1194"/>
      <c r="AF36" s="1194"/>
      <c r="AG36" s="1095"/>
      <c r="AH36" s="1095"/>
      <c r="AI36" s="1095"/>
      <c r="AJ36" s="29">
        <f>SUM(E36:AI36)</f>
        <v>0</v>
      </c>
      <c r="AK36" s="1020">
        <f t="shared" si="0"/>
        <v>0</v>
      </c>
      <c r="AL36" s="30">
        <f>+AJ36*AN36</f>
        <v>0</v>
      </c>
      <c r="AM36" s="1019">
        <f t="shared" si="1"/>
        <v>0</v>
      </c>
      <c r="AN36" s="31">
        <v>3.84606</v>
      </c>
      <c r="AO36" s="622"/>
      <c r="AP36" s="32" t="s">
        <v>418</v>
      </c>
      <c r="AQ36" s="33" t="s">
        <v>84</v>
      </c>
      <c r="AR36" s="33" t="s">
        <v>85</v>
      </c>
      <c r="AS36" s="33" t="s">
        <v>86</v>
      </c>
      <c r="AT36" s="33" t="s">
        <v>87</v>
      </c>
      <c r="AU36" s="33" t="s">
        <v>88</v>
      </c>
      <c r="AV36" s="34" t="s">
        <v>68</v>
      </c>
    </row>
    <row r="37" spans="1:48" ht="19.899999999999999" hidden="1" customHeight="1">
      <c r="A37" s="25"/>
      <c r="B37" s="35" t="s">
        <v>495</v>
      </c>
      <c r="C37" s="42"/>
      <c r="D37" s="37" t="s">
        <v>90</v>
      </c>
      <c r="E37" s="1373">
        <f>IF(E36="",0,+ E36/E43)</f>
        <v>0</v>
      </c>
      <c r="F37" s="1096">
        <f t="shared" ref="F37:AI37" si="20">IF(F36="",0, E37+F36/F43)</f>
        <v>0</v>
      </c>
      <c r="G37" s="1207">
        <f t="shared" si="20"/>
        <v>0</v>
      </c>
      <c r="H37" s="1096">
        <f t="shared" si="20"/>
        <v>0</v>
      </c>
      <c r="I37" s="1096">
        <f t="shared" si="20"/>
        <v>0</v>
      </c>
      <c r="J37" s="1207">
        <f t="shared" si="20"/>
        <v>0</v>
      </c>
      <c r="K37" s="1207">
        <f t="shared" si="20"/>
        <v>0</v>
      </c>
      <c r="L37" s="1096">
        <f t="shared" si="20"/>
        <v>0</v>
      </c>
      <c r="M37" s="1096">
        <f t="shared" si="20"/>
        <v>0</v>
      </c>
      <c r="N37" s="1096">
        <f t="shared" si="20"/>
        <v>0</v>
      </c>
      <c r="O37" s="1096">
        <f t="shared" si="20"/>
        <v>0</v>
      </c>
      <c r="P37" s="1096">
        <f t="shared" si="20"/>
        <v>0</v>
      </c>
      <c r="Q37" s="1207">
        <f t="shared" si="20"/>
        <v>0</v>
      </c>
      <c r="R37" s="1207">
        <f t="shared" si="20"/>
        <v>0</v>
      </c>
      <c r="S37" s="1096">
        <f t="shared" si="20"/>
        <v>0</v>
      </c>
      <c r="T37" s="1096">
        <f t="shared" si="20"/>
        <v>0</v>
      </c>
      <c r="U37" s="1096">
        <f t="shared" si="20"/>
        <v>0</v>
      </c>
      <c r="V37" s="1096">
        <f t="shared" si="20"/>
        <v>0</v>
      </c>
      <c r="W37" s="1096">
        <f t="shared" si="20"/>
        <v>0</v>
      </c>
      <c r="X37" s="1207">
        <f t="shared" si="20"/>
        <v>0</v>
      </c>
      <c r="Y37" s="1207">
        <f t="shared" si="20"/>
        <v>0</v>
      </c>
      <c r="Z37" s="1096">
        <f t="shared" si="20"/>
        <v>0</v>
      </c>
      <c r="AA37" s="1096">
        <f t="shared" si="20"/>
        <v>0</v>
      </c>
      <c r="AB37" s="1096">
        <f t="shared" si="20"/>
        <v>0</v>
      </c>
      <c r="AC37" s="1096">
        <f t="shared" si="20"/>
        <v>0</v>
      </c>
      <c r="AD37" s="1096">
        <f t="shared" si="20"/>
        <v>0</v>
      </c>
      <c r="AE37" s="1207">
        <f t="shared" si="20"/>
        <v>0</v>
      </c>
      <c r="AF37" s="1207">
        <f t="shared" si="20"/>
        <v>0</v>
      </c>
      <c r="AG37" s="1096">
        <f t="shared" si="20"/>
        <v>0</v>
      </c>
      <c r="AH37" s="1096">
        <f t="shared" si="20"/>
        <v>0</v>
      </c>
      <c r="AI37" s="1324">
        <f t="shared" si="20"/>
        <v>0</v>
      </c>
      <c r="AJ37" s="38"/>
      <c r="AK37" s="1053">
        <f t="shared" si="0"/>
        <v>0</v>
      </c>
      <c r="AL37" s="30"/>
      <c r="AM37" s="989">
        <f t="shared" si="1"/>
        <v>0</v>
      </c>
      <c r="AN37" s="31"/>
      <c r="AO37" s="622"/>
      <c r="AP37" s="39" t="s">
        <v>91</v>
      </c>
      <c r="AQ37" s="40">
        <f>SUM(E36:I36)</f>
        <v>0</v>
      </c>
      <c r="AR37" s="41">
        <f>SUM(J36:P36)</f>
        <v>0</v>
      </c>
      <c r="AS37" s="41">
        <f>SUM(Q36:W36)</f>
        <v>0</v>
      </c>
      <c r="AT37" s="41">
        <f>SUM(X36:AD36)</f>
        <v>0</v>
      </c>
      <c r="AU37" s="41">
        <f>SUM(AE36:AI36)</f>
        <v>0</v>
      </c>
      <c r="AV37" s="34">
        <f t="shared" ref="AV37:AV42" si="21">SUM(AQ37:AU37)</f>
        <v>0</v>
      </c>
    </row>
    <row r="38" spans="1:48" ht="19.899999999999999" hidden="1" customHeight="1">
      <c r="A38" s="25"/>
      <c r="B38" s="26" t="s">
        <v>496</v>
      </c>
      <c r="C38" s="431" t="s">
        <v>95</v>
      </c>
      <c r="D38" s="43" t="s">
        <v>93</v>
      </c>
      <c r="E38" s="1325"/>
      <c r="F38" s="1089"/>
      <c r="G38" s="44"/>
      <c r="H38" s="1089"/>
      <c r="I38" s="1089"/>
      <c r="J38" s="44"/>
      <c r="K38" s="44"/>
      <c r="L38" s="1089"/>
      <c r="M38" s="1089"/>
      <c r="N38" s="1089"/>
      <c r="O38" s="1089"/>
      <c r="P38" s="1089"/>
      <c r="Q38" s="44"/>
      <c r="R38" s="44"/>
      <c r="S38" s="1089"/>
      <c r="T38" s="1089"/>
      <c r="U38" s="1089"/>
      <c r="V38" s="1089"/>
      <c r="W38" s="1089"/>
      <c r="X38" s="44"/>
      <c r="Y38" s="44"/>
      <c r="Z38" s="1089"/>
      <c r="AA38" s="1089"/>
      <c r="AB38" s="1089"/>
      <c r="AC38" s="1089"/>
      <c r="AD38" s="1089"/>
      <c r="AE38" s="44"/>
      <c r="AF38" s="44"/>
      <c r="AG38" s="1089"/>
      <c r="AH38" s="1089"/>
      <c r="AI38" s="1326"/>
      <c r="AJ38" s="45">
        <f>SUM(E38:AI38)</f>
        <v>0</v>
      </c>
      <c r="AK38" s="983">
        <f t="shared" si="0"/>
        <v>0</v>
      </c>
      <c r="AL38" s="46">
        <f>+AJ38*AN36</f>
        <v>0</v>
      </c>
      <c r="AM38" s="988">
        <f t="shared" si="1"/>
        <v>0</v>
      </c>
      <c r="AN38" s="31"/>
      <c r="AO38" s="622"/>
      <c r="AP38" s="47" t="s">
        <v>94</v>
      </c>
      <c r="AQ38" s="48">
        <f>SUM(E38:I38)</f>
        <v>0</v>
      </c>
      <c r="AR38" s="49">
        <f>SUM(J38:P38)</f>
        <v>0</v>
      </c>
      <c r="AS38" s="49">
        <f>SUM(Q38:W38)</f>
        <v>0</v>
      </c>
      <c r="AT38" s="49">
        <f>SUM(X38:AD38)</f>
        <v>0</v>
      </c>
      <c r="AU38" s="49">
        <f>SUM(AE38:AI38)</f>
        <v>0</v>
      </c>
      <c r="AV38" s="50">
        <f t="shared" si="21"/>
        <v>0</v>
      </c>
    </row>
    <row r="39" spans="1:48" ht="19.899999999999999" hidden="1" customHeight="1">
      <c r="A39" s="25"/>
      <c r="B39" s="51"/>
      <c r="C39" s="379">
        <v>100000</v>
      </c>
      <c r="D39" s="53" t="s">
        <v>96</v>
      </c>
      <c r="E39" s="1327">
        <f t="shared" ref="E39" si="22">+E38-E36</f>
        <v>0</v>
      </c>
      <c r="F39" s="1097">
        <f t="shared" ref="F39:AJ39" si="23">+F38-F36</f>
        <v>0</v>
      </c>
      <c r="G39" s="1205">
        <f t="shared" si="23"/>
        <v>0</v>
      </c>
      <c r="H39" s="1097">
        <f t="shared" si="23"/>
        <v>0</v>
      </c>
      <c r="I39" s="1097">
        <f t="shared" si="23"/>
        <v>0</v>
      </c>
      <c r="J39" s="1205">
        <f t="shared" si="23"/>
        <v>0</v>
      </c>
      <c r="K39" s="1205">
        <f t="shared" si="23"/>
        <v>0</v>
      </c>
      <c r="L39" s="1097">
        <f t="shared" si="23"/>
        <v>0</v>
      </c>
      <c r="M39" s="1097">
        <f t="shared" si="23"/>
        <v>0</v>
      </c>
      <c r="N39" s="1097">
        <f t="shared" si="23"/>
        <v>0</v>
      </c>
      <c r="O39" s="1097">
        <f t="shared" si="23"/>
        <v>0</v>
      </c>
      <c r="P39" s="1097">
        <f t="shared" si="23"/>
        <v>0</v>
      </c>
      <c r="Q39" s="1205">
        <f t="shared" si="23"/>
        <v>0</v>
      </c>
      <c r="R39" s="1205">
        <f t="shared" si="23"/>
        <v>0</v>
      </c>
      <c r="S39" s="1097">
        <f t="shared" si="23"/>
        <v>0</v>
      </c>
      <c r="T39" s="1097">
        <f t="shared" si="23"/>
        <v>0</v>
      </c>
      <c r="U39" s="1097">
        <f>+U38-U36</f>
        <v>0</v>
      </c>
      <c r="V39" s="1097">
        <f t="shared" si="23"/>
        <v>0</v>
      </c>
      <c r="W39" s="1097">
        <f t="shared" si="23"/>
        <v>0</v>
      </c>
      <c r="X39" s="1205">
        <f t="shared" si="23"/>
        <v>0</v>
      </c>
      <c r="Y39" s="1205">
        <f t="shared" si="23"/>
        <v>0</v>
      </c>
      <c r="Z39" s="1097">
        <f t="shared" si="23"/>
        <v>0</v>
      </c>
      <c r="AA39" s="1097">
        <f t="shared" si="23"/>
        <v>0</v>
      </c>
      <c r="AB39" s="1097">
        <f t="shared" si="23"/>
        <v>0</v>
      </c>
      <c r="AC39" s="1097">
        <f t="shared" si="23"/>
        <v>0</v>
      </c>
      <c r="AD39" s="1097">
        <f t="shared" si="23"/>
        <v>0</v>
      </c>
      <c r="AE39" s="1205">
        <f t="shared" si="23"/>
        <v>0</v>
      </c>
      <c r="AF39" s="1205">
        <f t="shared" si="23"/>
        <v>0</v>
      </c>
      <c r="AG39" s="1097">
        <f t="shared" si="23"/>
        <v>0</v>
      </c>
      <c r="AH39" s="1097">
        <f t="shared" si="23"/>
        <v>0</v>
      </c>
      <c r="AI39" s="1328">
        <f t="shared" si="23"/>
        <v>0</v>
      </c>
      <c r="AJ39" s="54">
        <f t="shared" si="23"/>
        <v>0</v>
      </c>
      <c r="AK39" s="1053">
        <f t="shared" ref="AK39:AK55" si="24">AJ41</f>
        <v>0</v>
      </c>
      <c r="AL39" s="55">
        <f>+AJ39*AN36</f>
        <v>0</v>
      </c>
      <c r="AM39" s="988">
        <f t="shared" ref="AM39:AM55" si="25">AL41</f>
        <v>0</v>
      </c>
      <c r="AN39" s="31" t="s">
        <v>97</v>
      </c>
      <c r="AO39" s="622"/>
      <c r="AP39" s="39" t="s">
        <v>98</v>
      </c>
      <c r="AQ39" s="56">
        <f>AQ38-AQ37</f>
        <v>0</v>
      </c>
      <c r="AR39" s="70">
        <f>AR38-AR37</f>
        <v>0</v>
      </c>
      <c r="AS39" s="70">
        <f>AS38-AS37</f>
        <v>0</v>
      </c>
      <c r="AT39" s="70">
        <f>AT38-AT37</f>
        <v>0</v>
      </c>
      <c r="AU39" s="70">
        <f>AU38-AU37</f>
        <v>0</v>
      </c>
      <c r="AV39" s="57">
        <f t="shared" si="21"/>
        <v>0</v>
      </c>
    </row>
    <row r="40" spans="1:48" ht="19.899999999999999" hidden="1" customHeight="1">
      <c r="A40" s="58"/>
      <c r="B40" s="59"/>
      <c r="C40" s="494"/>
      <c r="D40" s="61" t="s">
        <v>101</v>
      </c>
      <c r="E40" s="1329"/>
      <c r="F40" s="1099"/>
      <c r="G40" s="1208"/>
      <c r="H40" s="1099"/>
      <c r="I40" s="1099"/>
      <c r="J40" s="1208"/>
      <c r="K40" s="1208"/>
      <c r="L40" s="1099"/>
      <c r="M40" s="1099"/>
      <c r="N40" s="1099"/>
      <c r="O40" s="1099"/>
      <c r="P40" s="1099"/>
      <c r="Q40" s="1208"/>
      <c r="R40" s="1208"/>
      <c r="S40" s="1099"/>
      <c r="T40" s="1099"/>
      <c r="U40" s="1099"/>
      <c r="V40" s="1099"/>
      <c r="W40" s="1099"/>
      <c r="X40" s="1208"/>
      <c r="Y40" s="1208"/>
      <c r="Z40" s="1099"/>
      <c r="AA40" s="1099"/>
      <c r="AB40" s="1099"/>
      <c r="AC40" s="1099"/>
      <c r="AD40" s="1099"/>
      <c r="AE40" s="1208"/>
      <c r="AF40" s="1208"/>
      <c r="AG40" s="1099"/>
      <c r="AH40" s="1099"/>
      <c r="AI40" s="1330"/>
      <c r="AJ40" s="62">
        <f>SUM(E40:AI40)</f>
        <v>0</v>
      </c>
      <c r="AK40" s="983">
        <f t="shared" si="24"/>
        <v>0</v>
      </c>
      <c r="AL40" s="63">
        <f>+AJ40*AN36</f>
        <v>0</v>
      </c>
      <c r="AM40" s="989">
        <f t="shared" si="25"/>
        <v>0</v>
      </c>
      <c r="AN40" s="64" t="e">
        <f>+AJ40/AJ38*100</f>
        <v>#DIV/0!</v>
      </c>
      <c r="AO40" s="624"/>
      <c r="AP40" s="39" t="s">
        <v>102</v>
      </c>
      <c r="AQ40" s="56">
        <f>SUM(E40:I40)</f>
        <v>0</v>
      </c>
      <c r="AR40" s="70">
        <f>SUM(J40:P40)</f>
        <v>0</v>
      </c>
      <c r="AS40" s="70">
        <f>SUM(Q40:W40)</f>
        <v>0</v>
      </c>
      <c r="AT40" s="70">
        <f>SUM(X40:AD40)</f>
        <v>0</v>
      </c>
      <c r="AU40" s="70">
        <f>SUM(AE40:AH40)</f>
        <v>0</v>
      </c>
      <c r="AV40" s="57">
        <f t="shared" si="21"/>
        <v>0</v>
      </c>
    </row>
    <row r="41" spans="1:48" ht="19.899999999999999" hidden="1" customHeight="1">
      <c r="A41" s="58"/>
      <c r="B41" s="65"/>
      <c r="C41" s="89" t="s">
        <v>108</v>
      </c>
      <c r="D41" s="67" t="s">
        <v>103</v>
      </c>
      <c r="E41" s="1331"/>
      <c r="F41" s="1101"/>
      <c r="G41" s="1209"/>
      <c r="H41" s="1101"/>
      <c r="I41" s="1101"/>
      <c r="J41" s="1209"/>
      <c r="K41" s="1209"/>
      <c r="L41" s="1101"/>
      <c r="M41" s="1101"/>
      <c r="N41" s="1101"/>
      <c r="O41" s="1101"/>
      <c r="P41" s="1101"/>
      <c r="Q41" s="1209"/>
      <c r="R41" s="1209"/>
      <c r="S41" s="1101"/>
      <c r="T41" s="1101"/>
      <c r="U41" s="1101"/>
      <c r="V41" s="1101"/>
      <c r="W41" s="1101"/>
      <c r="X41" s="1209"/>
      <c r="Y41" s="1209"/>
      <c r="Z41" s="1101"/>
      <c r="AA41" s="1101"/>
      <c r="AB41" s="1101"/>
      <c r="AC41" s="1101"/>
      <c r="AD41" s="1101"/>
      <c r="AE41" s="1209"/>
      <c r="AF41" s="1209"/>
      <c r="AG41" s="1101"/>
      <c r="AH41" s="1101"/>
      <c r="AI41" s="1332"/>
      <c r="AJ41" s="68">
        <f>SUM(E41:AI41)</f>
        <v>0</v>
      </c>
      <c r="AK41" s="983">
        <f t="shared" si="24"/>
        <v>0</v>
      </c>
      <c r="AL41" s="69">
        <f>+AJ41*AN36</f>
        <v>0</v>
      </c>
      <c r="AM41" s="989">
        <f t="shared" si="25"/>
        <v>0</v>
      </c>
      <c r="AN41" s="31"/>
      <c r="AO41" s="622"/>
      <c r="AP41" s="39" t="s">
        <v>19</v>
      </c>
      <c r="AQ41" s="56">
        <f>AQ40*AN36</f>
        <v>0</v>
      </c>
      <c r="AR41" s="56">
        <f>AR40*AN36</f>
        <v>0</v>
      </c>
      <c r="AS41" s="56">
        <f>AS40*AN36</f>
        <v>0</v>
      </c>
      <c r="AT41" s="56">
        <f>AT40*AN36</f>
        <v>0</v>
      </c>
      <c r="AU41" s="56">
        <f>AU40*AN36</f>
        <v>0</v>
      </c>
      <c r="AV41" s="57">
        <f t="shared" si="21"/>
        <v>0</v>
      </c>
    </row>
    <row r="42" spans="1:48" ht="19.899999999999999" hidden="1" customHeight="1">
      <c r="A42" s="58" t="s">
        <v>605</v>
      </c>
      <c r="B42" s="65"/>
      <c r="C42" s="383">
        <f>+C39*0.8</f>
        <v>80000</v>
      </c>
      <c r="D42" s="73" t="s">
        <v>105</v>
      </c>
      <c r="E42" s="1333"/>
      <c r="F42" s="1103"/>
      <c r="G42" s="1210"/>
      <c r="H42" s="1103"/>
      <c r="I42" s="1103"/>
      <c r="J42" s="1210"/>
      <c r="K42" s="1210"/>
      <c r="L42" s="1103"/>
      <c r="M42" s="1103"/>
      <c r="N42" s="1103"/>
      <c r="O42" s="1103"/>
      <c r="P42" s="1103"/>
      <c r="Q42" s="1210"/>
      <c r="R42" s="1210"/>
      <c r="S42" s="1103"/>
      <c r="T42" s="1103"/>
      <c r="U42" s="1103"/>
      <c r="V42" s="1103"/>
      <c r="W42" s="1103"/>
      <c r="X42" s="1210"/>
      <c r="Y42" s="1210"/>
      <c r="Z42" s="1103"/>
      <c r="AA42" s="1103"/>
      <c r="AB42" s="1103"/>
      <c r="AC42" s="1103"/>
      <c r="AD42" s="1103"/>
      <c r="AE42" s="1210"/>
      <c r="AF42" s="1210"/>
      <c r="AG42" s="1103"/>
      <c r="AH42" s="1103"/>
      <c r="AI42" s="1352"/>
      <c r="AJ42" s="74">
        <f>SUM(E42:AI42)</f>
        <v>0</v>
      </c>
      <c r="AK42" s="983">
        <f t="shared" si="24"/>
        <v>0</v>
      </c>
      <c r="AL42" s="75">
        <f>+AJ42*AN36</f>
        <v>0</v>
      </c>
      <c r="AM42" s="989">
        <f t="shared" si="25"/>
        <v>0</v>
      </c>
      <c r="AN42" s="76"/>
      <c r="AO42" s="636"/>
      <c r="AP42" s="47" t="s">
        <v>106</v>
      </c>
      <c r="AQ42" s="48">
        <f>AQ38*AN36</f>
        <v>0</v>
      </c>
      <c r="AR42" s="48">
        <f>AR38*AN36</f>
        <v>0</v>
      </c>
      <c r="AS42" s="48">
        <f>AS38*AN36</f>
        <v>0</v>
      </c>
      <c r="AT42" s="48">
        <f>AT38*AN36</f>
        <v>0</v>
      </c>
      <c r="AU42" s="48">
        <f>AU38*AN36</f>
        <v>0</v>
      </c>
      <c r="AV42" s="50">
        <f t="shared" si="21"/>
        <v>0</v>
      </c>
    </row>
    <row r="43" spans="1:48" ht="19.899999999999999" hidden="1" customHeight="1">
      <c r="A43" s="25"/>
      <c r="B43" s="65"/>
      <c r="C43" s="300"/>
      <c r="D43" s="78" t="s">
        <v>107</v>
      </c>
      <c r="E43" s="1327">
        <v>4</v>
      </c>
      <c r="F43" s="1097">
        <v>4</v>
      </c>
      <c r="G43" s="1205">
        <v>4</v>
      </c>
      <c r="H43" s="1097">
        <v>4</v>
      </c>
      <c r="I43" s="1097">
        <v>4</v>
      </c>
      <c r="J43" s="1205">
        <v>4</v>
      </c>
      <c r="K43" s="1205">
        <v>4</v>
      </c>
      <c r="L43" s="1097">
        <v>4</v>
      </c>
      <c r="M43" s="1097">
        <v>4</v>
      </c>
      <c r="N43" s="1097">
        <v>4</v>
      </c>
      <c r="O43" s="1097">
        <v>4</v>
      </c>
      <c r="P43" s="1097">
        <v>4</v>
      </c>
      <c r="Q43" s="1205">
        <v>4</v>
      </c>
      <c r="R43" s="1205">
        <v>4</v>
      </c>
      <c r="S43" s="1097">
        <v>4</v>
      </c>
      <c r="T43" s="1097">
        <v>4</v>
      </c>
      <c r="U43" s="1097">
        <v>4</v>
      </c>
      <c r="V43" s="1097">
        <v>4</v>
      </c>
      <c r="W43" s="1097">
        <v>4</v>
      </c>
      <c r="X43" s="1205">
        <v>4</v>
      </c>
      <c r="Y43" s="1205">
        <v>4</v>
      </c>
      <c r="Z43" s="1097">
        <v>4</v>
      </c>
      <c r="AA43" s="1097">
        <v>4</v>
      </c>
      <c r="AB43" s="1097">
        <v>4</v>
      </c>
      <c r="AC43" s="1097">
        <v>4</v>
      </c>
      <c r="AD43" s="1097">
        <v>4</v>
      </c>
      <c r="AE43" s="1205">
        <v>4</v>
      </c>
      <c r="AF43" s="1205">
        <v>4</v>
      </c>
      <c r="AG43" s="1097">
        <v>4</v>
      </c>
      <c r="AH43" s="1097">
        <v>4</v>
      </c>
      <c r="AI43" s="1328">
        <v>4</v>
      </c>
      <c r="AJ43" s="79"/>
      <c r="AK43" s="983">
        <f t="shared" si="24"/>
        <v>0</v>
      </c>
      <c r="AL43" s="55"/>
      <c r="AM43" s="988">
        <f t="shared" si="25"/>
        <v>0</v>
      </c>
      <c r="AN43" s="31"/>
      <c r="AO43" s="622"/>
      <c r="AP43" s="23"/>
      <c r="AQ43" s="23"/>
      <c r="AR43" s="23"/>
      <c r="AS43" s="23"/>
      <c r="AT43" s="23"/>
      <c r="AU43" s="23"/>
      <c r="AV43" s="23"/>
    </row>
    <row r="44" spans="1:48" ht="19.899999999999999" hidden="1" customHeight="1">
      <c r="A44" s="25"/>
      <c r="B44" s="65"/>
      <c r="C44" s="495"/>
      <c r="D44" s="81" t="s">
        <v>109</v>
      </c>
      <c r="E44" s="1374">
        <f>SUM(E38+E40+E41+E42)/E43</f>
        <v>0</v>
      </c>
      <c r="F44" s="1104">
        <f>SUM(F38+F40+F41+F42)/F43</f>
        <v>0</v>
      </c>
      <c r="G44" s="1211">
        <f>SUM(G38+G40+G41+G42)/G43</f>
        <v>0</v>
      </c>
      <c r="H44" s="1104">
        <f>SUM(H38+H40+H41+H42)/H43</f>
        <v>0</v>
      </c>
      <c r="I44" s="1104">
        <f>SUM(I38+I40+I41+I42)/I43</f>
        <v>0</v>
      </c>
      <c r="J44" s="1211">
        <f t="shared" ref="J44:AH44" si="26">SUM(J38+J40+J41+J42)/J43</f>
        <v>0</v>
      </c>
      <c r="K44" s="1211">
        <f t="shared" si="26"/>
        <v>0</v>
      </c>
      <c r="L44" s="1104">
        <f t="shared" si="26"/>
        <v>0</v>
      </c>
      <c r="M44" s="1104">
        <f t="shared" si="26"/>
        <v>0</v>
      </c>
      <c r="N44" s="1104">
        <f t="shared" si="26"/>
        <v>0</v>
      </c>
      <c r="O44" s="1104">
        <f t="shared" si="26"/>
        <v>0</v>
      </c>
      <c r="P44" s="1104">
        <f t="shared" si="26"/>
        <v>0</v>
      </c>
      <c r="Q44" s="1211">
        <f t="shared" si="26"/>
        <v>0</v>
      </c>
      <c r="R44" s="1211">
        <f t="shared" si="26"/>
        <v>0</v>
      </c>
      <c r="S44" s="1104">
        <f t="shared" si="26"/>
        <v>0</v>
      </c>
      <c r="T44" s="1104">
        <f t="shared" si="26"/>
        <v>0</v>
      </c>
      <c r="U44" s="1104">
        <f t="shared" si="26"/>
        <v>0</v>
      </c>
      <c r="V44" s="1104">
        <f t="shared" si="26"/>
        <v>0</v>
      </c>
      <c r="W44" s="1104">
        <f t="shared" si="26"/>
        <v>0</v>
      </c>
      <c r="X44" s="1211">
        <f t="shared" si="26"/>
        <v>0</v>
      </c>
      <c r="Y44" s="1211">
        <f t="shared" si="26"/>
        <v>0</v>
      </c>
      <c r="Z44" s="1104">
        <f t="shared" si="26"/>
        <v>0</v>
      </c>
      <c r="AA44" s="1104">
        <f t="shared" si="26"/>
        <v>0</v>
      </c>
      <c r="AB44" s="1104">
        <f t="shared" si="26"/>
        <v>0</v>
      </c>
      <c r="AC44" s="1104">
        <f t="shared" si="26"/>
        <v>0</v>
      </c>
      <c r="AD44" s="1104">
        <f t="shared" si="26"/>
        <v>0</v>
      </c>
      <c r="AE44" s="1211">
        <f t="shared" si="26"/>
        <v>0</v>
      </c>
      <c r="AF44" s="1211">
        <f t="shared" si="26"/>
        <v>0</v>
      </c>
      <c r="AG44" s="1104">
        <f t="shared" si="26"/>
        <v>0</v>
      </c>
      <c r="AH44" s="1104">
        <f t="shared" si="26"/>
        <v>0</v>
      </c>
      <c r="AI44" s="1335">
        <f>SUM(AI38+AI40+AI41)/AI43</f>
        <v>0</v>
      </c>
      <c r="AJ44" s="104">
        <f>SUM(E44:AI44)</f>
        <v>0</v>
      </c>
      <c r="AK44" s="993">
        <f t="shared" si="24"/>
        <v>0</v>
      </c>
      <c r="AL44" s="83"/>
      <c r="AM44" s="989">
        <f t="shared" si="25"/>
        <v>0</v>
      </c>
      <c r="AN44" s="31"/>
      <c r="AO44" s="622"/>
      <c r="AP44" s="23"/>
      <c r="AQ44" s="23"/>
      <c r="AR44" s="23"/>
      <c r="AS44" s="23"/>
      <c r="AT44" s="23"/>
      <c r="AU44" s="23"/>
      <c r="AV44" s="23"/>
    </row>
    <row r="45" spans="1:48" ht="19.899999999999999" hidden="1" customHeight="1">
      <c r="A45" s="25"/>
      <c r="B45" s="59"/>
      <c r="C45" s="387"/>
      <c r="D45" s="85" t="s">
        <v>110</v>
      </c>
      <c r="E45" s="1336"/>
      <c r="F45" s="1106"/>
      <c r="G45" s="1211"/>
      <c r="H45" s="1104"/>
      <c r="I45" s="1104"/>
      <c r="J45" s="1228"/>
      <c r="K45" s="1211"/>
      <c r="L45" s="1107"/>
      <c r="M45" s="1104"/>
      <c r="N45" s="1104"/>
      <c r="O45" s="1104"/>
      <c r="P45" s="1104"/>
      <c r="Q45" s="1211"/>
      <c r="R45" s="1211"/>
      <c r="S45" s="1104"/>
      <c r="T45" s="1104"/>
      <c r="U45" s="1104"/>
      <c r="V45" s="1107"/>
      <c r="W45" s="1104"/>
      <c r="X45" s="1211"/>
      <c r="Y45" s="1211"/>
      <c r="Z45" s="1104"/>
      <c r="AA45" s="1104"/>
      <c r="AB45" s="1104"/>
      <c r="AC45" s="1104"/>
      <c r="AD45" s="1104"/>
      <c r="AE45" s="1211"/>
      <c r="AF45" s="1211"/>
      <c r="AG45" s="1104"/>
      <c r="AH45" s="1104"/>
      <c r="AI45" s="1337"/>
      <c r="AJ45" s="86"/>
      <c r="AK45" s="984">
        <f t="shared" si="24"/>
        <v>0</v>
      </c>
      <c r="AL45" s="690"/>
      <c r="AM45" s="989">
        <f t="shared" si="25"/>
        <v>0</v>
      </c>
      <c r="AN45" s="31"/>
      <c r="AO45" s="622"/>
      <c r="AP45" s="23"/>
      <c r="AQ45" s="23"/>
      <c r="AR45" s="23"/>
      <c r="AS45" s="23"/>
      <c r="AT45" s="23"/>
      <c r="AU45" s="23"/>
      <c r="AV45" s="23"/>
    </row>
    <row r="46" spans="1:48" ht="19.899999999999999" hidden="1" customHeight="1">
      <c r="A46" s="25"/>
      <c r="B46" s="87" t="s">
        <v>497</v>
      </c>
      <c r="C46" s="387" t="s">
        <v>104</v>
      </c>
      <c r="D46" s="88" t="s">
        <v>111</v>
      </c>
      <c r="E46" s="1108">
        <f>IF(E45="O/H",E44,+E44)</f>
        <v>0</v>
      </c>
      <c r="F46" s="1089">
        <f t="shared" ref="F46:AI46" si="27">IF(F45="O/H",F44,+E46+F44)</f>
        <v>0</v>
      </c>
      <c r="G46" s="44">
        <f t="shared" si="27"/>
        <v>0</v>
      </c>
      <c r="H46" s="1089">
        <f t="shared" si="27"/>
        <v>0</v>
      </c>
      <c r="I46" s="1089">
        <f t="shared" si="27"/>
        <v>0</v>
      </c>
      <c r="J46" s="44">
        <f t="shared" si="27"/>
        <v>0</v>
      </c>
      <c r="K46" s="44">
        <f t="shared" si="27"/>
        <v>0</v>
      </c>
      <c r="L46" s="1089">
        <f t="shared" si="27"/>
        <v>0</v>
      </c>
      <c r="M46" s="1089">
        <f t="shared" si="27"/>
        <v>0</v>
      </c>
      <c r="N46" s="1089">
        <f t="shared" si="27"/>
        <v>0</v>
      </c>
      <c r="O46" s="1089">
        <f t="shared" si="27"/>
        <v>0</v>
      </c>
      <c r="P46" s="1089">
        <f t="shared" si="27"/>
        <v>0</v>
      </c>
      <c r="Q46" s="44">
        <f t="shared" si="27"/>
        <v>0</v>
      </c>
      <c r="R46" s="44">
        <f t="shared" si="27"/>
        <v>0</v>
      </c>
      <c r="S46" s="1089">
        <f t="shared" si="27"/>
        <v>0</v>
      </c>
      <c r="T46" s="1089">
        <f t="shared" si="27"/>
        <v>0</v>
      </c>
      <c r="U46" s="1089">
        <f t="shared" si="27"/>
        <v>0</v>
      </c>
      <c r="V46" s="1089">
        <f t="shared" si="27"/>
        <v>0</v>
      </c>
      <c r="W46" s="1089">
        <f t="shared" si="27"/>
        <v>0</v>
      </c>
      <c r="X46" s="44">
        <f t="shared" si="27"/>
        <v>0</v>
      </c>
      <c r="Y46" s="44">
        <f t="shared" si="27"/>
        <v>0</v>
      </c>
      <c r="Z46" s="1089">
        <f t="shared" si="27"/>
        <v>0</v>
      </c>
      <c r="AA46" s="1089">
        <f t="shared" si="27"/>
        <v>0</v>
      </c>
      <c r="AB46" s="1089">
        <f t="shared" si="27"/>
        <v>0</v>
      </c>
      <c r="AC46" s="1089">
        <f t="shared" si="27"/>
        <v>0</v>
      </c>
      <c r="AD46" s="1089">
        <f t="shared" si="27"/>
        <v>0</v>
      </c>
      <c r="AE46" s="44">
        <f t="shared" si="27"/>
        <v>0</v>
      </c>
      <c r="AF46" s="44">
        <f t="shared" si="27"/>
        <v>0</v>
      </c>
      <c r="AG46" s="1089">
        <f t="shared" si="27"/>
        <v>0</v>
      </c>
      <c r="AH46" s="1089">
        <f t="shared" si="27"/>
        <v>0</v>
      </c>
      <c r="AI46" s="1326">
        <f t="shared" si="27"/>
        <v>0</v>
      </c>
      <c r="AJ46" s="79"/>
      <c r="AK46" s="984">
        <f t="shared" si="24"/>
        <v>0</v>
      </c>
      <c r="AL46" s="689"/>
      <c r="AM46" s="989">
        <f t="shared" si="25"/>
        <v>0</v>
      </c>
      <c r="AN46" s="31"/>
      <c r="AO46" s="622"/>
      <c r="AP46" s="23"/>
      <c r="AQ46" s="23"/>
      <c r="AR46" s="23"/>
      <c r="AS46" s="23"/>
      <c r="AT46" s="23"/>
      <c r="AU46" s="23"/>
      <c r="AV46" s="23"/>
    </row>
    <row r="47" spans="1:48" s="23" customFormat="1" ht="20.45" hidden="1" customHeight="1">
      <c r="A47" s="312"/>
      <c r="B47" s="312"/>
      <c r="C47" s="379">
        <v>300000</v>
      </c>
      <c r="D47" s="795" t="s">
        <v>112</v>
      </c>
      <c r="E47" s="1117" t="b">
        <f>IF(AND(ISNUMBER(E38)),1028000+E44)</f>
        <v>0</v>
      </c>
      <c r="F47" s="1118" t="str">
        <f>IF(AND(ISNUMBER(F38)),E47+F44,"")</f>
        <v/>
      </c>
      <c r="G47" s="1216" t="str">
        <f t="shared" ref="G47:AI47" si="28">IF(AND(ISNUMBER(G38)),F47+G44,"")</f>
        <v/>
      </c>
      <c r="H47" s="1118" t="str">
        <f t="shared" si="28"/>
        <v/>
      </c>
      <c r="I47" s="1118" t="str">
        <f t="shared" si="28"/>
        <v/>
      </c>
      <c r="J47" s="1216" t="str">
        <f t="shared" si="28"/>
        <v/>
      </c>
      <c r="K47" s="1216" t="str">
        <f t="shared" si="28"/>
        <v/>
      </c>
      <c r="L47" s="1118" t="str">
        <f t="shared" si="28"/>
        <v/>
      </c>
      <c r="M47" s="1118" t="str">
        <f t="shared" si="28"/>
        <v/>
      </c>
      <c r="N47" s="1118" t="str">
        <f t="shared" si="28"/>
        <v/>
      </c>
      <c r="O47" s="1118" t="str">
        <f t="shared" si="28"/>
        <v/>
      </c>
      <c r="P47" s="1118" t="str">
        <f t="shared" si="28"/>
        <v/>
      </c>
      <c r="Q47" s="1216" t="str">
        <f t="shared" si="28"/>
        <v/>
      </c>
      <c r="R47" s="1216" t="str">
        <f t="shared" si="28"/>
        <v/>
      </c>
      <c r="S47" s="1118" t="str">
        <f t="shared" si="28"/>
        <v/>
      </c>
      <c r="T47" s="1118" t="str">
        <f t="shared" si="28"/>
        <v/>
      </c>
      <c r="U47" s="1118" t="str">
        <f t="shared" si="28"/>
        <v/>
      </c>
      <c r="V47" s="1118" t="str">
        <f t="shared" si="28"/>
        <v/>
      </c>
      <c r="W47" s="1118" t="str">
        <f t="shared" si="28"/>
        <v/>
      </c>
      <c r="X47" s="1216" t="str">
        <f t="shared" si="28"/>
        <v/>
      </c>
      <c r="Y47" s="1216" t="str">
        <f t="shared" si="28"/>
        <v/>
      </c>
      <c r="Z47" s="1118" t="str">
        <f t="shared" si="28"/>
        <v/>
      </c>
      <c r="AA47" s="1118" t="str">
        <f t="shared" si="28"/>
        <v/>
      </c>
      <c r="AB47" s="1118" t="str">
        <f t="shared" si="28"/>
        <v/>
      </c>
      <c r="AC47" s="1118" t="str">
        <f t="shared" si="28"/>
        <v/>
      </c>
      <c r="AD47" s="1118" t="str">
        <f t="shared" si="28"/>
        <v/>
      </c>
      <c r="AE47" s="1216" t="str">
        <f t="shared" si="28"/>
        <v/>
      </c>
      <c r="AF47" s="1216" t="str">
        <f t="shared" si="28"/>
        <v/>
      </c>
      <c r="AG47" s="1118" t="str">
        <f t="shared" si="28"/>
        <v/>
      </c>
      <c r="AH47" s="1118" t="str">
        <f t="shared" si="28"/>
        <v/>
      </c>
      <c r="AI47" s="1118" t="str">
        <f t="shared" si="28"/>
        <v/>
      </c>
      <c r="AJ47" s="793"/>
      <c r="AK47" s="985">
        <f t="shared" si="24"/>
        <v>0</v>
      </c>
      <c r="AL47" s="909"/>
      <c r="AM47" s="987">
        <f t="shared" si="25"/>
        <v>0</v>
      </c>
      <c r="AN47" s="429"/>
      <c r="AO47" s="675"/>
      <c r="AP47" s="285"/>
      <c r="AQ47" s="285"/>
      <c r="AR47" s="285"/>
      <c r="AS47" s="285"/>
      <c r="AT47" s="286"/>
      <c r="AU47" s="285"/>
      <c r="AV47" s="287"/>
    </row>
    <row r="48" spans="1:48" ht="19.899999999999999" hidden="1" customHeight="1">
      <c r="A48" s="25"/>
      <c r="B48" s="89"/>
      <c r="C48" s="89" t="s">
        <v>108</v>
      </c>
      <c r="D48" s="90" t="s">
        <v>104</v>
      </c>
      <c r="E48" s="1338"/>
      <c r="F48" s="1089"/>
      <c r="G48" s="44"/>
      <c r="H48" s="1089"/>
      <c r="I48" s="1089"/>
      <c r="J48" s="44"/>
      <c r="K48" s="44"/>
      <c r="L48" s="1106"/>
      <c r="M48" s="1089"/>
      <c r="N48" s="1089"/>
      <c r="O48" s="1089"/>
      <c r="P48" s="1089"/>
      <c r="Q48" s="44"/>
      <c r="R48" s="44"/>
      <c r="S48" s="1089"/>
      <c r="T48" s="1089"/>
      <c r="U48" s="1089"/>
      <c r="V48" s="1089"/>
      <c r="W48" s="1089"/>
      <c r="X48" s="44"/>
      <c r="Y48" s="44"/>
      <c r="Z48" s="1089"/>
      <c r="AA48" s="1089"/>
      <c r="AB48" s="1089"/>
      <c r="AC48" s="1089"/>
      <c r="AD48" s="1089"/>
      <c r="AE48" s="44"/>
      <c r="AF48" s="44"/>
      <c r="AG48" s="1089"/>
      <c r="AH48" s="1089"/>
      <c r="AI48" s="1326"/>
      <c r="AJ48" s="79"/>
      <c r="AK48" s="983">
        <f t="shared" si="24"/>
        <v>19000</v>
      </c>
      <c r="AL48" s="63"/>
      <c r="AM48" s="989">
        <f t="shared" si="25"/>
        <v>73075.14</v>
      </c>
      <c r="AN48" s="64"/>
      <c r="AO48" s="624"/>
      <c r="AP48" s="23"/>
      <c r="AQ48" s="23"/>
      <c r="AR48" s="23"/>
      <c r="AS48" s="23"/>
      <c r="AT48" s="23"/>
      <c r="AU48" s="23"/>
      <c r="AV48" s="23"/>
    </row>
    <row r="49" spans="1:48" ht="24" hidden="1" customHeight="1" thickBot="1">
      <c r="A49" s="92"/>
      <c r="B49" s="93"/>
      <c r="C49" s="407">
        <f>+C47*0.8</f>
        <v>240000</v>
      </c>
      <c r="D49" s="88" t="s">
        <v>111</v>
      </c>
      <c r="E49" s="1109">
        <f>IF(E48="O/H",E44,0+E44)</f>
        <v>0</v>
      </c>
      <c r="F49" s="1110">
        <f t="shared" ref="F49:AI49" si="29">IF(F48="O/H",F44,+E49+F44)</f>
        <v>0</v>
      </c>
      <c r="G49" s="1212">
        <f t="shared" si="29"/>
        <v>0</v>
      </c>
      <c r="H49" s="1110">
        <f t="shared" si="29"/>
        <v>0</v>
      </c>
      <c r="I49" s="1110">
        <f t="shared" si="29"/>
        <v>0</v>
      </c>
      <c r="J49" s="1212">
        <f t="shared" si="29"/>
        <v>0</v>
      </c>
      <c r="K49" s="1212">
        <f t="shared" si="29"/>
        <v>0</v>
      </c>
      <c r="L49" s="1110">
        <f t="shared" si="29"/>
        <v>0</v>
      </c>
      <c r="M49" s="1110">
        <f t="shared" si="29"/>
        <v>0</v>
      </c>
      <c r="N49" s="1110">
        <f t="shared" si="29"/>
        <v>0</v>
      </c>
      <c r="O49" s="1110">
        <f t="shared" si="29"/>
        <v>0</v>
      </c>
      <c r="P49" s="1110">
        <f t="shared" si="29"/>
        <v>0</v>
      </c>
      <c r="Q49" s="1212">
        <f t="shared" si="29"/>
        <v>0</v>
      </c>
      <c r="R49" s="1212">
        <f t="shared" si="29"/>
        <v>0</v>
      </c>
      <c r="S49" s="1110">
        <f t="shared" si="29"/>
        <v>0</v>
      </c>
      <c r="T49" s="1110">
        <f t="shared" si="29"/>
        <v>0</v>
      </c>
      <c r="U49" s="1110">
        <f t="shared" si="29"/>
        <v>0</v>
      </c>
      <c r="V49" s="1110">
        <f t="shared" si="29"/>
        <v>0</v>
      </c>
      <c r="W49" s="1110">
        <f t="shared" si="29"/>
        <v>0</v>
      </c>
      <c r="X49" s="1212">
        <f t="shared" si="29"/>
        <v>0</v>
      </c>
      <c r="Y49" s="1212">
        <f t="shared" si="29"/>
        <v>0</v>
      </c>
      <c r="Z49" s="1110">
        <f t="shared" si="29"/>
        <v>0</v>
      </c>
      <c r="AA49" s="1110">
        <f t="shared" si="29"/>
        <v>0</v>
      </c>
      <c r="AB49" s="1110">
        <f t="shared" si="29"/>
        <v>0</v>
      </c>
      <c r="AC49" s="1110">
        <f t="shared" si="29"/>
        <v>0</v>
      </c>
      <c r="AD49" s="1110">
        <f t="shared" si="29"/>
        <v>0</v>
      </c>
      <c r="AE49" s="1212">
        <f t="shared" si="29"/>
        <v>0</v>
      </c>
      <c r="AF49" s="1212">
        <f t="shared" si="29"/>
        <v>0</v>
      </c>
      <c r="AG49" s="1110">
        <f t="shared" si="29"/>
        <v>0</v>
      </c>
      <c r="AH49" s="1110">
        <f t="shared" si="29"/>
        <v>0</v>
      </c>
      <c r="AI49" s="1340">
        <f t="shared" si="29"/>
        <v>0</v>
      </c>
      <c r="AJ49" s="96"/>
      <c r="AK49" s="986">
        <f t="shared" si="24"/>
        <v>19040</v>
      </c>
      <c r="AL49" s="97"/>
      <c r="AM49" s="1057">
        <f t="shared" si="25"/>
        <v>73228.982399999994</v>
      </c>
      <c r="AN49" s="98"/>
      <c r="AO49" s="622"/>
      <c r="AP49" s="23"/>
      <c r="AQ49" s="23"/>
      <c r="AR49" s="23"/>
      <c r="AS49" s="23"/>
      <c r="AT49" s="23"/>
      <c r="AU49" s="23"/>
      <c r="AV49" s="23"/>
    </row>
    <row r="50" spans="1:48" s="23" customFormat="1" ht="24" customHeight="1" thickTop="1">
      <c r="A50" s="112"/>
      <c r="B50" s="113"/>
      <c r="C50" s="114"/>
      <c r="D50" s="452" t="s">
        <v>91</v>
      </c>
      <c r="E50" s="1385">
        <f>E36+E8+E22</f>
        <v>0</v>
      </c>
      <c r="F50" s="116">
        <f t="shared" ref="F50:AG50" si="30">F36+F8+F22</f>
        <v>0</v>
      </c>
      <c r="G50" s="1217">
        <f t="shared" si="30"/>
        <v>0</v>
      </c>
      <c r="H50" s="116">
        <f t="shared" si="30"/>
        <v>0</v>
      </c>
      <c r="I50" s="116">
        <f t="shared" si="30"/>
        <v>0</v>
      </c>
      <c r="J50" s="1217">
        <f t="shared" si="30"/>
        <v>0</v>
      </c>
      <c r="K50" s="1217">
        <f t="shared" si="30"/>
        <v>0</v>
      </c>
      <c r="L50" s="116">
        <f t="shared" si="30"/>
        <v>0</v>
      </c>
      <c r="M50" s="116">
        <f t="shared" si="30"/>
        <v>0</v>
      </c>
      <c r="N50" s="116">
        <f t="shared" si="30"/>
        <v>0</v>
      </c>
      <c r="O50" s="116">
        <f t="shared" si="30"/>
        <v>0</v>
      </c>
      <c r="P50" s="116">
        <f t="shared" si="30"/>
        <v>0</v>
      </c>
      <c r="Q50" s="1217">
        <f t="shared" si="30"/>
        <v>0</v>
      </c>
      <c r="R50" s="1217">
        <f t="shared" si="30"/>
        <v>0</v>
      </c>
      <c r="S50" s="116">
        <f t="shared" si="30"/>
        <v>4000</v>
      </c>
      <c r="T50" s="116">
        <f t="shared" si="30"/>
        <v>15000</v>
      </c>
      <c r="U50" s="116">
        <f t="shared" si="30"/>
        <v>0</v>
      </c>
      <c r="V50" s="116">
        <f t="shared" si="30"/>
        <v>0</v>
      </c>
      <c r="W50" s="116">
        <f t="shared" si="30"/>
        <v>0</v>
      </c>
      <c r="X50" s="1217">
        <f t="shared" si="30"/>
        <v>0</v>
      </c>
      <c r="Y50" s="1217">
        <f t="shared" si="30"/>
        <v>0</v>
      </c>
      <c r="Z50" s="116">
        <f t="shared" si="30"/>
        <v>0</v>
      </c>
      <c r="AA50" s="116">
        <f t="shared" si="30"/>
        <v>0</v>
      </c>
      <c r="AB50" s="116">
        <f t="shared" si="30"/>
        <v>0</v>
      </c>
      <c r="AC50" s="116">
        <f t="shared" si="30"/>
        <v>0</v>
      </c>
      <c r="AD50" s="116">
        <f t="shared" si="30"/>
        <v>0</v>
      </c>
      <c r="AE50" s="1217">
        <f t="shared" si="30"/>
        <v>0</v>
      </c>
      <c r="AF50" s="1315">
        <f t="shared" si="30"/>
        <v>0</v>
      </c>
      <c r="AG50" s="116">
        <f t="shared" si="30"/>
        <v>0</v>
      </c>
      <c r="AH50" s="1386">
        <f>AH36+AH8</f>
        <v>0</v>
      </c>
      <c r="AI50" s="1386">
        <f>AI36+AI8</f>
        <v>0</v>
      </c>
      <c r="AJ50" s="498">
        <f>AJ8+AJ22+AJ36</f>
        <v>19000</v>
      </c>
      <c r="AK50" s="1086">
        <f>AJ51</f>
        <v>19040</v>
      </c>
      <c r="AL50" s="971">
        <f>AL36+AL8+AL22</f>
        <v>73075.14</v>
      </c>
      <c r="AM50" s="1087">
        <f>AL51</f>
        <v>73228.982399999994</v>
      </c>
      <c r="AN50" s="119"/>
      <c r="AO50" s="623"/>
    </row>
    <row r="51" spans="1:48" s="23" customFormat="1" ht="23.25" customHeight="1">
      <c r="A51" s="112"/>
      <c r="B51" s="113"/>
      <c r="C51" s="114"/>
      <c r="D51" s="459" t="s">
        <v>93</v>
      </c>
      <c r="E51" s="1387">
        <f>E24+E10+E38</f>
        <v>0</v>
      </c>
      <c r="F51" s="1129">
        <f t="shared" ref="F51:AI51" si="31">F24+F10+F38</f>
        <v>0</v>
      </c>
      <c r="G51" s="1259">
        <f t="shared" si="31"/>
        <v>0</v>
      </c>
      <c r="H51" s="1129">
        <f t="shared" si="31"/>
        <v>0</v>
      </c>
      <c r="I51" s="1129">
        <f t="shared" si="31"/>
        <v>0</v>
      </c>
      <c r="J51" s="1259">
        <f t="shared" si="31"/>
        <v>0</v>
      </c>
      <c r="K51" s="1259">
        <f t="shared" si="31"/>
        <v>0</v>
      </c>
      <c r="L51" s="1129">
        <f t="shared" si="31"/>
        <v>0</v>
      </c>
      <c r="M51" s="1129">
        <f t="shared" si="31"/>
        <v>0</v>
      </c>
      <c r="N51" s="1129">
        <f t="shared" si="31"/>
        <v>0</v>
      </c>
      <c r="O51" s="1129">
        <f t="shared" si="31"/>
        <v>0</v>
      </c>
      <c r="P51" s="1129">
        <f t="shared" si="31"/>
        <v>0</v>
      </c>
      <c r="Q51" s="1259">
        <f t="shared" si="31"/>
        <v>0</v>
      </c>
      <c r="R51" s="1259">
        <f t="shared" si="31"/>
        <v>0</v>
      </c>
      <c r="S51" s="1129">
        <f t="shared" si="31"/>
        <v>3584</v>
      </c>
      <c r="T51" s="1129">
        <f t="shared" si="31"/>
        <v>15456</v>
      </c>
      <c r="U51" s="1129">
        <f t="shared" si="31"/>
        <v>0</v>
      </c>
      <c r="V51" s="1129">
        <f t="shared" si="31"/>
        <v>0</v>
      </c>
      <c r="W51" s="1129">
        <f t="shared" si="31"/>
        <v>0</v>
      </c>
      <c r="X51" s="1259">
        <f t="shared" si="31"/>
        <v>0</v>
      </c>
      <c r="Y51" s="1259">
        <f t="shared" si="31"/>
        <v>0</v>
      </c>
      <c r="Z51" s="1129">
        <f t="shared" si="31"/>
        <v>0</v>
      </c>
      <c r="AA51" s="1129">
        <f t="shared" si="31"/>
        <v>0</v>
      </c>
      <c r="AB51" s="1129">
        <f t="shared" si="31"/>
        <v>0</v>
      </c>
      <c r="AC51" s="1129">
        <f t="shared" si="31"/>
        <v>0</v>
      </c>
      <c r="AD51" s="1129">
        <f t="shared" si="31"/>
        <v>0</v>
      </c>
      <c r="AE51" s="1259">
        <f t="shared" si="31"/>
        <v>0</v>
      </c>
      <c r="AF51" s="1316">
        <f t="shared" si="31"/>
        <v>0</v>
      </c>
      <c r="AG51" s="1129">
        <f t="shared" si="31"/>
        <v>0</v>
      </c>
      <c r="AH51" s="1388">
        <f t="shared" si="31"/>
        <v>0</v>
      </c>
      <c r="AI51" s="1389">
        <f t="shared" si="31"/>
        <v>0</v>
      </c>
      <c r="AJ51" s="499">
        <f>AJ24+AJ10+AJ38</f>
        <v>19040</v>
      </c>
      <c r="AK51" s="1055">
        <f t="shared" si="24"/>
        <v>180</v>
      </c>
      <c r="AL51" s="972">
        <f>AL24+AL10+AL38</f>
        <v>73228.982399999994</v>
      </c>
      <c r="AM51" s="1058">
        <f t="shared" si="25"/>
        <v>692.29079999999999</v>
      </c>
      <c r="AN51" s="124"/>
      <c r="AO51" s="627"/>
    </row>
    <row r="52" spans="1:48" s="23" customFormat="1" ht="23.25" customHeight="1">
      <c r="A52" s="112"/>
      <c r="B52" s="125" t="s">
        <v>68</v>
      </c>
      <c r="C52" s="114"/>
      <c r="D52" s="465" t="s">
        <v>238</v>
      </c>
      <c r="E52" s="1390">
        <f t="shared" ref="E52:H54" si="32">E26+E12+E40</f>
        <v>0</v>
      </c>
      <c r="F52" s="1131">
        <f t="shared" si="32"/>
        <v>0</v>
      </c>
      <c r="G52" s="1260">
        <f t="shared" si="32"/>
        <v>0</v>
      </c>
      <c r="H52" s="1131">
        <f t="shared" si="32"/>
        <v>0</v>
      </c>
      <c r="I52" s="1131">
        <f>I26+I12+I40</f>
        <v>0</v>
      </c>
      <c r="J52" s="1260">
        <f t="shared" ref="J52:AI52" si="33">J26+J12+J40</f>
        <v>0</v>
      </c>
      <c r="K52" s="1260">
        <f t="shared" si="33"/>
        <v>0</v>
      </c>
      <c r="L52" s="1131">
        <f t="shared" si="33"/>
        <v>0</v>
      </c>
      <c r="M52" s="1131">
        <f t="shared" si="33"/>
        <v>0</v>
      </c>
      <c r="N52" s="1131">
        <f t="shared" si="33"/>
        <v>0</v>
      </c>
      <c r="O52" s="1131">
        <f t="shared" si="33"/>
        <v>0</v>
      </c>
      <c r="P52" s="1131">
        <f t="shared" si="33"/>
        <v>0</v>
      </c>
      <c r="Q52" s="1260">
        <f t="shared" si="33"/>
        <v>0</v>
      </c>
      <c r="R52" s="1260">
        <f t="shared" si="33"/>
        <v>0</v>
      </c>
      <c r="S52" s="1131">
        <f t="shared" si="33"/>
        <v>828</v>
      </c>
      <c r="T52" s="1131">
        <f t="shared" si="33"/>
        <v>0</v>
      </c>
      <c r="U52" s="1131">
        <f t="shared" si="33"/>
        <v>0</v>
      </c>
      <c r="V52" s="1131">
        <f t="shared" si="33"/>
        <v>0</v>
      </c>
      <c r="W52" s="1131">
        <f t="shared" si="33"/>
        <v>0</v>
      </c>
      <c r="X52" s="1260">
        <f t="shared" si="33"/>
        <v>0</v>
      </c>
      <c r="Y52" s="1260">
        <f t="shared" si="33"/>
        <v>0</v>
      </c>
      <c r="Z52" s="1131">
        <f t="shared" si="33"/>
        <v>0</v>
      </c>
      <c r="AA52" s="1131">
        <f t="shared" si="33"/>
        <v>0</v>
      </c>
      <c r="AB52" s="1131">
        <f t="shared" si="33"/>
        <v>0</v>
      </c>
      <c r="AC52" s="1131">
        <f t="shared" si="33"/>
        <v>0</v>
      </c>
      <c r="AD52" s="1131">
        <f t="shared" si="33"/>
        <v>0</v>
      </c>
      <c r="AE52" s="1260">
        <f t="shared" si="33"/>
        <v>0</v>
      </c>
      <c r="AF52" s="1317">
        <f t="shared" si="33"/>
        <v>0</v>
      </c>
      <c r="AG52" s="1131">
        <f t="shared" si="33"/>
        <v>0</v>
      </c>
      <c r="AH52" s="1391">
        <f t="shared" si="33"/>
        <v>0</v>
      </c>
      <c r="AI52" s="1392">
        <f t="shared" si="33"/>
        <v>0</v>
      </c>
      <c r="AJ52" s="500">
        <f>AJ26+AJ12+AJ40</f>
        <v>828</v>
      </c>
      <c r="AK52" s="1055">
        <f t="shared" si="24"/>
        <v>104</v>
      </c>
      <c r="AL52" s="973">
        <f>AL26+AL40+AL12</f>
        <v>3184.5376799999999</v>
      </c>
      <c r="AM52" s="1058">
        <f t="shared" si="25"/>
        <v>399.99024000000003</v>
      </c>
      <c r="AN52" s="91"/>
      <c r="AO52" s="623"/>
    </row>
    <row r="53" spans="1:48" s="23" customFormat="1" ht="23.25" customHeight="1">
      <c r="A53" s="112"/>
      <c r="B53" s="113"/>
      <c r="C53" s="114"/>
      <c r="D53" s="470" t="s">
        <v>103</v>
      </c>
      <c r="E53" s="1393">
        <f t="shared" si="32"/>
        <v>0</v>
      </c>
      <c r="F53" s="1192">
        <f t="shared" si="32"/>
        <v>0</v>
      </c>
      <c r="G53" s="1285">
        <f t="shared" si="32"/>
        <v>0</v>
      </c>
      <c r="H53" s="1192">
        <f t="shared" si="32"/>
        <v>0</v>
      </c>
      <c r="I53" s="1192">
        <f>I27+I13+I41</f>
        <v>0</v>
      </c>
      <c r="J53" s="1285">
        <f t="shared" ref="J53:AI53" si="34">J27+J13+J41</f>
        <v>0</v>
      </c>
      <c r="K53" s="1285">
        <f t="shared" si="34"/>
        <v>0</v>
      </c>
      <c r="L53" s="1192">
        <f t="shared" si="34"/>
        <v>0</v>
      </c>
      <c r="M53" s="1192">
        <f t="shared" si="34"/>
        <v>0</v>
      </c>
      <c r="N53" s="1192">
        <f t="shared" si="34"/>
        <v>0</v>
      </c>
      <c r="O53" s="1192">
        <f t="shared" si="34"/>
        <v>0</v>
      </c>
      <c r="P53" s="1192">
        <f t="shared" si="34"/>
        <v>0</v>
      </c>
      <c r="Q53" s="1285">
        <f t="shared" si="34"/>
        <v>0</v>
      </c>
      <c r="R53" s="1285">
        <f t="shared" si="34"/>
        <v>0</v>
      </c>
      <c r="S53" s="1192">
        <f t="shared" si="34"/>
        <v>36</v>
      </c>
      <c r="T53" s="1192">
        <f t="shared" si="34"/>
        <v>144</v>
      </c>
      <c r="U53" s="1192">
        <f t="shared" si="34"/>
        <v>0</v>
      </c>
      <c r="V53" s="1192">
        <f t="shared" si="34"/>
        <v>0</v>
      </c>
      <c r="W53" s="1192">
        <f t="shared" si="34"/>
        <v>0</v>
      </c>
      <c r="X53" s="1285">
        <f t="shared" si="34"/>
        <v>0</v>
      </c>
      <c r="Y53" s="1285">
        <f t="shared" si="34"/>
        <v>0</v>
      </c>
      <c r="Z53" s="1192">
        <f t="shared" si="34"/>
        <v>0</v>
      </c>
      <c r="AA53" s="1192">
        <f t="shared" si="34"/>
        <v>0</v>
      </c>
      <c r="AB53" s="1192">
        <f t="shared" si="34"/>
        <v>0</v>
      </c>
      <c r="AC53" s="1192">
        <f t="shared" si="34"/>
        <v>0</v>
      </c>
      <c r="AD53" s="1192">
        <f t="shared" si="34"/>
        <v>0</v>
      </c>
      <c r="AE53" s="1285">
        <f t="shared" si="34"/>
        <v>0</v>
      </c>
      <c r="AF53" s="1311">
        <f t="shared" si="34"/>
        <v>0</v>
      </c>
      <c r="AG53" s="1192">
        <f t="shared" si="34"/>
        <v>0</v>
      </c>
      <c r="AH53" s="1394">
        <f t="shared" si="34"/>
        <v>0</v>
      </c>
      <c r="AI53" s="1193">
        <f t="shared" si="34"/>
        <v>0</v>
      </c>
      <c r="AJ53" s="501">
        <f>AJ27+AJ13+AJ41</f>
        <v>180</v>
      </c>
      <c r="AK53" s="1055">
        <f t="shared" si="24"/>
        <v>4.1675055365411717E-2</v>
      </c>
      <c r="AL53" s="974">
        <f>AL41+AL27+AL13</f>
        <v>692.29079999999999</v>
      </c>
      <c r="AM53" s="1058">
        <f t="shared" si="25"/>
        <v>4.1675055365411724E-2</v>
      </c>
      <c r="AN53" s="91"/>
      <c r="AO53" s="623"/>
    </row>
    <row r="54" spans="1:48" s="23" customFormat="1" ht="23.25" customHeight="1">
      <c r="A54" s="112"/>
      <c r="B54" s="113"/>
      <c r="C54" s="114"/>
      <c r="D54" s="476" t="s">
        <v>105</v>
      </c>
      <c r="E54" s="1395">
        <f t="shared" si="32"/>
        <v>0</v>
      </c>
      <c r="F54" s="1134">
        <f t="shared" si="32"/>
        <v>0</v>
      </c>
      <c r="G54" s="1262">
        <f t="shared" si="32"/>
        <v>0</v>
      </c>
      <c r="H54" s="1134">
        <f t="shared" si="32"/>
        <v>0</v>
      </c>
      <c r="I54" s="1134">
        <f>I28+I14+I42</f>
        <v>0</v>
      </c>
      <c r="J54" s="1262">
        <f t="shared" ref="J54:AI54" si="35">J28+J14+J42</f>
        <v>0</v>
      </c>
      <c r="K54" s="1262">
        <f t="shared" si="35"/>
        <v>0</v>
      </c>
      <c r="L54" s="1134">
        <f t="shared" si="35"/>
        <v>0</v>
      </c>
      <c r="M54" s="1134">
        <f t="shared" si="35"/>
        <v>0</v>
      </c>
      <c r="N54" s="1134">
        <f t="shared" si="35"/>
        <v>0</v>
      </c>
      <c r="O54" s="1134">
        <f t="shared" si="35"/>
        <v>0</v>
      </c>
      <c r="P54" s="1134">
        <f t="shared" si="35"/>
        <v>0</v>
      </c>
      <c r="Q54" s="1262">
        <f t="shared" si="35"/>
        <v>0</v>
      </c>
      <c r="R54" s="1262">
        <f t="shared" si="35"/>
        <v>0</v>
      </c>
      <c r="S54" s="1134">
        <f t="shared" si="35"/>
        <v>24</v>
      </c>
      <c r="T54" s="1134">
        <f t="shared" si="35"/>
        <v>80</v>
      </c>
      <c r="U54" s="1134">
        <f t="shared" si="35"/>
        <v>0</v>
      </c>
      <c r="V54" s="1134">
        <f t="shared" si="35"/>
        <v>0</v>
      </c>
      <c r="W54" s="1134">
        <f t="shared" si="35"/>
        <v>0</v>
      </c>
      <c r="X54" s="1262">
        <f t="shared" si="35"/>
        <v>0</v>
      </c>
      <c r="Y54" s="1262">
        <f t="shared" si="35"/>
        <v>0</v>
      </c>
      <c r="Z54" s="1134">
        <f t="shared" si="35"/>
        <v>0</v>
      </c>
      <c r="AA54" s="1134">
        <f t="shared" si="35"/>
        <v>0</v>
      </c>
      <c r="AB54" s="1134">
        <f t="shared" si="35"/>
        <v>0</v>
      </c>
      <c r="AC54" s="1134">
        <f t="shared" si="35"/>
        <v>0</v>
      </c>
      <c r="AD54" s="1134">
        <f t="shared" si="35"/>
        <v>0</v>
      </c>
      <c r="AE54" s="1262">
        <f t="shared" si="35"/>
        <v>0</v>
      </c>
      <c r="AF54" s="1312">
        <f t="shared" si="35"/>
        <v>0</v>
      </c>
      <c r="AG54" s="1134">
        <f t="shared" si="35"/>
        <v>0</v>
      </c>
      <c r="AH54" s="1396">
        <f t="shared" si="35"/>
        <v>0</v>
      </c>
      <c r="AI54" s="1135">
        <f t="shared" si="35"/>
        <v>0</v>
      </c>
      <c r="AJ54" s="502">
        <f>AJ28+AJ14+AJ42</f>
        <v>104</v>
      </c>
      <c r="AK54" s="1055">
        <f t="shared" si="24"/>
        <v>0</v>
      </c>
      <c r="AL54" s="975">
        <f>AL42+AL28+AL14</f>
        <v>399.99024000000003</v>
      </c>
      <c r="AM54" s="1058">
        <f t="shared" si="25"/>
        <v>0</v>
      </c>
      <c r="AN54" s="76"/>
      <c r="AO54" s="636"/>
    </row>
    <row r="55" spans="1:48" s="23" customFormat="1" ht="27.75" customHeight="1" thickBot="1">
      <c r="A55" s="138"/>
      <c r="B55" s="139"/>
      <c r="C55" s="140"/>
      <c r="D55" s="503" t="s">
        <v>492</v>
      </c>
      <c r="E55" s="1397" t="e">
        <f t="shared" ref="E55:AJ55" si="36">+E52/(E51+E52)</f>
        <v>#DIV/0!</v>
      </c>
      <c r="F55" s="142" t="e">
        <f t="shared" si="36"/>
        <v>#DIV/0!</v>
      </c>
      <c r="G55" s="1222" t="e">
        <f t="shared" si="36"/>
        <v>#DIV/0!</v>
      </c>
      <c r="H55" s="142" t="e">
        <f t="shared" si="36"/>
        <v>#DIV/0!</v>
      </c>
      <c r="I55" s="142" t="e">
        <f t="shared" si="36"/>
        <v>#DIV/0!</v>
      </c>
      <c r="J55" s="1222" t="e">
        <f t="shared" si="36"/>
        <v>#DIV/0!</v>
      </c>
      <c r="K55" s="1222" t="e">
        <f t="shared" si="36"/>
        <v>#DIV/0!</v>
      </c>
      <c r="L55" s="142" t="e">
        <f t="shared" si="36"/>
        <v>#DIV/0!</v>
      </c>
      <c r="M55" s="142" t="e">
        <f t="shared" si="36"/>
        <v>#DIV/0!</v>
      </c>
      <c r="N55" s="142" t="e">
        <f t="shared" si="36"/>
        <v>#DIV/0!</v>
      </c>
      <c r="O55" s="142" t="e">
        <f t="shared" si="36"/>
        <v>#DIV/0!</v>
      </c>
      <c r="P55" s="142" t="e">
        <f t="shared" si="36"/>
        <v>#DIV/0!</v>
      </c>
      <c r="Q55" s="1222" t="e">
        <f t="shared" si="36"/>
        <v>#DIV/0!</v>
      </c>
      <c r="R55" s="1222" t="e">
        <f t="shared" si="36"/>
        <v>#DIV/0!</v>
      </c>
      <c r="S55" s="142">
        <f t="shared" si="36"/>
        <v>0.18766999093381687</v>
      </c>
      <c r="T55" s="142">
        <f t="shared" si="36"/>
        <v>0</v>
      </c>
      <c r="U55" s="142" t="e">
        <f t="shared" si="36"/>
        <v>#DIV/0!</v>
      </c>
      <c r="V55" s="142" t="e">
        <f t="shared" si="36"/>
        <v>#DIV/0!</v>
      </c>
      <c r="W55" s="142" t="e">
        <f t="shared" si="36"/>
        <v>#DIV/0!</v>
      </c>
      <c r="X55" s="1222" t="e">
        <f t="shared" si="36"/>
        <v>#DIV/0!</v>
      </c>
      <c r="Y55" s="1222" t="e">
        <f t="shared" si="36"/>
        <v>#DIV/0!</v>
      </c>
      <c r="Z55" s="142" t="e">
        <f t="shared" si="36"/>
        <v>#DIV/0!</v>
      </c>
      <c r="AA55" s="142" t="e">
        <f t="shared" si="36"/>
        <v>#DIV/0!</v>
      </c>
      <c r="AB55" s="142" t="e">
        <f t="shared" si="36"/>
        <v>#DIV/0!</v>
      </c>
      <c r="AC55" s="142" t="e">
        <f t="shared" si="36"/>
        <v>#DIV/0!</v>
      </c>
      <c r="AD55" s="142" t="e">
        <f t="shared" si="36"/>
        <v>#DIV/0!</v>
      </c>
      <c r="AE55" s="1222" t="e">
        <f t="shared" si="36"/>
        <v>#DIV/0!</v>
      </c>
      <c r="AF55" s="1222" t="e">
        <f t="shared" si="36"/>
        <v>#DIV/0!</v>
      </c>
      <c r="AG55" s="142" t="e">
        <f t="shared" si="36"/>
        <v>#DIV/0!</v>
      </c>
      <c r="AH55" s="142" t="e">
        <f t="shared" si="36"/>
        <v>#DIV/0!</v>
      </c>
      <c r="AI55" s="1398" t="e">
        <f t="shared" si="36"/>
        <v>#DIV/0!</v>
      </c>
      <c r="AJ55" s="143">
        <f t="shared" si="36"/>
        <v>4.1675055365411717E-2</v>
      </c>
      <c r="AK55" s="1056">
        <f t="shared" si="24"/>
        <v>0</v>
      </c>
      <c r="AL55" s="144">
        <f>+AL52/(AL51+AL52)</f>
        <v>4.1675055365411724E-2</v>
      </c>
      <c r="AM55" s="1059">
        <f t="shared" si="25"/>
        <v>0</v>
      </c>
      <c r="AN55" s="145"/>
      <c r="AO55" s="628"/>
    </row>
    <row r="56" spans="1:48" ht="17.25" customHeight="1" thickTop="1">
      <c r="D56" s="4"/>
      <c r="F56" s="146"/>
      <c r="G56" s="146"/>
      <c r="H56" s="146"/>
      <c r="I56" s="146"/>
      <c r="J56" s="146"/>
      <c r="K56" s="146"/>
      <c r="L56" s="146"/>
      <c r="M56" s="146"/>
      <c r="N56" s="146"/>
      <c r="O56" s="146"/>
      <c r="P56" s="146"/>
      <c r="Q56" s="146"/>
      <c r="R56" s="146"/>
      <c r="S56" s="146"/>
      <c r="T56" s="146"/>
      <c r="U56" s="146"/>
      <c r="V56" s="146"/>
      <c r="W56" s="146"/>
      <c r="X56" s="146"/>
      <c r="Y56" s="146"/>
      <c r="Z56" s="146"/>
      <c r="AA56" s="146"/>
      <c r="AB56" s="146"/>
      <c r="AC56" s="146"/>
      <c r="AD56" s="146"/>
      <c r="AE56" s="146"/>
      <c r="AF56" s="146"/>
      <c r="AG56" s="146"/>
      <c r="AH56" s="146"/>
      <c r="AI56" s="146"/>
      <c r="AJ56" s="147"/>
      <c r="AK56" s="147"/>
    </row>
    <row r="57" spans="1:48" ht="25.15" customHeight="1">
      <c r="B57" s="148"/>
      <c r="C57" s="149"/>
      <c r="D57" s="150"/>
      <c r="E57" s="561"/>
      <c r="F57" s="152"/>
      <c r="G57" s="152"/>
      <c r="H57" s="152"/>
      <c r="I57" s="152"/>
      <c r="J57" s="152"/>
      <c r="K57" s="152"/>
      <c r="L57" s="153"/>
      <c r="AJ57" s="154"/>
      <c r="AK57" s="154"/>
      <c r="AL57" s="2"/>
      <c r="AM57" s="2"/>
      <c r="AN57" s="155"/>
      <c r="AO57" s="155"/>
      <c r="AP57" s="156" t="s">
        <v>498</v>
      </c>
      <c r="AQ57" s="157" t="s">
        <v>232</v>
      </c>
      <c r="AR57" s="157" t="s">
        <v>233</v>
      </c>
      <c r="AS57" s="157" t="s">
        <v>234</v>
      </c>
      <c r="AT57" s="157" t="s">
        <v>235</v>
      </c>
      <c r="AU57" s="157" t="s">
        <v>236</v>
      </c>
      <c r="AV57" s="158" t="s">
        <v>68</v>
      </c>
    </row>
    <row r="58" spans="1:48" ht="25.15" customHeight="1">
      <c r="B58" s="159"/>
      <c r="C58" s="160"/>
      <c r="D58" s="161"/>
      <c r="E58" s="562"/>
      <c r="F58" s="163"/>
      <c r="G58" s="163"/>
      <c r="H58" s="163"/>
      <c r="I58" s="163"/>
      <c r="J58" s="163"/>
      <c r="K58" s="163"/>
      <c r="L58" s="163"/>
      <c r="AJ58" s="164"/>
      <c r="AK58" s="164"/>
      <c r="AL58" s="1519"/>
      <c r="AM58" s="1519"/>
      <c r="AN58" s="1519"/>
      <c r="AO58" s="1093"/>
      <c r="AP58" s="165" t="s">
        <v>91</v>
      </c>
      <c r="AQ58" s="163">
        <f t="shared" ref="AQ58:AU59" si="37">AQ37+AQ23+AQ9</f>
        <v>0</v>
      </c>
      <c r="AR58" s="163">
        <f t="shared" si="37"/>
        <v>0</v>
      </c>
      <c r="AS58" s="163">
        <f t="shared" si="37"/>
        <v>19000</v>
      </c>
      <c r="AT58" s="163">
        <f t="shared" si="37"/>
        <v>0</v>
      </c>
      <c r="AU58" s="163">
        <f t="shared" si="37"/>
        <v>0</v>
      </c>
      <c r="AV58" s="166">
        <f>SUM(AQ58:AU58)</f>
        <v>19000</v>
      </c>
    </row>
    <row r="59" spans="1:48" ht="25.15" customHeight="1">
      <c r="B59" s="167"/>
      <c r="C59" s="168"/>
      <c r="D59" s="169"/>
      <c r="E59" s="563"/>
      <c r="F59" s="171"/>
      <c r="G59" s="171"/>
      <c r="H59" s="171"/>
      <c r="I59" s="171"/>
      <c r="J59" s="171"/>
      <c r="K59" s="171"/>
      <c r="L59" s="171"/>
      <c r="AJ59" s="164"/>
      <c r="AK59" s="164"/>
      <c r="AL59" s="1519"/>
      <c r="AM59" s="1519"/>
      <c r="AN59" s="1519"/>
      <c r="AO59" s="1093"/>
      <c r="AP59" s="172" t="s">
        <v>94</v>
      </c>
      <c r="AQ59" s="171">
        <f t="shared" si="37"/>
        <v>0</v>
      </c>
      <c r="AR59" s="171">
        <f t="shared" si="37"/>
        <v>0</v>
      </c>
      <c r="AS59" s="171">
        <f t="shared" si="37"/>
        <v>19040</v>
      </c>
      <c r="AT59" s="171">
        <f t="shared" si="37"/>
        <v>0</v>
      </c>
      <c r="AU59" s="171">
        <f t="shared" si="37"/>
        <v>0</v>
      </c>
      <c r="AV59" s="173">
        <f>SUM(AQ59:AU59)</f>
        <v>19040</v>
      </c>
    </row>
    <row r="60" spans="1:48" ht="25.15" customHeight="1">
      <c r="B60" s="159"/>
      <c r="C60" s="160"/>
      <c r="D60" s="174"/>
      <c r="E60" s="561"/>
      <c r="F60" s="175"/>
      <c r="G60" s="175"/>
      <c r="H60" s="175"/>
      <c r="I60" s="175"/>
      <c r="J60" s="175"/>
      <c r="K60" s="175"/>
      <c r="L60" s="175"/>
      <c r="AJ60" s="164"/>
      <c r="AK60" s="164"/>
      <c r="AL60" s="1093"/>
      <c r="AM60" s="1093"/>
      <c r="AN60" s="1093"/>
      <c r="AO60" s="1093"/>
      <c r="AP60" s="176" t="s">
        <v>237</v>
      </c>
      <c r="AQ60" s="177">
        <f>AQ59-AQ58</f>
        <v>0</v>
      </c>
      <c r="AR60" s="177">
        <f>AR59-AR58</f>
        <v>0</v>
      </c>
      <c r="AS60" s="177">
        <f>AS59-AS58</f>
        <v>40</v>
      </c>
      <c r="AT60" s="177">
        <f>AT59-AT58</f>
        <v>0</v>
      </c>
      <c r="AU60" s="177">
        <f>AU59-AU58</f>
        <v>0</v>
      </c>
      <c r="AV60" s="178">
        <f>SUM(AQ60:AU60)</f>
        <v>40</v>
      </c>
    </row>
    <row r="61" spans="1:48" ht="25.15" customHeight="1">
      <c r="D61" s="161"/>
      <c r="F61" s="177"/>
      <c r="G61" s="177"/>
      <c r="H61" s="177"/>
      <c r="I61" s="177"/>
      <c r="J61" s="177"/>
      <c r="K61" s="171"/>
      <c r="L61" s="175"/>
      <c r="M61" s="179"/>
      <c r="AJ61" s="180"/>
      <c r="AK61" s="180"/>
      <c r="AL61" s="181"/>
      <c r="AM61" s="181"/>
      <c r="AN61" s="182"/>
      <c r="AO61" s="182"/>
      <c r="AP61" s="165" t="s">
        <v>238</v>
      </c>
      <c r="AQ61" s="177">
        <f>AQ40+AQ26+AQ12</f>
        <v>0</v>
      </c>
      <c r="AR61" s="177">
        <f>AR40+AR26+AR12</f>
        <v>0</v>
      </c>
      <c r="AS61" s="177">
        <f>AS40+AS26+AS12</f>
        <v>828</v>
      </c>
      <c r="AT61" s="177">
        <f>AT40+AT26+AT12</f>
        <v>0</v>
      </c>
      <c r="AU61" s="177">
        <f>AU40+AU26+AU12</f>
        <v>0</v>
      </c>
      <c r="AV61" s="178">
        <f>SUM(AQ61:AU61)</f>
        <v>828</v>
      </c>
    </row>
    <row r="62" spans="1:48" ht="25.15" customHeight="1">
      <c r="D62" s="183"/>
      <c r="E62" s="564"/>
      <c r="F62" s="185"/>
      <c r="G62" s="185"/>
      <c r="H62" s="185"/>
      <c r="I62" s="185"/>
      <c r="J62" s="185"/>
      <c r="K62" s="185"/>
      <c r="L62" s="185"/>
      <c r="M62" s="179"/>
      <c r="AJ62" s="180"/>
      <c r="AK62" s="180"/>
      <c r="AL62" s="186"/>
      <c r="AM62" s="186"/>
      <c r="AN62" s="187"/>
      <c r="AO62" s="187"/>
      <c r="AP62" s="188" t="s">
        <v>97</v>
      </c>
      <c r="AQ62" s="185" t="e">
        <f t="shared" ref="AQ62:AV62" si="38">AQ61/AQ59</f>
        <v>#DIV/0!</v>
      </c>
      <c r="AR62" s="185" t="e">
        <f t="shared" si="38"/>
        <v>#DIV/0!</v>
      </c>
      <c r="AS62" s="185">
        <f t="shared" si="38"/>
        <v>4.3487394957983191E-2</v>
      </c>
      <c r="AT62" s="185" t="e">
        <f t="shared" si="38"/>
        <v>#DIV/0!</v>
      </c>
      <c r="AU62" s="185" t="e">
        <f t="shared" si="38"/>
        <v>#DIV/0!</v>
      </c>
      <c r="AV62" s="189">
        <f t="shared" si="38"/>
        <v>4.3487394957983191E-2</v>
      </c>
    </row>
    <row r="63" spans="1:48" ht="25.15" customHeight="1">
      <c r="D63" s="190"/>
      <c r="E63" s="565"/>
      <c r="F63" s="192"/>
      <c r="G63" s="192"/>
      <c r="H63" s="192"/>
      <c r="I63" s="192"/>
      <c r="J63" s="192"/>
      <c r="K63" s="192"/>
      <c r="L63" s="193"/>
      <c r="M63" s="179"/>
      <c r="AJ63" s="154"/>
      <c r="AK63" s="154"/>
      <c r="AL63" s="2"/>
      <c r="AM63" s="2"/>
      <c r="AN63" s="155"/>
      <c r="AO63" s="155"/>
      <c r="AP63" s="194" t="s">
        <v>19</v>
      </c>
      <c r="AQ63" s="540">
        <f t="shared" ref="AQ63:AU64" si="39">AQ41+AQ27+AQ13</f>
        <v>0</v>
      </c>
      <c r="AR63" s="540">
        <f t="shared" si="39"/>
        <v>0</v>
      </c>
      <c r="AS63" s="540">
        <f t="shared" si="39"/>
        <v>3184.5376799999999</v>
      </c>
      <c r="AT63" s="540">
        <f t="shared" si="39"/>
        <v>0</v>
      </c>
      <c r="AU63" s="540">
        <f t="shared" si="39"/>
        <v>0</v>
      </c>
      <c r="AV63" s="178">
        <f>SUM(AQ63:AU63)</f>
        <v>3184.5376799999999</v>
      </c>
    </row>
    <row r="64" spans="1:48" ht="25.15" customHeight="1">
      <c r="M64" s="179"/>
      <c r="AJ64" s="196"/>
      <c r="AK64" s="196"/>
      <c r="AL64" s="181"/>
      <c r="AM64" s="181"/>
      <c r="AN64" s="182"/>
      <c r="AO64" s="182"/>
      <c r="AP64" s="197" t="s">
        <v>106</v>
      </c>
      <c r="AQ64" s="171">
        <f t="shared" si="39"/>
        <v>0</v>
      </c>
      <c r="AR64" s="171">
        <f t="shared" si="39"/>
        <v>0</v>
      </c>
      <c r="AS64" s="171">
        <f t="shared" si="39"/>
        <v>73228.982399999994</v>
      </c>
      <c r="AT64" s="171">
        <f t="shared" si="39"/>
        <v>0</v>
      </c>
      <c r="AU64" s="171">
        <f t="shared" si="39"/>
        <v>0</v>
      </c>
      <c r="AV64" s="173">
        <f>SUM(AQ64:AU64)</f>
        <v>73228.982399999994</v>
      </c>
    </row>
    <row r="65" spans="13:41" ht="16.350000000000001" customHeight="1">
      <c r="M65" s="179"/>
      <c r="AJ65" s="196"/>
      <c r="AK65" s="196"/>
      <c r="AL65" s="186"/>
      <c r="AM65" s="186"/>
      <c r="AN65" s="187"/>
      <c r="AO65" s="187"/>
    </row>
    <row r="478" spans="2:2" ht="34.5">
      <c r="B478" s="744"/>
    </row>
  </sheetData>
  <sheetProtection selectLockedCells="1" selectUnlockedCells="1"/>
  <mergeCells count="4">
    <mergeCell ref="D3:D4"/>
    <mergeCell ref="N3:O3"/>
    <mergeCell ref="P5:Q5"/>
    <mergeCell ref="AL58:AN59"/>
  </mergeCells>
  <conditionalFormatting sqref="E31:AH31">
    <cfRule type="containsText" dxfId="405" priority="8" operator="containsText" text="O/H">
      <formula>NOT(ISERROR(SEARCH("O/H",E31)))</formula>
    </cfRule>
    <cfRule type="containsText" dxfId="404" priority="9" operator="containsText" text="O/H">
      <formula>NOT(ISERROR(SEARCH("O/H",E31)))</formula>
    </cfRule>
  </conditionalFormatting>
  <conditionalFormatting sqref="E34:AH34">
    <cfRule type="containsText" dxfId="403" priority="10" operator="containsText" text="O/H">
      <formula>NOT(ISERROR(SEARCH("O/H",E34)))</formula>
    </cfRule>
  </conditionalFormatting>
  <conditionalFormatting sqref="F35:AH35">
    <cfRule type="cellIs" dxfId="402" priority="11" operator="greaterThan">
      <formula>300001</formula>
    </cfRule>
    <cfRule type="cellIs" dxfId="401" priority="12" operator="greaterThan">
      <formula>240001</formula>
    </cfRule>
    <cfRule type="cellIs" dxfId="400" priority="17" operator="greaterThan">
      <formula>150001</formula>
    </cfRule>
  </conditionalFormatting>
  <printOptions horizontalCentered="1"/>
  <pageMargins left="0.11" right="0.17" top="0.38" bottom="0.12" header="0.12" footer="0.12"/>
  <pageSetup paperSize="9" scale="30" orientation="landscape" horizontalDpi="4294967294" verticalDpi="300" r:id="rId1"/>
  <headerFooter alignWithMargins="0"/>
  <drawing r:id="rId2"/>
  <legacyDrawing r:id="rId3"/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30BAC1-5FD4-42D9-91AD-DE2C628469BC}">
  <sheetPr codeName="Sheet4">
    <tabColor rgb="FFFFCCFF"/>
  </sheetPr>
  <dimension ref="A1:BE537"/>
  <sheetViews>
    <sheetView showGridLines="0" zoomScale="80" zoomScaleNormal="80" workbookViewId="0">
      <pane xSplit="3" ySplit="7" topLeftCell="U386" activePane="bottomRight" state="frozen"/>
      <selection pane="topRight" activeCell="D1" sqref="D1"/>
      <selection pane="bottomLeft" activeCell="A8" sqref="A8"/>
      <selection pane="bottomRight" activeCell="Z494" sqref="Z494"/>
    </sheetView>
  </sheetViews>
  <sheetFormatPr defaultColWidth="9.42578125" defaultRowHeight="15"/>
  <cols>
    <col min="1" max="1" width="24.42578125" style="1" customWidth="1"/>
    <col min="2" max="2" width="45.5703125" style="2" customWidth="1"/>
    <col min="3" max="3" width="23.5703125" style="355" customWidth="1"/>
    <col min="4" max="4" width="36.7109375" style="356" customWidth="1"/>
    <col min="5" max="5" width="15" style="1" customWidth="1"/>
    <col min="6" max="25" width="13.42578125" style="1" customWidth="1"/>
    <col min="26" max="27" width="12.5703125" style="1" bestFit="1" customWidth="1"/>
    <col min="28" max="34" width="13.42578125" style="1" customWidth="1"/>
    <col min="35" max="35" width="13.42578125" style="1" hidden="1" customWidth="1"/>
    <col min="36" max="36" width="17.5703125" style="1" customWidth="1"/>
    <col min="37" max="37" width="20" style="1" customWidth="1"/>
    <col min="38" max="38" width="17.5703125" style="1" customWidth="1"/>
    <col min="39" max="39" width="22.42578125" style="1" customWidth="1"/>
    <col min="40" max="40" width="17.5703125" style="1" customWidth="1"/>
    <col min="41" max="41" width="13.5703125" style="1" customWidth="1"/>
    <col min="42" max="42" width="36" style="1" customWidth="1"/>
    <col min="43" max="43" width="15.5703125" style="1" customWidth="1"/>
    <col min="44" max="44" width="15.85546875" style="1" customWidth="1"/>
    <col min="45" max="45" width="16" style="1" customWidth="1"/>
    <col min="46" max="46" width="15.7109375" style="357" customWidth="1"/>
    <col min="47" max="47" width="16" style="1" customWidth="1"/>
    <col min="48" max="48" width="18.28515625" style="1" customWidth="1"/>
    <col min="49" max="16384" width="9.42578125" style="1"/>
  </cols>
  <sheetData>
    <row r="1" spans="1:48" ht="25.5" customHeight="1"/>
    <row r="2" spans="1:48" ht="25.5" customHeight="1">
      <c r="H2" s="1249"/>
      <c r="I2" s="1249"/>
      <c r="AD2" s="1250"/>
    </row>
    <row r="3" spans="1:48" ht="11.1" customHeight="1">
      <c r="D3" s="1515" t="s">
        <v>428</v>
      </c>
      <c r="I3" s="358"/>
    </row>
    <row r="4" spans="1:48" ht="25.35" customHeight="1">
      <c r="A4" s="5" t="s">
        <v>563</v>
      </c>
      <c r="D4" s="1515"/>
      <c r="G4" s="159"/>
      <c r="I4" s="164"/>
    </row>
    <row r="5" spans="1:48" s="7" customFormat="1" ht="23.25" thickBot="1">
      <c r="A5" s="6" t="s">
        <v>33</v>
      </c>
      <c r="C5" s="359"/>
      <c r="D5" s="360"/>
      <c r="Y5" s="361"/>
      <c r="AT5" s="362"/>
    </row>
    <row r="6" spans="1:48" ht="30.75" customHeight="1" thickTop="1" thickBot="1">
      <c r="A6" s="363" t="s">
        <v>34</v>
      </c>
      <c r="B6" s="364" t="s">
        <v>318</v>
      </c>
      <c r="C6" s="11" t="s">
        <v>36</v>
      </c>
      <c r="D6" s="365" t="s">
        <v>37</v>
      </c>
      <c r="E6" s="13" t="s">
        <v>561</v>
      </c>
      <c r="F6" s="366" t="s">
        <v>38</v>
      </c>
      <c r="G6" s="366" t="s">
        <v>39</v>
      </c>
      <c r="H6" s="366" t="s">
        <v>40</v>
      </c>
      <c r="I6" s="366" t="s">
        <v>41</v>
      </c>
      <c r="J6" s="366" t="s">
        <v>42</v>
      </c>
      <c r="K6" s="366" t="s">
        <v>43</v>
      </c>
      <c r="L6" s="366" t="s">
        <v>44</v>
      </c>
      <c r="M6" s="366" t="s">
        <v>45</v>
      </c>
      <c r="N6" s="366" t="s">
        <v>46</v>
      </c>
      <c r="O6" s="366" t="s">
        <v>47</v>
      </c>
      <c r="P6" s="366" t="s">
        <v>48</v>
      </c>
      <c r="Q6" s="366" t="s">
        <v>49</v>
      </c>
      <c r="R6" s="366" t="s">
        <v>50</v>
      </c>
      <c r="S6" s="366" t="s">
        <v>51</v>
      </c>
      <c r="T6" s="366" t="s">
        <v>52</v>
      </c>
      <c r="U6" s="366" t="s">
        <v>53</v>
      </c>
      <c r="V6" s="366" t="s">
        <v>54</v>
      </c>
      <c r="W6" s="366" t="s">
        <v>55</v>
      </c>
      <c r="X6" s="366" t="s">
        <v>56</v>
      </c>
      <c r="Y6" s="366" t="s">
        <v>57</v>
      </c>
      <c r="Z6" s="366" t="s">
        <v>58</v>
      </c>
      <c r="AA6" s="366" t="s">
        <v>59</v>
      </c>
      <c r="AB6" s="366" t="s">
        <v>60</v>
      </c>
      <c r="AC6" s="366" t="s">
        <v>61</v>
      </c>
      <c r="AD6" s="366" t="s">
        <v>62</v>
      </c>
      <c r="AE6" s="366" t="s">
        <v>63</v>
      </c>
      <c r="AF6" s="366" t="s">
        <v>64</v>
      </c>
      <c r="AG6" s="366" t="s">
        <v>65</v>
      </c>
      <c r="AH6" s="366" t="s">
        <v>66</v>
      </c>
      <c r="AI6" s="366" t="s">
        <v>67</v>
      </c>
      <c r="AJ6" s="367" t="s">
        <v>68</v>
      </c>
      <c r="AK6" s="1021" t="s">
        <v>69</v>
      </c>
      <c r="AL6" s="895" t="s">
        <v>70</v>
      </c>
      <c r="AM6" s="1022" t="s">
        <v>71</v>
      </c>
      <c r="AN6" s="892" t="s">
        <v>72</v>
      </c>
      <c r="AO6" s="620" t="s">
        <v>73</v>
      </c>
      <c r="AP6" s="80"/>
      <c r="AQ6" s="80"/>
    </row>
    <row r="7" spans="1:48" s="24" customFormat="1" ht="16.5" customHeight="1" thickBot="1">
      <c r="A7" s="368"/>
      <c r="B7" s="369"/>
      <c r="C7" s="370"/>
      <c r="D7" s="371"/>
      <c r="E7" s="1364">
        <v>46174</v>
      </c>
      <c r="F7" s="1094">
        <f>Table37[[#This Row],[June''2026]]+1</f>
        <v>46175</v>
      </c>
      <c r="G7" s="1206">
        <f>Table37[[#This Row],[Column1]]+1</f>
        <v>46176</v>
      </c>
      <c r="H7" s="1094">
        <f>Table37[[#This Row],[Column2]]+1</f>
        <v>46177</v>
      </c>
      <c r="I7" s="1094">
        <f>Table37[[#This Row],[Column3]]+1</f>
        <v>46178</v>
      </c>
      <c r="J7" s="1206">
        <f>Table37[[#This Row],[Column4]]+1</f>
        <v>46179</v>
      </c>
      <c r="K7" s="1206">
        <f>Table37[[#This Row],[Column5]]+1</f>
        <v>46180</v>
      </c>
      <c r="L7" s="1094">
        <f>Table37[[#This Row],[Column6]]+1</f>
        <v>46181</v>
      </c>
      <c r="M7" s="1094">
        <f>Table37[[#This Row],[Column7]]+1</f>
        <v>46182</v>
      </c>
      <c r="N7" s="1094">
        <f>Table37[[#This Row],[Column8]]+1</f>
        <v>46183</v>
      </c>
      <c r="O7" s="1094">
        <f>Table37[[#This Row],[Column9]]+1</f>
        <v>46184</v>
      </c>
      <c r="P7" s="1094">
        <f>Table37[[#This Row],[Column10]]+1</f>
        <v>46185</v>
      </c>
      <c r="Q7" s="1206">
        <f>Table37[[#This Row],[Column11]]+1</f>
        <v>46186</v>
      </c>
      <c r="R7" s="1206">
        <f>Table37[[#This Row],[Column12]]+1</f>
        <v>46187</v>
      </c>
      <c r="S7" s="1094">
        <f>Table37[[#This Row],[Column13]]+1</f>
        <v>46188</v>
      </c>
      <c r="T7" s="1094">
        <f>Table37[[#This Row],[Column14]]+1</f>
        <v>46189</v>
      </c>
      <c r="U7" s="1094">
        <f>Table37[[#This Row],[Column15]]+1</f>
        <v>46190</v>
      </c>
      <c r="V7" s="1094">
        <f>Table37[[#This Row],[Column16]]+1</f>
        <v>46191</v>
      </c>
      <c r="W7" s="1094">
        <f>Table37[[#This Row],[Column17]]+1</f>
        <v>46192</v>
      </c>
      <c r="X7" s="1206">
        <f>Table37[[#This Row],[Column18]]+1</f>
        <v>46193</v>
      </c>
      <c r="Y7" s="1206">
        <f>Table37[[#This Row],[Column19]]+1</f>
        <v>46194</v>
      </c>
      <c r="Z7" s="1094">
        <f>Table37[[#This Row],[Column20]]+1</f>
        <v>46195</v>
      </c>
      <c r="AA7" s="1094">
        <f>Table37[[#This Row],[Column21]]+1</f>
        <v>46196</v>
      </c>
      <c r="AB7" s="1094">
        <f>Table37[[#This Row],[Column22]]+1</f>
        <v>46197</v>
      </c>
      <c r="AC7" s="1094">
        <f>Table37[[#This Row],[Column23]]+1</f>
        <v>46198</v>
      </c>
      <c r="AD7" s="1094">
        <f>Table37[[#This Row],[Column24]]+1</f>
        <v>46199</v>
      </c>
      <c r="AE7" s="1206">
        <f>Table37[[#This Row],[Column242]]+1</f>
        <v>46200</v>
      </c>
      <c r="AF7" s="1206">
        <f>Table37[[#This Row],[Column243]]+1</f>
        <v>46201</v>
      </c>
      <c r="AG7" s="1094">
        <f>Table37[[#This Row],[Column244]]+1</f>
        <v>46202</v>
      </c>
      <c r="AH7" s="1094">
        <f>Table37[[#This Row],[Column25]]+1</f>
        <v>46203</v>
      </c>
      <c r="AI7" s="1094">
        <f>Table37[[#This Row],[Column26]]+1</f>
        <v>46204</v>
      </c>
      <c r="AJ7" s="20"/>
      <c r="AK7" s="891"/>
      <c r="AL7" s="21"/>
      <c r="AM7" s="967"/>
      <c r="AN7" s="893"/>
      <c r="AO7" s="621"/>
      <c r="AP7" s="373"/>
      <c r="AQ7" s="80"/>
      <c r="AR7" s="80"/>
      <c r="AS7" s="80"/>
      <c r="AT7" s="80"/>
      <c r="AU7" s="80"/>
      <c r="AV7" s="374"/>
    </row>
    <row r="8" spans="1:48" ht="21.75" hidden="1" customHeight="1" thickTop="1">
      <c r="A8" s="905" t="s">
        <v>648</v>
      </c>
      <c r="B8" s="740" t="s">
        <v>656</v>
      </c>
      <c r="C8" s="518" t="str">
        <f>Table37[[#This Row],[M/C No.]]</f>
        <v>R1(75*75ton)</v>
      </c>
      <c r="D8" s="28" t="s">
        <v>82</v>
      </c>
      <c r="E8" s="1124"/>
      <c r="F8" s="1124"/>
      <c r="G8" s="1242"/>
      <c r="H8" s="1124"/>
      <c r="I8" s="1124"/>
      <c r="J8" s="1242"/>
      <c r="K8" s="1242"/>
      <c r="L8" s="1124"/>
      <c r="M8" s="1124"/>
      <c r="N8" s="1124"/>
      <c r="O8" s="1124"/>
      <c r="P8" s="1124"/>
      <c r="Q8" s="1242"/>
      <c r="R8" s="1242"/>
      <c r="S8" s="1124"/>
      <c r="T8" s="1124"/>
      <c r="U8" s="1124"/>
      <c r="V8" s="1124"/>
      <c r="W8" s="1124"/>
      <c r="X8" s="1242"/>
      <c r="Y8" s="1242"/>
      <c r="Z8" s="1124"/>
      <c r="AA8" s="1124"/>
      <c r="AB8" s="1124"/>
      <c r="AC8" s="1124"/>
      <c r="AD8" s="1124"/>
      <c r="AE8" s="1242"/>
      <c r="AF8" s="1242"/>
      <c r="AG8" s="1124"/>
      <c r="AH8" s="1124"/>
      <c r="AI8" s="1124"/>
      <c r="AJ8" s="375">
        <f>SUM(E8:AI8)</f>
        <v>0</v>
      </c>
      <c r="AK8" s="1047">
        <f t="shared" ref="AK8:AK70" si="0">AJ10</f>
        <v>0</v>
      </c>
      <c r="AL8" s="423">
        <f>+AJ8*AN8</f>
        <v>0</v>
      </c>
      <c r="AM8" s="1046">
        <f t="shared" ref="AM8:AM70" si="1">AL10</f>
        <v>0</v>
      </c>
      <c r="AN8" s="402">
        <v>2.9281999999999999</v>
      </c>
      <c r="AO8" s="622" t="s">
        <v>429</v>
      </c>
      <c r="AP8" s="32" t="s">
        <v>430</v>
      </c>
      <c r="AQ8" s="33" t="s">
        <v>84</v>
      </c>
      <c r="AR8" s="33" t="s">
        <v>85</v>
      </c>
      <c r="AS8" s="33" t="s">
        <v>86</v>
      </c>
      <c r="AT8" s="33" t="s">
        <v>87</v>
      </c>
      <c r="AU8" s="33" t="s">
        <v>88</v>
      </c>
      <c r="AV8" s="34" t="s">
        <v>68</v>
      </c>
    </row>
    <row r="9" spans="1:48" ht="21.75" hidden="1" customHeight="1">
      <c r="A9" s="376"/>
      <c r="B9" s="393" t="s">
        <v>431</v>
      </c>
      <c r="C9" s="377" t="s">
        <v>95</v>
      </c>
      <c r="D9" s="37" t="s">
        <v>90</v>
      </c>
      <c r="E9" s="1323">
        <f>IF(E8="",0,E8/E15)</f>
        <v>0</v>
      </c>
      <c r="F9" s="1096">
        <f t="shared" ref="F9:AD9" si="2">IF(F8="",0, E9+F8/F15)</f>
        <v>0</v>
      </c>
      <c r="G9" s="1207">
        <f t="shared" si="2"/>
        <v>0</v>
      </c>
      <c r="H9" s="1096">
        <f t="shared" si="2"/>
        <v>0</v>
      </c>
      <c r="I9" s="1096">
        <f t="shared" si="2"/>
        <v>0</v>
      </c>
      <c r="J9" s="1207">
        <f t="shared" si="2"/>
        <v>0</v>
      </c>
      <c r="K9" s="1207">
        <f t="shared" si="2"/>
        <v>0</v>
      </c>
      <c r="L9" s="1096">
        <f t="shared" si="2"/>
        <v>0</v>
      </c>
      <c r="M9" s="1096">
        <f t="shared" si="2"/>
        <v>0</v>
      </c>
      <c r="N9" s="1096">
        <f t="shared" si="2"/>
        <v>0</v>
      </c>
      <c r="O9" s="1096">
        <f t="shared" si="2"/>
        <v>0</v>
      </c>
      <c r="P9" s="1096">
        <f t="shared" si="2"/>
        <v>0</v>
      </c>
      <c r="Q9" s="1207">
        <f t="shared" si="2"/>
        <v>0</v>
      </c>
      <c r="R9" s="1207">
        <f t="shared" si="2"/>
        <v>0</v>
      </c>
      <c r="S9" s="1096">
        <f t="shared" si="2"/>
        <v>0</v>
      </c>
      <c r="T9" s="1096">
        <f t="shared" si="2"/>
        <v>0</v>
      </c>
      <c r="U9" s="1096">
        <f t="shared" si="2"/>
        <v>0</v>
      </c>
      <c r="V9" s="1096">
        <f t="shared" si="2"/>
        <v>0</v>
      </c>
      <c r="W9" s="1096">
        <f t="shared" si="2"/>
        <v>0</v>
      </c>
      <c r="X9" s="1207">
        <f t="shared" si="2"/>
        <v>0</v>
      </c>
      <c r="Y9" s="1207">
        <f t="shared" si="2"/>
        <v>0</v>
      </c>
      <c r="Z9" s="1096">
        <f t="shared" si="2"/>
        <v>0</v>
      </c>
      <c r="AA9" s="1096">
        <f t="shared" si="2"/>
        <v>0</v>
      </c>
      <c r="AB9" s="1096">
        <f t="shared" si="2"/>
        <v>0</v>
      </c>
      <c r="AC9" s="1096">
        <f t="shared" si="2"/>
        <v>0</v>
      </c>
      <c r="AD9" s="1096">
        <f t="shared" si="2"/>
        <v>0</v>
      </c>
      <c r="AE9" s="1207">
        <f>IF(AE8="",0, AA9+AE8/AE15)</f>
        <v>0</v>
      </c>
      <c r="AF9" s="1207">
        <f>IF(AF8="",0, AB9+AF8/AF15)</f>
        <v>0</v>
      </c>
      <c r="AG9" s="1096">
        <f>IF(AG8="",0, AF9+AG8/AG15)</f>
        <v>0</v>
      </c>
      <c r="AH9" s="1096">
        <f>IF(AH8="",0, AG9+AH8/AH15)</f>
        <v>0</v>
      </c>
      <c r="AI9" s="1096">
        <f>IF(AI8="",0, AH9+AI8/AI15)</f>
        <v>0</v>
      </c>
      <c r="AJ9" s="375"/>
      <c r="AK9" s="1023">
        <f t="shared" si="0"/>
        <v>0</v>
      </c>
      <c r="AL9" s="423"/>
      <c r="AM9" s="1040">
        <f t="shared" si="1"/>
        <v>0</v>
      </c>
      <c r="AN9" s="382"/>
      <c r="AO9" s="622">
        <f>AJ8*B12/1000</f>
        <v>0</v>
      </c>
      <c r="AP9" s="39" t="s">
        <v>91</v>
      </c>
      <c r="AQ9" s="40">
        <f>SUM(E8:K8)</f>
        <v>0</v>
      </c>
      <c r="AR9" s="41">
        <f>SUM(L8:R8)</f>
        <v>0</v>
      </c>
      <c r="AS9" s="41">
        <f>SUM(S8:Y8)</f>
        <v>0</v>
      </c>
      <c r="AT9" s="41">
        <f>SUM(Z8:AF8)</f>
        <v>0</v>
      </c>
      <c r="AU9" s="41">
        <f>SUM(AG8:AI8)</f>
        <v>0</v>
      </c>
      <c r="AV9" s="34">
        <f t="shared" ref="AV9:AV14" si="3">SUM(AQ9:AU9)</f>
        <v>0</v>
      </c>
    </row>
    <row r="10" spans="1:48" ht="21.75" hidden="1" customHeight="1">
      <c r="A10" s="376"/>
      <c r="B10" s="411" t="s">
        <v>272</v>
      </c>
      <c r="C10" s="379">
        <v>100000</v>
      </c>
      <c r="D10" s="43" t="s">
        <v>93</v>
      </c>
      <c r="E10" s="1108"/>
      <c r="F10" s="1089"/>
      <c r="G10" s="44"/>
      <c r="H10" s="1089"/>
      <c r="I10" s="1089"/>
      <c r="J10" s="44"/>
      <c r="K10" s="44"/>
      <c r="L10" s="1089"/>
      <c r="M10" s="1089"/>
      <c r="N10" s="1089"/>
      <c r="O10" s="1089"/>
      <c r="P10" s="1089"/>
      <c r="Q10" s="44"/>
      <c r="R10" s="44"/>
      <c r="S10" s="1089"/>
      <c r="T10" s="1089"/>
      <c r="U10" s="1089"/>
      <c r="V10" s="1089"/>
      <c r="W10" s="1089"/>
      <c r="X10" s="44"/>
      <c r="Y10" s="44"/>
      <c r="Z10" s="1089"/>
      <c r="AA10" s="1089"/>
      <c r="AB10" s="1089"/>
      <c r="AC10" s="1089"/>
      <c r="AD10" s="1089"/>
      <c r="AE10" s="44"/>
      <c r="AF10" s="44"/>
      <c r="AG10" s="1089"/>
      <c r="AH10" s="1089"/>
      <c r="AI10" s="1089"/>
      <c r="AJ10" s="380">
        <f>SUBTOTAL(109,E10:AI10)</f>
        <v>0</v>
      </c>
      <c r="AK10" s="1024">
        <f t="shared" si="0"/>
        <v>0</v>
      </c>
      <c r="AL10" s="424">
        <f>+AJ10*AN8</f>
        <v>0</v>
      </c>
      <c r="AM10" s="1041">
        <f t="shared" si="1"/>
        <v>0</v>
      </c>
      <c r="AN10" s="382"/>
      <c r="AO10" s="632">
        <f>(AJ10+AJ12+AJ13+AJ14)*B12/1000</f>
        <v>0</v>
      </c>
      <c r="AP10" s="47" t="s">
        <v>94</v>
      </c>
      <c r="AQ10" s="48">
        <f>SUM(E10:K10)</f>
        <v>0</v>
      </c>
      <c r="AR10" s="49">
        <f>SUM(L10:R10)</f>
        <v>0</v>
      </c>
      <c r="AS10" s="49">
        <f>SUM(S10:Y10)</f>
        <v>0</v>
      </c>
      <c r="AT10" s="49">
        <f>SUM(Z10:AF10)</f>
        <v>0</v>
      </c>
      <c r="AU10" s="49">
        <f>SUM(AG10:AI10)</f>
        <v>0</v>
      </c>
      <c r="AV10" s="50">
        <f t="shared" si="3"/>
        <v>0</v>
      </c>
    </row>
    <row r="11" spans="1:48" ht="21.75" hidden="1" customHeight="1">
      <c r="A11" s="376"/>
      <c r="B11" s="638" t="s">
        <v>432</v>
      </c>
      <c r="C11" s="89" t="s">
        <v>108</v>
      </c>
      <c r="D11" s="53" t="s">
        <v>96</v>
      </c>
      <c r="E11" s="1137">
        <f>+E10-E8</f>
        <v>0</v>
      </c>
      <c r="F11" s="1137">
        <f t="shared" ref="F11:AH11" si="4">+F10-F8</f>
        <v>0</v>
      </c>
      <c r="G11" s="1232">
        <f t="shared" si="4"/>
        <v>0</v>
      </c>
      <c r="H11" s="1137">
        <f t="shared" si="4"/>
        <v>0</v>
      </c>
      <c r="I11" s="1137">
        <f t="shared" si="4"/>
        <v>0</v>
      </c>
      <c r="J11" s="1232">
        <f t="shared" si="4"/>
        <v>0</v>
      </c>
      <c r="K11" s="1232">
        <f t="shared" si="4"/>
        <v>0</v>
      </c>
      <c r="L11" s="1137">
        <f>+L10-L8</f>
        <v>0</v>
      </c>
      <c r="M11" s="1137">
        <f t="shared" si="4"/>
        <v>0</v>
      </c>
      <c r="N11" s="1137">
        <f t="shared" si="4"/>
        <v>0</v>
      </c>
      <c r="O11" s="1137">
        <f t="shared" si="4"/>
        <v>0</v>
      </c>
      <c r="P11" s="1137">
        <f t="shared" si="4"/>
        <v>0</v>
      </c>
      <c r="Q11" s="1232">
        <f t="shared" si="4"/>
        <v>0</v>
      </c>
      <c r="R11" s="1232">
        <f t="shared" si="4"/>
        <v>0</v>
      </c>
      <c r="S11" s="1137">
        <f t="shared" si="4"/>
        <v>0</v>
      </c>
      <c r="T11" s="1137">
        <f t="shared" si="4"/>
        <v>0</v>
      </c>
      <c r="U11" s="1137">
        <f t="shared" si="4"/>
        <v>0</v>
      </c>
      <c r="V11" s="1137">
        <f t="shared" si="4"/>
        <v>0</v>
      </c>
      <c r="W11" s="1137">
        <f t="shared" si="4"/>
        <v>0</v>
      </c>
      <c r="X11" s="1232">
        <f t="shared" si="4"/>
        <v>0</v>
      </c>
      <c r="Y11" s="1232">
        <f t="shared" si="4"/>
        <v>0</v>
      </c>
      <c r="Z11" s="1137">
        <f t="shared" si="4"/>
        <v>0</v>
      </c>
      <c r="AA11" s="1137">
        <f t="shared" si="4"/>
        <v>0</v>
      </c>
      <c r="AB11" s="1137">
        <f t="shared" si="4"/>
        <v>0</v>
      </c>
      <c r="AC11" s="1137">
        <f t="shared" si="4"/>
        <v>0</v>
      </c>
      <c r="AD11" s="1137">
        <f t="shared" si="4"/>
        <v>0</v>
      </c>
      <c r="AE11" s="1232">
        <f t="shared" si="4"/>
        <v>0</v>
      </c>
      <c r="AF11" s="1232">
        <f t="shared" si="4"/>
        <v>0</v>
      </c>
      <c r="AG11" s="1137">
        <f t="shared" si="4"/>
        <v>0</v>
      </c>
      <c r="AH11" s="1137">
        <f t="shared" si="4"/>
        <v>0</v>
      </c>
      <c r="AI11" s="1097">
        <v>0</v>
      </c>
      <c r="AJ11" s="381">
        <f>+AJ10-AJ8</f>
        <v>0</v>
      </c>
      <c r="AK11" s="1024">
        <f t="shared" si="0"/>
        <v>0</v>
      </c>
      <c r="AL11" s="425">
        <f>+AJ11*AN8</f>
        <v>0</v>
      </c>
      <c r="AM11" s="1041">
        <f t="shared" si="1"/>
        <v>0</v>
      </c>
      <c r="AN11" s="382" t="s">
        <v>97</v>
      </c>
      <c r="AO11" s="622" t="s">
        <v>433</v>
      </c>
      <c r="AP11" s="39" t="s">
        <v>98</v>
      </c>
      <c r="AQ11" s="56">
        <f>AQ10-AQ9</f>
        <v>0</v>
      </c>
      <c r="AR11" s="70">
        <f>AR10-AR9</f>
        <v>0</v>
      </c>
      <c r="AS11" s="70">
        <f>AS10-AS9</f>
        <v>0</v>
      </c>
      <c r="AT11" s="70">
        <f>AT10-AT9</f>
        <v>0</v>
      </c>
      <c r="AU11" s="70">
        <f>AU10-AU9</f>
        <v>0</v>
      </c>
      <c r="AV11" s="57">
        <f t="shared" si="3"/>
        <v>0</v>
      </c>
    </row>
    <row r="12" spans="1:48" ht="21.75" hidden="1" customHeight="1">
      <c r="A12" s="376"/>
      <c r="B12" s="659">
        <v>0.73275000000000001</v>
      </c>
      <c r="C12" s="383">
        <f>+C10*0.8</f>
        <v>80000</v>
      </c>
      <c r="D12" s="61" t="s">
        <v>101</v>
      </c>
      <c r="E12" s="1098"/>
      <c r="F12" s="1099"/>
      <c r="G12" s="1208"/>
      <c r="H12" s="1099"/>
      <c r="I12" s="1099"/>
      <c r="J12" s="1208"/>
      <c r="K12" s="1208"/>
      <c r="L12" s="1099"/>
      <c r="M12" s="1099"/>
      <c r="N12" s="1099"/>
      <c r="O12" s="1099"/>
      <c r="P12" s="1099"/>
      <c r="Q12" s="1208"/>
      <c r="R12" s="1208"/>
      <c r="S12" s="1099"/>
      <c r="T12" s="1099"/>
      <c r="U12" s="1099"/>
      <c r="V12" s="1099"/>
      <c r="W12" s="1099"/>
      <c r="X12" s="1208"/>
      <c r="Y12" s="1208"/>
      <c r="Z12" s="1099"/>
      <c r="AA12" s="1099"/>
      <c r="AB12" s="1099"/>
      <c r="AC12" s="1099"/>
      <c r="AD12" s="1099"/>
      <c r="AE12" s="1208"/>
      <c r="AF12" s="1208"/>
      <c r="AG12" s="1099"/>
      <c r="AH12" s="1099"/>
      <c r="AI12" s="1099"/>
      <c r="AJ12" s="384">
        <f>SUM(E12:AI12)</f>
        <v>0</v>
      </c>
      <c r="AK12" s="1024">
        <f t="shared" si="0"/>
        <v>0</v>
      </c>
      <c r="AL12" s="420">
        <f>+AJ12*AN8</f>
        <v>0</v>
      </c>
      <c r="AM12" s="1040">
        <f t="shared" si="1"/>
        <v>0</v>
      </c>
      <c r="AN12" s="385" t="e">
        <f>+AJ12/AJ10</f>
        <v>#DIV/0!</v>
      </c>
      <c r="AO12" s="622">
        <f>AJ8*B14/1000</f>
        <v>0</v>
      </c>
      <c r="AP12" s="39" t="s">
        <v>102</v>
      </c>
      <c r="AQ12" s="56">
        <f>SUM(E12:K12)</f>
        <v>0</v>
      </c>
      <c r="AR12" s="70">
        <f>SUM(L12:R12)</f>
        <v>0</v>
      </c>
      <c r="AS12" s="70">
        <f>SUM(S12:Y12)</f>
        <v>0</v>
      </c>
      <c r="AT12" s="70">
        <f>SUM(Z12:AF12)</f>
        <v>0</v>
      </c>
      <c r="AU12" s="70">
        <f>SUM(AG12:AI12)</f>
        <v>0</v>
      </c>
      <c r="AV12" s="57">
        <f t="shared" si="3"/>
        <v>0</v>
      </c>
    </row>
    <row r="13" spans="1:48" ht="21.75" hidden="1" customHeight="1">
      <c r="A13" s="376"/>
      <c r="B13" s="638" t="s">
        <v>434</v>
      </c>
      <c r="C13" s="383"/>
      <c r="D13" s="67" t="s">
        <v>103</v>
      </c>
      <c r="E13" s="1100"/>
      <c r="F13" s="1101"/>
      <c r="G13" s="1209"/>
      <c r="H13" s="1101"/>
      <c r="I13" s="1101"/>
      <c r="J13" s="1209"/>
      <c r="K13" s="1209"/>
      <c r="L13" s="1101"/>
      <c r="M13" s="1101"/>
      <c r="N13" s="1101"/>
      <c r="O13" s="1101"/>
      <c r="P13" s="1101"/>
      <c r="Q13" s="1209"/>
      <c r="R13" s="1209"/>
      <c r="S13" s="1101"/>
      <c r="T13" s="1101"/>
      <c r="U13" s="1101"/>
      <c r="V13" s="1101"/>
      <c r="W13" s="1101"/>
      <c r="X13" s="1209"/>
      <c r="Y13" s="1209"/>
      <c r="Z13" s="1101"/>
      <c r="AA13" s="1101"/>
      <c r="AB13" s="1101"/>
      <c r="AC13" s="1101"/>
      <c r="AD13" s="1101"/>
      <c r="AE13" s="1209"/>
      <c r="AF13" s="1209"/>
      <c r="AG13" s="1101"/>
      <c r="AH13" s="1101"/>
      <c r="AI13" s="1101"/>
      <c r="AJ13" s="386">
        <f>SUM(E13:AI13)</f>
        <v>0</v>
      </c>
      <c r="AK13" s="1024">
        <f t="shared" si="0"/>
        <v>0</v>
      </c>
      <c r="AL13" s="426">
        <f>+AJ13*AN8</f>
        <v>0</v>
      </c>
      <c r="AM13" s="1040">
        <f t="shared" si="1"/>
        <v>0</v>
      </c>
      <c r="AN13" s="382"/>
      <c r="AO13" s="632">
        <f>(AJ13+AJ15+AJ16+AJ17)*B14/1000</f>
        <v>0</v>
      </c>
      <c r="AP13" s="39" t="s">
        <v>19</v>
      </c>
      <c r="AQ13" s="56">
        <f>AQ12*AN8</f>
        <v>0</v>
      </c>
      <c r="AR13" s="56">
        <f>AR12*AN8</f>
        <v>0</v>
      </c>
      <c r="AS13" s="56">
        <f>AS12*AN8</f>
        <v>0</v>
      </c>
      <c r="AT13" s="56">
        <f>AT12*AN8</f>
        <v>0</v>
      </c>
      <c r="AU13" s="56">
        <f>AU12*AN8</f>
        <v>0</v>
      </c>
      <c r="AV13" s="57">
        <f t="shared" si="3"/>
        <v>0</v>
      </c>
    </row>
    <row r="14" spans="1:48" ht="21.75" hidden="1" customHeight="1">
      <c r="A14" s="376"/>
      <c r="B14" s="659">
        <v>1.4259999999999999</v>
      </c>
      <c r="C14" s="387" t="s">
        <v>435</v>
      </c>
      <c r="D14" s="73" t="s">
        <v>105</v>
      </c>
      <c r="E14" s="1102"/>
      <c r="F14" s="1103"/>
      <c r="G14" s="1210"/>
      <c r="H14" s="1103"/>
      <c r="I14" s="1103"/>
      <c r="J14" s="1210"/>
      <c r="K14" s="1210"/>
      <c r="L14" s="1103"/>
      <c r="M14" s="1103"/>
      <c r="N14" s="1103"/>
      <c r="O14" s="1103"/>
      <c r="P14" s="1103"/>
      <c r="Q14" s="1210"/>
      <c r="R14" s="1210"/>
      <c r="S14" s="1103"/>
      <c r="T14" s="1103"/>
      <c r="U14" s="1103"/>
      <c r="V14" s="1103"/>
      <c r="W14" s="1103"/>
      <c r="X14" s="1210"/>
      <c r="Y14" s="1210"/>
      <c r="Z14" s="1103"/>
      <c r="AA14" s="1103"/>
      <c r="AB14" s="1103"/>
      <c r="AC14" s="1103"/>
      <c r="AD14" s="1103"/>
      <c r="AE14" s="1210"/>
      <c r="AF14" s="1210"/>
      <c r="AG14" s="1103"/>
      <c r="AH14" s="1103"/>
      <c r="AI14" s="1103"/>
      <c r="AJ14" s="388">
        <f>SUM(E14:AI14)</f>
        <v>0</v>
      </c>
      <c r="AK14" s="1024">
        <f t="shared" si="0"/>
        <v>0</v>
      </c>
      <c r="AL14" s="427">
        <f>+AJ14*AN8</f>
        <v>0</v>
      </c>
      <c r="AM14" s="1040">
        <f t="shared" si="1"/>
        <v>0</v>
      </c>
      <c r="AN14" s="382"/>
      <c r="AO14" s="622"/>
      <c r="AP14" s="47" t="s">
        <v>106</v>
      </c>
      <c r="AQ14" s="48">
        <f>AQ10*AN8</f>
        <v>0</v>
      </c>
      <c r="AR14" s="48">
        <f>AR10*AN8</f>
        <v>0</v>
      </c>
      <c r="AS14" s="48">
        <f>AS10*AN8</f>
        <v>0</v>
      </c>
      <c r="AT14" s="48">
        <f>AT10*AN8</f>
        <v>0</v>
      </c>
      <c r="AU14" s="48">
        <f>AU10*AN8</f>
        <v>0</v>
      </c>
      <c r="AV14" s="50">
        <f t="shared" si="3"/>
        <v>0</v>
      </c>
    </row>
    <row r="15" spans="1:48" ht="21.75" hidden="1" customHeight="1">
      <c r="A15" s="389"/>
      <c r="B15" s="334" t="s">
        <v>30</v>
      </c>
      <c r="C15" s="379">
        <v>75000</v>
      </c>
      <c r="D15" s="78" t="s">
        <v>107</v>
      </c>
      <c r="E15" s="1137">
        <v>8</v>
      </c>
      <c r="F15" s="1097">
        <v>8</v>
      </c>
      <c r="G15" s="1205">
        <v>8</v>
      </c>
      <c r="H15" s="1097">
        <v>8</v>
      </c>
      <c r="I15" s="1097">
        <v>8</v>
      </c>
      <c r="J15" s="1205">
        <v>8</v>
      </c>
      <c r="K15" s="1205">
        <v>8</v>
      </c>
      <c r="L15" s="1097">
        <v>8</v>
      </c>
      <c r="M15" s="1097">
        <v>8</v>
      </c>
      <c r="N15" s="1097">
        <v>8</v>
      </c>
      <c r="O15" s="1097">
        <v>8</v>
      </c>
      <c r="P15" s="1097">
        <v>8</v>
      </c>
      <c r="Q15" s="1205">
        <v>8</v>
      </c>
      <c r="R15" s="1205">
        <v>8</v>
      </c>
      <c r="S15" s="1097">
        <v>8</v>
      </c>
      <c r="T15" s="1097">
        <v>8</v>
      </c>
      <c r="U15" s="1097">
        <v>8</v>
      </c>
      <c r="V15" s="1097">
        <v>8</v>
      </c>
      <c r="W15" s="1097">
        <v>8</v>
      </c>
      <c r="X15" s="1205">
        <v>8</v>
      </c>
      <c r="Y15" s="1205">
        <v>8</v>
      </c>
      <c r="Z15" s="1097">
        <v>8</v>
      </c>
      <c r="AA15" s="1097">
        <v>8</v>
      </c>
      <c r="AB15" s="1097">
        <v>8</v>
      </c>
      <c r="AC15" s="1097">
        <v>8</v>
      </c>
      <c r="AD15" s="1097">
        <v>8</v>
      </c>
      <c r="AE15" s="1205">
        <v>8</v>
      </c>
      <c r="AF15" s="1205">
        <v>8</v>
      </c>
      <c r="AG15" s="1097">
        <v>8</v>
      </c>
      <c r="AH15" s="1097">
        <v>8</v>
      </c>
      <c r="AI15" s="1097">
        <v>8</v>
      </c>
      <c r="AJ15" s="381"/>
      <c r="AK15" s="1024">
        <f t="shared" si="0"/>
        <v>0</v>
      </c>
      <c r="AL15" s="425"/>
      <c r="AM15" s="1041">
        <f t="shared" si="1"/>
        <v>0</v>
      </c>
      <c r="AN15" s="382"/>
      <c r="AO15" s="622"/>
      <c r="AP15" s="391"/>
      <c r="AQ15" s="391"/>
      <c r="AR15" s="4"/>
      <c r="AS15" s="4"/>
      <c r="AT15" s="392"/>
      <c r="AU15" s="4"/>
      <c r="AV15" s="4"/>
    </row>
    <row r="16" spans="1:48" ht="21.75" hidden="1" customHeight="1">
      <c r="A16" s="376"/>
      <c r="B16" s="334" t="s">
        <v>436</v>
      </c>
      <c r="C16" s="89" t="s">
        <v>108</v>
      </c>
      <c r="D16" s="81" t="s">
        <v>109</v>
      </c>
      <c r="E16" s="1125">
        <f>SUM(E10+E12+E13+E14)/E15</f>
        <v>0</v>
      </c>
      <c r="F16" s="1125">
        <f t="shared" ref="F16:AI16" si="5">SUM(F10+F12+F13+F14)/F15</f>
        <v>0</v>
      </c>
      <c r="G16" s="1233">
        <f t="shared" si="5"/>
        <v>0</v>
      </c>
      <c r="H16" s="1125">
        <f t="shared" si="5"/>
        <v>0</v>
      </c>
      <c r="I16" s="1125">
        <f t="shared" si="5"/>
        <v>0</v>
      </c>
      <c r="J16" s="1233">
        <f t="shared" si="5"/>
        <v>0</v>
      </c>
      <c r="K16" s="1233">
        <f t="shared" si="5"/>
        <v>0</v>
      </c>
      <c r="L16" s="1125">
        <f t="shared" si="5"/>
        <v>0</v>
      </c>
      <c r="M16" s="1125">
        <f t="shared" si="5"/>
        <v>0</v>
      </c>
      <c r="N16" s="1125">
        <f t="shared" si="5"/>
        <v>0</v>
      </c>
      <c r="O16" s="1125">
        <f t="shared" si="5"/>
        <v>0</v>
      </c>
      <c r="P16" s="1125">
        <f t="shared" si="5"/>
        <v>0</v>
      </c>
      <c r="Q16" s="1233">
        <f t="shared" si="5"/>
        <v>0</v>
      </c>
      <c r="R16" s="1233">
        <f t="shared" si="5"/>
        <v>0</v>
      </c>
      <c r="S16" s="1125">
        <f t="shared" si="5"/>
        <v>0</v>
      </c>
      <c r="T16" s="1125">
        <f t="shared" si="5"/>
        <v>0</v>
      </c>
      <c r="U16" s="1125">
        <f t="shared" si="5"/>
        <v>0</v>
      </c>
      <c r="V16" s="1125">
        <f t="shared" si="5"/>
        <v>0</v>
      </c>
      <c r="W16" s="1125">
        <f t="shared" si="5"/>
        <v>0</v>
      </c>
      <c r="X16" s="1233">
        <f t="shared" si="5"/>
        <v>0</v>
      </c>
      <c r="Y16" s="1233">
        <f t="shared" si="5"/>
        <v>0</v>
      </c>
      <c r="Z16" s="1125">
        <f t="shared" si="5"/>
        <v>0</v>
      </c>
      <c r="AA16" s="1125">
        <f t="shared" si="5"/>
        <v>0</v>
      </c>
      <c r="AB16" s="1125">
        <f>SUM(AB10+AB12+AB13+AB14)/AB15</f>
        <v>0</v>
      </c>
      <c r="AC16" s="1125">
        <f>SUM(AC10+AC12+AC13+AC14)/AC15</f>
        <v>0</v>
      </c>
      <c r="AD16" s="1125">
        <f t="shared" si="5"/>
        <v>0</v>
      </c>
      <c r="AE16" s="1233">
        <f t="shared" si="5"/>
        <v>0</v>
      </c>
      <c r="AF16" s="1233">
        <f t="shared" si="5"/>
        <v>0</v>
      </c>
      <c r="AG16" s="1125">
        <f t="shared" si="5"/>
        <v>0</v>
      </c>
      <c r="AH16" s="1156">
        <f t="shared" si="5"/>
        <v>0</v>
      </c>
      <c r="AI16" s="1156">
        <f t="shared" si="5"/>
        <v>0</v>
      </c>
      <c r="AJ16" s="380">
        <f>SUM(E16:AI16)</f>
        <v>0</v>
      </c>
      <c r="AK16" s="1025">
        <f t="shared" si="0"/>
        <v>0</v>
      </c>
      <c r="AL16" s="419"/>
      <c r="AM16" s="1040">
        <f t="shared" si="1"/>
        <v>0</v>
      </c>
      <c r="AN16" s="382"/>
      <c r="AO16" s="622"/>
      <c r="AP16" s="391"/>
      <c r="AQ16" s="391"/>
      <c r="AR16" s="4"/>
      <c r="AS16" s="4"/>
      <c r="AT16" s="392"/>
      <c r="AU16" s="4"/>
      <c r="AV16" s="4"/>
    </row>
    <row r="17" spans="1:48" ht="21.75" hidden="1" customHeight="1">
      <c r="A17" s="376"/>
      <c r="B17" s="393"/>
      <c r="C17" s="383">
        <f>+C15*0.8</f>
        <v>60000</v>
      </c>
      <c r="D17" s="85" t="s">
        <v>110</v>
      </c>
      <c r="E17" s="1172"/>
      <c r="F17" s="1126"/>
      <c r="G17" s="1263"/>
      <c r="H17" s="1172"/>
      <c r="I17" s="1126"/>
      <c r="J17" s="1281"/>
      <c r="K17" s="1235"/>
      <c r="L17" s="1126"/>
      <c r="M17" s="1126"/>
      <c r="N17" s="1174"/>
      <c r="O17" s="1173"/>
      <c r="P17" s="1173"/>
      <c r="Q17" s="1281"/>
      <c r="R17" s="1281"/>
      <c r="S17" s="1173"/>
      <c r="T17" s="1107"/>
      <c r="U17" s="1173"/>
      <c r="V17" s="1173"/>
      <c r="W17" s="1173"/>
      <c r="X17" s="1281"/>
      <c r="Y17" s="1281"/>
      <c r="Z17" s="1155"/>
      <c r="AA17" s="1126"/>
      <c r="AB17" s="1173"/>
      <c r="AC17" s="1173"/>
      <c r="AD17" s="1175"/>
      <c r="AE17" s="1281"/>
      <c r="AF17" s="1281"/>
      <c r="AG17" s="1173"/>
      <c r="AH17" s="1173"/>
      <c r="AI17" s="1173"/>
      <c r="AJ17" s="394"/>
      <c r="AK17" s="1025">
        <f t="shared" si="0"/>
        <v>0</v>
      </c>
      <c r="AL17" s="419"/>
      <c r="AM17" s="1040">
        <f t="shared" si="1"/>
        <v>0</v>
      </c>
      <c r="AN17" s="382"/>
      <c r="AO17" s="622"/>
      <c r="AP17" s="391"/>
      <c r="AQ17" s="391"/>
      <c r="AR17" s="4"/>
      <c r="AS17" s="4"/>
      <c r="AT17" s="392"/>
      <c r="AU17" s="4"/>
      <c r="AV17" s="4"/>
    </row>
    <row r="18" spans="1:48" ht="21.75" hidden="1" customHeight="1">
      <c r="A18" s="376"/>
      <c r="B18" s="390"/>
      <c r="C18" s="387"/>
      <c r="D18" s="88" t="s">
        <v>111</v>
      </c>
      <c r="E18" s="1156">
        <f>IF(E17="O/H",E16,9656+E16)</f>
        <v>9656</v>
      </c>
      <c r="F18" s="1157">
        <f>IF(F17="O/H",F16,+E18+F16)</f>
        <v>9656</v>
      </c>
      <c r="G18" s="1264">
        <f t="shared" ref="G18:AI18" si="6">IF(G17="O/H",G16,+F18+G16)</f>
        <v>9656</v>
      </c>
      <c r="H18" s="1157">
        <f t="shared" si="6"/>
        <v>9656</v>
      </c>
      <c r="I18" s="1157">
        <f t="shared" si="6"/>
        <v>9656</v>
      </c>
      <c r="J18" s="1264">
        <f t="shared" si="6"/>
        <v>9656</v>
      </c>
      <c r="K18" s="1264">
        <f t="shared" si="6"/>
        <v>9656</v>
      </c>
      <c r="L18" s="1157">
        <f t="shared" si="6"/>
        <v>9656</v>
      </c>
      <c r="M18" s="1157">
        <f t="shared" si="6"/>
        <v>9656</v>
      </c>
      <c r="N18" s="1157">
        <f t="shared" si="6"/>
        <v>9656</v>
      </c>
      <c r="O18" s="1157">
        <f t="shared" si="6"/>
        <v>9656</v>
      </c>
      <c r="P18" s="1157">
        <f t="shared" si="6"/>
        <v>9656</v>
      </c>
      <c r="Q18" s="1264">
        <f t="shared" si="6"/>
        <v>9656</v>
      </c>
      <c r="R18" s="1264">
        <f t="shared" si="6"/>
        <v>9656</v>
      </c>
      <c r="S18" s="1157">
        <f t="shared" si="6"/>
        <v>9656</v>
      </c>
      <c r="T18" s="1157">
        <f t="shared" si="6"/>
        <v>9656</v>
      </c>
      <c r="U18" s="1157">
        <f t="shared" si="6"/>
        <v>9656</v>
      </c>
      <c r="V18" s="1157">
        <f t="shared" si="6"/>
        <v>9656</v>
      </c>
      <c r="W18" s="1157">
        <f t="shared" si="6"/>
        <v>9656</v>
      </c>
      <c r="X18" s="1264">
        <f t="shared" si="6"/>
        <v>9656</v>
      </c>
      <c r="Y18" s="1264">
        <f t="shared" si="6"/>
        <v>9656</v>
      </c>
      <c r="Z18" s="1157">
        <f t="shared" si="6"/>
        <v>9656</v>
      </c>
      <c r="AA18" s="1157">
        <f t="shared" si="6"/>
        <v>9656</v>
      </c>
      <c r="AB18" s="1157">
        <f t="shared" si="6"/>
        <v>9656</v>
      </c>
      <c r="AC18" s="1157">
        <f t="shared" si="6"/>
        <v>9656</v>
      </c>
      <c r="AD18" s="1157">
        <f t="shared" si="6"/>
        <v>9656</v>
      </c>
      <c r="AE18" s="1264">
        <f t="shared" si="6"/>
        <v>9656</v>
      </c>
      <c r="AF18" s="1264">
        <f t="shared" si="6"/>
        <v>9656</v>
      </c>
      <c r="AG18" s="1157">
        <f t="shared" si="6"/>
        <v>9656</v>
      </c>
      <c r="AH18" s="1157">
        <f t="shared" si="6"/>
        <v>9656</v>
      </c>
      <c r="AI18" s="1157">
        <f t="shared" si="6"/>
        <v>9656</v>
      </c>
      <c r="AJ18" s="394"/>
      <c r="AK18" s="1025">
        <f t="shared" si="0"/>
        <v>0</v>
      </c>
      <c r="AL18" s="419"/>
      <c r="AM18" s="1040">
        <f t="shared" si="1"/>
        <v>0</v>
      </c>
      <c r="AN18" s="382"/>
      <c r="AO18" s="622"/>
      <c r="AP18" s="391"/>
      <c r="AQ18" s="391"/>
      <c r="AR18" s="4"/>
      <c r="AS18" s="4"/>
      <c r="AT18" s="392"/>
      <c r="AU18" s="4"/>
      <c r="AV18" s="4"/>
    </row>
    <row r="19" spans="1:48" ht="21.75" hidden="1" customHeight="1">
      <c r="A19" s="376"/>
      <c r="B19" s="59"/>
      <c r="C19" s="387"/>
      <c r="D19" s="395" t="s">
        <v>435</v>
      </c>
      <c r="E19" s="1365"/>
      <c r="F19" s="1107"/>
      <c r="G19" s="1273"/>
      <c r="H19" s="1176"/>
      <c r="I19" s="1107"/>
      <c r="J19" s="1228"/>
      <c r="K19" s="1273"/>
      <c r="L19" s="1107"/>
      <c r="M19" s="1107"/>
      <c r="N19" s="1177"/>
      <c r="O19" s="1107"/>
      <c r="P19" s="1177"/>
      <c r="Q19" s="1228"/>
      <c r="R19" s="1228"/>
      <c r="S19" s="1107"/>
      <c r="T19" s="1107"/>
      <c r="U19" s="1107"/>
      <c r="V19" s="1107"/>
      <c r="W19" s="1107"/>
      <c r="X19" s="1228"/>
      <c r="Y19" s="1228"/>
      <c r="Z19" s="1155"/>
      <c r="AA19" s="1107"/>
      <c r="AB19" s="1107"/>
      <c r="AC19" s="1107"/>
      <c r="AD19" s="1107"/>
      <c r="AE19" s="1228"/>
      <c r="AF19" s="1228"/>
      <c r="AG19" s="1107"/>
      <c r="AH19" s="1107"/>
      <c r="AI19" s="1104"/>
      <c r="AJ19" s="396"/>
      <c r="AK19" s="1024">
        <f t="shared" si="0"/>
        <v>0</v>
      </c>
      <c r="AL19" s="420"/>
      <c r="AM19" s="1040">
        <f t="shared" si="1"/>
        <v>0</v>
      </c>
      <c r="AN19" s="382"/>
      <c r="AO19" s="622"/>
      <c r="AP19" s="391"/>
      <c r="AQ19" s="391"/>
    </row>
    <row r="20" spans="1:48" ht="21.75" hidden="1" customHeight="1">
      <c r="A20" s="376"/>
      <c r="B20" s="59"/>
      <c r="C20" s="387" t="s">
        <v>104</v>
      </c>
      <c r="D20" s="88" t="s">
        <v>111</v>
      </c>
      <c r="E20" s="1108">
        <f>IF(E19="O/H",E16,1150+E16)</f>
        <v>1150</v>
      </c>
      <c r="F20" s="1157">
        <f>IF(F19="O/H",F16,+E20+F16)</f>
        <v>1150</v>
      </c>
      <c r="G20" s="1264">
        <f t="shared" ref="G20:AI20" si="7">IF(G19="O/H",G16,+F20+G16)</f>
        <v>1150</v>
      </c>
      <c r="H20" s="1157">
        <f t="shared" si="7"/>
        <v>1150</v>
      </c>
      <c r="I20" s="1157">
        <f t="shared" si="7"/>
        <v>1150</v>
      </c>
      <c r="J20" s="1264">
        <f t="shared" si="7"/>
        <v>1150</v>
      </c>
      <c r="K20" s="1264">
        <f t="shared" si="7"/>
        <v>1150</v>
      </c>
      <c r="L20" s="1157">
        <f t="shared" si="7"/>
        <v>1150</v>
      </c>
      <c r="M20" s="1157">
        <f t="shared" si="7"/>
        <v>1150</v>
      </c>
      <c r="N20" s="1157">
        <f t="shared" si="7"/>
        <v>1150</v>
      </c>
      <c r="O20" s="1157">
        <f t="shared" si="7"/>
        <v>1150</v>
      </c>
      <c r="P20" s="1157">
        <f t="shared" si="7"/>
        <v>1150</v>
      </c>
      <c r="Q20" s="1264">
        <f t="shared" si="7"/>
        <v>1150</v>
      </c>
      <c r="R20" s="1264">
        <f t="shared" si="7"/>
        <v>1150</v>
      </c>
      <c r="S20" s="1157">
        <f t="shared" si="7"/>
        <v>1150</v>
      </c>
      <c r="T20" s="1157">
        <f t="shared" si="7"/>
        <v>1150</v>
      </c>
      <c r="U20" s="1157">
        <f t="shared" si="7"/>
        <v>1150</v>
      </c>
      <c r="V20" s="1157">
        <f t="shared" si="7"/>
        <v>1150</v>
      </c>
      <c r="W20" s="1157">
        <f t="shared" si="7"/>
        <v>1150</v>
      </c>
      <c r="X20" s="1264">
        <f t="shared" si="7"/>
        <v>1150</v>
      </c>
      <c r="Y20" s="1264">
        <f t="shared" si="7"/>
        <v>1150</v>
      </c>
      <c r="Z20" s="1157">
        <f t="shared" si="7"/>
        <v>1150</v>
      </c>
      <c r="AA20" s="1157">
        <f t="shared" si="7"/>
        <v>1150</v>
      </c>
      <c r="AB20" s="1157">
        <f t="shared" si="7"/>
        <v>1150</v>
      </c>
      <c r="AC20" s="1157">
        <f t="shared" si="7"/>
        <v>1150</v>
      </c>
      <c r="AD20" s="1157">
        <f t="shared" si="7"/>
        <v>1150</v>
      </c>
      <c r="AE20" s="1264">
        <f t="shared" si="7"/>
        <v>1150</v>
      </c>
      <c r="AF20" s="1264">
        <f t="shared" si="7"/>
        <v>1150</v>
      </c>
      <c r="AG20" s="1157">
        <f t="shared" si="7"/>
        <v>1150</v>
      </c>
      <c r="AH20" s="1157">
        <f t="shared" si="7"/>
        <v>1150</v>
      </c>
      <c r="AI20" s="1157">
        <f t="shared" si="7"/>
        <v>1150</v>
      </c>
      <c r="AJ20" s="396"/>
      <c r="AK20" s="1024">
        <f t="shared" si="0"/>
        <v>0</v>
      </c>
      <c r="AL20" s="420"/>
      <c r="AM20" s="1040">
        <f t="shared" si="1"/>
        <v>0</v>
      </c>
      <c r="AN20" s="382"/>
      <c r="AO20" s="622"/>
      <c r="AP20" s="391"/>
      <c r="AQ20" s="391"/>
    </row>
    <row r="21" spans="1:48" s="23" customFormat="1" ht="21.75" hidden="1" customHeight="1">
      <c r="A21" s="312"/>
      <c r="B21" s="312"/>
      <c r="C21" s="379">
        <v>150000</v>
      </c>
      <c r="D21" s="795" t="s">
        <v>112</v>
      </c>
      <c r="E21" s="1117" t="b">
        <f>IF(AND(ISNUMBER(E10)),822278+E16)</f>
        <v>0</v>
      </c>
      <c r="F21" s="1118" t="str">
        <f>IF(AND(ISNUMBER(F10)),E21+F16,"")</f>
        <v/>
      </c>
      <c r="G21" s="1216" t="str">
        <f>IF(AND(ISNUMBER(G10)),F21+G16,"")</f>
        <v/>
      </c>
      <c r="H21" s="1118" t="str">
        <f t="shared" ref="H21:AI21" si="8">IF(AND(ISNUMBER(H10)),G21+H16,"")</f>
        <v/>
      </c>
      <c r="I21" s="1118" t="str">
        <f t="shared" si="8"/>
        <v/>
      </c>
      <c r="J21" s="1216" t="str">
        <f t="shared" si="8"/>
        <v/>
      </c>
      <c r="K21" s="1216" t="str">
        <f t="shared" si="8"/>
        <v/>
      </c>
      <c r="L21" s="1118" t="str">
        <f t="shared" si="8"/>
        <v/>
      </c>
      <c r="M21" s="1118" t="str">
        <f t="shared" si="8"/>
        <v/>
      </c>
      <c r="N21" s="1118" t="str">
        <f t="shared" si="8"/>
        <v/>
      </c>
      <c r="O21" s="1118" t="str">
        <f t="shared" si="8"/>
        <v/>
      </c>
      <c r="P21" s="1118" t="str">
        <f t="shared" si="8"/>
        <v/>
      </c>
      <c r="Q21" s="1216" t="str">
        <f t="shared" si="8"/>
        <v/>
      </c>
      <c r="R21" s="1216" t="str">
        <f t="shared" si="8"/>
        <v/>
      </c>
      <c r="S21" s="1118" t="str">
        <f t="shared" si="8"/>
        <v/>
      </c>
      <c r="T21" s="1118" t="str">
        <f t="shared" si="8"/>
        <v/>
      </c>
      <c r="U21" s="1118" t="str">
        <f t="shared" si="8"/>
        <v/>
      </c>
      <c r="V21" s="1118" t="str">
        <f t="shared" si="8"/>
        <v/>
      </c>
      <c r="W21" s="1118" t="str">
        <f t="shared" si="8"/>
        <v/>
      </c>
      <c r="X21" s="1216" t="str">
        <f t="shared" si="8"/>
        <v/>
      </c>
      <c r="Y21" s="1216" t="str">
        <f t="shared" si="8"/>
        <v/>
      </c>
      <c r="Z21" s="1118" t="str">
        <f t="shared" si="8"/>
        <v/>
      </c>
      <c r="AA21" s="1118" t="str">
        <f t="shared" si="8"/>
        <v/>
      </c>
      <c r="AB21" s="1118" t="str">
        <f t="shared" si="8"/>
        <v/>
      </c>
      <c r="AC21" s="1118" t="str">
        <f t="shared" si="8"/>
        <v/>
      </c>
      <c r="AD21" s="1118" t="str">
        <f t="shared" si="8"/>
        <v/>
      </c>
      <c r="AE21" s="1216" t="str">
        <f t="shared" si="8"/>
        <v/>
      </c>
      <c r="AF21" s="1216" t="str">
        <f t="shared" si="8"/>
        <v/>
      </c>
      <c r="AG21" s="1118" t="str">
        <f t="shared" si="8"/>
        <v/>
      </c>
      <c r="AH21" s="1118" t="str">
        <f t="shared" si="8"/>
        <v/>
      </c>
      <c r="AI21" s="1089" t="str">
        <f t="shared" si="8"/>
        <v/>
      </c>
      <c r="AJ21" s="793"/>
      <c r="AK21" s="1026">
        <f t="shared" si="0"/>
        <v>0</v>
      </c>
      <c r="AL21" s="897"/>
      <c r="AM21" s="1042">
        <f t="shared" si="1"/>
        <v>0</v>
      </c>
      <c r="AN21" s="468"/>
      <c r="AO21" s="675"/>
      <c r="AP21" s="285"/>
      <c r="AQ21" s="285"/>
      <c r="AR21" s="285"/>
      <c r="AS21" s="285"/>
      <c r="AT21" s="286"/>
      <c r="AU21" s="285"/>
      <c r="AV21" s="287"/>
    </row>
    <row r="22" spans="1:48" ht="21.75" hidden="1" customHeight="1">
      <c r="A22" s="376"/>
      <c r="B22" s="393" t="s">
        <v>437</v>
      </c>
      <c r="C22" s="89" t="s">
        <v>108</v>
      </c>
      <c r="D22" s="90" t="s">
        <v>104</v>
      </c>
      <c r="E22" s="1365"/>
      <c r="F22" s="1107"/>
      <c r="G22" s="1228"/>
      <c r="H22" s="1176"/>
      <c r="I22" s="1107"/>
      <c r="J22" s="1228"/>
      <c r="K22" s="1273"/>
      <c r="L22" s="1107"/>
      <c r="M22" s="1107"/>
      <c r="N22" s="1177"/>
      <c r="O22" s="1107"/>
      <c r="P22" s="1177"/>
      <c r="Q22" s="1228"/>
      <c r="R22" s="1228"/>
      <c r="S22" s="1107"/>
      <c r="T22" s="1107"/>
      <c r="U22" s="1107"/>
      <c r="V22" s="1107"/>
      <c r="W22" s="1107"/>
      <c r="X22" s="1228"/>
      <c r="Y22" s="1228"/>
      <c r="Z22" s="1155"/>
      <c r="AA22" s="1107"/>
      <c r="AB22" s="1107"/>
      <c r="AC22" s="1107"/>
      <c r="AD22" s="1107"/>
      <c r="AE22" s="1228"/>
      <c r="AF22" s="1228"/>
      <c r="AG22" s="1107"/>
      <c r="AH22" s="1107"/>
      <c r="AI22" s="1104"/>
      <c r="AJ22" s="396"/>
      <c r="AK22" s="1024">
        <f t="shared" si="0"/>
        <v>300000</v>
      </c>
      <c r="AL22" s="420"/>
      <c r="AM22" s="1040">
        <f t="shared" si="1"/>
        <v>1614579.0000000002</v>
      </c>
      <c r="AN22" s="382"/>
      <c r="AO22" s="622"/>
      <c r="AP22" s="391"/>
      <c r="AQ22" s="391"/>
    </row>
    <row r="23" spans="1:48" ht="21.75" hidden="1" customHeight="1" thickBot="1">
      <c r="A23" s="397"/>
      <c r="B23" s="398"/>
      <c r="C23" s="407">
        <f>+C21*0.8</f>
        <v>120000</v>
      </c>
      <c r="D23" s="95" t="s">
        <v>111</v>
      </c>
      <c r="E23" s="1109">
        <f>IF(E22="O/H",E16,150473+E16)</f>
        <v>150473</v>
      </c>
      <c r="F23" s="1109">
        <f t="shared" ref="F23:K23" si="9">IF(F22="O/H",F16,150473+F16)</f>
        <v>150473</v>
      </c>
      <c r="G23" s="1200">
        <f t="shared" si="9"/>
        <v>150473</v>
      </c>
      <c r="H23" s="1109">
        <f t="shared" si="9"/>
        <v>150473</v>
      </c>
      <c r="I23" s="1109">
        <f t="shared" si="9"/>
        <v>150473</v>
      </c>
      <c r="J23" s="1200">
        <f t="shared" si="9"/>
        <v>150473</v>
      </c>
      <c r="K23" s="1200">
        <f t="shared" si="9"/>
        <v>150473</v>
      </c>
      <c r="L23" s="1109">
        <f t="shared" ref="L23" si="10">IF(L22="O/H",L16,150473+L16)</f>
        <v>150473</v>
      </c>
      <c r="M23" s="1109">
        <f t="shared" ref="M23" si="11">IF(M22="O/H",M16,150473+M16)</f>
        <v>150473</v>
      </c>
      <c r="N23" s="1109">
        <f t="shared" ref="N23" si="12">IF(N22="O/H",N16,150473+N16)</f>
        <v>150473</v>
      </c>
      <c r="O23" s="1109">
        <f t="shared" ref="O23" si="13">IF(O22="O/H",O16,150473+O16)</f>
        <v>150473</v>
      </c>
      <c r="P23" s="1109">
        <f t="shared" ref="P23:Q23" si="14">IF(P22="O/H",P16,150473+P16)</f>
        <v>150473</v>
      </c>
      <c r="Q23" s="1200">
        <f t="shared" si="14"/>
        <v>150473</v>
      </c>
      <c r="R23" s="1200">
        <f t="shared" ref="R23" si="15">IF(R22="O/H",R16,150473+R16)</f>
        <v>150473</v>
      </c>
      <c r="S23" s="1109">
        <f t="shared" ref="S23" si="16">IF(S22="O/H",S16,150473+S16)</f>
        <v>150473</v>
      </c>
      <c r="T23" s="1109">
        <f t="shared" ref="T23" si="17">IF(T22="O/H",T16,150473+T16)</f>
        <v>150473</v>
      </c>
      <c r="U23" s="1109">
        <f t="shared" ref="U23" si="18">IF(U22="O/H",U16,150473+U16)</f>
        <v>150473</v>
      </c>
      <c r="V23" s="1109">
        <f t="shared" ref="V23:W23" si="19">IF(V22="O/H",V16,150473+V16)</f>
        <v>150473</v>
      </c>
      <c r="W23" s="1109">
        <f t="shared" si="19"/>
        <v>150473</v>
      </c>
      <c r="X23" s="1200">
        <f t="shared" ref="X23" si="20">IF(X22="O/H",X16,150473+X16)</f>
        <v>150473</v>
      </c>
      <c r="Y23" s="1200">
        <f t="shared" ref="Y23" si="21">IF(Y22="O/H",Y16,150473+Y16)</f>
        <v>150473</v>
      </c>
      <c r="Z23" s="1109">
        <f t="shared" ref="Z23" si="22">IF(Z22="O/H",Z16,150473+Z16)</f>
        <v>150473</v>
      </c>
      <c r="AA23" s="1109">
        <f t="shared" ref="AA23" si="23">IF(AA22="O/H",AA16,150473+AA16)</f>
        <v>150473</v>
      </c>
      <c r="AB23" s="1109">
        <f t="shared" ref="AB23:AC23" si="24">IF(AB22="O/H",AB16,150473+AB16)</f>
        <v>150473</v>
      </c>
      <c r="AC23" s="1109">
        <f t="shared" si="24"/>
        <v>150473</v>
      </c>
      <c r="AD23" s="1109">
        <f t="shared" ref="AD23" si="25">IF(AD22="O/H",AD16,150473+AD16)</f>
        <v>150473</v>
      </c>
      <c r="AE23" s="1200">
        <f t="shared" ref="AE23" si="26">IF(AE22="O/H",AE16,150473+AE16)</f>
        <v>150473</v>
      </c>
      <c r="AF23" s="1200">
        <f t="shared" ref="AF23" si="27">IF(AF22="O/H",AF16,150473+AF16)</f>
        <v>150473</v>
      </c>
      <c r="AG23" s="1109">
        <f t="shared" ref="AG23" si="28">IF(AG22="O/H",AG16,150473+AG16)</f>
        <v>150473</v>
      </c>
      <c r="AH23" s="1109">
        <f t="shared" ref="AH23:AI23" si="29">IF(AH22="O/H",AH16,150473+AH16)</f>
        <v>150473</v>
      </c>
      <c r="AI23" s="1109">
        <f t="shared" si="29"/>
        <v>150473</v>
      </c>
      <c r="AJ23" s="399"/>
      <c r="AK23" s="1027">
        <f t="shared" si="0"/>
        <v>0</v>
      </c>
      <c r="AL23" s="421"/>
      <c r="AM23" s="1043">
        <f t="shared" si="1"/>
        <v>0</v>
      </c>
      <c r="AN23" s="894"/>
      <c r="AO23" s="625"/>
      <c r="AP23" s="391"/>
      <c r="AQ23" s="391"/>
    </row>
    <row r="24" spans="1:48" ht="19.5" customHeight="1" thickTop="1">
      <c r="A24" s="405" t="s">
        <v>591</v>
      </c>
      <c r="B24" s="411" t="s">
        <v>667</v>
      </c>
      <c r="C24" s="518" t="str">
        <f>Table37[[#This Row],[M/C No.]]</f>
        <v>R2(18ton)</v>
      </c>
      <c r="D24" s="37" t="s">
        <v>82</v>
      </c>
      <c r="E24" s="1095">
        <v>15000</v>
      </c>
      <c r="F24" s="1095">
        <v>15000</v>
      </c>
      <c r="G24" s="1194">
        <v>15000</v>
      </c>
      <c r="H24" s="1095">
        <v>15000</v>
      </c>
      <c r="I24" s="1095">
        <v>15000</v>
      </c>
      <c r="J24" s="1194">
        <v>15000</v>
      </c>
      <c r="K24" s="1194">
        <v>15000</v>
      </c>
      <c r="L24" s="1095">
        <v>15000</v>
      </c>
      <c r="M24" s="1095">
        <v>15000</v>
      </c>
      <c r="N24" s="1095">
        <v>15000</v>
      </c>
      <c r="O24" s="1095">
        <v>15000</v>
      </c>
      <c r="P24" s="1095">
        <v>15000</v>
      </c>
      <c r="Q24" s="1194">
        <v>15000</v>
      </c>
      <c r="R24" s="1194">
        <v>15000</v>
      </c>
      <c r="S24" s="1095">
        <v>15000</v>
      </c>
      <c r="T24" s="1095">
        <v>15000</v>
      </c>
      <c r="U24" s="1095">
        <v>0</v>
      </c>
      <c r="V24" s="1095">
        <v>0</v>
      </c>
      <c r="W24" s="1095">
        <v>6000</v>
      </c>
      <c r="X24" s="1194">
        <v>15000</v>
      </c>
      <c r="Y24" s="1194">
        <v>15000</v>
      </c>
      <c r="Z24" s="1095">
        <v>15000</v>
      </c>
      <c r="AA24" s="1095">
        <v>9000</v>
      </c>
      <c r="AB24" s="1095">
        <v>0</v>
      </c>
      <c r="AC24" s="1095">
        <v>0</v>
      </c>
      <c r="AD24" s="1095">
        <v>0</v>
      </c>
      <c r="AE24" s="1194">
        <v>0</v>
      </c>
      <c r="AF24" s="1194">
        <v>0</v>
      </c>
      <c r="AG24" s="1095">
        <v>0</v>
      </c>
      <c r="AH24" s="1095">
        <v>0</v>
      </c>
      <c r="AI24" s="1095"/>
      <c r="AJ24" s="375">
        <f>SUM(E24:AI24)</f>
        <v>300000</v>
      </c>
      <c r="AK24" s="1047">
        <f t="shared" si="0"/>
        <v>98280</v>
      </c>
      <c r="AL24" s="898">
        <f>+AJ24*AN24</f>
        <v>1614579.0000000002</v>
      </c>
      <c r="AM24" s="1050">
        <f t="shared" si="1"/>
        <v>528936.08040000009</v>
      </c>
      <c r="AN24" s="382">
        <v>5.3819300000000005</v>
      </c>
      <c r="AO24" s="622">
        <f>Table37[[#This Row],[Total]]*B28/1000</f>
        <v>808.2</v>
      </c>
      <c r="AP24" s="32" t="s">
        <v>438</v>
      </c>
      <c r="AQ24" s="33" t="s">
        <v>84</v>
      </c>
      <c r="AR24" s="33" t="s">
        <v>85</v>
      </c>
      <c r="AS24" s="33" t="s">
        <v>86</v>
      </c>
      <c r="AT24" s="33" t="s">
        <v>87</v>
      </c>
      <c r="AU24" s="33" t="s">
        <v>88</v>
      </c>
      <c r="AV24" s="34" t="s">
        <v>68</v>
      </c>
    </row>
    <row r="25" spans="1:48" ht="19.899999999999999" customHeight="1">
      <c r="A25" s="403"/>
      <c r="B25" s="393" t="s">
        <v>439</v>
      </c>
      <c r="C25" s="52" t="s">
        <v>95</v>
      </c>
      <c r="D25" s="37" t="s">
        <v>90</v>
      </c>
      <c r="E25" s="1323">
        <f>IF(E24="",0, E24/E31)</f>
        <v>3750</v>
      </c>
      <c r="F25" s="1096">
        <f t="shared" ref="F25:AI25" si="30">IF(F24="",0, E25+F24/F31)</f>
        <v>7500</v>
      </c>
      <c r="G25" s="1207">
        <f t="shared" si="30"/>
        <v>11250</v>
      </c>
      <c r="H25" s="1096">
        <f t="shared" si="30"/>
        <v>15000</v>
      </c>
      <c r="I25" s="1096">
        <f t="shared" si="30"/>
        <v>18750</v>
      </c>
      <c r="J25" s="1207">
        <f t="shared" si="30"/>
        <v>22500</v>
      </c>
      <c r="K25" s="1207">
        <f t="shared" si="30"/>
        <v>26250</v>
      </c>
      <c r="L25" s="1096">
        <f t="shared" si="30"/>
        <v>30000</v>
      </c>
      <c r="M25" s="1096">
        <f t="shared" si="30"/>
        <v>33750</v>
      </c>
      <c r="N25" s="1096">
        <f t="shared" si="30"/>
        <v>37500</v>
      </c>
      <c r="O25" s="1096">
        <f t="shared" si="30"/>
        <v>41250</v>
      </c>
      <c r="P25" s="1096">
        <f t="shared" si="30"/>
        <v>45000</v>
      </c>
      <c r="Q25" s="1207">
        <f t="shared" si="30"/>
        <v>48750</v>
      </c>
      <c r="R25" s="1207">
        <f t="shared" si="30"/>
        <v>52500</v>
      </c>
      <c r="S25" s="1096">
        <f t="shared" si="30"/>
        <v>56250</v>
      </c>
      <c r="T25" s="1096">
        <f t="shared" si="30"/>
        <v>60000</v>
      </c>
      <c r="U25" s="1096">
        <f t="shared" si="30"/>
        <v>60000</v>
      </c>
      <c r="V25" s="1096">
        <f t="shared" si="30"/>
        <v>60000</v>
      </c>
      <c r="W25" s="1096">
        <f t="shared" si="30"/>
        <v>61500</v>
      </c>
      <c r="X25" s="1207">
        <f t="shared" si="30"/>
        <v>65250</v>
      </c>
      <c r="Y25" s="1207">
        <f t="shared" si="30"/>
        <v>69000</v>
      </c>
      <c r="Z25" s="1096">
        <f t="shared" si="30"/>
        <v>72750</v>
      </c>
      <c r="AA25" s="1096">
        <f t="shared" si="30"/>
        <v>75000</v>
      </c>
      <c r="AB25" s="1096">
        <f t="shared" si="30"/>
        <v>75000</v>
      </c>
      <c r="AC25" s="1096">
        <f t="shared" si="30"/>
        <v>75000</v>
      </c>
      <c r="AD25" s="1096">
        <f t="shared" si="30"/>
        <v>75000</v>
      </c>
      <c r="AE25" s="1207">
        <f t="shared" si="30"/>
        <v>75000</v>
      </c>
      <c r="AF25" s="1207">
        <f t="shared" si="30"/>
        <v>75000</v>
      </c>
      <c r="AG25" s="1096">
        <f t="shared" si="30"/>
        <v>75000</v>
      </c>
      <c r="AH25" s="1096">
        <f t="shared" si="30"/>
        <v>75000</v>
      </c>
      <c r="AI25" s="1096">
        <f t="shared" si="30"/>
        <v>0</v>
      </c>
      <c r="AJ25" s="375"/>
      <c r="AK25" s="1023">
        <f t="shared" si="0"/>
        <v>-201720</v>
      </c>
      <c r="AL25" s="423"/>
      <c r="AM25" s="1040">
        <f t="shared" si="1"/>
        <v>-1085642.9196000001</v>
      </c>
      <c r="AN25" s="382"/>
      <c r="AO25" s="675"/>
      <c r="AP25" s="39" t="s">
        <v>91</v>
      </c>
      <c r="AQ25" s="40">
        <f>SUM(E24:H24)</f>
        <v>60000</v>
      </c>
      <c r="AR25" s="41">
        <f>SUM(I24:O24)</f>
        <v>105000</v>
      </c>
      <c r="AS25" s="41">
        <f>SUM(P24:V24)</f>
        <v>75000</v>
      </c>
      <c r="AT25" s="41">
        <f>SUM(W24:AC24)</f>
        <v>60000</v>
      </c>
      <c r="AU25" s="41">
        <f>SUM(AD24:AI24)</f>
        <v>0</v>
      </c>
      <c r="AV25" s="34">
        <f t="shared" ref="AV25:AV30" si="31">SUM(AQ25:AU25)</f>
        <v>300000</v>
      </c>
    </row>
    <row r="26" spans="1:48" ht="19.899999999999999" customHeight="1">
      <c r="A26" s="403"/>
      <c r="B26" s="393" t="s">
        <v>246</v>
      </c>
      <c r="C26" s="379">
        <v>60000</v>
      </c>
      <c r="D26" s="43" t="s">
        <v>93</v>
      </c>
      <c r="E26" s="1108">
        <v>0</v>
      </c>
      <c r="F26" s="1089">
        <v>0</v>
      </c>
      <c r="G26" s="44">
        <v>0</v>
      </c>
      <c r="H26" s="1089">
        <v>0</v>
      </c>
      <c r="I26" s="1089">
        <v>0</v>
      </c>
      <c r="J26" s="44">
        <v>0</v>
      </c>
      <c r="K26" s="44">
        <v>0</v>
      </c>
      <c r="L26" s="1089">
        <v>0</v>
      </c>
      <c r="M26" s="1089">
        <v>0</v>
      </c>
      <c r="N26" s="1089">
        <v>0</v>
      </c>
      <c r="O26" s="1089">
        <v>0</v>
      </c>
      <c r="P26" s="1089">
        <v>0</v>
      </c>
      <c r="Q26" s="44">
        <v>0</v>
      </c>
      <c r="R26" s="44">
        <v>0</v>
      </c>
      <c r="S26" s="1089">
        <v>0</v>
      </c>
      <c r="T26" s="1089">
        <v>0</v>
      </c>
      <c r="U26" s="1089">
        <v>6480</v>
      </c>
      <c r="V26" s="1089">
        <v>15120</v>
      </c>
      <c r="W26" s="1089">
        <v>16200</v>
      </c>
      <c r="X26" s="44">
        <v>16200</v>
      </c>
      <c r="Y26" s="44">
        <v>15120</v>
      </c>
      <c r="Z26" s="1089">
        <v>16200</v>
      </c>
      <c r="AA26" s="1089">
        <v>12960</v>
      </c>
      <c r="AB26" s="1089"/>
      <c r="AC26" s="1089"/>
      <c r="AD26" s="1089"/>
      <c r="AE26" s="44"/>
      <c r="AF26" s="44"/>
      <c r="AG26" s="1089"/>
      <c r="AH26" s="1089"/>
      <c r="AI26" s="1089"/>
      <c r="AJ26" s="380">
        <f>SUM(E26:AI26)</f>
        <v>98280</v>
      </c>
      <c r="AK26" s="1024">
        <f t="shared" si="0"/>
        <v>11952</v>
      </c>
      <c r="AL26" s="424">
        <f>+AJ26*AN24</f>
        <v>528936.08040000009</v>
      </c>
      <c r="AM26" s="1041">
        <f t="shared" si="1"/>
        <v>64324.827360000003</v>
      </c>
      <c r="AN26" s="382"/>
      <c r="AO26" s="632">
        <f>(AJ26+AJ28+AJ29+AJ30)*B28/1000</f>
        <v>302.33684399999999</v>
      </c>
      <c r="AP26" s="47" t="s">
        <v>94</v>
      </c>
      <c r="AQ26" s="48">
        <f>SUM(E26:H26)</f>
        <v>0</v>
      </c>
      <c r="AR26" s="49">
        <f>SUM(I26:O26)</f>
        <v>0</v>
      </c>
      <c r="AS26" s="49">
        <f>SUM(P26:V26)</f>
        <v>21600</v>
      </c>
      <c r="AT26" s="49">
        <f>SUM(W26:AC26)</f>
        <v>76680</v>
      </c>
      <c r="AU26" s="49">
        <f>SUM(AD26:AI26)</f>
        <v>0</v>
      </c>
      <c r="AV26" s="50">
        <f t="shared" si="31"/>
        <v>98280</v>
      </c>
    </row>
    <row r="27" spans="1:48" ht="19.899999999999999" customHeight="1">
      <c r="A27" s="403"/>
      <c r="B27" s="767" t="s">
        <v>247</v>
      </c>
      <c r="C27" s="89" t="s">
        <v>108</v>
      </c>
      <c r="D27" s="53" t="s">
        <v>96</v>
      </c>
      <c r="E27" s="1137">
        <f t="shared" ref="E27:AJ27" si="32">+E26-E24</f>
        <v>-15000</v>
      </c>
      <c r="F27" s="1097">
        <f t="shared" si="32"/>
        <v>-15000</v>
      </c>
      <c r="G27" s="1205">
        <f t="shared" si="32"/>
        <v>-15000</v>
      </c>
      <c r="H27" s="1097">
        <f t="shared" si="32"/>
        <v>-15000</v>
      </c>
      <c r="I27" s="1097">
        <f t="shared" si="32"/>
        <v>-15000</v>
      </c>
      <c r="J27" s="1205">
        <f t="shared" si="32"/>
        <v>-15000</v>
      </c>
      <c r="K27" s="1205">
        <f t="shared" si="32"/>
        <v>-15000</v>
      </c>
      <c r="L27" s="1097">
        <f t="shared" si="32"/>
        <v>-15000</v>
      </c>
      <c r="M27" s="1097">
        <f t="shared" si="32"/>
        <v>-15000</v>
      </c>
      <c r="N27" s="1097">
        <f t="shared" si="32"/>
        <v>-15000</v>
      </c>
      <c r="O27" s="1097">
        <f t="shared" si="32"/>
        <v>-15000</v>
      </c>
      <c r="P27" s="1097">
        <f t="shared" si="32"/>
        <v>-15000</v>
      </c>
      <c r="Q27" s="1205">
        <f t="shared" si="32"/>
        <v>-15000</v>
      </c>
      <c r="R27" s="1205">
        <f t="shared" si="32"/>
        <v>-15000</v>
      </c>
      <c r="S27" s="1097">
        <f t="shared" si="32"/>
        <v>-15000</v>
      </c>
      <c r="T27" s="1097">
        <f t="shared" si="32"/>
        <v>-15000</v>
      </c>
      <c r="U27" s="1097">
        <f t="shared" si="32"/>
        <v>6480</v>
      </c>
      <c r="V27" s="1097">
        <f t="shared" si="32"/>
        <v>15120</v>
      </c>
      <c r="W27" s="1097">
        <f t="shared" si="32"/>
        <v>10200</v>
      </c>
      <c r="X27" s="1205">
        <f t="shared" si="32"/>
        <v>1200</v>
      </c>
      <c r="Y27" s="1205">
        <f t="shared" si="32"/>
        <v>120</v>
      </c>
      <c r="Z27" s="1097">
        <f t="shared" si="32"/>
        <v>1200</v>
      </c>
      <c r="AA27" s="1097">
        <f t="shared" si="32"/>
        <v>3960</v>
      </c>
      <c r="AB27" s="1097">
        <f t="shared" si="32"/>
        <v>0</v>
      </c>
      <c r="AC27" s="1097">
        <f t="shared" si="32"/>
        <v>0</v>
      </c>
      <c r="AD27" s="1097">
        <f t="shared" si="32"/>
        <v>0</v>
      </c>
      <c r="AE27" s="1205">
        <f t="shared" si="32"/>
        <v>0</v>
      </c>
      <c r="AF27" s="1205">
        <f ca="1">+F24+Table37[[#This Row],[Column244]]</f>
        <v>0</v>
      </c>
      <c r="AG27" s="1097">
        <f t="shared" si="32"/>
        <v>0</v>
      </c>
      <c r="AH27" s="1097">
        <f t="shared" si="32"/>
        <v>0</v>
      </c>
      <c r="AI27" s="1097">
        <f t="shared" si="32"/>
        <v>0</v>
      </c>
      <c r="AJ27" s="381">
        <f t="shared" si="32"/>
        <v>-201720</v>
      </c>
      <c r="AK27" s="1024">
        <f t="shared" si="0"/>
        <v>1506</v>
      </c>
      <c r="AL27" s="425">
        <f>+AJ27*AN24</f>
        <v>-1085642.9196000001</v>
      </c>
      <c r="AM27" s="1041">
        <f t="shared" si="1"/>
        <v>8105.1865800000005</v>
      </c>
      <c r="AN27" s="382" t="s">
        <v>97</v>
      </c>
      <c r="AO27" s="622"/>
      <c r="AP27" s="39" t="s">
        <v>98</v>
      </c>
      <c r="AQ27" s="56">
        <f>AQ26-AQ25</f>
        <v>-60000</v>
      </c>
      <c r="AR27" s="70">
        <f>AR26-AR25</f>
        <v>-105000</v>
      </c>
      <c r="AS27" s="70">
        <f>AS26-AS25</f>
        <v>-53400</v>
      </c>
      <c r="AT27" s="70">
        <f>AT26-AT25</f>
        <v>16680</v>
      </c>
      <c r="AU27" s="70">
        <f>AU26-AU25</f>
        <v>0</v>
      </c>
      <c r="AV27" s="57">
        <f t="shared" si="31"/>
        <v>-201720</v>
      </c>
    </row>
    <row r="28" spans="1:48" ht="19.899999999999999" customHeight="1">
      <c r="A28" s="403"/>
      <c r="B28" s="769">
        <v>2.694</v>
      </c>
      <c r="C28" s="383">
        <f>+C26*0.8</f>
        <v>48000</v>
      </c>
      <c r="D28" s="61" t="s">
        <v>101</v>
      </c>
      <c r="E28" s="1098">
        <f>200+180</f>
        <v>380</v>
      </c>
      <c r="F28" s="1099">
        <v>420</v>
      </c>
      <c r="G28" s="1208">
        <v>0</v>
      </c>
      <c r="H28" s="1099">
        <f>320+516</f>
        <v>836</v>
      </c>
      <c r="I28" s="1099">
        <f>600+380</f>
        <v>980</v>
      </c>
      <c r="J28" s="1208">
        <v>0</v>
      </c>
      <c r="K28" s="1208">
        <v>0</v>
      </c>
      <c r="L28" s="1099">
        <f>420+180</f>
        <v>600</v>
      </c>
      <c r="M28" s="1099">
        <f>200+320</f>
        <v>520</v>
      </c>
      <c r="N28" s="1099">
        <f>400+660</f>
        <v>1060</v>
      </c>
      <c r="O28" s="1099">
        <f>680+1464</f>
        <v>2144</v>
      </c>
      <c r="P28" s="1099">
        <f>520+1184</f>
        <v>1704</v>
      </c>
      <c r="Q28" s="1208">
        <v>0</v>
      </c>
      <c r="R28" s="1208">
        <v>0</v>
      </c>
      <c r="S28" s="1099">
        <f>520+1068</f>
        <v>1588</v>
      </c>
      <c r="T28" s="1099">
        <f>200+260</f>
        <v>460</v>
      </c>
      <c r="U28" s="1099">
        <f>400+300</f>
        <v>700</v>
      </c>
      <c r="V28" s="1099">
        <v>160</v>
      </c>
      <c r="W28" s="1099">
        <v>40</v>
      </c>
      <c r="X28" s="1208">
        <v>40</v>
      </c>
      <c r="Y28" s="1208">
        <v>120</v>
      </c>
      <c r="Z28" s="1099">
        <v>0</v>
      </c>
      <c r="AA28" s="1099">
        <f>120+80</f>
        <v>200</v>
      </c>
      <c r="AB28" s="1099"/>
      <c r="AC28" s="1099"/>
      <c r="AD28" s="1099"/>
      <c r="AE28" s="1208"/>
      <c r="AF28" s="1208"/>
      <c r="AG28" s="1099"/>
      <c r="AH28" s="1099"/>
      <c r="AI28" s="1099"/>
      <c r="AJ28" s="384">
        <f>SUM(E28:AI28)</f>
        <v>11952</v>
      </c>
      <c r="AK28" s="1024">
        <f t="shared" si="0"/>
        <v>488</v>
      </c>
      <c r="AL28" s="420">
        <f>+AJ28*AN24</f>
        <v>64324.827360000003</v>
      </c>
      <c r="AM28" s="1040">
        <f t="shared" si="1"/>
        <v>2626.3818400000005</v>
      </c>
      <c r="AN28" s="404">
        <f>+AJ28/AJ26*100</f>
        <v>12.161172161172161</v>
      </c>
      <c r="AO28" s="635">
        <f>AO26/AO24</f>
        <v>0.37408666666666662</v>
      </c>
      <c r="AP28" s="39" t="s">
        <v>102</v>
      </c>
      <c r="AQ28" s="56">
        <f>SUM(E28:H28)</f>
        <v>1636</v>
      </c>
      <c r="AR28" s="70">
        <f>SUM(I28:O28)</f>
        <v>5304</v>
      </c>
      <c r="AS28" s="70">
        <f>SUM(P28:V28)</f>
        <v>4612</v>
      </c>
      <c r="AT28" s="70">
        <f>SUM(W28:AC28)</f>
        <v>400</v>
      </c>
      <c r="AU28" s="70">
        <f>SUM(AD28:AI28)</f>
        <v>0</v>
      </c>
      <c r="AV28" s="57">
        <f t="shared" si="31"/>
        <v>11952</v>
      </c>
    </row>
    <row r="29" spans="1:48" ht="19.899999999999999" customHeight="1">
      <c r="A29" s="403"/>
      <c r="B29" s="334" t="s">
        <v>30</v>
      </c>
      <c r="C29" s="387"/>
      <c r="D29" s="67" t="s">
        <v>103</v>
      </c>
      <c r="E29" s="1100">
        <v>0</v>
      </c>
      <c r="F29" s="1101">
        <v>0</v>
      </c>
      <c r="G29" s="1209">
        <v>0</v>
      </c>
      <c r="H29" s="1101">
        <v>0</v>
      </c>
      <c r="I29" s="1101">
        <v>0</v>
      </c>
      <c r="J29" s="1209">
        <v>0</v>
      </c>
      <c r="K29" s="1209">
        <v>0</v>
      </c>
      <c r="L29" s="1101">
        <v>0</v>
      </c>
      <c r="M29" s="1101">
        <v>0</v>
      </c>
      <c r="N29" s="1101">
        <v>0</v>
      </c>
      <c r="O29" s="1101">
        <v>0</v>
      </c>
      <c r="P29" s="1101">
        <v>0</v>
      </c>
      <c r="Q29" s="1209">
        <v>0</v>
      </c>
      <c r="R29" s="1209">
        <v>0</v>
      </c>
      <c r="S29" s="1101">
        <v>0</v>
      </c>
      <c r="T29" s="1101">
        <v>0</v>
      </c>
      <c r="U29" s="1101">
        <v>60</v>
      </c>
      <c r="V29" s="1101">
        <v>240</v>
      </c>
      <c r="W29" s="1101">
        <v>222</v>
      </c>
      <c r="X29" s="1209">
        <v>330</v>
      </c>
      <c r="Y29" s="1209">
        <v>222</v>
      </c>
      <c r="Z29" s="1101">
        <v>222</v>
      </c>
      <c r="AA29" s="1101">
        <v>210</v>
      </c>
      <c r="AB29" s="1101"/>
      <c r="AC29" s="1101"/>
      <c r="AD29" s="1101"/>
      <c r="AE29" s="1209"/>
      <c r="AF29" s="1209"/>
      <c r="AG29" s="1101"/>
      <c r="AH29" s="1101"/>
      <c r="AI29" s="1101"/>
      <c r="AJ29" s="386">
        <f>SUM(E29:AI29)</f>
        <v>1506</v>
      </c>
      <c r="AK29" s="1024">
        <f t="shared" si="0"/>
        <v>0</v>
      </c>
      <c r="AL29" s="426">
        <f>+AJ29*AN24</f>
        <v>8105.1865800000005</v>
      </c>
      <c r="AM29" s="1040">
        <f t="shared" si="1"/>
        <v>0</v>
      </c>
      <c r="AN29" s="382"/>
      <c r="AO29" s="622"/>
      <c r="AP29" s="39" t="s">
        <v>19</v>
      </c>
      <c r="AQ29" s="56">
        <f>AQ28*AN24</f>
        <v>8804.8374800000001</v>
      </c>
      <c r="AR29" s="56">
        <f>AR28*AN24</f>
        <v>28545.756720000001</v>
      </c>
      <c r="AS29" s="56">
        <f>AS28*AN24</f>
        <v>24821.461160000003</v>
      </c>
      <c r="AT29" s="56">
        <f>AT28*AN24</f>
        <v>2152.7720000000004</v>
      </c>
      <c r="AU29" s="56">
        <f>AU28*AN24</f>
        <v>0</v>
      </c>
      <c r="AV29" s="57">
        <f t="shared" si="31"/>
        <v>64324.827359999996</v>
      </c>
    </row>
    <row r="30" spans="1:48" ht="19.899999999999999" customHeight="1">
      <c r="A30" s="403"/>
      <c r="B30" s="65"/>
      <c r="C30" s="387" t="s">
        <v>435</v>
      </c>
      <c r="D30" s="73" t="s">
        <v>105</v>
      </c>
      <c r="E30" s="1102">
        <v>0</v>
      </c>
      <c r="F30" s="1103">
        <v>0</v>
      </c>
      <c r="G30" s="1210">
        <v>0</v>
      </c>
      <c r="H30" s="1103">
        <v>0</v>
      </c>
      <c r="I30" s="1103">
        <v>0</v>
      </c>
      <c r="J30" s="1210">
        <v>0</v>
      </c>
      <c r="K30" s="1210">
        <v>0</v>
      </c>
      <c r="L30" s="1103">
        <v>0</v>
      </c>
      <c r="M30" s="1103">
        <v>0</v>
      </c>
      <c r="N30" s="1103">
        <v>0</v>
      </c>
      <c r="O30" s="1103">
        <v>0</v>
      </c>
      <c r="P30" s="1103">
        <v>0</v>
      </c>
      <c r="Q30" s="1210">
        <v>0</v>
      </c>
      <c r="R30" s="1210">
        <v>0</v>
      </c>
      <c r="S30" s="1103">
        <v>0</v>
      </c>
      <c r="T30" s="1103">
        <v>0</v>
      </c>
      <c r="U30" s="1103">
        <v>40</v>
      </c>
      <c r="V30" s="1103">
        <v>80</v>
      </c>
      <c r="W30" s="1103">
        <v>80</v>
      </c>
      <c r="X30" s="1210">
        <v>96</v>
      </c>
      <c r="Y30" s="1210">
        <v>96</v>
      </c>
      <c r="Z30" s="1103">
        <v>32</v>
      </c>
      <c r="AA30" s="1103">
        <v>64</v>
      </c>
      <c r="AB30" s="1103"/>
      <c r="AC30" s="1103"/>
      <c r="AD30" s="1103"/>
      <c r="AE30" s="1210"/>
      <c r="AF30" s="1210"/>
      <c r="AG30" s="1103"/>
      <c r="AH30" s="1103"/>
      <c r="AI30" s="1103"/>
      <c r="AJ30" s="388">
        <f>SUM(E30:AI30)</f>
        <v>488</v>
      </c>
      <c r="AK30" s="1024">
        <f t="shared" si="0"/>
        <v>28056.5</v>
      </c>
      <c r="AL30" s="427">
        <f>+AJ30*AN24</f>
        <v>2626.3818400000005</v>
      </c>
      <c r="AM30" s="1040">
        <f t="shared" si="1"/>
        <v>0</v>
      </c>
      <c r="AN30" s="382"/>
      <c r="AO30" s="622"/>
      <c r="AP30" s="47" t="s">
        <v>106</v>
      </c>
      <c r="AQ30" s="48">
        <f>AQ26*AN24</f>
        <v>0</v>
      </c>
      <c r="AR30" s="48">
        <f>AR26*AN24</f>
        <v>0</v>
      </c>
      <c r="AS30" s="48">
        <f>AS26*AN24</f>
        <v>116249.68800000001</v>
      </c>
      <c r="AT30" s="48">
        <f>AT26*AN24</f>
        <v>412686.39240000007</v>
      </c>
      <c r="AU30" s="48">
        <f>AU26*AN24</f>
        <v>0</v>
      </c>
      <c r="AV30" s="50">
        <f t="shared" si="31"/>
        <v>528936.08040000009</v>
      </c>
    </row>
    <row r="31" spans="1:48" ht="19.899999999999999" customHeight="1">
      <c r="A31" s="403"/>
      <c r="B31" s="390"/>
      <c r="C31" s="379">
        <v>50000</v>
      </c>
      <c r="D31" s="78" t="s">
        <v>107</v>
      </c>
      <c r="E31" s="1137">
        <v>4</v>
      </c>
      <c r="F31" s="1097">
        <v>4</v>
      </c>
      <c r="G31" s="1205">
        <v>4</v>
      </c>
      <c r="H31" s="1097">
        <v>4</v>
      </c>
      <c r="I31" s="1097">
        <v>4</v>
      </c>
      <c r="J31" s="1205">
        <v>4</v>
      </c>
      <c r="K31" s="1205">
        <v>4</v>
      </c>
      <c r="L31" s="1097">
        <v>4</v>
      </c>
      <c r="M31" s="1097">
        <v>4</v>
      </c>
      <c r="N31" s="1097">
        <v>4</v>
      </c>
      <c r="O31" s="1097">
        <v>4</v>
      </c>
      <c r="P31" s="1097">
        <v>4</v>
      </c>
      <c r="Q31" s="1205">
        <v>4</v>
      </c>
      <c r="R31" s="1205">
        <v>4</v>
      </c>
      <c r="S31" s="1097">
        <v>4</v>
      </c>
      <c r="T31" s="1097">
        <v>4</v>
      </c>
      <c r="U31" s="1097">
        <v>4</v>
      </c>
      <c r="V31" s="1097">
        <v>4</v>
      </c>
      <c r="W31" s="1097">
        <v>4</v>
      </c>
      <c r="X31" s="1205">
        <v>4</v>
      </c>
      <c r="Y31" s="1205">
        <v>4</v>
      </c>
      <c r="Z31" s="1097">
        <v>4</v>
      </c>
      <c r="AA31" s="1097">
        <v>4</v>
      </c>
      <c r="AB31" s="1097">
        <v>4</v>
      </c>
      <c r="AC31" s="1097">
        <v>4</v>
      </c>
      <c r="AD31" s="1097">
        <v>4</v>
      </c>
      <c r="AE31" s="1205">
        <v>4</v>
      </c>
      <c r="AF31" s="1205">
        <v>4</v>
      </c>
      <c r="AG31" s="1097">
        <v>4</v>
      </c>
      <c r="AH31" s="1097">
        <v>4</v>
      </c>
      <c r="AI31" s="1097">
        <v>4</v>
      </c>
      <c r="AJ31" s="381"/>
      <c r="AK31" s="1024">
        <f t="shared" si="0"/>
        <v>0</v>
      </c>
      <c r="AL31" s="426"/>
      <c r="AM31" s="1040">
        <f t="shared" si="1"/>
        <v>0</v>
      </c>
      <c r="AN31" s="382"/>
      <c r="AO31" s="622"/>
      <c r="AP31" s="391"/>
      <c r="AQ31" s="391"/>
      <c r="AR31" s="4"/>
      <c r="AS31" s="4"/>
      <c r="AT31" s="392"/>
      <c r="AU31" s="4"/>
      <c r="AV31" s="4"/>
    </row>
    <row r="32" spans="1:48" ht="19.899999999999999" customHeight="1">
      <c r="A32" s="405"/>
      <c r="B32" s="390"/>
      <c r="C32" s="89" t="s">
        <v>108</v>
      </c>
      <c r="D32" s="81" t="s">
        <v>109</v>
      </c>
      <c r="E32" s="1125">
        <f>SUM(E26+E28+E29+E30)/E31</f>
        <v>95</v>
      </c>
      <c r="F32" s="1125">
        <f t="shared" ref="F32:AI32" si="33">SUM(F26+F28+F29+F30)/F31</f>
        <v>105</v>
      </c>
      <c r="G32" s="1233">
        <f t="shared" si="33"/>
        <v>0</v>
      </c>
      <c r="H32" s="1125">
        <f t="shared" si="33"/>
        <v>209</v>
      </c>
      <c r="I32" s="1125">
        <f t="shared" si="33"/>
        <v>245</v>
      </c>
      <c r="J32" s="1233">
        <f t="shared" si="33"/>
        <v>0</v>
      </c>
      <c r="K32" s="1233">
        <f t="shared" si="33"/>
        <v>0</v>
      </c>
      <c r="L32" s="1125">
        <f t="shared" si="33"/>
        <v>150</v>
      </c>
      <c r="M32" s="1125">
        <f t="shared" si="33"/>
        <v>130</v>
      </c>
      <c r="N32" s="1125">
        <f t="shared" si="33"/>
        <v>265</v>
      </c>
      <c r="O32" s="1125">
        <f t="shared" si="33"/>
        <v>536</v>
      </c>
      <c r="P32" s="1125">
        <f t="shared" si="33"/>
        <v>426</v>
      </c>
      <c r="Q32" s="1233">
        <f t="shared" si="33"/>
        <v>0</v>
      </c>
      <c r="R32" s="1233">
        <f t="shared" si="33"/>
        <v>0</v>
      </c>
      <c r="S32" s="1125">
        <f t="shared" si="33"/>
        <v>397</v>
      </c>
      <c r="T32" s="1125">
        <f t="shared" si="33"/>
        <v>115</v>
      </c>
      <c r="U32" s="1125">
        <f t="shared" si="33"/>
        <v>1820</v>
      </c>
      <c r="V32" s="1125">
        <f t="shared" si="33"/>
        <v>3900</v>
      </c>
      <c r="W32" s="1125">
        <f t="shared" si="33"/>
        <v>4135.5</v>
      </c>
      <c r="X32" s="1233">
        <f t="shared" si="33"/>
        <v>4166.5</v>
      </c>
      <c r="Y32" s="1233">
        <f t="shared" si="33"/>
        <v>3889.5</v>
      </c>
      <c r="Z32" s="1125">
        <f t="shared" si="33"/>
        <v>4113.5</v>
      </c>
      <c r="AA32" s="1125">
        <f t="shared" si="33"/>
        <v>3358.5</v>
      </c>
      <c r="AB32" s="1125">
        <f t="shared" si="33"/>
        <v>0</v>
      </c>
      <c r="AC32" s="1125">
        <f t="shared" si="33"/>
        <v>0</v>
      </c>
      <c r="AD32" s="1125">
        <f t="shared" si="33"/>
        <v>0</v>
      </c>
      <c r="AE32" s="1233">
        <f t="shared" si="33"/>
        <v>0</v>
      </c>
      <c r="AF32" s="1233">
        <f t="shared" si="33"/>
        <v>0</v>
      </c>
      <c r="AG32" s="1125">
        <f t="shared" si="33"/>
        <v>0</v>
      </c>
      <c r="AH32" s="1125">
        <f t="shared" si="33"/>
        <v>0</v>
      </c>
      <c r="AI32" s="1125">
        <f t="shared" si="33"/>
        <v>0</v>
      </c>
      <c r="AJ32" s="380">
        <f>SUM(E32:AI32)</f>
        <v>28056.5</v>
      </c>
      <c r="AK32" s="1025">
        <f t="shared" si="0"/>
        <v>0</v>
      </c>
      <c r="AL32" s="419"/>
      <c r="AM32" s="1040">
        <f t="shared" si="1"/>
        <v>0</v>
      </c>
      <c r="AN32" s="382"/>
      <c r="AO32" s="622"/>
      <c r="AP32" s="391"/>
      <c r="AQ32" s="391"/>
      <c r="AR32" s="4"/>
      <c r="AS32" s="4"/>
      <c r="AT32" s="392"/>
      <c r="AU32" s="4"/>
      <c r="AV32" s="4"/>
    </row>
    <row r="33" spans="1:48" ht="19.899999999999999" customHeight="1">
      <c r="A33" s="403"/>
      <c r="B33" s="390"/>
      <c r="C33" s="383">
        <f>+C31*0.8</f>
        <v>40000</v>
      </c>
      <c r="D33" s="85" t="s">
        <v>110</v>
      </c>
      <c r="E33" s="1366"/>
      <c r="F33" s="1172"/>
      <c r="G33" s="1263"/>
      <c r="H33" s="1172"/>
      <c r="I33" s="1172"/>
      <c r="J33" s="1281"/>
      <c r="K33" s="1263"/>
      <c r="L33" s="1172"/>
      <c r="M33" s="1172"/>
      <c r="N33" s="1174"/>
      <c r="O33" s="1172"/>
      <c r="P33" s="1173"/>
      <c r="Q33" s="1281"/>
      <c r="R33" s="1281"/>
      <c r="S33" s="1173"/>
      <c r="T33" s="1107"/>
      <c r="U33" s="1173"/>
      <c r="V33" s="1173"/>
      <c r="W33" s="1172"/>
      <c r="X33" s="1281"/>
      <c r="Y33" s="1263"/>
      <c r="Z33" s="1155"/>
      <c r="AA33" s="1173"/>
      <c r="AB33" s="1173"/>
      <c r="AC33" s="1173"/>
      <c r="AD33" s="1173"/>
      <c r="AE33" s="1281"/>
      <c r="AF33" s="1281"/>
      <c r="AG33" s="1173"/>
      <c r="AH33" s="1173"/>
      <c r="AI33" s="1173"/>
      <c r="AJ33" s="394"/>
      <c r="AK33" s="1025">
        <f t="shared" si="0"/>
        <v>0</v>
      </c>
      <c r="AL33" s="419"/>
      <c r="AM33" s="1040">
        <f t="shared" si="1"/>
        <v>0</v>
      </c>
      <c r="AN33" s="382"/>
      <c r="AO33" s="622"/>
      <c r="AP33" s="391"/>
      <c r="AQ33" s="391"/>
      <c r="AR33" s="4"/>
      <c r="AS33" s="4"/>
      <c r="AT33" s="392"/>
      <c r="AU33" s="4"/>
      <c r="AV33" s="4"/>
    </row>
    <row r="34" spans="1:48" ht="19.899999999999999" customHeight="1">
      <c r="A34" s="403"/>
      <c r="B34" s="390"/>
      <c r="C34" s="379"/>
      <c r="D34" s="88" t="s">
        <v>111</v>
      </c>
      <c r="E34" s="1156">
        <f>IF(E33="O/H",E32,1616+E32)</f>
        <v>1711</v>
      </c>
      <c r="F34" s="1157">
        <f>IF(F33="O/H",F32,+E34+F32)</f>
        <v>1816</v>
      </c>
      <c r="G34" s="1264">
        <f t="shared" ref="G34:AI34" si="34">IF(G33="O/H",G32,+F34+G32)</f>
        <v>1816</v>
      </c>
      <c r="H34" s="1157">
        <f t="shared" si="34"/>
        <v>2025</v>
      </c>
      <c r="I34" s="1157">
        <f t="shared" si="34"/>
        <v>2270</v>
      </c>
      <c r="J34" s="1264">
        <f t="shared" si="34"/>
        <v>2270</v>
      </c>
      <c r="K34" s="1264">
        <f t="shared" si="34"/>
        <v>2270</v>
      </c>
      <c r="L34" s="1157">
        <f t="shared" si="34"/>
        <v>2420</v>
      </c>
      <c r="M34" s="1157">
        <f t="shared" si="34"/>
        <v>2550</v>
      </c>
      <c r="N34" s="1157">
        <f t="shared" si="34"/>
        <v>2815</v>
      </c>
      <c r="O34" s="1157">
        <f t="shared" si="34"/>
        <v>3351</v>
      </c>
      <c r="P34" s="1157">
        <f t="shared" si="34"/>
        <v>3777</v>
      </c>
      <c r="Q34" s="1264">
        <f t="shared" si="34"/>
        <v>3777</v>
      </c>
      <c r="R34" s="1264">
        <f t="shared" si="34"/>
        <v>3777</v>
      </c>
      <c r="S34" s="1157">
        <f t="shared" si="34"/>
        <v>4174</v>
      </c>
      <c r="T34" s="1157">
        <f t="shared" si="34"/>
        <v>4289</v>
      </c>
      <c r="U34" s="1157">
        <f t="shared" si="34"/>
        <v>6109</v>
      </c>
      <c r="V34" s="1157">
        <f t="shared" si="34"/>
        <v>10009</v>
      </c>
      <c r="W34" s="1157">
        <f t="shared" si="34"/>
        <v>14144.5</v>
      </c>
      <c r="X34" s="1264">
        <f t="shared" si="34"/>
        <v>18311</v>
      </c>
      <c r="Y34" s="1264">
        <f t="shared" si="34"/>
        <v>22200.5</v>
      </c>
      <c r="Z34" s="1157">
        <f t="shared" si="34"/>
        <v>26314</v>
      </c>
      <c r="AA34" s="1157">
        <f t="shared" si="34"/>
        <v>29672.5</v>
      </c>
      <c r="AB34" s="1157">
        <f t="shared" si="34"/>
        <v>29672.5</v>
      </c>
      <c r="AC34" s="1157">
        <f t="shared" si="34"/>
        <v>29672.5</v>
      </c>
      <c r="AD34" s="1157">
        <f t="shared" si="34"/>
        <v>29672.5</v>
      </c>
      <c r="AE34" s="1264">
        <f t="shared" si="34"/>
        <v>29672.5</v>
      </c>
      <c r="AF34" s="1264">
        <f t="shared" si="34"/>
        <v>29672.5</v>
      </c>
      <c r="AG34" s="1157">
        <f t="shared" si="34"/>
        <v>29672.5</v>
      </c>
      <c r="AH34" s="1157">
        <f t="shared" si="34"/>
        <v>29672.5</v>
      </c>
      <c r="AI34" s="1157">
        <f t="shared" si="34"/>
        <v>29672.5</v>
      </c>
      <c r="AJ34" s="394"/>
      <c r="AK34" s="1025">
        <f t="shared" si="0"/>
        <v>0</v>
      </c>
      <c r="AL34" s="419"/>
      <c r="AM34" s="1040">
        <f t="shared" si="1"/>
        <v>0</v>
      </c>
      <c r="AN34" s="382"/>
      <c r="AO34" s="622"/>
      <c r="AP34" s="391"/>
      <c r="AQ34" s="391"/>
      <c r="AR34" s="4"/>
      <c r="AS34" s="4"/>
      <c r="AT34" s="392"/>
      <c r="AU34" s="4"/>
      <c r="AV34" s="4"/>
    </row>
    <row r="35" spans="1:48" ht="19.899999999999999" customHeight="1">
      <c r="A35" s="403"/>
      <c r="B35" s="59"/>
      <c r="C35" s="387"/>
      <c r="D35" s="395" t="s">
        <v>435</v>
      </c>
      <c r="E35" s="1365"/>
      <c r="F35" s="1104"/>
      <c r="G35" s="1228"/>
      <c r="H35" s="1176"/>
      <c r="I35" s="1107"/>
      <c r="J35" s="1211"/>
      <c r="K35" s="1273"/>
      <c r="L35" s="1107"/>
      <c r="M35" s="1107"/>
      <c r="N35" s="1177"/>
      <c r="O35" s="1176"/>
      <c r="P35" s="1177"/>
      <c r="Q35" s="1228"/>
      <c r="R35" s="1211"/>
      <c r="S35" s="1104"/>
      <c r="T35" s="1107"/>
      <c r="U35" s="1107"/>
      <c r="V35" s="1107"/>
      <c r="W35" s="1107"/>
      <c r="X35" s="1228"/>
      <c r="Y35" s="1228"/>
      <c r="Z35" s="1155"/>
      <c r="AA35" s="1104"/>
      <c r="AB35" s="1104"/>
      <c r="AC35" s="1104"/>
      <c r="AD35" s="1107"/>
      <c r="AE35" s="1211"/>
      <c r="AF35" s="1211"/>
      <c r="AG35" s="1104"/>
      <c r="AH35" s="1104"/>
      <c r="AI35" s="1104"/>
      <c r="AJ35" s="396"/>
      <c r="AK35" s="1024">
        <f t="shared" si="0"/>
        <v>0</v>
      </c>
      <c r="AL35" s="420"/>
      <c r="AM35" s="1040">
        <f t="shared" si="1"/>
        <v>0</v>
      </c>
      <c r="AN35" s="382"/>
      <c r="AO35" s="622"/>
      <c r="AP35" s="391"/>
      <c r="AQ35" s="391"/>
    </row>
    <row r="36" spans="1:48" ht="19.899999999999999" customHeight="1">
      <c r="A36" s="403"/>
      <c r="B36" s="59"/>
      <c r="C36" s="387" t="s">
        <v>104</v>
      </c>
      <c r="D36" s="88" t="s">
        <v>111</v>
      </c>
      <c r="E36" s="1108">
        <f>IF(E35="O/H",E32,1616+E32)</f>
        <v>1711</v>
      </c>
      <c r="F36" s="1089">
        <f>IF(F35="O/H",F32,+E36+F32)</f>
        <v>1816</v>
      </c>
      <c r="G36" s="44">
        <f t="shared" ref="G36" si="35">IF(G35="O/H",G32,+F36+G32)</f>
        <v>1816</v>
      </c>
      <c r="H36" s="1089">
        <f t="shared" ref="H36" si="36">IF(H35="O/H",H32,+G36+H32)</f>
        <v>2025</v>
      </c>
      <c r="I36" s="1089">
        <f t="shared" ref="I36" si="37">IF(I35="O/H",I32,+H36+I32)</f>
        <v>2270</v>
      </c>
      <c r="J36" s="44">
        <f t="shared" ref="J36" si="38">IF(J35="O/H",J32,+I36+J32)</f>
        <v>2270</v>
      </c>
      <c r="K36" s="44">
        <f t="shared" ref="K36" si="39">IF(K35="O/H",K32,+J36+K32)</f>
        <v>2270</v>
      </c>
      <c r="L36" s="1089">
        <f t="shared" ref="L36" si="40">IF(L35="O/H",L32,+K36+L32)</f>
        <v>2420</v>
      </c>
      <c r="M36" s="1089">
        <f t="shared" ref="M36" si="41">IF(M35="O/H",M32,+L36+M32)</f>
        <v>2550</v>
      </c>
      <c r="N36" s="1089">
        <f t="shared" ref="N36" si="42">IF(N35="O/H",N32,+M36+N32)</f>
        <v>2815</v>
      </c>
      <c r="O36" s="1089">
        <f t="shared" ref="O36" si="43">IF(O35="O/H",O32,+N36+O32)</f>
        <v>3351</v>
      </c>
      <c r="P36" s="1089">
        <f t="shared" ref="P36" si="44">IF(P35="O/H",P32,+O36+P32)</f>
        <v>3777</v>
      </c>
      <c r="Q36" s="44">
        <f t="shared" ref="Q36" si="45">IF(Q35="O/H",Q32,+P36+Q32)</f>
        <v>3777</v>
      </c>
      <c r="R36" s="44">
        <f t="shared" ref="R36" si="46">IF(R35="O/H",R32,+Q36+R32)</f>
        <v>3777</v>
      </c>
      <c r="S36" s="1089">
        <f t="shared" ref="S36" si="47">IF(S35="O/H",S32,+R36+S32)</f>
        <v>4174</v>
      </c>
      <c r="T36" s="1089">
        <f t="shared" ref="T36" si="48">IF(T35="O/H",T32,+S36+T32)</f>
        <v>4289</v>
      </c>
      <c r="U36" s="1089">
        <f t="shared" ref="U36" si="49">IF(U35="O/H",U32,+T36+U32)</f>
        <v>6109</v>
      </c>
      <c r="V36" s="1089">
        <f t="shared" ref="V36" si="50">IF(V35="O/H",V32,+U36+V32)</f>
        <v>10009</v>
      </c>
      <c r="W36" s="1089">
        <f t="shared" ref="W36" si="51">IF(W35="O/H",W32,+V36+W32)</f>
        <v>14144.5</v>
      </c>
      <c r="X36" s="44">
        <f t="shared" ref="X36" si="52">IF(X35="O/H",X32,+W36+X32)</f>
        <v>18311</v>
      </c>
      <c r="Y36" s="44">
        <f t="shared" ref="Y36" si="53">IF(Y35="O/H",Y32,+X36+Y32)</f>
        <v>22200.5</v>
      </c>
      <c r="Z36" s="1089">
        <f t="shared" ref="Z36" si="54">IF(Z35="O/H",Z32,+Y36+Z32)</f>
        <v>26314</v>
      </c>
      <c r="AA36" s="1089">
        <f t="shared" ref="AA36" si="55">IF(AA35="O/H",AA32,+Z36+AA32)</f>
        <v>29672.5</v>
      </c>
      <c r="AB36" s="1089">
        <f t="shared" ref="AB36" si="56">IF(AB35="O/H",AB32,+AA36+AB32)</f>
        <v>29672.5</v>
      </c>
      <c r="AC36" s="1089">
        <f t="shared" ref="AC36" si="57">IF(AC35="O/H",AC32,+AB36+AC32)</f>
        <v>29672.5</v>
      </c>
      <c r="AD36" s="1089">
        <f t="shared" ref="AD36" si="58">IF(AD35="O/H",AD32,+AC36+AD32)</f>
        <v>29672.5</v>
      </c>
      <c r="AE36" s="44">
        <f t="shared" ref="AE36" si="59">IF(AE35="O/H",AE32,+AD36+AE32)</f>
        <v>29672.5</v>
      </c>
      <c r="AF36" s="44">
        <f t="shared" ref="AF36" si="60">IF(AF35="O/H",AF32,+AE36+AF32)</f>
        <v>29672.5</v>
      </c>
      <c r="AG36" s="1089">
        <f t="shared" ref="AG36" si="61">IF(AG35="O/H",AG32,+AF36+AG32)</f>
        <v>29672.5</v>
      </c>
      <c r="AH36" s="1089">
        <f t="shared" ref="AH36:AI36" si="62">IF(AH35="O/H",AH32,+AG36+AH32)</f>
        <v>29672.5</v>
      </c>
      <c r="AI36" s="1089">
        <f t="shared" si="62"/>
        <v>29672.5</v>
      </c>
      <c r="AJ36" s="396"/>
      <c r="AK36" s="1024">
        <f t="shared" si="0"/>
        <v>0</v>
      </c>
      <c r="AL36" s="420"/>
      <c r="AM36" s="1040">
        <f t="shared" si="1"/>
        <v>0</v>
      </c>
      <c r="AN36" s="382"/>
      <c r="AO36" s="622"/>
      <c r="AP36" s="391"/>
      <c r="AQ36" s="391"/>
    </row>
    <row r="37" spans="1:48" s="23" customFormat="1" ht="20.45" customHeight="1">
      <c r="A37" s="312"/>
      <c r="B37" s="312"/>
      <c r="C37" s="379">
        <v>150000</v>
      </c>
      <c r="D37" s="795" t="s">
        <v>112</v>
      </c>
      <c r="E37" s="1117">
        <f>IF(AND(ISNUMBER(E26)),1021572+E32)</f>
        <v>1021667</v>
      </c>
      <c r="F37" s="1118">
        <f>IF(AND(ISNUMBER(F26)),E37+F32,"")</f>
        <v>1021772</v>
      </c>
      <c r="G37" s="1216">
        <f>IF(AND(ISNUMBER(G26)),F37+G32,"")</f>
        <v>1021772</v>
      </c>
      <c r="H37" s="1118">
        <f t="shared" ref="H37:AI37" si="63">IF(AND(ISNUMBER(H26)),G37+H32,"")</f>
        <v>1021981</v>
      </c>
      <c r="I37" s="1118">
        <f t="shared" si="63"/>
        <v>1022226</v>
      </c>
      <c r="J37" s="1216">
        <f t="shared" si="63"/>
        <v>1022226</v>
      </c>
      <c r="K37" s="1216">
        <f t="shared" si="63"/>
        <v>1022226</v>
      </c>
      <c r="L37" s="1118">
        <f t="shared" si="63"/>
        <v>1022376</v>
      </c>
      <c r="M37" s="1118">
        <f t="shared" si="63"/>
        <v>1022506</v>
      </c>
      <c r="N37" s="1118">
        <f t="shared" si="63"/>
        <v>1022771</v>
      </c>
      <c r="O37" s="1118">
        <f t="shared" si="63"/>
        <v>1023307</v>
      </c>
      <c r="P37" s="1118">
        <f t="shared" si="63"/>
        <v>1023733</v>
      </c>
      <c r="Q37" s="1216">
        <f t="shared" si="63"/>
        <v>1023733</v>
      </c>
      <c r="R37" s="1216">
        <f t="shared" si="63"/>
        <v>1023733</v>
      </c>
      <c r="S37" s="1118">
        <f t="shared" si="63"/>
        <v>1024130</v>
      </c>
      <c r="T37" s="1118">
        <f t="shared" si="63"/>
        <v>1024245</v>
      </c>
      <c r="U37" s="1118">
        <f t="shared" si="63"/>
        <v>1026065</v>
      </c>
      <c r="V37" s="1118">
        <f t="shared" si="63"/>
        <v>1029965</v>
      </c>
      <c r="W37" s="1118">
        <f t="shared" si="63"/>
        <v>1034100.5</v>
      </c>
      <c r="X37" s="1216">
        <f t="shared" si="63"/>
        <v>1038267</v>
      </c>
      <c r="Y37" s="1216">
        <f t="shared" si="63"/>
        <v>1042156.5</v>
      </c>
      <c r="Z37" s="1118">
        <f t="shared" si="63"/>
        <v>1046270</v>
      </c>
      <c r="AA37" s="1118">
        <f t="shared" si="63"/>
        <v>1049628.5</v>
      </c>
      <c r="AB37" s="1118" t="str">
        <f t="shared" si="63"/>
        <v/>
      </c>
      <c r="AC37" s="1118" t="str">
        <f t="shared" si="63"/>
        <v/>
      </c>
      <c r="AD37" s="1118" t="str">
        <f t="shared" si="63"/>
        <v/>
      </c>
      <c r="AE37" s="1216" t="str">
        <f t="shared" si="63"/>
        <v/>
      </c>
      <c r="AF37" s="1216" t="str">
        <f t="shared" si="63"/>
        <v/>
      </c>
      <c r="AG37" s="1118" t="str">
        <f t="shared" si="63"/>
        <v/>
      </c>
      <c r="AH37" s="1118" t="str">
        <f t="shared" si="63"/>
        <v/>
      </c>
      <c r="AI37" s="1089" t="str">
        <f t="shared" si="63"/>
        <v/>
      </c>
      <c r="AJ37" s="793"/>
      <c r="AK37" s="1026">
        <f t="shared" si="0"/>
        <v>0</v>
      </c>
      <c r="AL37" s="897"/>
      <c r="AM37" s="1042">
        <f t="shared" si="1"/>
        <v>0</v>
      </c>
      <c r="AN37" s="468"/>
      <c r="AO37" s="675"/>
      <c r="AP37" s="285"/>
      <c r="AQ37" s="285"/>
      <c r="AR37" s="285"/>
      <c r="AS37" s="285"/>
      <c r="AT37" s="286"/>
      <c r="AU37" s="285"/>
      <c r="AV37" s="287"/>
    </row>
    <row r="38" spans="1:48" ht="19.899999999999999" customHeight="1">
      <c r="A38" s="403"/>
      <c r="B38" s="393" t="s">
        <v>440</v>
      </c>
      <c r="C38" s="89" t="s">
        <v>108</v>
      </c>
      <c r="D38" s="90" t="s">
        <v>104</v>
      </c>
      <c r="E38" s="1365"/>
      <c r="F38" s="1107"/>
      <c r="G38" s="1228"/>
      <c r="H38" s="1176"/>
      <c r="I38" s="1107"/>
      <c r="J38" s="1228"/>
      <c r="K38" s="1273"/>
      <c r="L38" s="1107"/>
      <c r="M38" s="1107"/>
      <c r="N38" s="1177"/>
      <c r="O38" s="1176"/>
      <c r="P38" s="1107"/>
      <c r="Q38" s="1228"/>
      <c r="R38" s="1228"/>
      <c r="S38" s="1107"/>
      <c r="T38" s="1107"/>
      <c r="U38" s="1107"/>
      <c r="V38" s="1107"/>
      <c r="W38" s="1107"/>
      <c r="X38" s="1228"/>
      <c r="Y38" s="1228"/>
      <c r="Z38" s="1155"/>
      <c r="AA38" s="1107"/>
      <c r="AB38" s="1107"/>
      <c r="AC38" s="1107"/>
      <c r="AD38" s="1107"/>
      <c r="AE38" s="1228"/>
      <c r="AF38" s="1228"/>
      <c r="AG38" s="1107"/>
      <c r="AH38" s="1107"/>
      <c r="AI38" s="1107"/>
      <c r="AJ38" s="396"/>
      <c r="AK38" s="1024">
        <f t="shared" si="0"/>
        <v>0</v>
      </c>
      <c r="AL38" s="420"/>
      <c r="AM38" s="1040">
        <f t="shared" si="1"/>
        <v>0</v>
      </c>
      <c r="AN38" s="382"/>
      <c r="AO38" s="622"/>
      <c r="AP38" s="391"/>
      <c r="AQ38" s="391"/>
    </row>
    <row r="39" spans="1:48" ht="19.5" customHeight="1" thickBot="1">
      <c r="A39" s="406"/>
      <c r="B39" s="398"/>
      <c r="C39" s="407">
        <f>+C37*0.8</f>
        <v>120000</v>
      </c>
      <c r="D39" s="95" t="s">
        <v>111</v>
      </c>
      <c r="E39" s="1109">
        <f>IF(E38="O/H",E32,181819+E32)</f>
        <v>181914</v>
      </c>
      <c r="F39" s="1110">
        <f>IF(F38="O/H",F32,+E39+F32)</f>
        <v>182019</v>
      </c>
      <c r="G39" s="1212">
        <f t="shared" ref="G39:AI39" si="64">IF(G38="O/H",G32,+F39+G32)</f>
        <v>182019</v>
      </c>
      <c r="H39" s="1110">
        <f t="shared" si="64"/>
        <v>182228</v>
      </c>
      <c r="I39" s="1110">
        <f t="shared" si="64"/>
        <v>182473</v>
      </c>
      <c r="J39" s="1212">
        <f t="shared" si="64"/>
        <v>182473</v>
      </c>
      <c r="K39" s="1212">
        <f t="shared" si="64"/>
        <v>182473</v>
      </c>
      <c r="L39" s="1110">
        <f t="shared" si="64"/>
        <v>182623</v>
      </c>
      <c r="M39" s="1110">
        <f t="shared" si="64"/>
        <v>182753</v>
      </c>
      <c r="N39" s="1110">
        <f t="shared" si="64"/>
        <v>183018</v>
      </c>
      <c r="O39" s="1110">
        <f t="shared" si="64"/>
        <v>183554</v>
      </c>
      <c r="P39" s="1110">
        <f t="shared" si="64"/>
        <v>183980</v>
      </c>
      <c r="Q39" s="1212">
        <f t="shared" si="64"/>
        <v>183980</v>
      </c>
      <c r="R39" s="1212">
        <f t="shared" si="64"/>
        <v>183980</v>
      </c>
      <c r="S39" s="1110">
        <f t="shared" si="64"/>
        <v>184377</v>
      </c>
      <c r="T39" s="1110">
        <f t="shared" si="64"/>
        <v>184492</v>
      </c>
      <c r="U39" s="1110">
        <f t="shared" si="64"/>
        <v>186312</v>
      </c>
      <c r="V39" s="1110">
        <f t="shared" si="64"/>
        <v>190212</v>
      </c>
      <c r="W39" s="1110">
        <f t="shared" si="64"/>
        <v>194347.5</v>
      </c>
      <c r="X39" s="1212">
        <f t="shared" si="64"/>
        <v>198514</v>
      </c>
      <c r="Y39" s="1212">
        <f t="shared" si="64"/>
        <v>202403.5</v>
      </c>
      <c r="Z39" s="1110">
        <f t="shared" si="64"/>
        <v>206517</v>
      </c>
      <c r="AA39" s="1110">
        <f t="shared" si="64"/>
        <v>209875.5</v>
      </c>
      <c r="AB39" s="1110">
        <f t="shared" si="64"/>
        <v>209875.5</v>
      </c>
      <c r="AC39" s="1110">
        <f t="shared" si="64"/>
        <v>209875.5</v>
      </c>
      <c r="AD39" s="1110">
        <f t="shared" si="64"/>
        <v>209875.5</v>
      </c>
      <c r="AE39" s="1212">
        <f t="shared" si="64"/>
        <v>209875.5</v>
      </c>
      <c r="AF39" s="1212">
        <f t="shared" si="64"/>
        <v>209875.5</v>
      </c>
      <c r="AG39" s="1110">
        <f t="shared" si="64"/>
        <v>209875.5</v>
      </c>
      <c r="AH39" s="1110">
        <f t="shared" si="64"/>
        <v>209875.5</v>
      </c>
      <c r="AI39" s="1110">
        <f t="shared" si="64"/>
        <v>209875.5</v>
      </c>
      <c r="AJ39" s="399"/>
      <c r="AK39" s="1027">
        <f t="shared" si="0"/>
        <v>0</v>
      </c>
      <c r="AL39" s="421"/>
      <c r="AM39" s="1043">
        <f t="shared" si="1"/>
        <v>0</v>
      </c>
      <c r="AN39" s="894"/>
      <c r="AO39" s="625"/>
      <c r="AP39" s="391"/>
      <c r="AQ39" s="391"/>
    </row>
    <row r="40" spans="1:48" ht="19.899999999999999" hidden="1" customHeight="1" thickTop="1">
      <c r="A40" s="905" t="s">
        <v>650</v>
      </c>
      <c r="B40" s="393" t="s">
        <v>649</v>
      </c>
      <c r="C40" s="518" t="str">
        <f>Table37[[#This Row],[M/C No.]]</f>
        <v>R3(18ton)</v>
      </c>
      <c r="D40" s="28" t="s">
        <v>82</v>
      </c>
      <c r="E40" s="1111"/>
      <c r="F40" s="1111"/>
      <c r="G40" s="1201"/>
      <c r="H40" s="1111"/>
      <c r="I40" s="1111"/>
      <c r="J40" s="1201"/>
      <c r="K40" s="1201"/>
      <c r="L40" s="1111"/>
      <c r="M40" s="1111"/>
      <c r="N40" s="1111"/>
      <c r="O40" s="1111"/>
      <c r="P40" s="1111"/>
      <c r="Q40" s="1201"/>
      <c r="R40" s="1201"/>
      <c r="S40" s="1111"/>
      <c r="T40" s="1111"/>
      <c r="U40" s="1111"/>
      <c r="V40" s="1111"/>
      <c r="W40" s="1111"/>
      <c r="X40" s="1201"/>
      <c r="Y40" s="1201"/>
      <c r="Z40" s="1111"/>
      <c r="AA40" s="1111"/>
      <c r="AB40" s="1111"/>
      <c r="AC40" s="1111"/>
      <c r="AD40" s="1111"/>
      <c r="AE40" s="1201"/>
      <c r="AF40" s="1201"/>
      <c r="AG40" s="1111"/>
      <c r="AH40" s="1111"/>
      <c r="AI40" s="1111"/>
      <c r="AJ40" s="375">
        <f>SUM(E40:AI40)</f>
        <v>0</v>
      </c>
      <c r="AK40" s="1047">
        <f t="shared" si="0"/>
        <v>0</v>
      </c>
      <c r="AL40" s="422">
        <f>+AJ40*AN40</f>
        <v>0</v>
      </c>
      <c r="AM40" s="1046">
        <f t="shared" si="1"/>
        <v>0</v>
      </c>
      <c r="AN40" s="402">
        <v>4.5521000000000003</v>
      </c>
      <c r="AO40" s="622">
        <f>Table37[[#This Row],[Total]]*B44/1000</f>
        <v>0</v>
      </c>
      <c r="AP40" s="32" t="s">
        <v>441</v>
      </c>
      <c r="AQ40" s="33" t="s">
        <v>84</v>
      </c>
      <c r="AR40" s="33" t="s">
        <v>85</v>
      </c>
      <c r="AS40" s="33" t="s">
        <v>86</v>
      </c>
      <c r="AT40" s="33" t="s">
        <v>87</v>
      </c>
      <c r="AU40" s="33" t="s">
        <v>88</v>
      </c>
      <c r="AV40" s="34" t="s">
        <v>68</v>
      </c>
    </row>
    <row r="41" spans="1:48" ht="19.899999999999999" hidden="1" customHeight="1">
      <c r="A41" s="376"/>
      <c r="B41" s="393" t="s">
        <v>442</v>
      </c>
      <c r="C41" s="52" t="s">
        <v>95</v>
      </c>
      <c r="D41" s="37" t="s">
        <v>90</v>
      </c>
      <c r="E41" s="1323">
        <f>IF(E40="",0, E40/E47)</f>
        <v>0</v>
      </c>
      <c r="F41" s="1096">
        <f t="shared" ref="F41:AI41" si="65">IF(F40="",0, E41+F40/F47)</f>
        <v>0</v>
      </c>
      <c r="G41" s="1207">
        <f t="shared" si="65"/>
        <v>0</v>
      </c>
      <c r="H41" s="1096">
        <f t="shared" si="65"/>
        <v>0</v>
      </c>
      <c r="I41" s="1096">
        <f t="shared" si="65"/>
        <v>0</v>
      </c>
      <c r="J41" s="1207">
        <f t="shared" si="65"/>
        <v>0</v>
      </c>
      <c r="K41" s="1207">
        <f t="shared" si="65"/>
        <v>0</v>
      </c>
      <c r="L41" s="1096">
        <f t="shared" si="65"/>
        <v>0</v>
      </c>
      <c r="M41" s="1096">
        <f t="shared" si="65"/>
        <v>0</v>
      </c>
      <c r="N41" s="1096">
        <f t="shared" si="65"/>
        <v>0</v>
      </c>
      <c r="O41" s="1096">
        <f t="shared" si="65"/>
        <v>0</v>
      </c>
      <c r="P41" s="1096">
        <f t="shared" si="65"/>
        <v>0</v>
      </c>
      <c r="Q41" s="1207">
        <f t="shared" si="65"/>
        <v>0</v>
      </c>
      <c r="R41" s="1207">
        <f t="shared" si="65"/>
        <v>0</v>
      </c>
      <c r="S41" s="1096">
        <f t="shared" si="65"/>
        <v>0</v>
      </c>
      <c r="T41" s="1096">
        <f t="shared" si="65"/>
        <v>0</v>
      </c>
      <c r="U41" s="1096">
        <f t="shared" si="65"/>
        <v>0</v>
      </c>
      <c r="V41" s="1096">
        <f t="shared" si="65"/>
        <v>0</v>
      </c>
      <c r="W41" s="1096">
        <f t="shared" si="65"/>
        <v>0</v>
      </c>
      <c r="X41" s="1207">
        <f t="shared" si="65"/>
        <v>0</v>
      </c>
      <c r="Y41" s="1207">
        <f t="shared" si="65"/>
        <v>0</v>
      </c>
      <c r="Z41" s="1096">
        <f t="shared" si="65"/>
        <v>0</v>
      </c>
      <c r="AA41" s="1096">
        <f t="shared" si="65"/>
        <v>0</v>
      </c>
      <c r="AB41" s="1096">
        <f t="shared" si="65"/>
        <v>0</v>
      </c>
      <c r="AC41" s="1096">
        <f t="shared" si="65"/>
        <v>0</v>
      </c>
      <c r="AD41" s="1096">
        <f t="shared" si="65"/>
        <v>0</v>
      </c>
      <c r="AE41" s="1207">
        <f t="shared" si="65"/>
        <v>0</v>
      </c>
      <c r="AF41" s="1207">
        <f t="shared" si="65"/>
        <v>0</v>
      </c>
      <c r="AG41" s="1096">
        <f t="shared" si="65"/>
        <v>0</v>
      </c>
      <c r="AH41" s="1096">
        <f t="shared" si="65"/>
        <v>0</v>
      </c>
      <c r="AI41" s="1096">
        <f t="shared" si="65"/>
        <v>0</v>
      </c>
      <c r="AJ41" s="375"/>
      <c r="AK41" s="1023">
        <f t="shared" si="0"/>
        <v>0</v>
      </c>
      <c r="AL41" s="423"/>
      <c r="AM41" s="1040">
        <f t="shared" si="1"/>
        <v>0</v>
      </c>
      <c r="AN41" s="382"/>
      <c r="AO41" s="675"/>
      <c r="AP41" s="39" t="s">
        <v>91</v>
      </c>
      <c r="AQ41" s="40">
        <f>SUM(E40:I40)</f>
        <v>0</v>
      </c>
      <c r="AR41" s="41">
        <f>SUM(J40:P40)</f>
        <v>0</v>
      </c>
      <c r="AS41" s="41">
        <f>SUM(Q40:W40)</f>
        <v>0</v>
      </c>
      <c r="AT41" s="41">
        <f>SUM(X40:AD40)</f>
        <v>0</v>
      </c>
      <c r="AU41" s="41">
        <f>SUM(AE40:AI40)</f>
        <v>0</v>
      </c>
      <c r="AV41" s="34">
        <f t="shared" ref="AV41:AV46" si="66">SUM(AQ41:AU41)</f>
        <v>0</v>
      </c>
    </row>
    <row r="42" spans="1:48" ht="19.899999999999999" hidden="1" customHeight="1">
      <c r="A42" s="376"/>
      <c r="B42" s="411" t="s">
        <v>272</v>
      </c>
      <c r="C42" s="379">
        <v>75000</v>
      </c>
      <c r="D42" s="43" t="s">
        <v>93</v>
      </c>
      <c r="E42" s="1108"/>
      <c r="F42" s="1089"/>
      <c r="G42" s="44"/>
      <c r="H42" s="1089"/>
      <c r="I42" s="1089"/>
      <c r="J42" s="44"/>
      <c r="K42" s="44"/>
      <c r="L42" s="1089"/>
      <c r="M42" s="1089"/>
      <c r="N42" s="1089"/>
      <c r="O42" s="1089"/>
      <c r="P42" s="1089"/>
      <c r="Q42" s="44"/>
      <c r="R42" s="44"/>
      <c r="S42" s="1089"/>
      <c r="T42" s="1089"/>
      <c r="U42" s="1089"/>
      <c r="V42" s="1089"/>
      <c r="W42" s="1089"/>
      <c r="X42" s="44"/>
      <c r="Y42" s="44"/>
      <c r="Z42" s="1089"/>
      <c r="AA42" s="1089"/>
      <c r="AB42" s="1089"/>
      <c r="AC42" s="1089"/>
      <c r="AD42" s="1089"/>
      <c r="AE42" s="44"/>
      <c r="AF42" s="44"/>
      <c r="AG42" s="1089"/>
      <c r="AH42" s="1089"/>
      <c r="AI42" s="1089"/>
      <c r="AJ42" s="380">
        <f>SUBTOTAL(109,E42:AI42)</f>
        <v>0</v>
      </c>
      <c r="AK42" s="1024">
        <f t="shared" si="0"/>
        <v>0</v>
      </c>
      <c r="AL42" s="424">
        <f>+AJ42*AN40</f>
        <v>0</v>
      </c>
      <c r="AM42" s="1041">
        <f t="shared" si="1"/>
        <v>0</v>
      </c>
      <c r="AN42" s="382"/>
      <c r="AO42" s="632">
        <f>(AJ42+AJ44+AJ45+AJ46)*B44/1000</f>
        <v>0</v>
      </c>
      <c r="AP42" s="47" t="s">
        <v>94</v>
      </c>
      <c r="AQ42" s="48">
        <f>SUM(E42:I42)</f>
        <v>0</v>
      </c>
      <c r="AR42" s="49">
        <f>SUM(J42:P42)</f>
        <v>0</v>
      </c>
      <c r="AS42" s="49">
        <f>SUM(Q42:W42)</f>
        <v>0</v>
      </c>
      <c r="AT42" s="49">
        <f>SUM(X42:AD42)</f>
        <v>0</v>
      </c>
      <c r="AU42" s="49">
        <f>SUM(AE42:AI42)</f>
        <v>0</v>
      </c>
      <c r="AV42" s="50">
        <f t="shared" si="66"/>
        <v>0</v>
      </c>
    </row>
    <row r="43" spans="1:48" ht="19.899999999999999" hidden="1" customHeight="1">
      <c r="A43" s="376"/>
      <c r="B43" s="767" t="s">
        <v>247</v>
      </c>
      <c r="C43" s="89" t="s">
        <v>108</v>
      </c>
      <c r="D43" s="53" t="s">
        <v>96</v>
      </c>
      <c r="E43" s="1137">
        <f>+E42-E40</f>
        <v>0</v>
      </c>
      <c r="F43" s="1097">
        <f>+F42-F40</f>
        <v>0</v>
      </c>
      <c r="G43" s="1205">
        <f t="shared" ref="G43:AJ43" si="67">+G42-G40</f>
        <v>0</v>
      </c>
      <c r="H43" s="1097">
        <f t="shared" si="67"/>
        <v>0</v>
      </c>
      <c r="I43" s="1097">
        <f t="shared" si="67"/>
        <v>0</v>
      </c>
      <c r="J43" s="1205">
        <f t="shared" si="67"/>
        <v>0</v>
      </c>
      <c r="K43" s="1205">
        <f t="shared" si="67"/>
        <v>0</v>
      </c>
      <c r="L43" s="1097">
        <f t="shared" si="67"/>
        <v>0</v>
      </c>
      <c r="M43" s="1097">
        <f t="shared" si="67"/>
        <v>0</v>
      </c>
      <c r="N43" s="1097">
        <f t="shared" si="67"/>
        <v>0</v>
      </c>
      <c r="O43" s="1097">
        <f t="shared" si="67"/>
        <v>0</v>
      </c>
      <c r="P43" s="1097">
        <f t="shared" si="67"/>
        <v>0</v>
      </c>
      <c r="Q43" s="1205">
        <f t="shared" si="67"/>
        <v>0</v>
      </c>
      <c r="R43" s="1205">
        <f t="shared" si="67"/>
        <v>0</v>
      </c>
      <c r="S43" s="1097">
        <f t="shared" si="67"/>
        <v>0</v>
      </c>
      <c r="T43" s="1097">
        <f t="shared" ref="T43" si="68">+T42-T40</f>
        <v>0</v>
      </c>
      <c r="U43" s="1097">
        <f t="shared" si="67"/>
        <v>0</v>
      </c>
      <c r="V43" s="1097">
        <f t="shared" si="67"/>
        <v>0</v>
      </c>
      <c r="W43" s="1097">
        <f t="shared" si="67"/>
        <v>0</v>
      </c>
      <c r="X43" s="1205">
        <f t="shared" si="67"/>
        <v>0</v>
      </c>
      <c r="Y43" s="1205">
        <f t="shared" si="67"/>
        <v>0</v>
      </c>
      <c r="Z43" s="1097">
        <f t="shared" si="67"/>
        <v>0</v>
      </c>
      <c r="AA43" s="1097">
        <f t="shared" si="67"/>
        <v>0</v>
      </c>
      <c r="AB43" s="1097">
        <f t="shared" si="67"/>
        <v>0</v>
      </c>
      <c r="AC43" s="1097">
        <f t="shared" si="67"/>
        <v>0</v>
      </c>
      <c r="AD43" s="1097">
        <f t="shared" si="67"/>
        <v>0</v>
      </c>
      <c r="AE43" s="1205">
        <f t="shared" si="67"/>
        <v>0</v>
      </c>
      <c r="AF43" s="1205">
        <f t="shared" si="67"/>
        <v>0</v>
      </c>
      <c r="AG43" s="1097">
        <f t="shared" si="67"/>
        <v>0</v>
      </c>
      <c r="AH43" s="1097">
        <f t="shared" si="67"/>
        <v>0</v>
      </c>
      <c r="AI43" s="1097">
        <f t="shared" si="67"/>
        <v>0</v>
      </c>
      <c r="AJ43" s="381">
        <f t="shared" si="67"/>
        <v>0</v>
      </c>
      <c r="AK43" s="1024">
        <f t="shared" si="0"/>
        <v>0</v>
      </c>
      <c r="AL43" s="425">
        <f>+AJ43*AN40</f>
        <v>0</v>
      </c>
      <c r="AM43" s="1041">
        <f t="shared" si="1"/>
        <v>0</v>
      </c>
      <c r="AN43" s="382" t="s">
        <v>97</v>
      </c>
      <c r="AO43" s="622"/>
      <c r="AP43" s="39" t="s">
        <v>98</v>
      </c>
      <c r="AQ43" s="56">
        <f>AQ42-AQ41</f>
        <v>0</v>
      </c>
      <c r="AR43" s="70">
        <f>AR42-AR41</f>
        <v>0</v>
      </c>
      <c r="AS43" s="70">
        <f>AS42-AS41</f>
        <v>0</v>
      </c>
      <c r="AT43" s="70">
        <f>AT42-AT41</f>
        <v>0</v>
      </c>
      <c r="AU43" s="70">
        <f>AU42-AU41</f>
        <v>0</v>
      </c>
      <c r="AV43" s="57">
        <f t="shared" si="66"/>
        <v>0</v>
      </c>
    </row>
    <row r="44" spans="1:48" ht="19.899999999999999" hidden="1" customHeight="1">
      <c r="A44" s="376"/>
      <c r="B44" s="769">
        <v>0.93462500000000004</v>
      </c>
      <c r="C44" s="383">
        <f>+C42*0.8</f>
        <v>60000</v>
      </c>
      <c r="D44" s="61" t="s">
        <v>101</v>
      </c>
      <c r="E44" s="1098"/>
      <c r="F44" s="1099"/>
      <c r="G44" s="1208"/>
      <c r="H44" s="1099"/>
      <c r="I44" s="1099"/>
      <c r="J44" s="1208"/>
      <c r="K44" s="1208"/>
      <c r="L44" s="1099"/>
      <c r="M44" s="1099"/>
      <c r="N44" s="1099"/>
      <c r="O44" s="1099"/>
      <c r="P44" s="1099"/>
      <c r="Q44" s="1208"/>
      <c r="R44" s="1208"/>
      <c r="S44" s="1099"/>
      <c r="T44" s="1099"/>
      <c r="U44" s="1099"/>
      <c r="V44" s="1099"/>
      <c r="W44" s="1099"/>
      <c r="X44" s="1208"/>
      <c r="Y44" s="1208"/>
      <c r="Z44" s="1099"/>
      <c r="AA44" s="1099"/>
      <c r="AB44" s="1099"/>
      <c r="AC44" s="1099"/>
      <c r="AD44" s="1099"/>
      <c r="AE44" s="1208"/>
      <c r="AF44" s="1208"/>
      <c r="AG44" s="1099"/>
      <c r="AH44" s="1099"/>
      <c r="AI44" s="1099"/>
      <c r="AJ44" s="384">
        <f>SUM(E44:AI44)</f>
        <v>0</v>
      </c>
      <c r="AK44" s="1024">
        <f t="shared" si="0"/>
        <v>0</v>
      </c>
      <c r="AL44" s="420">
        <f>+AJ44*AN40</f>
        <v>0</v>
      </c>
      <c r="AM44" s="1040">
        <f t="shared" si="1"/>
        <v>0</v>
      </c>
      <c r="AN44" s="404" t="e">
        <f>+AJ44/AJ42*100</f>
        <v>#DIV/0!</v>
      </c>
      <c r="AO44" s="635" t="e">
        <f>AO42/AO40</f>
        <v>#DIV/0!</v>
      </c>
      <c r="AP44" s="39" t="s">
        <v>102</v>
      </c>
      <c r="AQ44" s="56">
        <f>SUM(E44:I44)</f>
        <v>0</v>
      </c>
      <c r="AR44" s="70">
        <f>SUM(J44:P44)</f>
        <v>0</v>
      </c>
      <c r="AS44" s="70">
        <f>SUM(Q44:W44)</f>
        <v>0</v>
      </c>
      <c r="AT44" s="70">
        <f>SUM(X44:AD44)</f>
        <v>0</v>
      </c>
      <c r="AU44" s="70">
        <f>SUM(AE44:AI44)</f>
        <v>0</v>
      </c>
      <c r="AV44" s="57">
        <f t="shared" si="66"/>
        <v>0</v>
      </c>
    </row>
    <row r="45" spans="1:48" ht="19.899999999999999" hidden="1" customHeight="1">
      <c r="A45" s="376"/>
      <c r="B45" s="334" t="s">
        <v>30</v>
      </c>
      <c r="C45" s="383"/>
      <c r="D45" s="67" t="s">
        <v>103</v>
      </c>
      <c r="E45" s="1100"/>
      <c r="F45" s="1101"/>
      <c r="G45" s="1209"/>
      <c r="H45" s="1101"/>
      <c r="I45" s="1101"/>
      <c r="J45" s="1209"/>
      <c r="K45" s="1209"/>
      <c r="L45" s="1101"/>
      <c r="M45" s="1101"/>
      <c r="N45" s="1101"/>
      <c r="O45" s="1101"/>
      <c r="P45" s="1101"/>
      <c r="Q45" s="1209"/>
      <c r="R45" s="1209"/>
      <c r="S45" s="1101"/>
      <c r="T45" s="1101"/>
      <c r="U45" s="1101"/>
      <c r="V45" s="1101"/>
      <c r="W45" s="1101"/>
      <c r="X45" s="1209"/>
      <c r="Y45" s="1209"/>
      <c r="Z45" s="1101"/>
      <c r="AA45" s="1101"/>
      <c r="AB45" s="1101"/>
      <c r="AC45" s="1101"/>
      <c r="AD45" s="1101"/>
      <c r="AE45" s="1209"/>
      <c r="AF45" s="1209"/>
      <c r="AG45" s="1101"/>
      <c r="AH45" s="1101"/>
      <c r="AI45" s="1101"/>
      <c r="AJ45" s="386">
        <f>SUM(E45:AI45)</f>
        <v>0</v>
      </c>
      <c r="AK45" s="1024">
        <f t="shared" si="0"/>
        <v>0</v>
      </c>
      <c r="AL45" s="426">
        <f>+AJ45*AN40</f>
        <v>0</v>
      </c>
      <c r="AM45" s="1040">
        <f t="shared" si="1"/>
        <v>0</v>
      </c>
      <c r="AN45" s="382"/>
      <c r="AO45" s="622"/>
      <c r="AP45" s="39" t="s">
        <v>19</v>
      </c>
      <c r="AQ45" s="56">
        <f>AQ44*AN40</f>
        <v>0</v>
      </c>
      <c r="AR45" s="56">
        <f>AR44*AN40</f>
        <v>0</v>
      </c>
      <c r="AS45" s="56">
        <f>AS44*AN40</f>
        <v>0</v>
      </c>
      <c r="AT45" s="56">
        <f>AT44*AN40</f>
        <v>0</v>
      </c>
      <c r="AU45" s="56">
        <f>AU44*AN40</f>
        <v>0</v>
      </c>
      <c r="AV45" s="57">
        <f t="shared" si="66"/>
        <v>0</v>
      </c>
    </row>
    <row r="46" spans="1:48" ht="19.899999999999999" hidden="1" customHeight="1">
      <c r="A46" s="376"/>
      <c r="B46" s="65"/>
      <c r="C46" s="387" t="s">
        <v>435</v>
      </c>
      <c r="D46" s="73" t="s">
        <v>105</v>
      </c>
      <c r="E46" s="1102"/>
      <c r="F46" s="1103"/>
      <c r="G46" s="1210"/>
      <c r="H46" s="1103"/>
      <c r="I46" s="1103"/>
      <c r="J46" s="1210"/>
      <c r="K46" s="1210"/>
      <c r="L46" s="1103"/>
      <c r="M46" s="1103"/>
      <c r="N46" s="1103"/>
      <c r="O46" s="1103"/>
      <c r="P46" s="1103"/>
      <c r="Q46" s="1210"/>
      <c r="R46" s="1210"/>
      <c r="S46" s="1103"/>
      <c r="T46" s="1103"/>
      <c r="U46" s="1103"/>
      <c r="V46" s="1103"/>
      <c r="W46" s="1103"/>
      <c r="X46" s="1210"/>
      <c r="Y46" s="1210"/>
      <c r="Z46" s="1103"/>
      <c r="AA46" s="1103"/>
      <c r="AB46" s="1103"/>
      <c r="AC46" s="1103"/>
      <c r="AD46" s="1103"/>
      <c r="AE46" s="1210"/>
      <c r="AF46" s="1210"/>
      <c r="AG46" s="1103"/>
      <c r="AH46" s="1103"/>
      <c r="AI46" s="1103"/>
      <c r="AJ46" s="388">
        <f>SUM(E46:AI46)</f>
        <v>0</v>
      </c>
      <c r="AK46" s="1024">
        <f t="shared" si="0"/>
        <v>0</v>
      </c>
      <c r="AL46" s="427">
        <f>+AJ46*AN40</f>
        <v>0</v>
      </c>
      <c r="AM46" s="1040">
        <f t="shared" si="1"/>
        <v>0</v>
      </c>
      <c r="AN46" s="382"/>
      <c r="AO46" s="622"/>
      <c r="AP46" s="47" t="s">
        <v>106</v>
      </c>
      <c r="AQ46" s="48">
        <f>AQ42*AN40</f>
        <v>0</v>
      </c>
      <c r="AR46" s="48">
        <f>AR42*AN40</f>
        <v>0</v>
      </c>
      <c r="AS46" s="48">
        <f>AS42*AN40</f>
        <v>0</v>
      </c>
      <c r="AT46" s="48">
        <f>AT42*AN40</f>
        <v>0</v>
      </c>
      <c r="AU46" s="48">
        <f>AU42*AN40</f>
        <v>0</v>
      </c>
      <c r="AV46" s="50">
        <f t="shared" si="66"/>
        <v>0</v>
      </c>
    </row>
    <row r="47" spans="1:48" ht="19.899999999999999" hidden="1" customHeight="1">
      <c r="A47" s="389"/>
      <c r="B47" s="390"/>
      <c r="C47" s="379">
        <v>75000</v>
      </c>
      <c r="D47" s="78" t="s">
        <v>107</v>
      </c>
      <c r="E47" s="1137">
        <v>8</v>
      </c>
      <c r="F47" s="1097">
        <v>8</v>
      </c>
      <c r="G47" s="1205">
        <v>8</v>
      </c>
      <c r="H47" s="1097">
        <v>8</v>
      </c>
      <c r="I47" s="1097">
        <v>8</v>
      </c>
      <c r="J47" s="1205">
        <v>8</v>
      </c>
      <c r="K47" s="1205">
        <v>8</v>
      </c>
      <c r="L47" s="1097">
        <v>8</v>
      </c>
      <c r="M47" s="1097">
        <v>8</v>
      </c>
      <c r="N47" s="1097">
        <v>8</v>
      </c>
      <c r="O47" s="1097">
        <v>8</v>
      </c>
      <c r="P47" s="1097">
        <v>8</v>
      </c>
      <c r="Q47" s="1205">
        <v>8</v>
      </c>
      <c r="R47" s="1205">
        <v>8</v>
      </c>
      <c r="S47" s="1097">
        <v>8</v>
      </c>
      <c r="T47" s="1097">
        <v>8</v>
      </c>
      <c r="U47" s="1097">
        <v>8</v>
      </c>
      <c r="V47" s="1097">
        <v>8</v>
      </c>
      <c r="W47" s="1097">
        <v>8</v>
      </c>
      <c r="X47" s="1205">
        <v>8</v>
      </c>
      <c r="Y47" s="1205">
        <v>8</v>
      </c>
      <c r="Z47" s="1097">
        <v>8</v>
      </c>
      <c r="AA47" s="1097">
        <v>8</v>
      </c>
      <c r="AB47" s="1097">
        <v>8</v>
      </c>
      <c r="AC47" s="1097">
        <v>8</v>
      </c>
      <c r="AD47" s="1097">
        <v>8</v>
      </c>
      <c r="AE47" s="1205">
        <v>8</v>
      </c>
      <c r="AF47" s="1205">
        <v>8</v>
      </c>
      <c r="AG47" s="1097">
        <v>8</v>
      </c>
      <c r="AH47" s="1097">
        <v>8</v>
      </c>
      <c r="AI47" s="1097">
        <v>8</v>
      </c>
      <c r="AJ47" s="381"/>
      <c r="AK47" s="1024">
        <f t="shared" si="0"/>
        <v>0</v>
      </c>
      <c r="AL47" s="425"/>
      <c r="AM47" s="1041">
        <f t="shared" si="1"/>
        <v>0</v>
      </c>
      <c r="AN47" s="382"/>
      <c r="AO47" s="622"/>
      <c r="AP47" s="391"/>
      <c r="AQ47" s="391"/>
      <c r="AR47" s="4"/>
      <c r="AS47" s="4"/>
      <c r="AT47" s="392"/>
      <c r="AU47" s="4"/>
      <c r="AV47" s="4"/>
    </row>
    <row r="48" spans="1:48" ht="19.899999999999999" hidden="1" customHeight="1">
      <c r="A48" s="376"/>
      <c r="B48" s="390"/>
      <c r="C48" s="89" t="s">
        <v>108</v>
      </c>
      <c r="D48" s="81" t="s">
        <v>109</v>
      </c>
      <c r="E48" s="1125">
        <f>SUM(E42+E44+E45+E46)/E47</f>
        <v>0</v>
      </c>
      <c r="F48" s="1125">
        <f t="shared" ref="F48:AI48" si="69">SUM(F42+F44+F45+F46)/F47</f>
        <v>0</v>
      </c>
      <c r="G48" s="1233">
        <f t="shared" si="69"/>
        <v>0</v>
      </c>
      <c r="H48" s="1125">
        <f t="shared" si="69"/>
        <v>0</v>
      </c>
      <c r="I48" s="1125">
        <f t="shared" si="69"/>
        <v>0</v>
      </c>
      <c r="J48" s="1233">
        <f t="shared" si="69"/>
        <v>0</v>
      </c>
      <c r="K48" s="1233">
        <f t="shared" si="69"/>
        <v>0</v>
      </c>
      <c r="L48" s="1125">
        <f t="shared" si="69"/>
        <v>0</v>
      </c>
      <c r="M48" s="1125">
        <f t="shared" si="69"/>
        <v>0</v>
      </c>
      <c r="N48" s="1125">
        <f t="shared" si="69"/>
        <v>0</v>
      </c>
      <c r="O48" s="1125">
        <f t="shared" si="69"/>
        <v>0</v>
      </c>
      <c r="P48" s="1125">
        <f t="shared" si="69"/>
        <v>0</v>
      </c>
      <c r="Q48" s="1233">
        <f t="shared" si="69"/>
        <v>0</v>
      </c>
      <c r="R48" s="1233">
        <f t="shared" si="69"/>
        <v>0</v>
      </c>
      <c r="S48" s="1125">
        <f t="shared" si="69"/>
        <v>0</v>
      </c>
      <c r="T48" s="1125">
        <f t="shared" si="69"/>
        <v>0</v>
      </c>
      <c r="U48" s="1125">
        <f t="shared" si="69"/>
        <v>0</v>
      </c>
      <c r="V48" s="1125">
        <f t="shared" si="69"/>
        <v>0</v>
      </c>
      <c r="W48" s="1125">
        <f t="shared" si="69"/>
        <v>0</v>
      </c>
      <c r="X48" s="1233">
        <f t="shared" si="69"/>
        <v>0</v>
      </c>
      <c r="Y48" s="1233">
        <f t="shared" si="69"/>
        <v>0</v>
      </c>
      <c r="Z48" s="1125">
        <f t="shared" si="69"/>
        <v>0</v>
      </c>
      <c r="AA48" s="1125">
        <f t="shared" si="69"/>
        <v>0</v>
      </c>
      <c r="AB48" s="1125">
        <f t="shared" si="69"/>
        <v>0</v>
      </c>
      <c r="AC48" s="1125">
        <f t="shared" si="69"/>
        <v>0</v>
      </c>
      <c r="AD48" s="1125">
        <f t="shared" si="69"/>
        <v>0</v>
      </c>
      <c r="AE48" s="1233">
        <f t="shared" si="69"/>
        <v>0</v>
      </c>
      <c r="AF48" s="1233">
        <f t="shared" si="69"/>
        <v>0</v>
      </c>
      <c r="AG48" s="1125">
        <f t="shared" si="69"/>
        <v>0</v>
      </c>
      <c r="AH48" s="1156">
        <f t="shared" si="69"/>
        <v>0</v>
      </c>
      <c r="AI48" s="1156">
        <f t="shared" si="69"/>
        <v>0</v>
      </c>
      <c r="AJ48" s="380">
        <f>SUM(E48:AI48)</f>
        <v>0</v>
      </c>
      <c r="AK48" s="1025">
        <f t="shared" si="0"/>
        <v>0</v>
      </c>
      <c r="AL48" s="419"/>
      <c r="AM48" s="1040">
        <f t="shared" si="1"/>
        <v>0</v>
      </c>
      <c r="AN48" s="382"/>
      <c r="AO48" s="622"/>
      <c r="AP48" s="391"/>
      <c r="AQ48" s="391"/>
      <c r="AR48" s="4"/>
      <c r="AS48" s="4"/>
      <c r="AT48" s="392"/>
      <c r="AU48" s="4"/>
      <c r="AV48" s="4"/>
    </row>
    <row r="49" spans="1:48" ht="19.899999999999999" hidden="1" customHeight="1">
      <c r="A49" s="376"/>
      <c r="B49" s="59"/>
      <c r="C49" s="383">
        <f>+C47*0.8</f>
        <v>60000</v>
      </c>
      <c r="D49" s="85" t="s">
        <v>110</v>
      </c>
      <c r="E49" s="1366"/>
      <c r="F49" s="1126"/>
      <c r="G49" s="1235"/>
      <c r="H49" s="1172"/>
      <c r="I49" s="1126"/>
      <c r="J49" s="1281"/>
      <c r="K49" s="1235"/>
      <c r="L49" s="1126"/>
      <c r="M49" s="1172"/>
      <c r="N49" s="1174"/>
      <c r="O49" s="1173"/>
      <c r="P49" s="1173"/>
      <c r="Q49" s="1281"/>
      <c r="R49" s="1281"/>
      <c r="S49" s="1173"/>
      <c r="T49" s="1107"/>
      <c r="U49" s="1173"/>
      <c r="V49" s="1173"/>
      <c r="W49" s="1173"/>
      <c r="X49" s="1281"/>
      <c r="Y49" s="1281"/>
      <c r="Z49" s="1155"/>
      <c r="AA49" s="1173"/>
      <c r="AB49" s="1173"/>
      <c r="AC49" s="1173"/>
      <c r="AD49" s="1173"/>
      <c r="AE49" s="1281"/>
      <c r="AF49" s="1281"/>
      <c r="AG49" s="1173"/>
      <c r="AH49" s="1173"/>
      <c r="AI49" s="1173"/>
      <c r="AJ49" s="394"/>
      <c r="AK49" s="1025">
        <f t="shared" si="0"/>
        <v>0</v>
      </c>
      <c r="AL49" s="419"/>
      <c r="AM49" s="1040">
        <f t="shared" si="1"/>
        <v>0</v>
      </c>
      <c r="AN49" s="382"/>
      <c r="AO49" s="622"/>
      <c r="AP49" s="391"/>
      <c r="AQ49" s="391"/>
      <c r="AR49" s="4"/>
      <c r="AS49" s="4"/>
      <c r="AT49" s="392"/>
      <c r="AU49" s="4"/>
      <c r="AV49" s="4"/>
    </row>
    <row r="50" spans="1:48" ht="19.899999999999999" hidden="1" customHeight="1">
      <c r="A50" s="376"/>
      <c r="B50" s="390"/>
      <c r="C50" s="89"/>
      <c r="D50" s="88" t="s">
        <v>111</v>
      </c>
      <c r="E50" s="1156">
        <f>IF(E49="O/H",E48,0+E48)</f>
        <v>0</v>
      </c>
      <c r="F50" s="1156">
        <f t="shared" ref="F50:AI50" si="70">IF(F49="O/H",F48,0+F48)</f>
        <v>0</v>
      </c>
      <c r="G50" s="1227">
        <f t="shared" si="70"/>
        <v>0</v>
      </c>
      <c r="H50" s="1156">
        <f t="shared" si="70"/>
        <v>0</v>
      </c>
      <c r="I50" s="1156">
        <f t="shared" si="70"/>
        <v>0</v>
      </c>
      <c r="J50" s="1227">
        <f t="shared" si="70"/>
        <v>0</v>
      </c>
      <c r="K50" s="1227">
        <f t="shared" si="70"/>
        <v>0</v>
      </c>
      <c r="L50" s="1156">
        <f t="shared" si="70"/>
        <v>0</v>
      </c>
      <c r="M50" s="1156">
        <f t="shared" si="70"/>
        <v>0</v>
      </c>
      <c r="N50" s="1156">
        <f t="shared" si="70"/>
        <v>0</v>
      </c>
      <c r="O50" s="1156">
        <f t="shared" si="70"/>
        <v>0</v>
      </c>
      <c r="P50" s="1156">
        <f t="shared" si="70"/>
        <v>0</v>
      </c>
      <c r="Q50" s="1227">
        <f t="shared" si="70"/>
        <v>0</v>
      </c>
      <c r="R50" s="1227">
        <f t="shared" si="70"/>
        <v>0</v>
      </c>
      <c r="S50" s="1156">
        <f t="shared" si="70"/>
        <v>0</v>
      </c>
      <c r="T50" s="1156">
        <f t="shared" si="70"/>
        <v>0</v>
      </c>
      <c r="U50" s="1156">
        <f t="shared" si="70"/>
        <v>0</v>
      </c>
      <c r="V50" s="1156">
        <f t="shared" si="70"/>
        <v>0</v>
      </c>
      <c r="W50" s="1156">
        <f t="shared" si="70"/>
        <v>0</v>
      </c>
      <c r="X50" s="1227">
        <f t="shared" si="70"/>
        <v>0</v>
      </c>
      <c r="Y50" s="1227">
        <f t="shared" si="70"/>
        <v>0</v>
      </c>
      <c r="Z50" s="1156">
        <f t="shared" si="70"/>
        <v>0</v>
      </c>
      <c r="AA50" s="1156">
        <f t="shared" si="70"/>
        <v>0</v>
      </c>
      <c r="AB50" s="1156">
        <f t="shared" si="70"/>
        <v>0</v>
      </c>
      <c r="AC50" s="1156">
        <f t="shared" si="70"/>
        <v>0</v>
      </c>
      <c r="AD50" s="1156">
        <f t="shared" si="70"/>
        <v>0</v>
      </c>
      <c r="AE50" s="1227">
        <f t="shared" si="70"/>
        <v>0</v>
      </c>
      <c r="AF50" s="1227">
        <f t="shared" si="70"/>
        <v>0</v>
      </c>
      <c r="AG50" s="1156">
        <f t="shared" si="70"/>
        <v>0</v>
      </c>
      <c r="AH50" s="1156">
        <f t="shared" si="70"/>
        <v>0</v>
      </c>
      <c r="AI50" s="1156">
        <f t="shared" si="70"/>
        <v>0</v>
      </c>
      <c r="AJ50" s="394"/>
      <c r="AK50" s="1025">
        <f t="shared" si="0"/>
        <v>0</v>
      </c>
      <c r="AL50" s="419"/>
      <c r="AM50" s="1040">
        <f t="shared" si="1"/>
        <v>0</v>
      </c>
      <c r="AN50" s="382"/>
      <c r="AO50" s="622"/>
      <c r="AP50" s="391"/>
      <c r="AQ50" s="391"/>
      <c r="AR50" s="4"/>
      <c r="AS50" s="4"/>
      <c r="AT50" s="392"/>
      <c r="AU50" s="4"/>
      <c r="AV50" s="4"/>
    </row>
    <row r="51" spans="1:48" ht="19.899999999999999" hidden="1" customHeight="1">
      <c r="A51" s="376"/>
      <c r="B51" s="59"/>
      <c r="C51" s="387"/>
      <c r="D51" s="395" t="s">
        <v>435</v>
      </c>
      <c r="E51" s="1365"/>
      <c r="F51" s="1104"/>
      <c r="G51" s="1211"/>
      <c r="H51" s="1176"/>
      <c r="I51" s="1104"/>
      <c r="J51" s="1211"/>
      <c r="K51" s="1273"/>
      <c r="L51" s="1104"/>
      <c r="M51" s="1107"/>
      <c r="N51" s="1177"/>
      <c r="O51" s="1104"/>
      <c r="P51" s="1177"/>
      <c r="Q51" s="1211"/>
      <c r="R51" s="1211"/>
      <c r="S51" s="1104"/>
      <c r="T51" s="1107"/>
      <c r="U51" s="1104"/>
      <c r="V51" s="1107"/>
      <c r="W51" s="1104"/>
      <c r="X51" s="1228"/>
      <c r="Y51" s="1228"/>
      <c r="Z51" s="1155"/>
      <c r="AA51" s="1104"/>
      <c r="AB51" s="1104"/>
      <c r="AC51" s="1104"/>
      <c r="AD51" s="1104"/>
      <c r="AE51" s="1211"/>
      <c r="AF51" s="1211"/>
      <c r="AG51" s="1104"/>
      <c r="AH51" s="1104"/>
      <c r="AI51" s="1104"/>
      <c r="AJ51" s="396"/>
      <c r="AK51" s="1024">
        <f t="shared" si="0"/>
        <v>0</v>
      </c>
      <c r="AL51" s="420"/>
      <c r="AM51" s="1040">
        <f t="shared" si="1"/>
        <v>0</v>
      </c>
      <c r="AN51" s="382"/>
      <c r="AO51" s="622"/>
      <c r="AP51" s="391"/>
      <c r="AQ51" s="391"/>
    </row>
    <row r="52" spans="1:48" ht="19.899999999999999" hidden="1" customHeight="1">
      <c r="A52" s="376"/>
      <c r="B52" s="59"/>
      <c r="C52" s="387" t="s">
        <v>104</v>
      </c>
      <c r="D52" s="88" t="s">
        <v>111</v>
      </c>
      <c r="E52" s="1108">
        <f>IF(E51="O/H",E48,0+E48)</f>
        <v>0</v>
      </c>
      <c r="F52" s="1108">
        <f t="shared" ref="F52:AI52" si="71">IF(F51="O/H",F48,0+F48)</f>
        <v>0</v>
      </c>
      <c r="G52" s="1199">
        <f t="shared" si="71"/>
        <v>0</v>
      </c>
      <c r="H52" s="1108">
        <f t="shared" si="71"/>
        <v>0</v>
      </c>
      <c r="I52" s="1108">
        <f t="shared" si="71"/>
        <v>0</v>
      </c>
      <c r="J52" s="1199">
        <f t="shared" si="71"/>
        <v>0</v>
      </c>
      <c r="K52" s="1199">
        <f t="shared" si="71"/>
        <v>0</v>
      </c>
      <c r="L52" s="1108">
        <f t="shared" si="71"/>
        <v>0</v>
      </c>
      <c r="M52" s="1108">
        <f t="shared" si="71"/>
        <v>0</v>
      </c>
      <c r="N52" s="1108">
        <f t="shared" si="71"/>
        <v>0</v>
      </c>
      <c r="O52" s="1108">
        <f t="shared" si="71"/>
        <v>0</v>
      </c>
      <c r="P52" s="1108">
        <f t="shared" si="71"/>
        <v>0</v>
      </c>
      <c r="Q52" s="1199">
        <f t="shared" si="71"/>
        <v>0</v>
      </c>
      <c r="R52" s="1199">
        <f t="shared" si="71"/>
        <v>0</v>
      </c>
      <c r="S52" s="1108">
        <f t="shared" si="71"/>
        <v>0</v>
      </c>
      <c r="T52" s="1108">
        <f t="shared" si="71"/>
        <v>0</v>
      </c>
      <c r="U52" s="1108">
        <f t="shared" si="71"/>
        <v>0</v>
      </c>
      <c r="V52" s="1108">
        <f t="shared" si="71"/>
        <v>0</v>
      </c>
      <c r="W52" s="1108">
        <f t="shared" si="71"/>
        <v>0</v>
      </c>
      <c r="X52" s="1199">
        <f t="shared" si="71"/>
        <v>0</v>
      </c>
      <c r="Y52" s="1199">
        <f t="shared" si="71"/>
        <v>0</v>
      </c>
      <c r="Z52" s="1108">
        <f t="shared" si="71"/>
        <v>0</v>
      </c>
      <c r="AA52" s="1108">
        <f t="shared" si="71"/>
        <v>0</v>
      </c>
      <c r="AB52" s="1108">
        <f t="shared" si="71"/>
        <v>0</v>
      </c>
      <c r="AC52" s="1108">
        <f t="shared" si="71"/>
        <v>0</v>
      </c>
      <c r="AD52" s="1108">
        <f t="shared" si="71"/>
        <v>0</v>
      </c>
      <c r="AE52" s="1199">
        <f t="shared" si="71"/>
        <v>0</v>
      </c>
      <c r="AF52" s="1199">
        <f t="shared" si="71"/>
        <v>0</v>
      </c>
      <c r="AG52" s="1108">
        <f t="shared" si="71"/>
        <v>0</v>
      </c>
      <c r="AH52" s="1108">
        <f t="shared" si="71"/>
        <v>0</v>
      </c>
      <c r="AI52" s="1108">
        <f t="shared" si="71"/>
        <v>0</v>
      </c>
      <c r="AJ52" s="396"/>
      <c r="AK52" s="1024">
        <f t="shared" si="0"/>
        <v>0</v>
      </c>
      <c r="AL52" s="420"/>
      <c r="AM52" s="1040">
        <f t="shared" si="1"/>
        <v>0</v>
      </c>
      <c r="AN52" s="382"/>
      <c r="AO52" s="622"/>
      <c r="AP52" s="391"/>
      <c r="AQ52" s="391"/>
    </row>
    <row r="53" spans="1:48" s="23" customFormat="1" ht="20.45" hidden="1" customHeight="1">
      <c r="A53" s="312"/>
      <c r="B53" s="312"/>
      <c r="C53" s="379">
        <v>150000</v>
      </c>
      <c r="D53" s="795" t="s">
        <v>112</v>
      </c>
      <c r="E53" s="1117" t="b">
        <f>IF(AND(ISNUMBER(E42)),1600577+E48)</f>
        <v>0</v>
      </c>
      <c r="F53" s="1118" t="str">
        <f>IF(AND(ISNUMBER(F42)),E53+F48,"")</f>
        <v/>
      </c>
      <c r="G53" s="1216" t="str">
        <f>IF(AND(ISNUMBER(G42)),F53+G48,"")</f>
        <v/>
      </c>
      <c r="H53" s="1118" t="str">
        <f t="shared" ref="H53:AI53" si="72">IF(AND(ISNUMBER(H42)),G53+H48,"")</f>
        <v/>
      </c>
      <c r="I53" s="1118" t="str">
        <f t="shared" si="72"/>
        <v/>
      </c>
      <c r="J53" s="1216" t="str">
        <f t="shared" si="72"/>
        <v/>
      </c>
      <c r="K53" s="1216" t="str">
        <f t="shared" si="72"/>
        <v/>
      </c>
      <c r="L53" s="1118" t="str">
        <f t="shared" si="72"/>
        <v/>
      </c>
      <c r="M53" s="1118" t="str">
        <f t="shared" si="72"/>
        <v/>
      </c>
      <c r="N53" s="1118" t="str">
        <f t="shared" si="72"/>
        <v/>
      </c>
      <c r="O53" s="1118" t="str">
        <f t="shared" si="72"/>
        <v/>
      </c>
      <c r="P53" s="1118" t="str">
        <f t="shared" si="72"/>
        <v/>
      </c>
      <c r="Q53" s="1216" t="str">
        <f t="shared" si="72"/>
        <v/>
      </c>
      <c r="R53" s="1216" t="str">
        <f t="shared" si="72"/>
        <v/>
      </c>
      <c r="S53" s="1118" t="str">
        <f t="shared" si="72"/>
        <v/>
      </c>
      <c r="T53" s="1118" t="str">
        <f t="shared" si="72"/>
        <v/>
      </c>
      <c r="U53" s="1118" t="str">
        <f t="shared" si="72"/>
        <v/>
      </c>
      <c r="V53" s="1118" t="str">
        <f t="shared" si="72"/>
        <v/>
      </c>
      <c r="W53" s="1118" t="str">
        <f t="shared" si="72"/>
        <v/>
      </c>
      <c r="X53" s="1216" t="str">
        <f t="shared" si="72"/>
        <v/>
      </c>
      <c r="Y53" s="1216" t="str">
        <f t="shared" si="72"/>
        <v/>
      </c>
      <c r="Z53" s="1118" t="str">
        <f t="shared" si="72"/>
        <v/>
      </c>
      <c r="AA53" s="1118" t="str">
        <f t="shared" si="72"/>
        <v/>
      </c>
      <c r="AB53" s="1118" t="str">
        <f t="shared" si="72"/>
        <v/>
      </c>
      <c r="AC53" s="1118" t="str">
        <f t="shared" si="72"/>
        <v/>
      </c>
      <c r="AD53" s="1118" t="str">
        <f t="shared" si="72"/>
        <v/>
      </c>
      <c r="AE53" s="1216" t="str">
        <f t="shared" si="72"/>
        <v/>
      </c>
      <c r="AF53" s="1216" t="str">
        <f t="shared" si="72"/>
        <v/>
      </c>
      <c r="AG53" s="1118" t="str">
        <f t="shared" si="72"/>
        <v/>
      </c>
      <c r="AH53" s="1118" t="str">
        <f t="shared" si="72"/>
        <v/>
      </c>
      <c r="AI53" s="1118" t="str">
        <f t="shared" si="72"/>
        <v/>
      </c>
      <c r="AJ53" s="793"/>
      <c r="AK53" s="1026">
        <f t="shared" si="0"/>
        <v>0</v>
      </c>
      <c r="AL53" s="897"/>
      <c r="AM53" s="1042">
        <f t="shared" si="1"/>
        <v>0</v>
      </c>
      <c r="AN53" s="468"/>
      <c r="AO53" s="675"/>
      <c r="AP53" s="285"/>
      <c r="AQ53" s="285"/>
      <c r="AR53" s="285"/>
      <c r="AS53" s="285"/>
      <c r="AT53" s="286"/>
      <c r="AU53" s="285"/>
      <c r="AV53" s="287"/>
    </row>
    <row r="54" spans="1:48" ht="19.899999999999999" hidden="1" customHeight="1">
      <c r="A54" s="376"/>
      <c r="B54" s="393" t="s">
        <v>443</v>
      </c>
      <c r="C54" s="89" t="s">
        <v>108</v>
      </c>
      <c r="D54" s="90" t="s">
        <v>104</v>
      </c>
      <c r="E54" s="1365"/>
      <c r="F54" s="1104"/>
      <c r="G54" s="1211"/>
      <c r="H54" s="1176"/>
      <c r="I54" s="1104"/>
      <c r="J54" s="1211"/>
      <c r="K54" s="1273"/>
      <c r="L54" s="1104"/>
      <c r="M54" s="1104"/>
      <c r="N54" s="1177"/>
      <c r="O54" s="1104"/>
      <c r="P54" s="1177"/>
      <c r="Q54" s="1211"/>
      <c r="R54" s="1211"/>
      <c r="S54" s="1104"/>
      <c r="T54" s="1107"/>
      <c r="U54" s="1104"/>
      <c r="V54" s="1107"/>
      <c r="W54" s="1104"/>
      <c r="X54" s="1228"/>
      <c r="Y54" s="1228"/>
      <c r="Z54" s="1155"/>
      <c r="AA54" s="1104"/>
      <c r="AB54" s="1104"/>
      <c r="AC54" s="1107"/>
      <c r="AD54" s="1104"/>
      <c r="AE54" s="1211"/>
      <c r="AF54" s="1211"/>
      <c r="AG54" s="1104"/>
      <c r="AH54" s="1104"/>
      <c r="AI54" s="1104"/>
      <c r="AJ54" s="396"/>
      <c r="AK54" s="1024">
        <f t="shared" si="0"/>
        <v>0</v>
      </c>
      <c r="AL54" s="420"/>
      <c r="AM54" s="1040">
        <f t="shared" si="1"/>
        <v>0</v>
      </c>
      <c r="AN54" s="382"/>
      <c r="AO54" s="622"/>
      <c r="AP54" s="391"/>
      <c r="AQ54" s="391"/>
    </row>
    <row r="55" spans="1:48" ht="19.899999999999999" hidden="1" customHeight="1" thickBot="1">
      <c r="A55" s="397"/>
      <c r="B55" s="398"/>
      <c r="C55" s="407">
        <f>+C53*0.8</f>
        <v>120000</v>
      </c>
      <c r="D55" s="95" t="s">
        <v>111</v>
      </c>
      <c r="E55" s="1156">
        <f>IF(E54="O/H",E48,0+E48)</f>
        <v>0</v>
      </c>
      <c r="F55" s="1156">
        <f t="shared" ref="F55:AI55" si="73">IF(F54="O/H",F48,0+F48)</f>
        <v>0</v>
      </c>
      <c r="G55" s="1227">
        <f t="shared" si="73"/>
        <v>0</v>
      </c>
      <c r="H55" s="1156">
        <f t="shared" si="73"/>
        <v>0</v>
      </c>
      <c r="I55" s="1156">
        <f t="shared" si="73"/>
        <v>0</v>
      </c>
      <c r="J55" s="1227">
        <f t="shared" si="73"/>
        <v>0</v>
      </c>
      <c r="K55" s="1227">
        <f t="shared" si="73"/>
        <v>0</v>
      </c>
      <c r="L55" s="1156">
        <f t="shared" si="73"/>
        <v>0</v>
      </c>
      <c r="M55" s="1156">
        <f t="shared" si="73"/>
        <v>0</v>
      </c>
      <c r="N55" s="1156">
        <f t="shared" si="73"/>
        <v>0</v>
      </c>
      <c r="O55" s="1156">
        <f t="shared" si="73"/>
        <v>0</v>
      </c>
      <c r="P55" s="1156">
        <f t="shared" si="73"/>
        <v>0</v>
      </c>
      <c r="Q55" s="1227">
        <f t="shared" si="73"/>
        <v>0</v>
      </c>
      <c r="R55" s="1227">
        <f t="shared" si="73"/>
        <v>0</v>
      </c>
      <c r="S55" s="1156">
        <f t="shared" si="73"/>
        <v>0</v>
      </c>
      <c r="T55" s="1156">
        <f t="shared" si="73"/>
        <v>0</v>
      </c>
      <c r="U55" s="1156">
        <f t="shared" si="73"/>
        <v>0</v>
      </c>
      <c r="V55" s="1156">
        <f t="shared" si="73"/>
        <v>0</v>
      </c>
      <c r="W55" s="1156">
        <f t="shared" si="73"/>
        <v>0</v>
      </c>
      <c r="X55" s="1227">
        <f t="shared" si="73"/>
        <v>0</v>
      </c>
      <c r="Y55" s="1227">
        <f t="shared" si="73"/>
        <v>0</v>
      </c>
      <c r="Z55" s="1156">
        <f t="shared" si="73"/>
        <v>0</v>
      </c>
      <c r="AA55" s="1156">
        <f t="shared" si="73"/>
        <v>0</v>
      </c>
      <c r="AB55" s="1156">
        <f t="shared" si="73"/>
        <v>0</v>
      </c>
      <c r="AC55" s="1156">
        <f t="shared" si="73"/>
        <v>0</v>
      </c>
      <c r="AD55" s="1156">
        <f t="shared" si="73"/>
        <v>0</v>
      </c>
      <c r="AE55" s="1227">
        <f t="shared" si="73"/>
        <v>0</v>
      </c>
      <c r="AF55" s="1227">
        <f t="shared" si="73"/>
        <v>0</v>
      </c>
      <c r="AG55" s="1156">
        <f t="shared" si="73"/>
        <v>0</v>
      </c>
      <c r="AH55" s="1156">
        <f t="shared" si="73"/>
        <v>0</v>
      </c>
      <c r="AI55" s="1156">
        <f t="shared" si="73"/>
        <v>0</v>
      </c>
      <c r="AJ55" s="399"/>
      <c r="AK55" s="1027">
        <f t="shared" si="0"/>
        <v>0</v>
      </c>
      <c r="AL55" s="421"/>
      <c r="AM55" s="1043">
        <f t="shared" si="1"/>
        <v>0</v>
      </c>
      <c r="AN55" s="894"/>
      <c r="AO55" s="625"/>
      <c r="AP55" s="391"/>
      <c r="AQ55" s="391"/>
    </row>
    <row r="56" spans="1:48" ht="19.899999999999999" hidden="1" customHeight="1" thickTop="1">
      <c r="A56" s="905" t="s">
        <v>652</v>
      </c>
      <c r="B56" s="393" t="s">
        <v>651</v>
      </c>
      <c r="C56" s="518" t="str">
        <f>Table37[[#This Row],[M/C No.]]</f>
        <v>R4(18ton)</v>
      </c>
      <c r="D56" s="28" t="s">
        <v>82</v>
      </c>
      <c r="E56" s="1124"/>
      <c r="F56" s="1124"/>
      <c r="G56" s="1242"/>
      <c r="H56" s="1124"/>
      <c r="I56" s="1124"/>
      <c r="J56" s="1242"/>
      <c r="K56" s="1242"/>
      <c r="L56" s="1124"/>
      <c r="M56" s="1124"/>
      <c r="N56" s="1124"/>
      <c r="O56" s="1124"/>
      <c r="P56" s="1124"/>
      <c r="Q56" s="1242"/>
      <c r="R56" s="1242"/>
      <c r="S56" s="1124"/>
      <c r="T56" s="1124"/>
      <c r="U56" s="1124"/>
      <c r="V56" s="1124"/>
      <c r="W56" s="1124"/>
      <c r="X56" s="1242"/>
      <c r="Y56" s="1242"/>
      <c r="Z56" s="1124"/>
      <c r="AA56" s="1124"/>
      <c r="AB56" s="1124"/>
      <c r="AC56" s="1124"/>
      <c r="AD56" s="1124"/>
      <c r="AE56" s="1242"/>
      <c r="AF56" s="1242"/>
      <c r="AG56" s="1124"/>
      <c r="AH56" s="1124"/>
      <c r="AI56" s="1124"/>
      <c r="AJ56" s="375">
        <f>SUM(E56:AI56)</f>
        <v>0</v>
      </c>
      <c r="AK56" s="1047">
        <f t="shared" si="0"/>
        <v>0</v>
      </c>
      <c r="AL56" s="899">
        <f>+AJ56*AN56</f>
        <v>0</v>
      </c>
      <c r="AM56" s="1050">
        <f t="shared" si="1"/>
        <v>0</v>
      </c>
      <c r="AN56" s="402">
        <v>4.5521000000000003</v>
      </c>
      <c r="AO56" s="622">
        <f>Table37[[#This Row],[Total]]*B60/1000</f>
        <v>0</v>
      </c>
      <c r="AP56" s="32" t="s">
        <v>444</v>
      </c>
      <c r="AQ56" s="33" t="s">
        <v>84</v>
      </c>
      <c r="AR56" s="33" t="s">
        <v>85</v>
      </c>
      <c r="AS56" s="33" t="s">
        <v>86</v>
      </c>
      <c r="AT56" s="33" t="s">
        <v>87</v>
      </c>
      <c r="AU56" s="33" t="s">
        <v>88</v>
      </c>
      <c r="AV56" s="34" t="s">
        <v>68</v>
      </c>
    </row>
    <row r="57" spans="1:48" ht="19.899999999999999" hidden="1" customHeight="1">
      <c r="A57" s="376"/>
      <c r="B57" s="393" t="s">
        <v>442</v>
      </c>
      <c r="C57" s="52" t="s">
        <v>95</v>
      </c>
      <c r="D57" s="37" t="s">
        <v>90</v>
      </c>
      <c r="E57" s="1323">
        <f>IF(E56="",0,E56/E63)</f>
        <v>0</v>
      </c>
      <c r="F57" s="1096">
        <f t="shared" ref="F57:AI57" si="74">IF(F56="",0, E57+F56/F63)</f>
        <v>0</v>
      </c>
      <c r="G57" s="1207">
        <f t="shared" si="74"/>
        <v>0</v>
      </c>
      <c r="H57" s="1096">
        <f t="shared" si="74"/>
        <v>0</v>
      </c>
      <c r="I57" s="1096">
        <f t="shared" si="74"/>
        <v>0</v>
      </c>
      <c r="J57" s="1207">
        <f t="shared" si="74"/>
        <v>0</v>
      </c>
      <c r="K57" s="1207">
        <f t="shared" si="74"/>
        <v>0</v>
      </c>
      <c r="L57" s="1096">
        <f t="shared" si="74"/>
        <v>0</v>
      </c>
      <c r="M57" s="1096">
        <f t="shared" si="74"/>
        <v>0</v>
      </c>
      <c r="N57" s="1096">
        <f t="shared" si="74"/>
        <v>0</v>
      </c>
      <c r="O57" s="1096">
        <f t="shared" si="74"/>
        <v>0</v>
      </c>
      <c r="P57" s="1096">
        <f t="shared" si="74"/>
        <v>0</v>
      </c>
      <c r="Q57" s="1207">
        <f t="shared" si="74"/>
        <v>0</v>
      </c>
      <c r="R57" s="1207">
        <f t="shared" si="74"/>
        <v>0</v>
      </c>
      <c r="S57" s="1096">
        <f t="shared" si="74"/>
        <v>0</v>
      </c>
      <c r="T57" s="1096">
        <f t="shared" si="74"/>
        <v>0</v>
      </c>
      <c r="U57" s="1096">
        <f t="shared" si="74"/>
        <v>0</v>
      </c>
      <c r="V57" s="1096">
        <f t="shared" si="74"/>
        <v>0</v>
      </c>
      <c r="W57" s="1096">
        <f t="shared" si="74"/>
        <v>0</v>
      </c>
      <c r="X57" s="1207">
        <f t="shared" si="74"/>
        <v>0</v>
      </c>
      <c r="Y57" s="1207">
        <f t="shared" si="74"/>
        <v>0</v>
      </c>
      <c r="Z57" s="1096">
        <f t="shared" si="74"/>
        <v>0</v>
      </c>
      <c r="AA57" s="1096">
        <f t="shared" si="74"/>
        <v>0</v>
      </c>
      <c r="AB57" s="1096">
        <f t="shared" si="74"/>
        <v>0</v>
      </c>
      <c r="AC57" s="1096">
        <f t="shared" si="74"/>
        <v>0</v>
      </c>
      <c r="AD57" s="1096">
        <f t="shared" si="74"/>
        <v>0</v>
      </c>
      <c r="AE57" s="1207">
        <f>IF(AE56="",0, AA57+AE56/AE63)</f>
        <v>0</v>
      </c>
      <c r="AF57" s="1207">
        <f>IF(AF56="",0, AB57+AF56/AF63)</f>
        <v>0</v>
      </c>
      <c r="AG57" s="1096">
        <f t="shared" si="74"/>
        <v>0</v>
      </c>
      <c r="AH57" s="1096">
        <f t="shared" si="74"/>
        <v>0</v>
      </c>
      <c r="AI57" s="1096">
        <f t="shared" si="74"/>
        <v>0</v>
      </c>
      <c r="AJ57" s="375"/>
      <c r="AK57" s="1023">
        <f t="shared" si="0"/>
        <v>0</v>
      </c>
      <c r="AL57" s="423"/>
      <c r="AM57" s="1040">
        <f t="shared" si="1"/>
        <v>0</v>
      </c>
      <c r="AN57" s="382"/>
      <c r="AO57" s="675"/>
      <c r="AP57" s="39" t="s">
        <v>91</v>
      </c>
      <c r="AQ57" s="40">
        <f>SUM(E56:I56)</f>
        <v>0</v>
      </c>
      <c r="AR57" s="41">
        <f>SUM(J56:P56)</f>
        <v>0</v>
      </c>
      <c r="AS57" s="41">
        <f>SUM(Q56:W56)</f>
        <v>0</v>
      </c>
      <c r="AT57" s="41">
        <f>SUM(X56:AD56)</f>
        <v>0</v>
      </c>
      <c r="AU57" s="41">
        <f>SUM(AE56:AI56)</f>
        <v>0</v>
      </c>
      <c r="AV57" s="34">
        <f t="shared" ref="AV57:AV62" si="75">SUM(AQ57:AU57)</f>
        <v>0</v>
      </c>
    </row>
    <row r="58" spans="1:48" ht="19.899999999999999" hidden="1" customHeight="1">
      <c r="A58" s="376"/>
      <c r="B58" s="411" t="s">
        <v>272</v>
      </c>
      <c r="C58" s="379">
        <v>75000</v>
      </c>
      <c r="D58" s="43" t="s">
        <v>93</v>
      </c>
      <c r="E58" s="1325"/>
      <c r="F58" s="1089"/>
      <c r="G58" s="44"/>
      <c r="H58" s="1089"/>
      <c r="I58" s="1089"/>
      <c r="J58" s="44"/>
      <c r="K58" s="44"/>
      <c r="L58" s="1089"/>
      <c r="M58" s="1089"/>
      <c r="N58" s="1089"/>
      <c r="O58" s="1089"/>
      <c r="P58" s="1089"/>
      <c r="Q58" s="44"/>
      <c r="R58" s="44"/>
      <c r="S58" s="1089"/>
      <c r="T58" s="1089"/>
      <c r="U58" s="1089"/>
      <c r="V58" s="1089"/>
      <c r="W58" s="1089"/>
      <c r="X58" s="44"/>
      <c r="Y58" s="44"/>
      <c r="Z58" s="1089"/>
      <c r="AA58" s="1089"/>
      <c r="AB58" s="1089"/>
      <c r="AC58" s="1089"/>
      <c r="AD58" s="1089"/>
      <c r="AE58" s="44"/>
      <c r="AF58" s="44"/>
      <c r="AG58" s="1089"/>
      <c r="AH58" s="1089"/>
      <c r="AI58" s="1089"/>
      <c r="AJ58" s="380">
        <f>SUM(E58:AI58)</f>
        <v>0</v>
      </c>
      <c r="AK58" s="1024">
        <f t="shared" si="0"/>
        <v>0</v>
      </c>
      <c r="AL58" s="424">
        <f>+AJ58*AN56</f>
        <v>0</v>
      </c>
      <c r="AM58" s="1041">
        <f t="shared" si="1"/>
        <v>0</v>
      </c>
      <c r="AN58" s="382"/>
      <c r="AO58" s="632">
        <f>(AJ58+AJ60+AJ61+AJ62)*B60/1000</f>
        <v>0</v>
      </c>
      <c r="AP58" s="47" t="s">
        <v>94</v>
      </c>
      <c r="AQ58" s="48">
        <f>SUM(E58:I58)</f>
        <v>0</v>
      </c>
      <c r="AR58" s="49">
        <f>SUM(J58:P58)</f>
        <v>0</v>
      </c>
      <c r="AS58" s="49">
        <f>SUM(Q58:W58)</f>
        <v>0</v>
      </c>
      <c r="AT58" s="49">
        <f>SUM(X58:AD58)</f>
        <v>0</v>
      </c>
      <c r="AU58" s="49">
        <f>SUM(AE58:AI58)</f>
        <v>0</v>
      </c>
      <c r="AV58" s="50">
        <f t="shared" si="75"/>
        <v>0</v>
      </c>
    </row>
    <row r="59" spans="1:48" ht="19.899999999999999" hidden="1" customHeight="1">
      <c r="A59" s="376"/>
      <c r="B59" s="767" t="s">
        <v>247</v>
      </c>
      <c r="C59" s="89" t="s">
        <v>108</v>
      </c>
      <c r="D59" s="53" t="s">
        <v>96</v>
      </c>
      <c r="E59" s="1327">
        <f t="shared" ref="E59" si="76">+E58-E56</f>
        <v>0</v>
      </c>
      <c r="F59" s="1097">
        <f t="shared" ref="F59:AI59" si="77">+F58-F56</f>
        <v>0</v>
      </c>
      <c r="G59" s="1205">
        <f t="shared" si="77"/>
        <v>0</v>
      </c>
      <c r="H59" s="1097">
        <f t="shared" si="77"/>
        <v>0</v>
      </c>
      <c r="I59" s="1097">
        <f t="shared" si="77"/>
        <v>0</v>
      </c>
      <c r="J59" s="1205">
        <f t="shared" si="77"/>
        <v>0</v>
      </c>
      <c r="K59" s="1205">
        <f t="shared" si="77"/>
        <v>0</v>
      </c>
      <c r="L59" s="1097">
        <f t="shared" si="77"/>
        <v>0</v>
      </c>
      <c r="M59" s="1097">
        <f t="shared" si="77"/>
        <v>0</v>
      </c>
      <c r="N59" s="1097">
        <f t="shared" si="77"/>
        <v>0</v>
      </c>
      <c r="O59" s="1097">
        <f t="shared" si="77"/>
        <v>0</v>
      </c>
      <c r="P59" s="1097">
        <f t="shared" si="77"/>
        <v>0</v>
      </c>
      <c r="Q59" s="1205">
        <f t="shared" si="77"/>
        <v>0</v>
      </c>
      <c r="R59" s="1205">
        <f t="shared" si="77"/>
        <v>0</v>
      </c>
      <c r="S59" s="1097">
        <f t="shared" si="77"/>
        <v>0</v>
      </c>
      <c r="T59" s="1097">
        <f t="shared" si="77"/>
        <v>0</v>
      </c>
      <c r="U59" s="1097">
        <f t="shared" si="77"/>
        <v>0</v>
      </c>
      <c r="V59" s="1097">
        <f t="shared" si="77"/>
        <v>0</v>
      </c>
      <c r="W59" s="1097">
        <f t="shared" si="77"/>
        <v>0</v>
      </c>
      <c r="X59" s="1205">
        <f t="shared" si="77"/>
        <v>0</v>
      </c>
      <c r="Y59" s="1205">
        <f t="shared" si="77"/>
        <v>0</v>
      </c>
      <c r="Z59" s="1097">
        <f t="shared" si="77"/>
        <v>0</v>
      </c>
      <c r="AA59" s="1097">
        <f t="shared" si="77"/>
        <v>0</v>
      </c>
      <c r="AB59" s="1097">
        <f t="shared" si="77"/>
        <v>0</v>
      </c>
      <c r="AC59" s="1097">
        <f t="shared" si="77"/>
        <v>0</v>
      </c>
      <c r="AD59" s="1097">
        <f t="shared" si="77"/>
        <v>0</v>
      </c>
      <c r="AE59" s="1205">
        <f t="shared" si="77"/>
        <v>0</v>
      </c>
      <c r="AF59" s="1205">
        <f t="shared" si="77"/>
        <v>0</v>
      </c>
      <c r="AG59" s="1097">
        <f t="shared" si="77"/>
        <v>0</v>
      </c>
      <c r="AH59" s="1097">
        <f t="shared" si="77"/>
        <v>0</v>
      </c>
      <c r="AI59" s="1097">
        <f t="shared" si="77"/>
        <v>0</v>
      </c>
      <c r="AJ59" s="381">
        <f>+AJ58-AJ56</f>
        <v>0</v>
      </c>
      <c r="AK59" s="1024">
        <f t="shared" si="0"/>
        <v>0</v>
      </c>
      <c r="AL59" s="425">
        <f>+AJ59*AN56</f>
        <v>0</v>
      </c>
      <c r="AM59" s="1041">
        <f t="shared" si="1"/>
        <v>0</v>
      </c>
      <c r="AN59" s="382" t="s">
        <v>97</v>
      </c>
      <c r="AO59" s="622"/>
      <c r="AP59" s="39" t="s">
        <v>98</v>
      </c>
      <c r="AQ59" s="56">
        <f>AQ58-AQ57</f>
        <v>0</v>
      </c>
      <c r="AR59" s="70">
        <f>AR58-AR57</f>
        <v>0</v>
      </c>
      <c r="AS59" s="70">
        <f>AS58-AS57</f>
        <v>0</v>
      </c>
      <c r="AT59" s="70">
        <f>AT58-AT57</f>
        <v>0</v>
      </c>
      <c r="AU59" s="70">
        <f>AU58-AU57</f>
        <v>0</v>
      </c>
      <c r="AV59" s="57">
        <f t="shared" si="75"/>
        <v>0</v>
      </c>
    </row>
    <row r="60" spans="1:48" ht="19.899999999999999" hidden="1" customHeight="1">
      <c r="A60" s="376"/>
      <c r="B60" s="769">
        <v>0.95674999999999999</v>
      </c>
      <c r="C60" s="383">
        <f>+C58*0.8</f>
        <v>60000</v>
      </c>
      <c r="D60" s="61" t="s">
        <v>101</v>
      </c>
      <c r="E60" s="1367"/>
      <c r="F60" s="1099"/>
      <c r="G60" s="1208"/>
      <c r="H60" s="1099"/>
      <c r="I60" s="1099"/>
      <c r="J60" s="1208"/>
      <c r="K60" s="1208"/>
      <c r="L60" s="1099"/>
      <c r="M60" s="1099"/>
      <c r="N60" s="1099"/>
      <c r="O60" s="1099"/>
      <c r="P60" s="1099"/>
      <c r="Q60" s="1208"/>
      <c r="R60" s="1208"/>
      <c r="S60" s="1099"/>
      <c r="T60" s="1099"/>
      <c r="U60" s="1099"/>
      <c r="V60" s="1099"/>
      <c r="W60" s="1099"/>
      <c r="X60" s="1208"/>
      <c r="Y60" s="1208"/>
      <c r="Z60" s="1099"/>
      <c r="AA60" s="1099"/>
      <c r="AB60" s="1099"/>
      <c r="AC60" s="1099"/>
      <c r="AD60" s="1099"/>
      <c r="AE60" s="1208"/>
      <c r="AF60" s="1208"/>
      <c r="AG60" s="1099"/>
      <c r="AH60" s="1099"/>
      <c r="AI60" s="1099"/>
      <c r="AJ60" s="384">
        <f>SUM(E60:AI60)</f>
        <v>0</v>
      </c>
      <c r="AK60" s="1024">
        <f t="shared" si="0"/>
        <v>0</v>
      </c>
      <c r="AL60" s="420">
        <f>+AJ60*AN56</f>
        <v>0</v>
      </c>
      <c r="AM60" s="1040">
        <f t="shared" si="1"/>
        <v>0</v>
      </c>
      <c r="AN60" s="385" t="e">
        <f>+AJ60/AJ58</f>
        <v>#DIV/0!</v>
      </c>
      <c r="AO60" s="635" t="e">
        <f>AO58/AO56</f>
        <v>#DIV/0!</v>
      </c>
      <c r="AP60" s="39" t="s">
        <v>102</v>
      </c>
      <c r="AQ60" s="56">
        <f>SUM(E60:I60)</f>
        <v>0</v>
      </c>
      <c r="AR60" s="70">
        <f>SUM(J60:P60)</f>
        <v>0</v>
      </c>
      <c r="AS60" s="70">
        <f>SUM(Q60:W60)</f>
        <v>0</v>
      </c>
      <c r="AT60" s="70">
        <f>SUM(X60:AD60)</f>
        <v>0</v>
      </c>
      <c r="AU60" s="70">
        <f>SUM(AE60:AI60)</f>
        <v>0</v>
      </c>
      <c r="AV60" s="57">
        <f t="shared" si="75"/>
        <v>0</v>
      </c>
    </row>
    <row r="61" spans="1:48" ht="19.899999999999999" hidden="1" customHeight="1">
      <c r="A61" s="376"/>
      <c r="B61" s="65"/>
      <c r="C61" s="383"/>
      <c r="D61" s="67" t="s">
        <v>103</v>
      </c>
      <c r="E61" s="1113"/>
      <c r="F61" s="1101"/>
      <c r="G61" s="1209"/>
      <c r="H61" s="1101"/>
      <c r="I61" s="1101"/>
      <c r="J61" s="1209"/>
      <c r="K61" s="1209"/>
      <c r="L61" s="1101"/>
      <c r="M61" s="1101"/>
      <c r="N61" s="1101"/>
      <c r="O61" s="1101"/>
      <c r="P61" s="1101"/>
      <c r="Q61" s="1209"/>
      <c r="R61" s="1209"/>
      <c r="S61" s="1101"/>
      <c r="T61" s="1101"/>
      <c r="U61" s="1101"/>
      <c r="V61" s="1101"/>
      <c r="W61" s="1101"/>
      <c r="X61" s="1209"/>
      <c r="Y61" s="1209"/>
      <c r="Z61" s="1101"/>
      <c r="AA61" s="1101"/>
      <c r="AB61" s="1101"/>
      <c r="AC61" s="1101"/>
      <c r="AD61" s="1101"/>
      <c r="AE61" s="1209"/>
      <c r="AF61" s="1209"/>
      <c r="AG61" s="1101"/>
      <c r="AH61" s="1101"/>
      <c r="AI61" s="1101"/>
      <c r="AJ61" s="386">
        <f>SUM(E61:AI61)</f>
        <v>0</v>
      </c>
      <c r="AK61" s="1024">
        <f t="shared" si="0"/>
        <v>0</v>
      </c>
      <c r="AL61" s="426">
        <f>+AJ61*AN56</f>
        <v>0</v>
      </c>
      <c r="AM61" s="1040">
        <f t="shared" si="1"/>
        <v>0</v>
      </c>
      <c r="AN61" s="382"/>
      <c r="AO61" s="622"/>
      <c r="AP61" s="39" t="s">
        <v>19</v>
      </c>
      <c r="AQ61" s="56">
        <f>AQ60*AN56</f>
        <v>0</v>
      </c>
      <c r="AR61" s="56">
        <f>AR60*AN56</f>
        <v>0</v>
      </c>
      <c r="AS61" s="56">
        <f>AS60*AN56</f>
        <v>0</v>
      </c>
      <c r="AT61" s="56">
        <f>AT60*AN56</f>
        <v>0</v>
      </c>
      <c r="AU61" s="56">
        <f>AU60*AN56</f>
        <v>0</v>
      </c>
      <c r="AV61" s="57">
        <f t="shared" si="75"/>
        <v>0</v>
      </c>
    </row>
    <row r="62" spans="1:48" ht="19.899999999999999" hidden="1" customHeight="1">
      <c r="A62" s="376"/>
      <c r="B62" s="334" t="s">
        <v>30</v>
      </c>
      <c r="C62" s="387" t="s">
        <v>435</v>
      </c>
      <c r="D62" s="73" t="s">
        <v>105</v>
      </c>
      <c r="E62" s="1115"/>
      <c r="F62" s="1103"/>
      <c r="G62" s="1210"/>
      <c r="H62" s="1103"/>
      <c r="I62" s="1103"/>
      <c r="J62" s="1210"/>
      <c r="K62" s="1210"/>
      <c r="L62" s="1103"/>
      <c r="M62" s="1103"/>
      <c r="N62" s="1103"/>
      <c r="O62" s="1103"/>
      <c r="P62" s="1103"/>
      <c r="Q62" s="1210"/>
      <c r="R62" s="1210"/>
      <c r="S62" s="1103"/>
      <c r="T62" s="1103"/>
      <c r="U62" s="1103"/>
      <c r="V62" s="1103"/>
      <c r="W62" s="1103"/>
      <c r="X62" s="1210"/>
      <c r="Y62" s="1210"/>
      <c r="Z62" s="1103"/>
      <c r="AA62" s="1103"/>
      <c r="AB62" s="1103"/>
      <c r="AC62" s="1103"/>
      <c r="AD62" s="1103"/>
      <c r="AE62" s="1210"/>
      <c r="AF62" s="1210"/>
      <c r="AG62" s="1103"/>
      <c r="AH62" s="1103"/>
      <c r="AI62" s="1103"/>
      <c r="AJ62" s="388">
        <f>SUM(E62:AI62)</f>
        <v>0</v>
      </c>
      <c r="AK62" s="1024">
        <f t="shared" si="0"/>
        <v>0</v>
      </c>
      <c r="AL62" s="427">
        <f>+AJ62*AN56</f>
        <v>0</v>
      </c>
      <c r="AM62" s="1040">
        <f t="shared" si="1"/>
        <v>0</v>
      </c>
      <c r="AN62" s="382"/>
      <c r="AO62" s="622"/>
      <c r="AP62" s="47" t="s">
        <v>106</v>
      </c>
      <c r="AQ62" s="48">
        <f>AQ58*AN56</f>
        <v>0</v>
      </c>
      <c r="AR62" s="48">
        <f>AR58*AN56</f>
        <v>0</v>
      </c>
      <c r="AS62" s="48">
        <f>AS58*AN56</f>
        <v>0</v>
      </c>
      <c r="AT62" s="48">
        <f>AT58*AN56</f>
        <v>0</v>
      </c>
      <c r="AU62" s="48">
        <f>AU58*AN56</f>
        <v>0</v>
      </c>
      <c r="AV62" s="50">
        <f t="shared" si="75"/>
        <v>0</v>
      </c>
    </row>
    <row r="63" spans="1:48" ht="19.899999999999999" hidden="1" customHeight="1">
      <c r="A63" s="376"/>
      <c r="B63" s="390"/>
      <c r="C63" s="379">
        <v>75000</v>
      </c>
      <c r="D63" s="78" t="s">
        <v>107</v>
      </c>
      <c r="E63" s="1137">
        <v>8</v>
      </c>
      <c r="F63" s="1097">
        <v>8</v>
      </c>
      <c r="G63" s="1205">
        <v>8</v>
      </c>
      <c r="H63" s="1097">
        <v>8</v>
      </c>
      <c r="I63" s="1097">
        <v>8</v>
      </c>
      <c r="J63" s="1205">
        <v>8</v>
      </c>
      <c r="K63" s="1205">
        <v>8</v>
      </c>
      <c r="L63" s="1097">
        <v>8</v>
      </c>
      <c r="M63" s="1097">
        <v>8</v>
      </c>
      <c r="N63" s="1097">
        <v>8</v>
      </c>
      <c r="O63" s="1097">
        <v>8</v>
      </c>
      <c r="P63" s="1097">
        <v>8</v>
      </c>
      <c r="Q63" s="1205">
        <v>8</v>
      </c>
      <c r="R63" s="1205">
        <v>8</v>
      </c>
      <c r="S63" s="1097">
        <v>8</v>
      </c>
      <c r="T63" s="1097">
        <v>8</v>
      </c>
      <c r="U63" s="1097">
        <v>8</v>
      </c>
      <c r="V63" s="1097">
        <v>8</v>
      </c>
      <c r="W63" s="1097">
        <v>8</v>
      </c>
      <c r="X63" s="1205">
        <v>8</v>
      </c>
      <c r="Y63" s="1205">
        <v>8</v>
      </c>
      <c r="Z63" s="1097">
        <v>8</v>
      </c>
      <c r="AA63" s="1097">
        <v>8</v>
      </c>
      <c r="AB63" s="1097">
        <v>8</v>
      </c>
      <c r="AC63" s="1097">
        <v>8</v>
      </c>
      <c r="AD63" s="1097">
        <v>8</v>
      </c>
      <c r="AE63" s="1205">
        <v>8</v>
      </c>
      <c r="AF63" s="1205">
        <v>8</v>
      </c>
      <c r="AG63" s="1097">
        <v>8</v>
      </c>
      <c r="AH63" s="1097">
        <v>8</v>
      </c>
      <c r="AI63" s="1097">
        <v>8</v>
      </c>
      <c r="AJ63" s="381"/>
      <c r="AK63" s="1024">
        <f t="shared" si="0"/>
        <v>0</v>
      </c>
      <c r="AL63" s="425"/>
      <c r="AM63" s="1041">
        <f t="shared" si="1"/>
        <v>0</v>
      </c>
      <c r="AN63" s="382"/>
      <c r="AO63" s="622"/>
      <c r="AP63" s="391"/>
      <c r="AQ63" s="391"/>
      <c r="AR63" s="4"/>
      <c r="AS63" s="4"/>
      <c r="AT63" s="392"/>
      <c r="AU63" s="4"/>
      <c r="AV63" s="4"/>
    </row>
    <row r="64" spans="1:48" ht="19.899999999999999" hidden="1" customHeight="1">
      <c r="A64" s="389"/>
      <c r="B64" s="390"/>
      <c r="C64" s="89" t="s">
        <v>108</v>
      </c>
      <c r="D64" s="81" t="s">
        <v>109</v>
      </c>
      <c r="E64" s="1125">
        <f>SUM(E58+E60+E61+E62)/E63</f>
        <v>0</v>
      </c>
      <c r="F64" s="1125">
        <f t="shared" ref="F64:AI64" si="78">SUM(F58+F60+F61+F62)/F63</f>
        <v>0</v>
      </c>
      <c r="G64" s="1233">
        <f t="shared" si="78"/>
        <v>0</v>
      </c>
      <c r="H64" s="1125">
        <f t="shared" si="78"/>
        <v>0</v>
      </c>
      <c r="I64" s="1125">
        <f t="shared" si="78"/>
        <v>0</v>
      </c>
      <c r="J64" s="1233">
        <f t="shared" si="78"/>
        <v>0</v>
      </c>
      <c r="K64" s="1233">
        <f t="shared" si="78"/>
        <v>0</v>
      </c>
      <c r="L64" s="1125">
        <f t="shared" si="78"/>
        <v>0</v>
      </c>
      <c r="M64" s="1125">
        <f t="shared" si="78"/>
        <v>0</v>
      </c>
      <c r="N64" s="1125">
        <f t="shared" si="78"/>
        <v>0</v>
      </c>
      <c r="O64" s="1125">
        <f t="shared" si="78"/>
        <v>0</v>
      </c>
      <c r="P64" s="1125">
        <f t="shared" si="78"/>
        <v>0</v>
      </c>
      <c r="Q64" s="1233">
        <f t="shared" si="78"/>
        <v>0</v>
      </c>
      <c r="R64" s="1233">
        <f t="shared" si="78"/>
        <v>0</v>
      </c>
      <c r="S64" s="1125">
        <f t="shared" si="78"/>
        <v>0</v>
      </c>
      <c r="T64" s="1125">
        <f t="shared" si="78"/>
        <v>0</v>
      </c>
      <c r="U64" s="1125">
        <f t="shared" si="78"/>
        <v>0</v>
      </c>
      <c r="V64" s="1125">
        <f t="shared" si="78"/>
        <v>0</v>
      </c>
      <c r="W64" s="1125">
        <f t="shared" si="78"/>
        <v>0</v>
      </c>
      <c r="X64" s="1233">
        <f t="shared" si="78"/>
        <v>0</v>
      </c>
      <c r="Y64" s="1233">
        <f t="shared" si="78"/>
        <v>0</v>
      </c>
      <c r="Z64" s="1125">
        <f t="shared" si="78"/>
        <v>0</v>
      </c>
      <c r="AA64" s="1125">
        <f t="shared" si="78"/>
        <v>0</v>
      </c>
      <c r="AB64" s="1125">
        <f t="shared" si="78"/>
        <v>0</v>
      </c>
      <c r="AC64" s="1125">
        <f t="shared" si="78"/>
        <v>0</v>
      </c>
      <c r="AD64" s="1125">
        <f t="shared" si="78"/>
        <v>0</v>
      </c>
      <c r="AE64" s="1233">
        <f t="shared" si="78"/>
        <v>0</v>
      </c>
      <c r="AF64" s="1233">
        <f t="shared" si="78"/>
        <v>0</v>
      </c>
      <c r="AG64" s="1125">
        <f t="shared" si="78"/>
        <v>0</v>
      </c>
      <c r="AH64" s="1125">
        <f t="shared" si="78"/>
        <v>0</v>
      </c>
      <c r="AI64" s="1125">
        <f t="shared" si="78"/>
        <v>0</v>
      </c>
      <c r="AJ64" s="380">
        <f>SUM(E64:AI64)</f>
        <v>0</v>
      </c>
      <c r="AK64" s="1025">
        <f t="shared" si="0"/>
        <v>0</v>
      </c>
      <c r="AL64" s="419"/>
      <c r="AM64" s="1040">
        <f t="shared" si="1"/>
        <v>0</v>
      </c>
      <c r="AN64" s="382"/>
      <c r="AO64" s="622"/>
      <c r="AP64" s="391"/>
      <c r="AQ64" s="391"/>
      <c r="AR64" s="4"/>
      <c r="AS64" s="4"/>
      <c r="AT64" s="392"/>
      <c r="AU64" s="4"/>
      <c r="AV64" s="4"/>
    </row>
    <row r="65" spans="1:48" ht="19.899999999999999" hidden="1" customHeight="1">
      <c r="A65" s="376"/>
      <c r="B65" s="59"/>
      <c r="C65" s="383">
        <f>+C63*0.8</f>
        <v>60000</v>
      </c>
      <c r="D65" s="85" t="s">
        <v>110</v>
      </c>
      <c r="E65" s="1366"/>
      <c r="F65" s="1126"/>
      <c r="G65" s="1235"/>
      <c r="H65" s="1172"/>
      <c r="I65" s="1126"/>
      <c r="J65" s="1281"/>
      <c r="K65" s="1235"/>
      <c r="L65" s="1172"/>
      <c r="M65" s="1126"/>
      <c r="N65" s="1174"/>
      <c r="O65" s="1173"/>
      <c r="P65" s="1173"/>
      <c r="Q65" s="1281"/>
      <c r="R65" s="1281"/>
      <c r="S65" s="1173"/>
      <c r="T65" s="1107"/>
      <c r="U65" s="1173"/>
      <c r="V65" s="1173"/>
      <c r="W65" s="1173"/>
      <c r="X65" s="1281"/>
      <c r="Y65" s="1281"/>
      <c r="Z65" s="1155"/>
      <c r="AA65" s="1173"/>
      <c r="AB65" s="1173"/>
      <c r="AC65" s="1173"/>
      <c r="AD65" s="1173"/>
      <c r="AE65" s="1281"/>
      <c r="AF65" s="1281"/>
      <c r="AG65" s="1173"/>
      <c r="AH65" s="1173"/>
      <c r="AI65" s="1173"/>
      <c r="AJ65" s="394"/>
      <c r="AK65" s="1025">
        <f t="shared" si="0"/>
        <v>0</v>
      </c>
      <c r="AL65" s="419"/>
      <c r="AM65" s="1040">
        <f t="shared" si="1"/>
        <v>0</v>
      </c>
      <c r="AN65" s="382"/>
      <c r="AO65" s="622"/>
      <c r="AP65" s="391"/>
      <c r="AQ65" s="391"/>
      <c r="AR65" s="4"/>
      <c r="AS65" s="4"/>
      <c r="AT65" s="392"/>
      <c r="AU65" s="4"/>
      <c r="AV65" s="4"/>
    </row>
    <row r="66" spans="1:48" ht="19.899999999999999" hidden="1" customHeight="1">
      <c r="A66" s="376"/>
      <c r="B66" s="390"/>
      <c r="C66" s="89"/>
      <c r="D66" s="88" t="s">
        <v>111</v>
      </c>
      <c r="E66" s="1156">
        <f>IF(E65="O/H",E64,0+E64)</f>
        <v>0</v>
      </c>
      <c r="F66" s="1156">
        <f t="shared" ref="F66:AI66" si="79">IF(F65="O/H",F64,0+F64)</f>
        <v>0</v>
      </c>
      <c r="G66" s="1227">
        <f t="shared" si="79"/>
        <v>0</v>
      </c>
      <c r="H66" s="1156">
        <f t="shared" si="79"/>
        <v>0</v>
      </c>
      <c r="I66" s="1156">
        <f t="shared" si="79"/>
        <v>0</v>
      </c>
      <c r="J66" s="1227">
        <f t="shared" si="79"/>
        <v>0</v>
      </c>
      <c r="K66" s="1227">
        <f t="shared" si="79"/>
        <v>0</v>
      </c>
      <c r="L66" s="1156">
        <f t="shared" si="79"/>
        <v>0</v>
      </c>
      <c r="M66" s="1156">
        <f t="shared" si="79"/>
        <v>0</v>
      </c>
      <c r="N66" s="1156">
        <f t="shared" si="79"/>
        <v>0</v>
      </c>
      <c r="O66" s="1156">
        <f t="shared" si="79"/>
        <v>0</v>
      </c>
      <c r="P66" s="1156">
        <f t="shared" si="79"/>
        <v>0</v>
      </c>
      <c r="Q66" s="1227">
        <f t="shared" si="79"/>
        <v>0</v>
      </c>
      <c r="R66" s="1227">
        <f t="shared" si="79"/>
        <v>0</v>
      </c>
      <c r="S66" s="1156">
        <f t="shared" si="79"/>
        <v>0</v>
      </c>
      <c r="T66" s="1156">
        <f t="shared" si="79"/>
        <v>0</v>
      </c>
      <c r="U66" s="1156">
        <f t="shared" si="79"/>
        <v>0</v>
      </c>
      <c r="V66" s="1156">
        <f t="shared" si="79"/>
        <v>0</v>
      </c>
      <c r="W66" s="1156">
        <f t="shared" si="79"/>
        <v>0</v>
      </c>
      <c r="X66" s="1227">
        <f t="shared" si="79"/>
        <v>0</v>
      </c>
      <c r="Y66" s="1227">
        <f t="shared" si="79"/>
        <v>0</v>
      </c>
      <c r="Z66" s="1156">
        <f t="shared" si="79"/>
        <v>0</v>
      </c>
      <c r="AA66" s="1156">
        <f t="shared" si="79"/>
        <v>0</v>
      </c>
      <c r="AB66" s="1156">
        <f t="shared" si="79"/>
        <v>0</v>
      </c>
      <c r="AC66" s="1156">
        <f t="shared" si="79"/>
        <v>0</v>
      </c>
      <c r="AD66" s="1156">
        <f t="shared" si="79"/>
        <v>0</v>
      </c>
      <c r="AE66" s="1227">
        <f t="shared" si="79"/>
        <v>0</v>
      </c>
      <c r="AF66" s="1227">
        <f t="shared" si="79"/>
        <v>0</v>
      </c>
      <c r="AG66" s="1156">
        <f t="shared" si="79"/>
        <v>0</v>
      </c>
      <c r="AH66" s="1156">
        <f t="shared" si="79"/>
        <v>0</v>
      </c>
      <c r="AI66" s="1156">
        <f t="shared" si="79"/>
        <v>0</v>
      </c>
      <c r="AJ66" s="394"/>
      <c r="AK66" s="1025">
        <f t="shared" si="0"/>
        <v>0</v>
      </c>
      <c r="AL66" s="419"/>
      <c r="AM66" s="1040">
        <f t="shared" si="1"/>
        <v>0</v>
      </c>
      <c r="AN66" s="382"/>
      <c r="AO66" s="622"/>
      <c r="AP66" s="391"/>
      <c r="AQ66" s="391"/>
      <c r="AR66" s="4"/>
      <c r="AS66" s="4"/>
      <c r="AT66" s="392"/>
      <c r="AU66" s="4"/>
      <c r="AV66" s="4"/>
    </row>
    <row r="67" spans="1:48" ht="19.899999999999999" hidden="1" customHeight="1">
      <c r="A67" s="376"/>
      <c r="B67" s="59"/>
      <c r="C67" s="387"/>
      <c r="D67" s="395" t="s">
        <v>435</v>
      </c>
      <c r="E67" s="1365"/>
      <c r="F67" s="1107"/>
      <c r="G67" s="1228"/>
      <c r="H67" s="1176"/>
      <c r="I67" s="1107"/>
      <c r="J67" s="1228"/>
      <c r="K67" s="1273"/>
      <c r="L67" s="1107"/>
      <c r="M67" s="1107"/>
      <c r="N67" s="1177"/>
      <c r="O67" s="1107"/>
      <c r="P67" s="1177"/>
      <c r="Q67" s="1228"/>
      <c r="R67" s="1228"/>
      <c r="S67" s="1107"/>
      <c r="T67" s="1107"/>
      <c r="U67" s="1107"/>
      <c r="V67" s="1107"/>
      <c r="W67" s="1107"/>
      <c r="X67" s="1228"/>
      <c r="Y67" s="1228"/>
      <c r="Z67" s="1155"/>
      <c r="AA67" s="1107"/>
      <c r="AB67" s="1107"/>
      <c r="AC67" s="1107"/>
      <c r="AD67" s="1107"/>
      <c r="AE67" s="1228"/>
      <c r="AF67" s="1228"/>
      <c r="AG67" s="1107"/>
      <c r="AH67" s="1107"/>
      <c r="AI67" s="1104"/>
      <c r="AJ67" s="396"/>
      <c r="AK67" s="1024">
        <f t="shared" si="0"/>
        <v>0</v>
      </c>
      <c r="AL67" s="420"/>
      <c r="AM67" s="1040">
        <f t="shared" si="1"/>
        <v>0</v>
      </c>
      <c r="AN67" s="382"/>
      <c r="AO67" s="622"/>
      <c r="AP67" s="391"/>
      <c r="AQ67" s="391"/>
    </row>
    <row r="68" spans="1:48" ht="19.899999999999999" hidden="1" customHeight="1">
      <c r="A68" s="376"/>
      <c r="B68" s="59"/>
      <c r="C68" s="387" t="s">
        <v>104</v>
      </c>
      <c r="D68" s="88" t="s">
        <v>111</v>
      </c>
      <c r="E68" s="1108">
        <f>IF(E67="O/H",E64,0+E64)</f>
        <v>0</v>
      </c>
      <c r="F68" s="1108">
        <f t="shared" ref="F68:AI68" si="80">IF(F67="O/H",F64,0+F64)</f>
        <v>0</v>
      </c>
      <c r="G68" s="1199">
        <f t="shared" si="80"/>
        <v>0</v>
      </c>
      <c r="H68" s="1108">
        <f t="shared" si="80"/>
        <v>0</v>
      </c>
      <c r="I68" s="1108">
        <f t="shared" si="80"/>
        <v>0</v>
      </c>
      <c r="J68" s="1199">
        <f t="shared" si="80"/>
        <v>0</v>
      </c>
      <c r="K68" s="1199">
        <f t="shared" si="80"/>
        <v>0</v>
      </c>
      <c r="L68" s="1108">
        <f t="shared" si="80"/>
        <v>0</v>
      </c>
      <c r="M68" s="1108">
        <f t="shared" si="80"/>
        <v>0</v>
      </c>
      <c r="N68" s="1108">
        <f t="shared" si="80"/>
        <v>0</v>
      </c>
      <c r="O68" s="1108">
        <f t="shared" si="80"/>
        <v>0</v>
      </c>
      <c r="P68" s="1108">
        <f t="shared" si="80"/>
        <v>0</v>
      </c>
      <c r="Q68" s="1199">
        <f t="shared" si="80"/>
        <v>0</v>
      </c>
      <c r="R68" s="1199">
        <f t="shared" si="80"/>
        <v>0</v>
      </c>
      <c r="S68" s="1108">
        <f t="shared" si="80"/>
        <v>0</v>
      </c>
      <c r="T68" s="1108">
        <f t="shared" si="80"/>
        <v>0</v>
      </c>
      <c r="U68" s="1108">
        <f t="shared" si="80"/>
        <v>0</v>
      </c>
      <c r="V68" s="1108">
        <f t="shared" si="80"/>
        <v>0</v>
      </c>
      <c r="W68" s="1108">
        <f t="shared" si="80"/>
        <v>0</v>
      </c>
      <c r="X68" s="1199">
        <f t="shared" si="80"/>
        <v>0</v>
      </c>
      <c r="Y68" s="1199">
        <f t="shared" si="80"/>
        <v>0</v>
      </c>
      <c r="Z68" s="1108">
        <f t="shared" si="80"/>
        <v>0</v>
      </c>
      <c r="AA68" s="1108">
        <f t="shared" si="80"/>
        <v>0</v>
      </c>
      <c r="AB68" s="1108">
        <f t="shared" si="80"/>
        <v>0</v>
      </c>
      <c r="AC68" s="1108">
        <f t="shared" si="80"/>
        <v>0</v>
      </c>
      <c r="AD68" s="1108">
        <f t="shared" si="80"/>
        <v>0</v>
      </c>
      <c r="AE68" s="1199">
        <f t="shared" si="80"/>
        <v>0</v>
      </c>
      <c r="AF68" s="1199">
        <f t="shared" si="80"/>
        <v>0</v>
      </c>
      <c r="AG68" s="1108">
        <f t="shared" si="80"/>
        <v>0</v>
      </c>
      <c r="AH68" s="1108">
        <f t="shared" si="80"/>
        <v>0</v>
      </c>
      <c r="AI68" s="1108">
        <f t="shared" si="80"/>
        <v>0</v>
      </c>
      <c r="AJ68" s="396"/>
      <c r="AK68" s="1024">
        <f t="shared" si="0"/>
        <v>0</v>
      </c>
      <c r="AL68" s="420"/>
      <c r="AM68" s="1040">
        <f t="shared" si="1"/>
        <v>0</v>
      </c>
      <c r="AN68" s="382"/>
      <c r="AO68" s="622"/>
      <c r="AP68" s="391"/>
      <c r="AQ68" s="391"/>
    </row>
    <row r="69" spans="1:48" s="23" customFormat="1" ht="20.45" hidden="1" customHeight="1">
      <c r="A69" s="312"/>
      <c r="B69" s="312"/>
      <c r="C69" s="379">
        <v>150000</v>
      </c>
      <c r="D69" s="795" t="s">
        <v>112</v>
      </c>
      <c r="E69" s="1108" t="b">
        <f>IF(AND(ISNUMBER(E58)),2106954+E64)</f>
        <v>0</v>
      </c>
      <c r="F69" s="1089" t="str">
        <f>IF(AND(ISNUMBER(F58)),E69+F64,"")</f>
        <v/>
      </c>
      <c r="G69" s="44" t="str">
        <f>IF(AND(ISNUMBER(G58)),F69+G64,"")</f>
        <v/>
      </c>
      <c r="H69" s="1089" t="str">
        <f t="shared" ref="H69:AI69" si="81">IF(AND(ISNUMBER(H58)),G69+H64,"")</f>
        <v/>
      </c>
      <c r="I69" s="1089" t="str">
        <f t="shared" si="81"/>
        <v/>
      </c>
      <c r="J69" s="44" t="str">
        <f t="shared" si="81"/>
        <v/>
      </c>
      <c r="K69" s="44" t="str">
        <f t="shared" si="81"/>
        <v/>
      </c>
      <c r="L69" s="1089" t="str">
        <f t="shared" si="81"/>
        <v/>
      </c>
      <c r="M69" s="1089" t="str">
        <f t="shared" si="81"/>
        <v/>
      </c>
      <c r="N69" s="1089" t="str">
        <f t="shared" si="81"/>
        <v/>
      </c>
      <c r="O69" s="1089" t="str">
        <f t="shared" si="81"/>
        <v/>
      </c>
      <c r="P69" s="1089" t="str">
        <f t="shared" si="81"/>
        <v/>
      </c>
      <c r="Q69" s="44" t="str">
        <f t="shared" si="81"/>
        <v/>
      </c>
      <c r="R69" s="44" t="str">
        <f t="shared" si="81"/>
        <v/>
      </c>
      <c r="S69" s="1089" t="str">
        <f t="shared" si="81"/>
        <v/>
      </c>
      <c r="T69" s="1089" t="str">
        <f t="shared" si="81"/>
        <v/>
      </c>
      <c r="U69" s="1089" t="str">
        <f t="shared" si="81"/>
        <v/>
      </c>
      <c r="V69" s="1089" t="str">
        <f t="shared" si="81"/>
        <v/>
      </c>
      <c r="W69" s="1089" t="str">
        <f t="shared" si="81"/>
        <v/>
      </c>
      <c r="X69" s="44" t="str">
        <f t="shared" si="81"/>
        <v/>
      </c>
      <c r="Y69" s="44" t="str">
        <f t="shared" si="81"/>
        <v/>
      </c>
      <c r="Z69" s="1089" t="str">
        <f t="shared" si="81"/>
        <v/>
      </c>
      <c r="AA69" s="1089" t="str">
        <f t="shared" si="81"/>
        <v/>
      </c>
      <c r="AB69" s="1089" t="str">
        <f t="shared" si="81"/>
        <v/>
      </c>
      <c r="AC69" s="1089" t="str">
        <f t="shared" si="81"/>
        <v/>
      </c>
      <c r="AD69" s="1089" t="str">
        <f t="shared" si="81"/>
        <v/>
      </c>
      <c r="AE69" s="44" t="str">
        <f t="shared" si="81"/>
        <v/>
      </c>
      <c r="AF69" s="44" t="str">
        <f t="shared" si="81"/>
        <v/>
      </c>
      <c r="AG69" s="1089" t="str">
        <f t="shared" si="81"/>
        <v/>
      </c>
      <c r="AH69" s="1089" t="str">
        <f t="shared" si="81"/>
        <v/>
      </c>
      <c r="AI69" s="1089" t="str">
        <f t="shared" si="81"/>
        <v/>
      </c>
      <c r="AJ69" s="793"/>
      <c r="AK69" s="1026">
        <f t="shared" si="0"/>
        <v>0</v>
      </c>
      <c r="AL69" s="897"/>
      <c r="AM69" s="1042">
        <f t="shared" si="1"/>
        <v>0</v>
      </c>
      <c r="AN69" s="468"/>
      <c r="AO69" s="675"/>
      <c r="AP69" s="285"/>
      <c r="AQ69" s="285"/>
      <c r="AR69" s="285"/>
      <c r="AS69" s="285"/>
      <c r="AT69" s="286"/>
      <c r="AU69" s="285"/>
      <c r="AV69" s="287"/>
    </row>
    <row r="70" spans="1:48" ht="19.899999999999999" hidden="1" customHeight="1">
      <c r="A70" s="376"/>
      <c r="B70" s="393" t="s">
        <v>443</v>
      </c>
      <c r="C70" s="89" t="s">
        <v>108</v>
      </c>
      <c r="D70" s="90" t="s">
        <v>104</v>
      </c>
      <c r="E70" s="1365"/>
      <c r="F70" s="1107"/>
      <c r="G70" s="1228"/>
      <c r="H70" s="1176"/>
      <c r="I70" s="1107"/>
      <c r="J70" s="1228"/>
      <c r="K70" s="1273"/>
      <c r="L70" s="1107"/>
      <c r="M70" s="1107"/>
      <c r="N70" s="1177"/>
      <c r="O70" s="1107"/>
      <c r="P70" s="1177"/>
      <c r="Q70" s="1228"/>
      <c r="R70" s="1228"/>
      <c r="S70" s="1107"/>
      <c r="T70" s="1107"/>
      <c r="U70" s="1107"/>
      <c r="V70" s="1107"/>
      <c r="W70" s="1107"/>
      <c r="X70" s="1228"/>
      <c r="Y70" s="1228"/>
      <c r="Z70" s="1155"/>
      <c r="AA70" s="1107"/>
      <c r="AB70" s="1107"/>
      <c r="AC70" s="1107"/>
      <c r="AD70" s="1107"/>
      <c r="AE70" s="1228"/>
      <c r="AF70" s="1228"/>
      <c r="AG70" s="1107"/>
      <c r="AH70" s="1107"/>
      <c r="AI70" s="1104"/>
      <c r="AJ70" s="396"/>
      <c r="AK70" s="1024">
        <f t="shared" si="0"/>
        <v>0</v>
      </c>
      <c r="AL70" s="420"/>
      <c r="AM70" s="1040">
        <f t="shared" si="1"/>
        <v>0</v>
      </c>
      <c r="AN70" s="382"/>
      <c r="AO70" s="622"/>
      <c r="AP70" s="391"/>
      <c r="AQ70" s="391"/>
      <c r="AV70" s="357"/>
    </row>
    <row r="71" spans="1:48" ht="19.899999999999999" hidden="1" customHeight="1" thickBot="1">
      <c r="A71" s="397"/>
      <c r="B71" s="398"/>
      <c r="C71" s="407">
        <f>+C69*0.8</f>
        <v>120000</v>
      </c>
      <c r="D71" s="95" t="s">
        <v>111</v>
      </c>
      <c r="E71" s="1156">
        <f>IF(E70="O/H",E64,79602+E64)</f>
        <v>79602</v>
      </c>
      <c r="F71" s="1156">
        <f t="shared" ref="F71:AI71" si="82">IF(F70="O/H",F64,79602+F64)</f>
        <v>79602</v>
      </c>
      <c r="G71" s="1227">
        <f t="shared" si="82"/>
        <v>79602</v>
      </c>
      <c r="H71" s="1156">
        <f t="shared" si="82"/>
        <v>79602</v>
      </c>
      <c r="I71" s="1156">
        <f t="shared" si="82"/>
        <v>79602</v>
      </c>
      <c r="J71" s="1227">
        <f t="shared" si="82"/>
        <v>79602</v>
      </c>
      <c r="K71" s="1227">
        <f t="shared" si="82"/>
        <v>79602</v>
      </c>
      <c r="L71" s="1156">
        <f t="shared" si="82"/>
        <v>79602</v>
      </c>
      <c r="M71" s="1156">
        <f t="shared" si="82"/>
        <v>79602</v>
      </c>
      <c r="N71" s="1156">
        <f t="shared" si="82"/>
        <v>79602</v>
      </c>
      <c r="O71" s="1156">
        <f t="shared" si="82"/>
        <v>79602</v>
      </c>
      <c r="P71" s="1156">
        <f t="shared" si="82"/>
        <v>79602</v>
      </c>
      <c r="Q71" s="1227">
        <f t="shared" si="82"/>
        <v>79602</v>
      </c>
      <c r="R71" s="1227">
        <f t="shared" si="82"/>
        <v>79602</v>
      </c>
      <c r="S71" s="1156">
        <f t="shared" si="82"/>
        <v>79602</v>
      </c>
      <c r="T71" s="1156">
        <f t="shared" si="82"/>
        <v>79602</v>
      </c>
      <c r="U71" s="1156">
        <f t="shared" si="82"/>
        <v>79602</v>
      </c>
      <c r="V71" s="1156">
        <f t="shared" si="82"/>
        <v>79602</v>
      </c>
      <c r="W71" s="1156">
        <f t="shared" si="82"/>
        <v>79602</v>
      </c>
      <c r="X71" s="1227">
        <f t="shared" si="82"/>
        <v>79602</v>
      </c>
      <c r="Y71" s="1227">
        <f t="shared" si="82"/>
        <v>79602</v>
      </c>
      <c r="Z71" s="1156">
        <f t="shared" si="82"/>
        <v>79602</v>
      </c>
      <c r="AA71" s="1156">
        <f t="shared" si="82"/>
        <v>79602</v>
      </c>
      <c r="AB71" s="1156">
        <f t="shared" si="82"/>
        <v>79602</v>
      </c>
      <c r="AC71" s="1156">
        <f t="shared" si="82"/>
        <v>79602</v>
      </c>
      <c r="AD71" s="1156">
        <f t="shared" si="82"/>
        <v>79602</v>
      </c>
      <c r="AE71" s="1227">
        <f t="shared" si="82"/>
        <v>79602</v>
      </c>
      <c r="AF71" s="1227">
        <f t="shared" si="82"/>
        <v>79602</v>
      </c>
      <c r="AG71" s="1156">
        <f t="shared" si="82"/>
        <v>79602</v>
      </c>
      <c r="AH71" s="1156">
        <f t="shared" si="82"/>
        <v>79602</v>
      </c>
      <c r="AI71" s="1156">
        <f t="shared" si="82"/>
        <v>79602</v>
      </c>
      <c r="AJ71" s="399"/>
      <c r="AK71" s="1027">
        <f t="shared" ref="AK71:AK134" si="83">AJ73</f>
        <v>0</v>
      </c>
      <c r="AL71" s="421"/>
      <c r="AM71" s="1043">
        <f t="shared" ref="AM71:AM134" si="84">AL73</f>
        <v>0</v>
      </c>
      <c r="AN71" s="894"/>
      <c r="AO71" s="625"/>
      <c r="AP71" s="391"/>
      <c r="AQ71" s="391"/>
    </row>
    <row r="72" spans="1:48" ht="19.5" hidden="1" customHeight="1" thickTop="1">
      <c r="A72" s="389" t="s">
        <v>592</v>
      </c>
      <c r="B72" s="393" t="s">
        <v>653</v>
      </c>
      <c r="C72" s="518" t="str">
        <f>Table37[[#This Row],[M/C No.]]</f>
        <v>R5(18ton)</v>
      </c>
      <c r="D72" s="28" t="s">
        <v>82</v>
      </c>
      <c r="E72" s="1368"/>
      <c r="F72" s="1124"/>
      <c r="G72" s="1242"/>
      <c r="H72" s="1124"/>
      <c r="I72" s="1124"/>
      <c r="J72" s="1242"/>
      <c r="K72" s="1242"/>
      <c r="L72" s="1124"/>
      <c r="M72" s="1124"/>
      <c r="N72" s="1124"/>
      <c r="O72" s="1124"/>
      <c r="P72" s="1124"/>
      <c r="Q72" s="1242"/>
      <c r="R72" s="1242"/>
      <c r="S72" s="1124"/>
      <c r="T72" s="1124"/>
      <c r="U72" s="1124"/>
      <c r="V72" s="1124"/>
      <c r="W72" s="1124"/>
      <c r="X72" s="1242"/>
      <c r="Y72" s="1242"/>
      <c r="Z72" s="1124"/>
      <c r="AA72" s="1124"/>
      <c r="AB72" s="1124"/>
      <c r="AC72" s="1124"/>
      <c r="AD72" s="1124"/>
      <c r="AE72" s="1242"/>
      <c r="AF72" s="1242"/>
      <c r="AG72" s="1124"/>
      <c r="AH72" s="1124"/>
      <c r="AI72" s="1124"/>
      <c r="AJ72" s="375">
        <f>SUM(E72:AI72)</f>
        <v>0</v>
      </c>
      <c r="AK72" s="1047">
        <f t="shared" si="83"/>
        <v>0</v>
      </c>
      <c r="AL72" s="422">
        <f>+AJ72*AN72</f>
        <v>0</v>
      </c>
      <c r="AM72" s="1046">
        <f t="shared" si="84"/>
        <v>0</v>
      </c>
      <c r="AN72" s="382">
        <v>3.6210500000000003</v>
      </c>
      <c r="AO72" s="622">
        <f>Table37[[#This Row],[Total]]*B76/1000</f>
        <v>0</v>
      </c>
      <c r="AP72" s="32" t="s">
        <v>445</v>
      </c>
      <c r="AQ72" s="33" t="s">
        <v>84</v>
      </c>
      <c r="AR72" s="33" t="s">
        <v>85</v>
      </c>
      <c r="AS72" s="33" t="s">
        <v>86</v>
      </c>
      <c r="AT72" s="33" t="s">
        <v>87</v>
      </c>
      <c r="AU72" s="33" t="s">
        <v>88</v>
      </c>
      <c r="AV72" s="34" t="s">
        <v>68</v>
      </c>
    </row>
    <row r="73" spans="1:48" ht="19.899999999999999" hidden="1" customHeight="1">
      <c r="A73" s="376"/>
      <c r="B73" s="393" t="s">
        <v>446</v>
      </c>
      <c r="C73" s="409" t="s">
        <v>95</v>
      </c>
      <c r="D73" s="37" t="s">
        <v>90</v>
      </c>
      <c r="E73" s="1143">
        <f>IF(E72="",0,E72/E79)</f>
        <v>0</v>
      </c>
      <c r="F73" s="1146">
        <f t="shared" ref="F73:AI73" si="85">IF(F72="",0, E73+F72/F79)</f>
        <v>0</v>
      </c>
      <c r="G73" s="1265">
        <f t="shared" si="85"/>
        <v>0</v>
      </c>
      <c r="H73" s="1146">
        <f t="shared" si="85"/>
        <v>0</v>
      </c>
      <c r="I73" s="1146">
        <f t="shared" si="85"/>
        <v>0</v>
      </c>
      <c r="J73" s="1265">
        <f t="shared" si="85"/>
        <v>0</v>
      </c>
      <c r="K73" s="1265">
        <f t="shared" si="85"/>
        <v>0</v>
      </c>
      <c r="L73" s="1146">
        <f t="shared" si="85"/>
        <v>0</v>
      </c>
      <c r="M73" s="1146">
        <f t="shared" si="85"/>
        <v>0</v>
      </c>
      <c r="N73" s="1146">
        <f t="shared" si="85"/>
        <v>0</v>
      </c>
      <c r="O73" s="1146">
        <f t="shared" si="85"/>
        <v>0</v>
      </c>
      <c r="P73" s="1146">
        <f t="shared" si="85"/>
        <v>0</v>
      </c>
      <c r="Q73" s="1265">
        <f t="shared" si="85"/>
        <v>0</v>
      </c>
      <c r="R73" s="1265">
        <f t="shared" si="85"/>
        <v>0</v>
      </c>
      <c r="S73" s="1146">
        <f t="shared" si="85"/>
        <v>0</v>
      </c>
      <c r="T73" s="1146">
        <f t="shared" si="85"/>
        <v>0</v>
      </c>
      <c r="U73" s="1146">
        <f t="shared" si="85"/>
        <v>0</v>
      </c>
      <c r="V73" s="1146">
        <f t="shared" si="85"/>
        <v>0</v>
      </c>
      <c r="W73" s="1146">
        <f t="shared" si="85"/>
        <v>0</v>
      </c>
      <c r="X73" s="1265">
        <f t="shared" si="85"/>
        <v>0</v>
      </c>
      <c r="Y73" s="1265">
        <f t="shared" si="85"/>
        <v>0</v>
      </c>
      <c r="Z73" s="1146">
        <f t="shared" si="85"/>
        <v>0</v>
      </c>
      <c r="AA73" s="1146">
        <f t="shared" si="85"/>
        <v>0</v>
      </c>
      <c r="AB73" s="1146">
        <f t="shared" si="85"/>
        <v>0</v>
      </c>
      <c r="AC73" s="1146">
        <f>IF(AC72="",0, Y73+AC72/AC79)</f>
        <v>0</v>
      </c>
      <c r="AD73" s="1146">
        <f>IF(AD72="",0, Z73+AD72/AD79)</f>
        <v>0</v>
      </c>
      <c r="AE73" s="1265">
        <f>IF(AE72="",0, AA73+AE72/AE79)</f>
        <v>0</v>
      </c>
      <c r="AF73" s="1265">
        <f>IF(AF72="",0, AB73+AF72/AF79)</f>
        <v>0</v>
      </c>
      <c r="AG73" s="1146">
        <f t="shared" si="85"/>
        <v>0</v>
      </c>
      <c r="AH73" s="1146">
        <f t="shared" si="85"/>
        <v>0</v>
      </c>
      <c r="AI73" s="1146">
        <f t="shared" si="85"/>
        <v>0</v>
      </c>
      <c r="AJ73" s="375"/>
      <c r="AK73" s="1023">
        <f t="shared" si="83"/>
        <v>0</v>
      </c>
      <c r="AL73" s="423"/>
      <c r="AM73" s="1040">
        <f t="shared" si="84"/>
        <v>0</v>
      </c>
      <c r="AN73" s="382"/>
      <c r="AO73" s="675"/>
      <c r="AP73" s="39" t="s">
        <v>91</v>
      </c>
      <c r="AQ73" s="40">
        <f>SUM(E72:I72)</f>
        <v>0</v>
      </c>
      <c r="AR73" s="41">
        <f>SUM(J72:P72)</f>
        <v>0</v>
      </c>
      <c r="AS73" s="41">
        <f>SUM(Q72:W72)</f>
        <v>0</v>
      </c>
      <c r="AT73" s="41">
        <f>SUM(X72:AD72)</f>
        <v>0</v>
      </c>
      <c r="AU73" s="41">
        <f>SUM(AE72:AI72)</f>
        <v>0</v>
      </c>
      <c r="AV73" s="34">
        <f t="shared" ref="AV73:AV78" si="86">SUM(AQ73:AU73)</f>
        <v>0</v>
      </c>
    </row>
    <row r="74" spans="1:48" ht="19.899999999999999" hidden="1" customHeight="1">
      <c r="A74" s="376"/>
      <c r="B74" s="411" t="s">
        <v>272</v>
      </c>
      <c r="C74" s="379">
        <v>75000</v>
      </c>
      <c r="D74" s="43" t="s">
        <v>93</v>
      </c>
      <c r="E74" s="1108"/>
      <c r="F74" s="1089"/>
      <c r="G74" s="44"/>
      <c r="H74" s="1089"/>
      <c r="I74" s="1089"/>
      <c r="J74" s="44"/>
      <c r="K74" s="44"/>
      <c r="L74" s="1089"/>
      <c r="M74" s="1089"/>
      <c r="N74" s="1089"/>
      <c r="O74" s="1089"/>
      <c r="P74" s="1089"/>
      <c r="Q74" s="44"/>
      <c r="R74" s="44"/>
      <c r="S74" s="1089"/>
      <c r="T74" s="1089"/>
      <c r="U74" s="1089"/>
      <c r="V74" s="1089"/>
      <c r="W74" s="1089"/>
      <c r="X74" s="44"/>
      <c r="Y74" s="44"/>
      <c r="Z74" s="1089"/>
      <c r="AA74" s="1089"/>
      <c r="AB74" s="1089"/>
      <c r="AC74" s="1089"/>
      <c r="AD74" s="1089"/>
      <c r="AE74" s="44"/>
      <c r="AF74" s="44"/>
      <c r="AG74" s="1089"/>
      <c r="AH74" s="1089"/>
      <c r="AI74" s="1089"/>
      <c r="AJ74" s="380">
        <f>SUM(E74:AI74)</f>
        <v>0</v>
      </c>
      <c r="AK74" s="1024">
        <f t="shared" si="83"/>
        <v>0</v>
      </c>
      <c r="AL74" s="424">
        <f>+AJ74*AN72</f>
        <v>0</v>
      </c>
      <c r="AM74" s="1041">
        <f t="shared" si="84"/>
        <v>0</v>
      </c>
      <c r="AN74" s="382"/>
      <c r="AO74" s="632">
        <f>(AJ74+AJ76+AJ77+AJ78)*B76/1000</f>
        <v>0</v>
      </c>
      <c r="AP74" s="47" t="s">
        <v>94</v>
      </c>
      <c r="AQ74" s="48">
        <f>SUM(E74:I74)</f>
        <v>0</v>
      </c>
      <c r="AR74" s="49">
        <f>SUM(J74:P74)</f>
        <v>0</v>
      </c>
      <c r="AS74" s="49">
        <f>SUM(Q74:W74)</f>
        <v>0</v>
      </c>
      <c r="AT74" s="49">
        <f>SUM(X74:AD74)</f>
        <v>0</v>
      </c>
      <c r="AU74" s="49">
        <f>SUM(AE74:AI74)</f>
        <v>0</v>
      </c>
      <c r="AV74" s="50">
        <f t="shared" si="86"/>
        <v>0</v>
      </c>
    </row>
    <row r="75" spans="1:48" ht="19.899999999999999" hidden="1" customHeight="1">
      <c r="A75" s="376"/>
      <c r="B75" s="638" t="s">
        <v>247</v>
      </c>
      <c r="C75" s="89" t="s">
        <v>108</v>
      </c>
      <c r="D75" s="53" t="s">
        <v>96</v>
      </c>
      <c r="E75" s="1137">
        <f t="shared" ref="E75:AJ75" si="87">+E74-E72</f>
        <v>0</v>
      </c>
      <c r="F75" s="1097">
        <f t="shared" si="87"/>
        <v>0</v>
      </c>
      <c r="G75" s="1205">
        <f t="shared" si="87"/>
        <v>0</v>
      </c>
      <c r="H75" s="1097">
        <f t="shared" si="87"/>
        <v>0</v>
      </c>
      <c r="I75" s="1097">
        <f t="shared" si="87"/>
        <v>0</v>
      </c>
      <c r="J75" s="1205">
        <f t="shared" si="87"/>
        <v>0</v>
      </c>
      <c r="K75" s="1205">
        <f t="shared" si="87"/>
        <v>0</v>
      </c>
      <c r="L75" s="1097">
        <f t="shared" si="87"/>
        <v>0</v>
      </c>
      <c r="M75" s="1097">
        <f t="shared" si="87"/>
        <v>0</v>
      </c>
      <c r="N75" s="1097">
        <f t="shared" si="87"/>
        <v>0</v>
      </c>
      <c r="O75" s="1097">
        <f t="shared" si="87"/>
        <v>0</v>
      </c>
      <c r="P75" s="1097">
        <f t="shared" si="87"/>
        <v>0</v>
      </c>
      <c r="Q75" s="1205">
        <f t="shared" si="87"/>
        <v>0</v>
      </c>
      <c r="R75" s="1205">
        <f t="shared" si="87"/>
        <v>0</v>
      </c>
      <c r="S75" s="1097">
        <f t="shared" si="87"/>
        <v>0</v>
      </c>
      <c r="T75" s="1097">
        <f t="shared" si="87"/>
        <v>0</v>
      </c>
      <c r="U75" s="1097">
        <f t="shared" si="87"/>
        <v>0</v>
      </c>
      <c r="V75" s="1097">
        <f t="shared" si="87"/>
        <v>0</v>
      </c>
      <c r="W75" s="1097">
        <f t="shared" si="87"/>
        <v>0</v>
      </c>
      <c r="X75" s="1205">
        <f t="shared" si="87"/>
        <v>0</v>
      </c>
      <c r="Y75" s="1205">
        <f t="shared" si="87"/>
        <v>0</v>
      </c>
      <c r="Z75" s="1097">
        <f t="shared" si="87"/>
        <v>0</v>
      </c>
      <c r="AA75" s="1097">
        <f t="shared" si="87"/>
        <v>0</v>
      </c>
      <c r="AB75" s="1097">
        <f t="shared" si="87"/>
        <v>0</v>
      </c>
      <c r="AC75" s="1097">
        <f t="shared" si="87"/>
        <v>0</v>
      </c>
      <c r="AD75" s="1097">
        <f t="shared" si="87"/>
        <v>0</v>
      </c>
      <c r="AE75" s="1205">
        <f t="shared" si="87"/>
        <v>0</v>
      </c>
      <c r="AF75" s="1205">
        <f t="shared" ref="AF75" si="88">+AF74-AF72</f>
        <v>0</v>
      </c>
      <c r="AG75" s="1097">
        <f t="shared" si="87"/>
        <v>0</v>
      </c>
      <c r="AH75" s="1097">
        <f t="shared" si="87"/>
        <v>0</v>
      </c>
      <c r="AI75" s="1097">
        <f t="shared" si="87"/>
        <v>0</v>
      </c>
      <c r="AJ75" s="381">
        <f t="shared" si="87"/>
        <v>0</v>
      </c>
      <c r="AK75" s="1024">
        <f t="shared" si="83"/>
        <v>0</v>
      </c>
      <c r="AL75" s="425">
        <f>+AJ75*AN72</f>
        <v>0</v>
      </c>
      <c r="AM75" s="1041">
        <f t="shared" si="84"/>
        <v>0</v>
      </c>
      <c r="AN75" s="382" t="s">
        <v>97</v>
      </c>
      <c r="AO75" s="622"/>
      <c r="AP75" s="39" t="s">
        <v>98</v>
      </c>
      <c r="AQ75" s="56">
        <f>AQ74-AQ73</f>
        <v>0</v>
      </c>
      <c r="AR75" s="70">
        <f>AR74-AR73</f>
        <v>0</v>
      </c>
      <c r="AS75" s="70">
        <f>AS74-AS73</f>
        <v>0</v>
      </c>
      <c r="AT75" s="70">
        <f>AT74-AT73</f>
        <v>0</v>
      </c>
      <c r="AU75" s="70">
        <f>AU74-AU73</f>
        <v>0</v>
      </c>
      <c r="AV75" s="57">
        <f t="shared" si="86"/>
        <v>0</v>
      </c>
    </row>
    <row r="76" spans="1:48" ht="19.899999999999999" hidden="1" customHeight="1">
      <c r="A76" s="376"/>
      <c r="B76" s="747">
        <v>0.93700000000000006</v>
      </c>
      <c r="C76" s="383">
        <f>+C74*0.8</f>
        <v>60000</v>
      </c>
      <c r="D76" s="61" t="s">
        <v>101</v>
      </c>
      <c r="E76" s="1098"/>
      <c r="F76" s="1099"/>
      <c r="G76" s="1208"/>
      <c r="H76" s="1099"/>
      <c r="I76" s="1099"/>
      <c r="J76" s="1208"/>
      <c r="K76" s="1208"/>
      <c r="L76" s="1099"/>
      <c r="M76" s="1099"/>
      <c r="N76" s="1099"/>
      <c r="O76" s="1099"/>
      <c r="P76" s="1099"/>
      <c r="Q76" s="1208"/>
      <c r="R76" s="1208"/>
      <c r="S76" s="1099"/>
      <c r="T76" s="1099"/>
      <c r="U76" s="1099"/>
      <c r="V76" s="1099"/>
      <c r="W76" s="1099"/>
      <c r="X76" s="1208"/>
      <c r="Y76" s="1208"/>
      <c r="Z76" s="1099"/>
      <c r="AA76" s="1099"/>
      <c r="AB76" s="1099"/>
      <c r="AC76" s="1099"/>
      <c r="AD76" s="1099"/>
      <c r="AE76" s="1208"/>
      <c r="AF76" s="1208"/>
      <c r="AG76" s="1099"/>
      <c r="AH76" s="1099"/>
      <c r="AI76" s="1099"/>
      <c r="AJ76" s="384">
        <f>SUM(E76:AI76)</f>
        <v>0</v>
      </c>
      <c r="AK76" s="1024">
        <f t="shared" si="83"/>
        <v>0</v>
      </c>
      <c r="AL76" s="420">
        <f>+AJ76*AN72</f>
        <v>0</v>
      </c>
      <c r="AM76" s="1040">
        <f t="shared" si="84"/>
        <v>0</v>
      </c>
      <c r="AN76" s="404" t="e">
        <f>+AJ76/AJ74*100</f>
        <v>#DIV/0!</v>
      </c>
      <c r="AO76" s="635" t="e">
        <f>AO74/AO72</f>
        <v>#DIV/0!</v>
      </c>
      <c r="AP76" s="39" t="s">
        <v>102</v>
      </c>
      <c r="AQ76" s="56">
        <f>SUM(E76:I76)</f>
        <v>0</v>
      </c>
      <c r="AR76" s="70">
        <f>SUM(J76:P76)</f>
        <v>0</v>
      </c>
      <c r="AS76" s="70">
        <f>SUM(Q76:W76)</f>
        <v>0</v>
      </c>
      <c r="AT76" s="70">
        <f>SUM(X76:AD76)</f>
        <v>0</v>
      </c>
      <c r="AU76" s="70">
        <f>SUM(AE76:AI76)</f>
        <v>0</v>
      </c>
      <c r="AV76" s="57">
        <f t="shared" si="86"/>
        <v>0</v>
      </c>
    </row>
    <row r="77" spans="1:48" ht="19.899999999999999" hidden="1" customHeight="1">
      <c r="A77" s="376"/>
      <c r="B77" s="390"/>
      <c r="C77" s="383"/>
      <c r="D77" s="67" t="s">
        <v>103</v>
      </c>
      <c r="E77" s="1100"/>
      <c r="F77" s="1101"/>
      <c r="G77" s="1209"/>
      <c r="H77" s="1101"/>
      <c r="I77" s="1101"/>
      <c r="J77" s="1209"/>
      <c r="K77" s="1209"/>
      <c r="L77" s="1101"/>
      <c r="M77" s="1101"/>
      <c r="N77" s="1101"/>
      <c r="O77" s="1101"/>
      <c r="P77" s="1101"/>
      <c r="Q77" s="1209"/>
      <c r="R77" s="1209"/>
      <c r="S77" s="1101"/>
      <c r="T77" s="1101"/>
      <c r="U77" s="1101"/>
      <c r="V77" s="1101"/>
      <c r="W77" s="1101"/>
      <c r="X77" s="1209"/>
      <c r="Y77" s="1209"/>
      <c r="Z77" s="1101"/>
      <c r="AA77" s="1101"/>
      <c r="AB77" s="1101"/>
      <c r="AC77" s="1101"/>
      <c r="AD77" s="1101"/>
      <c r="AE77" s="1209"/>
      <c r="AF77" s="1209"/>
      <c r="AG77" s="1101"/>
      <c r="AH77" s="1101"/>
      <c r="AI77" s="1101"/>
      <c r="AJ77" s="386">
        <f>SUM(E77:AI77)</f>
        <v>0</v>
      </c>
      <c r="AK77" s="1024">
        <f t="shared" si="83"/>
        <v>0</v>
      </c>
      <c r="AL77" s="426">
        <f>+AJ77*AN72</f>
        <v>0</v>
      </c>
      <c r="AM77" s="1040">
        <f t="shared" si="84"/>
        <v>0</v>
      </c>
      <c r="AN77" s="382"/>
      <c r="AO77" s="622"/>
      <c r="AP77" s="39" t="s">
        <v>19</v>
      </c>
      <c r="AQ77" s="56">
        <f>AQ76*AN72</f>
        <v>0</v>
      </c>
      <c r="AR77" s="56">
        <f>AR76*AN72</f>
        <v>0</v>
      </c>
      <c r="AS77" s="56">
        <f>AS76*AN72</f>
        <v>0</v>
      </c>
      <c r="AT77" s="56">
        <f>AT76*AN72</f>
        <v>0</v>
      </c>
      <c r="AU77" s="56">
        <f>AU76*AN72</f>
        <v>0</v>
      </c>
      <c r="AV77" s="57">
        <f t="shared" si="86"/>
        <v>0</v>
      </c>
    </row>
    <row r="78" spans="1:48" ht="19.899999999999999" hidden="1" customHeight="1">
      <c r="A78" s="376"/>
      <c r="B78" s="390"/>
      <c r="C78" s="387" t="s">
        <v>435</v>
      </c>
      <c r="D78" s="73" t="s">
        <v>105</v>
      </c>
      <c r="E78" s="1102"/>
      <c r="F78" s="1103"/>
      <c r="G78" s="1210"/>
      <c r="H78" s="1103"/>
      <c r="I78" s="1103"/>
      <c r="J78" s="1210"/>
      <c r="K78" s="1210"/>
      <c r="L78" s="1103"/>
      <c r="M78" s="1103"/>
      <c r="N78" s="1103"/>
      <c r="O78" s="1103"/>
      <c r="P78" s="1103"/>
      <c r="Q78" s="1210"/>
      <c r="R78" s="1210"/>
      <c r="S78" s="1103"/>
      <c r="T78" s="1103"/>
      <c r="U78" s="1103"/>
      <c r="V78" s="1103"/>
      <c r="W78" s="1103"/>
      <c r="X78" s="1210"/>
      <c r="Y78" s="1210"/>
      <c r="Z78" s="1103"/>
      <c r="AA78" s="1103"/>
      <c r="AB78" s="1103"/>
      <c r="AC78" s="1103"/>
      <c r="AD78" s="1103"/>
      <c r="AE78" s="1210"/>
      <c r="AF78" s="1210"/>
      <c r="AG78" s="1103"/>
      <c r="AH78" s="1103"/>
      <c r="AI78" s="1103"/>
      <c r="AJ78" s="388">
        <f>SUM(E78:AI78)</f>
        <v>0</v>
      </c>
      <c r="AK78" s="1024">
        <f t="shared" si="83"/>
        <v>0</v>
      </c>
      <c r="AL78" s="427">
        <f>+AJ78*AN72</f>
        <v>0</v>
      </c>
      <c r="AM78" s="1040">
        <f t="shared" si="84"/>
        <v>0</v>
      </c>
      <c r="AN78" s="382"/>
      <c r="AO78" s="622"/>
      <c r="AP78" s="47" t="s">
        <v>106</v>
      </c>
      <c r="AQ78" s="48">
        <f>AQ74*AN72</f>
        <v>0</v>
      </c>
      <c r="AR78" s="48">
        <f>AR74*AN72</f>
        <v>0</v>
      </c>
      <c r="AS78" s="48">
        <f>AS74*AN72</f>
        <v>0</v>
      </c>
      <c r="AT78" s="48">
        <f>AT74*AN72</f>
        <v>0</v>
      </c>
      <c r="AU78" s="48">
        <f>AU74*AN72</f>
        <v>0</v>
      </c>
      <c r="AV78" s="50">
        <f t="shared" si="86"/>
        <v>0</v>
      </c>
    </row>
    <row r="79" spans="1:48" ht="19.899999999999999" hidden="1" customHeight="1">
      <c r="A79" s="376"/>
      <c r="B79" s="390"/>
      <c r="C79" s="379">
        <v>75000</v>
      </c>
      <c r="D79" s="78" t="s">
        <v>107</v>
      </c>
      <c r="E79" s="1137">
        <v>8</v>
      </c>
      <c r="F79" s="1097">
        <v>8</v>
      </c>
      <c r="G79" s="1205">
        <v>8</v>
      </c>
      <c r="H79" s="1097">
        <v>8</v>
      </c>
      <c r="I79" s="1097">
        <v>8</v>
      </c>
      <c r="J79" s="1205">
        <v>8</v>
      </c>
      <c r="K79" s="1205">
        <v>8</v>
      </c>
      <c r="L79" s="1097">
        <v>8</v>
      </c>
      <c r="M79" s="1097">
        <v>8</v>
      </c>
      <c r="N79" s="1097">
        <v>8</v>
      </c>
      <c r="O79" s="1097">
        <v>8</v>
      </c>
      <c r="P79" s="1097">
        <v>8</v>
      </c>
      <c r="Q79" s="1205">
        <v>8</v>
      </c>
      <c r="R79" s="1205">
        <v>8</v>
      </c>
      <c r="S79" s="1097">
        <v>8</v>
      </c>
      <c r="T79" s="1097">
        <v>8</v>
      </c>
      <c r="U79" s="1097">
        <v>8</v>
      </c>
      <c r="V79" s="1097">
        <v>8</v>
      </c>
      <c r="W79" s="1097">
        <v>8</v>
      </c>
      <c r="X79" s="1205">
        <v>8</v>
      </c>
      <c r="Y79" s="1205">
        <v>8</v>
      </c>
      <c r="Z79" s="1097">
        <v>8</v>
      </c>
      <c r="AA79" s="1097">
        <v>8</v>
      </c>
      <c r="AB79" s="1097">
        <v>8</v>
      </c>
      <c r="AC79" s="1097">
        <v>8</v>
      </c>
      <c r="AD79" s="1097">
        <v>8</v>
      </c>
      <c r="AE79" s="1205">
        <v>8</v>
      </c>
      <c r="AF79" s="1205">
        <v>8</v>
      </c>
      <c r="AG79" s="1097">
        <v>8</v>
      </c>
      <c r="AH79" s="1097">
        <v>8</v>
      </c>
      <c r="AI79" s="1097">
        <v>8</v>
      </c>
      <c r="AJ79" s="381"/>
      <c r="AK79" s="1024">
        <f t="shared" si="83"/>
        <v>0</v>
      </c>
      <c r="AL79" s="420"/>
      <c r="AM79" s="1040">
        <f t="shared" si="84"/>
        <v>0</v>
      </c>
      <c r="AN79" s="382"/>
      <c r="AO79" s="622"/>
      <c r="AP79" s="391"/>
      <c r="AQ79" s="391"/>
      <c r="AR79" s="4"/>
      <c r="AS79" s="4"/>
      <c r="AT79" s="392"/>
      <c r="AU79" s="4"/>
      <c r="AV79" s="4"/>
    </row>
    <row r="80" spans="1:48" ht="19.899999999999999" hidden="1" customHeight="1">
      <c r="A80" s="389"/>
      <c r="B80" s="390"/>
      <c r="C80" s="89" t="s">
        <v>108</v>
      </c>
      <c r="D80" s="81" t="s">
        <v>109</v>
      </c>
      <c r="E80" s="1108">
        <f>SUM(E74+E76+E77+E78)/E79</f>
        <v>0</v>
      </c>
      <c r="F80" s="1108">
        <f t="shared" ref="F80:AI80" si="89">SUM(F74+F76+F77+F78)/F79</f>
        <v>0</v>
      </c>
      <c r="G80" s="1199">
        <f t="shared" si="89"/>
        <v>0</v>
      </c>
      <c r="H80" s="1108">
        <f t="shared" si="89"/>
        <v>0</v>
      </c>
      <c r="I80" s="1108">
        <f t="shared" si="89"/>
        <v>0</v>
      </c>
      <c r="J80" s="1199">
        <f t="shared" si="89"/>
        <v>0</v>
      </c>
      <c r="K80" s="1199">
        <f t="shared" si="89"/>
        <v>0</v>
      </c>
      <c r="L80" s="1108">
        <f t="shared" si="89"/>
        <v>0</v>
      </c>
      <c r="M80" s="1108">
        <f t="shared" si="89"/>
        <v>0</v>
      </c>
      <c r="N80" s="1108">
        <f t="shared" si="89"/>
        <v>0</v>
      </c>
      <c r="O80" s="1108">
        <f t="shared" si="89"/>
        <v>0</v>
      </c>
      <c r="P80" s="1108">
        <f t="shared" si="89"/>
        <v>0</v>
      </c>
      <c r="Q80" s="1199">
        <f t="shared" si="89"/>
        <v>0</v>
      </c>
      <c r="R80" s="1199">
        <f t="shared" si="89"/>
        <v>0</v>
      </c>
      <c r="S80" s="1108">
        <f t="shared" si="89"/>
        <v>0</v>
      </c>
      <c r="T80" s="1108">
        <f t="shared" si="89"/>
        <v>0</v>
      </c>
      <c r="U80" s="1108">
        <f t="shared" si="89"/>
        <v>0</v>
      </c>
      <c r="V80" s="1108">
        <f t="shared" si="89"/>
        <v>0</v>
      </c>
      <c r="W80" s="1108">
        <f t="shared" si="89"/>
        <v>0</v>
      </c>
      <c r="X80" s="1199">
        <f t="shared" si="89"/>
        <v>0</v>
      </c>
      <c r="Y80" s="1199">
        <f t="shared" si="89"/>
        <v>0</v>
      </c>
      <c r="Z80" s="1108">
        <f t="shared" si="89"/>
        <v>0</v>
      </c>
      <c r="AA80" s="1108">
        <f t="shared" si="89"/>
        <v>0</v>
      </c>
      <c r="AB80" s="1108">
        <f t="shared" si="89"/>
        <v>0</v>
      </c>
      <c r="AC80" s="1108">
        <f t="shared" si="89"/>
        <v>0</v>
      </c>
      <c r="AD80" s="1108">
        <f t="shared" si="89"/>
        <v>0</v>
      </c>
      <c r="AE80" s="1199">
        <f t="shared" si="89"/>
        <v>0</v>
      </c>
      <c r="AF80" s="1199">
        <f t="shared" si="89"/>
        <v>0</v>
      </c>
      <c r="AG80" s="1108">
        <f t="shared" si="89"/>
        <v>0</v>
      </c>
      <c r="AH80" s="1108">
        <f t="shared" si="89"/>
        <v>0</v>
      </c>
      <c r="AI80" s="1108">
        <f t="shared" si="89"/>
        <v>0</v>
      </c>
      <c r="AJ80" s="380">
        <f>SUM(E80:AI80)</f>
        <v>0</v>
      </c>
      <c r="AK80" s="1024">
        <f t="shared" si="83"/>
        <v>0</v>
      </c>
      <c r="AL80" s="420"/>
      <c r="AM80" s="1040">
        <f t="shared" si="84"/>
        <v>0</v>
      </c>
      <c r="AN80" s="382"/>
      <c r="AO80" s="622"/>
      <c r="AP80" s="391"/>
      <c r="AQ80" s="391"/>
      <c r="AR80" s="4"/>
      <c r="AS80" s="4"/>
      <c r="AT80" s="392"/>
      <c r="AU80" s="4"/>
      <c r="AV80" s="4"/>
    </row>
    <row r="81" spans="1:48" ht="19.899999999999999" hidden="1" customHeight="1">
      <c r="A81" s="376"/>
      <c r="B81" s="390"/>
      <c r="C81" s="383">
        <f>+C79*0.8</f>
        <v>60000</v>
      </c>
      <c r="D81" s="85" t="s">
        <v>110</v>
      </c>
      <c r="E81" s="1366"/>
      <c r="F81" s="1172"/>
      <c r="G81" s="1263"/>
      <c r="H81" s="1172"/>
      <c r="I81" s="1172"/>
      <c r="J81" s="1281"/>
      <c r="K81" s="1263"/>
      <c r="L81" s="1172"/>
      <c r="M81" s="1172"/>
      <c r="N81" s="1174"/>
      <c r="O81" s="1173"/>
      <c r="P81" s="1173"/>
      <c r="Q81" s="1281"/>
      <c r="R81" s="1281"/>
      <c r="S81" s="1173"/>
      <c r="T81" s="1107"/>
      <c r="U81" s="1173"/>
      <c r="V81" s="1173"/>
      <c r="W81" s="1173"/>
      <c r="X81" s="1281"/>
      <c r="Y81" s="1281"/>
      <c r="Z81" s="1155"/>
      <c r="AA81" s="1173"/>
      <c r="AB81" s="1173"/>
      <c r="AC81" s="1173"/>
      <c r="AD81" s="1173"/>
      <c r="AE81" s="1281"/>
      <c r="AF81" s="1281"/>
      <c r="AG81" s="1173"/>
      <c r="AH81" s="1173"/>
      <c r="AI81" s="1173"/>
      <c r="AJ81" s="394"/>
      <c r="AK81" s="1025">
        <f t="shared" si="83"/>
        <v>0</v>
      </c>
      <c r="AL81" s="420"/>
      <c r="AM81" s="1040">
        <f t="shared" si="84"/>
        <v>0</v>
      </c>
      <c r="AN81" s="382"/>
      <c r="AO81" s="622"/>
      <c r="AP81" s="391"/>
      <c r="AQ81" s="391"/>
      <c r="AR81" s="4"/>
      <c r="AS81" s="4"/>
      <c r="AT81" s="392"/>
      <c r="AU81" s="4"/>
      <c r="AV81" s="4"/>
    </row>
    <row r="82" spans="1:48" ht="19.899999999999999" hidden="1" customHeight="1">
      <c r="A82" s="376"/>
      <c r="B82" s="390"/>
      <c r="C82" s="89"/>
      <c r="D82" s="88" t="s">
        <v>111</v>
      </c>
      <c r="E82" s="1156">
        <f>IF(E81="O/H",E80,0+E80)</f>
        <v>0</v>
      </c>
      <c r="F82" s="1156">
        <f t="shared" ref="F82:AI82" si="90">IF(F81="O/H",F80,0+F80)</f>
        <v>0</v>
      </c>
      <c r="G82" s="1227">
        <f t="shared" si="90"/>
        <v>0</v>
      </c>
      <c r="H82" s="1156">
        <f t="shared" si="90"/>
        <v>0</v>
      </c>
      <c r="I82" s="1156">
        <f t="shared" si="90"/>
        <v>0</v>
      </c>
      <c r="J82" s="1227">
        <f t="shared" si="90"/>
        <v>0</v>
      </c>
      <c r="K82" s="1227">
        <f t="shared" si="90"/>
        <v>0</v>
      </c>
      <c r="L82" s="1156">
        <f t="shared" si="90"/>
        <v>0</v>
      </c>
      <c r="M82" s="1156">
        <f t="shared" si="90"/>
        <v>0</v>
      </c>
      <c r="N82" s="1156">
        <f t="shared" si="90"/>
        <v>0</v>
      </c>
      <c r="O82" s="1156">
        <f t="shared" si="90"/>
        <v>0</v>
      </c>
      <c r="P82" s="1156">
        <f t="shared" si="90"/>
        <v>0</v>
      </c>
      <c r="Q82" s="1227">
        <f t="shared" si="90"/>
        <v>0</v>
      </c>
      <c r="R82" s="1227">
        <f t="shared" si="90"/>
        <v>0</v>
      </c>
      <c r="S82" s="1156">
        <f t="shared" si="90"/>
        <v>0</v>
      </c>
      <c r="T82" s="1156">
        <f t="shared" si="90"/>
        <v>0</v>
      </c>
      <c r="U82" s="1156">
        <f t="shared" si="90"/>
        <v>0</v>
      </c>
      <c r="V82" s="1156">
        <f t="shared" si="90"/>
        <v>0</v>
      </c>
      <c r="W82" s="1156">
        <f t="shared" si="90"/>
        <v>0</v>
      </c>
      <c r="X82" s="1227">
        <f t="shared" si="90"/>
        <v>0</v>
      </c>
      <c r="Y82" s="1227">
        <f t="shared" si="90"/>
        <v>0</v>
      </c>
      <c r="Z82" s="1156">
        <f t="shared" si="90"/>
        <v>0</v>
      </c>
      <c r="AA82" s="1156">
        <f t="shared" si="90"/>
        <v>0</v>
      </c>
      <c r="AB82" s="1156">
        <f t="shared" si="90"/>
        <v>0</v>
      </c>
      <c r="AC82" s="1156">
        <f t="shared" si="90"/>
        <v>0</v>
      </c>
      <c r="AD82" s="1156">
        <f t="shared" si="90"/>
        <v>0</v>
      </c>
      <c r="AE82" s="1227">
        <f t="shared" si="90"/>
        <v>0</v>
      </c>
      <c r="AF82" s="1227">
        <f t="shared" si="90"/>
        <v>0</v>
      </c>
      <c r="AG82" s="1156">
        <f t="shared" si="90"/>
        <v>0</v>
      </c>
      <c r="AH82" s="1156">
        <f t="shared" si="90"/>
        <v>0</v>
      </c>
      <c r="AI82" s="1156">
        <f t="shared" si="90"/>
        <v>0</v>
      </c>
      <c r="AJ82" s="394"/>
      <c r="AK82" s="1025">
        <f t="shared" si="83"/>
        <v>0</v>
      </c>
      <c r="AL82" s="420"/>
      <c r="AM82" s="1040">
        <f t="shared" si="84"/>
        <v>0</v>
      </c>
      <c r="AN82" s="382"/>
      <c r="AO82" s="622"/>
      <c r="AP82" s="391"/>
      <c r="AQ82" s="391"/>
      <c r="AR82" s="4"/>
      <c r="AS82" s="4"/>
      <c r="AT82" s="392"/>
      <c r="AU82" s="4"/>
      <c r="AV82" s="4"/>
    </row>
    <row r="83" spans="1:48" ht="19.899999999999999" hidden="1" customHeight="1">
      <c r="A83" s="376"/>
      <c r="B83" s="59"/>
      <c r="C83" s="387"/>
      <c r="D83" s="395" t="s">
        <v>435</v>
      </c>
      <c r="E83" s="1365"/>
      <c r="F83" s="1107"/>
      <c r="G83" s="1211"/>
      <c r="H83" s="1176"/>
      <c r="I83" s="1104"/>
      <c r="J83" s="1211"/>
      <c r="K83" s="1273"/>
      <c r="L83" s="1107"/>
      <c r="M83" s="1104"/>
      <c r="N83" s="1177"/>
      <c r="O83" s="1104"/>
      <c r="P83" s="1177"/>
      <c r="Q83" s="1211"/>
      <c r="R83" s="1211"/>
      <c r="S83" s="1104"/>
      <c r="T83" s="1107"/>
      <c r="U83" s="1104"/>
      <c r="V83" s="1104"/>
      <c r="W83" s="1104"/>
      <c r="X83" s="1228"/>
      <c r="Y83" s="1211"/>
      <c r="Z83" s="1155"/>
      <c r="AA83" s="1104"/>
      <c r="AB83" s="1104"/>
      <c r="AC83" s="1104"/>
      <c r="AD83" s="1104"/>
      <c r="AE83" s="1211"/>
      <c r="AF83" s="1211"/>
      <c r="AG83" s="1104"/>
      <c r="AH83" s="1104"/>
      <c r="AI83" s="1104"/>
      <c r="AJ83" s="396"/>
      <c r="AK83" s="1024">
        <f t="shared" si="83"/>
        <v>0</v>
      </c>
      <c r="AL83" s="420"/>
      <c r="AM83" s="1040">
        <f t="shared" si="84"/>
        <v>0</v>
      </c>
      <c r="AN83" s="382"/>
      <c r="AO83" s="622"/>
      <c r="AP83" s="391"/>
      <c r="AQ83" s="391"/>
    </row>
    <row r="84" spans="1:48" ht="19.899999999999999" hidden="1" customHeight="1">
      <c r="A84" s="376"/>
      <c r="B84" s="59"/>
      <c r="C84" s="387" t="s">
        <v>104</v>
      </c>
      <c r="D84" s="88" t="s">
        <v>111</v>
      </c>
      <c r="E84" s="1108">
        <f>IF(E83="O/H",E80,0+E80)</f>
        <v>0</v>
      </c>
      <c r="F84" s="1108">
        <f t="shared" ref="F84:AI84" si="91">IF(F83="O/H",F80,0+F80)</f>
        <v>0</v>
      </c>
      <c r="G84" s="1199">
        <f t="shared" si="91"/>
        <v>0</v>
      </c>
      <c r="H84" s="1108">
        <f t="shared" si="91"/>
        <v>0</v>
      </c>
      <c r="I84" s="1108">
        <f t="shared" si="91"/>
        <v>0</v>
      </c>
      <c r="J84" s="1199">
        <f t="shared" si="91"/>
        <v>0</v>
      </c>
      <c r="K84" s="1199">
        <f t="shared" si="91"/>
        <v>0</v>
      </c>
      <c r="L84" s="1108">
        <f t="shared" si="91"/>
        <v>0</v>
      </c>
      <c r="M84" s="1108">
        <f t="shared" si="91"/>
        <v>0</v>
      </c>
      <c r="N84" s="1108">
        <f t="shared" si="91"/>
        <v>0</v>
      </c>
      <c r="O84" s="1108">
        <f t="shared" si="91"/>
        <v>0</v>
      </c>
      <c r="P84" s="1108">
        <f t="shared" si="91"/>
        <v>0</v>
      </c>
      <c r="Q84" s="1199">
        <f t="shared" si="91"/>
        <v>0</v>
      </c>
      <c r="R84" s="1199">
        <f t="shared" si="91"/>
        <v>0</v>
      </c>
      <c r="S84" s="1108">
        <f t="shared" si="91"/>
        <v>0</v>
      </c>
      <c r="T84" s="1108">
        <f t="shared" si="91"/>
        <v>0</v>
      </c>
      <c r="U84" s="1108">
        <f t="shared" si="91"/>
        <v>0</v>
      </c>
      <c r="V84" s="1108">
        <f t="shared" si="91"/>
        <v>0</v>
      </c>
      <c r="W84" s="1108">
        <f t="shared" si="91"/>
        <v>0</v>
      </c>
      <c r="X84" s="1199">
        <f t="shared" si="91"/>
        <v>0</v>
      </c>
      <c r="Y84" s="1199">
        <f t="shared" si="91"/>
        <v>0</v>
      </c>
      <c r="Z84" s="1108">
        <f t="shared" si="91"/>
        <v>0</v>
      </c>
      <c r="AA84" s="1108">
        <f t="shared" si="91"/>
        <v>0</v>
      </c>
      <c r="AB84" s="1108">
        <f t="shared" si="91"/>
        <v>0</v>
      </c>
      <c r="AC84" s="1108">
        <f t="shared" si="91"/>
        <v>0</v>
      </c>
      <c r="AD84" s="1108">
        <f t="shared" si="91"/>
        <v>0</v>
      </c>
      <c r="AE84" s="1199">
        <f t="shared" si="91"/>
        <v>0</v>
      </c>
      <c r="AF84" s="1199">
        <f t="shared" si="91"/>
        <v>0</v>
      </c>
      <c r="AG84" s="1108">
        <f t="shared" si="91"/>
        <v>0</v>
      </c>
      <c r="AH84" s="1108">
        <f t="shared" si="91"/>
        <v>0</v>
      </c>
      <c r="AI84" s="1108">
        <f t="shared" si="91"/>
        <v>0</v>
      </c>
      <c r="AJ84" s="396"/>
      <c r="AK84" s="1024">
        <f t="shared" si="83"/>
        <v>0</v>
      </c>
      <c r="AL84" s="420"/>
      <c r="AM84" s="1040">
        <f t="shared" si="84"/>
        <v>0</v>
      </c>
      <c r="AN84" s="382"/>
      <c r="AO84" s="622"/>
      <c r="AP84" s="391"/>
      <c r="AQ84" s="391"/>
    </row>
    <row r="85" spans="1:48" s="23" customFormat="1" ht="20.45" hidden="1" customHeight="1">
      <c r="A85" s="312"/>
      <c r="B85" s="312"/>
      <c r="C85" s="379">
        <v>150000</v>
      </c>
      <c r="D85" s="795" t="s">
        <v>112</v>
      </c>
      <c r="E85" s="1117" t="b">
        <f>IF(AND(ISNUMBER(E74)),1110048+E80)</f>
        <v>0</v>
      </c>
      <c r="F85" s="1118" t="str">
        <f>IF(AND(ISNUMBER(F74)),E85+F80,"")</f>
        <v/>
      </c>
      <c r="G85" s="1216" t="str">
        <f>IF(AND(ISNUMBER(G74)),F85+G80,"")</f>
        <v/>
      </c>
      <c r="H85" s="1118" t="str">
        <f t="shared" ref="H85:AI85" si="92">IF(AND(ISNUMBER(H74)),G85+H80,"")</f>
        <v/>
      </c>
      <c r="I85" s="1118" t="str">
        <f t="shared" si="92"/>
        <v/>
      </c>
      <c r="J85" s="1216" t="str">
        <f t="shared" si="92"/>
        <v/>
      </c>
      <c r="K85" s="1216" t="str">
        <f t="shared" si="92"/>
        <v/>
      </c>
      <c r="L85" s="1118" t="str">
        <f t="shared" si="92"/>
        <v/>
      </c>
      <c r="M85" s="1118" t="str">
        <f t="shared" si="92"/>
        <v/>
      </c>
      <c r="N85" s="1118" t="str">
        <f t="shared" si="92"/>
        <v/>
      </c>
      <c r="O85" s="1118" t="str">
        <f t="shared" si="92"/>
        <v/>
      </c>
      <c r="P85" s="1118" t="str">
        <f t="shared" si="92"/>
        <v/>
      </c>
      <c r="Q85" s="1216" t="str">
        <f t="shared" si="92"/>
        <v/>
      </c>
      <c r="R85" s="1216" t="str">
        <f t="shared" si="92"/>
        <v/>
      </c>
      <c r="S85" s="1118" t="str">
        <f t="shared" si="92"/>
        <v/>
      </c>
      <c r="T85" s="1118" t="str">
        <f t="shared" si="92"/>
        <v/>
      </c>
      <c r="U85" s="1118" t="str">
        <f t="shared" si="92"/>
        <v/>
      </c>
      <c r="V85" s="1118" t="str">
        <f t="shared" si="92"/>
        <v/>
      </c>
      <c r="W85" s="1118" t="str">
        <f t="shared" si="92"/>
        <v/>
      </c>
      <c r="X85" s="1216" t="str">
        <f t="shared" si="92"/>
        <v/>
      </c>
      <c r="Y85" s="1216" t="str">
        <f t="shared" si="92"/>
        <v/>
      </c>
      <c r="Z85" s="1118" t="str">
        <f t="shared" si="92"/>
        <v/>
      </c>
      <c r="AA85" s="1118" t="str">
        <f t="shared" si="92"/>
        <v/>
      </c>
      <c r="AB85" s="1118" t="str">
        <f t="shared" si="92"/>
        <v/>
      </c>
      <c r="AC85" s="1118" t="str">
        <f t="shared" si="92"/>
        <v/>
      </c>
      <c r="AD85" s="1118" t="str">
        <f t="shared" si="92"/>
        <v/>
      </c>
      <c r="AE85" s="1216" t="str">
        <f t="shared" si="92"/>
        <v/>
      </c>
      <c r="AF85" s="1216" t="str">
        <f t="shared" si="92"/>
        <v/>
      </c>
      <c r="AG85" s="1118" t="str">
        <f t="shared" si="92"/>
        <v/>
      </c>
      <c r="AH85" s="1118" t="str">
        <f t="shared" si="92"/>
        <v/>
      </c>
      <c r="AI85" s="1118" t="str">
        <f t="shared" si="92"/>
        <v/>
      </c>
      <c r="AJ85" s="793"/>
      <c r="AK85" s="1026">
        <f t="shared" si="83"/>
        <v>0</v>
      </c>
      <c r="AL85" s="897"/>
      <c r="AM85" s="1042">
        <f t="shared" si="84"/>
        <v>0</v>
      </c>
      <c r="AN85" s="468"/>
      <c r="AO85" s="675"/>
      <c r="AP85" s="285"/>
      <c r="AQ85" s="285"/>
      <c r="AR85" s="285"/>
      <c r="AS85" s="285"/>
      <c r="AT85" s="286"/>
      <c r="AU85" s="285"/>
      <c r="AV85" s="287"/>
    </row>
    <row r="86" spans="1:48" ht="19.899999999999999" hidden="1" customHeight="1">
      <c r="A86" s="376"/>
      <c r="B86" s="393" t="s">
        <v>447</v>
      </c>
      <c r="C86" s="89" t="s">
        <v>108</v>
      </c>
      <c r="D86" s="90" t="s">
        <v>104</v>
      </c>
      <c r="E86" s="1365"/>
      <c r="F86" s="1107"/>
      <c r="G86" s="1228"/>
      <c r="H86" s="1176"/>
      <c r="I86" s="1107"/>
      <c r="J86" s="1228"/>
      <c r="K86" s="1273"/>
      <c r="L86" s="1107"/>
      <c r="M86" s="1107"/>
      <c r="N86" s="1177"/>
      <c r="O86" s="1107"/>
      <c r="P86" s="1177"/>
      <c r="Q86" s="1228"/>
      <c r="R86" s="1228"/>
      <c r="S86" s="1107"/>
      <c r="T86" s="1107"/>
      <c r="U86" s="1107"/>
      <c r="V86" s="1107"/>
      <c r="W86" s="1107"/>
      <c r="X86" s="1228"/>
      <c r="Y86" s="1228"/>
      <c r="Z86" s="1155"/>
      <c r="AA86" s="1107"/>
      <c r="AB86" s="1107"/>
      <c r="AC86" s="1107"/>
      <c r="AD86" s="1107"/>
      <c r="AE86" s="1228"/>
      <c r="AF86" s="1228"/>
      <c r="AG86" s="1107"/>
      <c r="AH86" s="1107"/>
      <c r="AI86" s="1107"/>
      <c r="AJ86" s="396"/>
      <c r="AK86" s="1024">
        <f t="shared" si="83"/>
        <v>456000</v>
      </c>
      <c r="AL86" s="420"/>
      <c r="AM86" s="1040">
        <f t="shared" si="84"/>
        <v>1683907.6800000002</v>
      </c>
      <c r="AN86" s="382"/>
      <c r="AO86" s="622"/>
      <c r="AP86" s="391"/>
      <c r="AQ86" s="391"/>
    </row>
    <row r="87" spans="1:48" ht="19.899999999999999" hidden="1" customHeight="1" thickBot="1">
      <c r="A87" s="397"/>
      <c r="B87" s="398"/>
      <c r="C87" s="407">
        <f>+C85*0.8</f>
        <v>120000</v>
      </c>
      <c r="D87" s="95" t="s">
        <v>111</v>
      </c>
      <c r="E87" s="1109">
        <f>IF(E86="O/H",E80,0+E80)</f>
        <v>0</v>
      </c>
      <c r="F87" s="1109">
        <f t="shared" ref="F87:AI87" si="93">IF(F86="O/H",F80,0+F80)</f>
        <v>0</v>
      </c>
      <c r="G87" s="1200">
        <f t="shared" si="93"/>
        <v>0</v>
      </c>
      <c r="H87" s="1109">
        <f t="shared" si="93"/>
        <v>0</v>
      </c>
      <c r="I87" s="1109">
        <f t="shared" si="93"/>
        <v>0</v>
      </c>
      <c r="J87" s="1200">
        <f t="shared" si="93"/>
        <v>0</v>
      </c>
      <c r="K87" s="1200">
        <f t="shared" si="93"/>
        <v>0</v>
      </c>
      <c r="L87" s="1109">
        <f t="shared" si="93"/>
        <v>0</v>
      </c>
      <c r="M87" s="1109">
        <f t="shared" si="93"/>
        <v>0</v>
      </c>
      <c r="N87" s="1109">
        <f t="shared" si="93"/>
        <v>0</v>
      </c>
      <c r="O87" s="1109">
        <f t="shared" si="93"/>
        <v>0</v>
      </c>
      <c r="P87" s="1109">
        <f t="shared" si="93"/>
        <v>0</v>
      </c>
      <c r="Q87" s="1200">
        <f t="shared" si="93"/>
        <v>0</v>
      </c>
      <c r="R87" s="1200">
        <f t="shared" si="93"/>
        <v>0</v>
      </c>
      <c r="S87" s="1109">
        <f t="shared" si="93"/>
        <v>0</v>
      </c>
      <c r="T87" s="1109">
        <f t="shared" si="93"/>
        <v>0</v>
      </c>
      <c r="U87" s="1109">
        <f t="shared" si="93"/>
        <v>0</v>
      </c>
      <c r="V87" s="1109">
        <f t="shared" si="93"/>
        <v>0</v>
      </c>
      <c r="W87" s="1109">
        <f t="shared" si="93"/>
        <v>0</v>
      </c>
      <c r="X87" s="1200">
        <f t="shared" si="93"/>
        <v>0</v>
      </c>
      <c r="Y87" s="1200">
        <f t="shared" si="93"/>
        <v>0</v>
      </c>
      <c r="Z87" s="1109">
        <f t="shared" si="93"/>
        <v>0</v>
      </c>
      <c r="AA87" s="1109">
        <f t="shared" si="93"/>
        <v>0</v>
      </c>
      <c r="AB87" s="1109">
        <f t="shared" si="93"/>
        <v>0</v>
      </c>
      <c r="AC87" s="1109">
        <f t="shared" si="93"/>
        <v>0</v>
      </c>
      <c r="AD87" s="1109">
        <f t="shared" si="93"/>
        <v>0</v>
      </c>
      <c r="AE87" s="1200">
        <f t="shared" si="93"/>
        <v>0</v>
      </c>
      <c r="AF87" s="1200">
        <f t="shared" si="93"/>
        <v>0</v>
      </c>
      <c r="AG87" s="1109">
        <f t="shared" si="93"/>
        <v>0</v>
      </c>
      <c r="AH87" s="1109">
        <f t="shared" si="93"/>
        <v>0</v>
      </c>
      <c r="AI87" s="1109">
        <f t="shared" si="93"/>
        <v>0</v>
      </c>
      <c r="AJ87" s="399"/>
      <c r="AK87" s="1027">
        <f t="shared" si="83"/>
        <v>0</v>
      </c>
      <c r="AL87" s="421"/>
      <c r="AM87" s="1043">
        <f t="shared" si="84"/>
        <v>0</v>
      </c>
      <c r="AN87" s="894"/>
      <c r="AO87" s="625"/>
      <c r="AP87" s="391"/>
      <c r="AQ87" s="391"/>
    </row>
    <row r="88" spans="1:48" ht="19.5" customHeight="1" thickTop="1">
      <c r="A88" s="905" t="s">
        <v>592</v>
      </c>
      <c r="B88" s="393" t="s">
        <v>628</v>
      </c>
      <c r="C88" s="518" t="str">
        <f>Table37[[#This Row],[M/C No.]]</f>
        <v>R5(18ton)</v>
      </c>
      <c r="D88" s="28" t="s">
        <v>82</v>
      </c>
      <c r="E88" s="1124">
        <v>24000</v>
      </c>
      <c r="F88" s="1124">
        <v>24000</v>
      </c>
      <c r="G88" s="1242">
        <v>24000</v>
      </c>
      <c r="H88" s="1124">
        <v>24000</v>
      </c>
      <c r="I88" s="1124">
        <v>24000</v>
      </c>
      <c r="J88" s="1242">
        <v>24000</v>
      </c>
      <c r="K88" s="1242">
        <v>24000</v>
      </c>
      <c r="L88" s="1124">
        <v>24000</v>
      </c>
      <c r="M88" s="1124">
        <v>24000</v>
      </c>
      <c r="N88" s="1124">
        <v>24000</v>
      </c>
      <c r="O88" s="1124">
        <v>24000</v>
      </c>
      <c r="P88" s="1124">
        <v>24000</v>
      </c>
      <c r="Q88" s="1242">
        <v>24000</v>
      </c>
      <c r="R88" s="1242">
        <v>24000</v>
      </c>
      <c r="S88" s="1124">
        <v>24000</v>
      </c>
      <c r="T88" s="1124">
        <v>24000</v>
      </c>
      <c r="U88" s="1124">
        <v>24000</v>
      </c>
      <c r="V88" s="1124">
        <v>24000</v>
      </c>
      <c r="W88" s="1124">
        <v>24000</v>
      </c>
      <c r="X88" s="1242">
        <v>0</v>
      </c>
      <c r="Y88" s="1242">
        <v>0</v>
      </c>
      <c r="Z88" s="1124">
        <v>0</v>
      </c>
      <c r="AA88" s="1124">
        <v>0</v>
      </c>
      <c r="AB88" s="1124">
        <v>0</v>
      </c>
      <c r="AC88" s="1124">
        <v>0</v>
      </c>
      <c r="AD88" s="1124">
        <v>0</v>
      </c>
      <c r="AE88" s="1242">
        <v>0</v>
      </c>
      <c r="AF88" s="1242">
        <v>0</v>
      </c>
      <c r="AG88" s="1124">
        <v>0</v>
      </c>
      <c r="AH88" s="1124">
        <v>0</v>
      </c>
      <c r="AI88" s="1124"/>
      <c r="AJ88" s="375">
        <f>SUM(E88:AI88)</f>
        <v>456000</v>
      </c>
      <c r="AK88" s="1047">
        <f t="shared" si="83"/>
        <v>553600</v>
      </c>
      <c r="AL88" s="423">
        <f>+AJ88*AN88</f>
        <v>1683907.6800000002</v>
      </c>
      <c r="AM88" s="1046">
        <f t="shared" si="84"/>
        <v>2044323.0080000001</v>
      </c>
      <c r="AN88" s="402">
        <v>3.6927800000000004</v>
      </c>
      <c r="AO88" s="622">
        <f>Table37[[#This Row],[Total]]*B92/1000</f>
        <v>430.00799999999998</v>
      </c>
      <c r="AP88" s="32" t="s">
        <v>445</v>
      </c>
      <c r="AQ88" s="33" t="s">
        <v>84</v>
      </c>
      <c r="AR88" s="33" t="s">
        <v>85</v>
      </c>
      <c r="AS88" s="33" t="s">
        <v>86</v>
      </c>
      <c r="AT88" s="33" t="s">
        <v>87</v>
      </c>
      <c r="AU88" s="33" t="s">
        <v>88</v>
      </c>
      <c r="AV88" s="34" t="s">
        <v>68</v>
      </c>
    </row>
    <row r="89" spans="1:48" ht="19.5" customHeight="1">
      <c r="A89" s="376"/>
      <c r="B89" s="393" t="s">
        <v>448</v>
      </c>
      <c r="C89" s="1251">
        <v>75000</v>
      </c>
      <c r="D89" s="37" t="s">
        <v>90</v>
      </c>
      <c r="E89" s="1143">
        <f>IF(E88="",0,E88/E95)</f>
        <v>3000</v>
      </c>
      <c r="F89" s="1143">
        <f t="shared" ref="F89:AD89" si="94">IF(F88="",0,F88/F95)</f>
        <v>3000</v>
      </c>
      <c r="G89" s="1266">
        <f t="shared" si="94"/>
        <v>3000</v>
      </c>
      <c r="H89" s="1143">
        <f>IF(H88="",0,H88/H95)</f>
        <v>3000</v>
      </c>
      <c r="I89" s="1143">
        <f t="shared" si="94"/>
        <v>3000</v>
      </c>
      <c r="J89" s="1266">
        <f t="shared" si="94"/>
        <v>3000</v>
      </c>
      <c r="K89" s="1266">
        <f t="shared" si="94"/>
        <v>3000</v>
      </c>
      <c r="L89" s="1143">
        <f t="shared" si="94"/>
        <v>3000</v>
      </c>
      <c r="M89" s="1143">
        <f t="shared" si="94"/>
        <v>3000</v>
      </c>
      <c r="N89" s="1143">
        <f t="shared" si="94"/>
        <v>3000</v>
      </c>
      <c r="O89" s="1143">
        <f t="shared" si="94"/>
        <v>3000</v>
      </c>
      <c r="P89" s="1143">
        <f t="shared" si="94"/>
        <v>3000</v>
      </c>
      <c r="Q89" s="1266">
        <f t="shared" si="94"/>
        <v>3000</v>
      </c>
      <c r="R89" s="1266">
        <f t="shared" si="94"/>
        <v>3000</v>
      </c>
      <c r="S89" s="1143">
        <f t="shared" si="94"/>
        <v>3000</v>
      </c>
      <c r="T89" s="1143">
        <f t="shared" si="94"/>
        <v>3000</v>
      </c>
      <c r="U89" s="1143">
        <f t="shared" si="94"/>
        <v>3000</v>
      </c>
      <c r="V89" s="1143">
        <f t="shared" si="94"/>
        <v>3000</v>
      </c>
      <c r="W89" s="1143">
        <f t="shared" si="94"/>
        <v>3000</v>
      </c>
      <c r="X89" s="1266">
        <f t="shared" si="94"/>
        <v>0</v>
      </c>
      <c r="Y89" s="1266">
        <f t="shared" si="94"/>
        <v>0</v>
      </c>
      <c r="Z89" s="1143">
        <f t="shared" si="94"/>
        <v>0</v>
      </c>
      <c r="AA89" s="1143">
        <f t="shared" si="94"/>
        <v>0</v>
      </c>
      <c r="AB89" s="1143">
        <f t="shared" si="94"/>
        <v>0</v>
      </c>
      <c r="AC89" s="1143">
        <f t="shared" si="94"/>
        <v>0</v>
      </c>
      <c r="AD89" s="1143">
        <f t="shared" si="94"/>
        <v>0</v>
      </c>
      <c r="AE89" s="1266">
        <f>IF(AE88="",0,AE88/AE95)</f>
        <v>0</v>
      </c>
      <c r="AF89" s="1266">
        <f>IF(AF88="",0,AF88/AF95)</f>
        <v>0</v>
      </c>
      <c r="AG89" s="1146">
        <v>0</v>
      </c>
      <c r="AH89" s="1146">
        <v>0</v>
      </c>
      <c r="AI89" s="1146"/>
      <c r="AJ89" s="375"/>
      <c r="AK89" s="1023">
        <f t="shared" si="83"/>
        <v>97600</v>
      </c>
      <c r="AL89" s="423"/>
      <c r="AM89" s="1040">
        <f t="shared" si="84"/>
        <v>360415.32800000004</v>
      </c>
      <c r="AN89" s="382"/>
      <c r="AO89" s="675"/>
      <c r="AP89" s="39" t="s">
        <v>91</v>
      </c>
      <c r="AQ89" s="40">
        <f>SUM(E88:H88)</f>
        <v>96000</v>
      </c>
      <c r="AR89" s="41">
        <f>SUM(I88:O88)</f>
        <v>168000</v>
      </c>
      <c r="AS89" s="41">
        <f>SUM(P88:V88)</f>
        <v>168000</v>
      </c>
      <c r="AT89" s="41">
        <f>SUM(W88:AC88)</f>
        <v>24000</v>
      </c>
      <c r="AU89" s="41">
        <f>SUM(AD88:AI88)</f>
        <v>0</v>
      </c>
      <c r="AV89" s="34">
        <f t="shared" ref="AV89:AV94" si="95">SUM(AQ89:AU89)</f>
        <v>456000</v>
      </c>
    </row>
    <row r="90" spans="1:48" ht="19.899999999999999" customHeight="1">
      <c r="A90" s="376"/>
      <c r="B90" s="411" t="s">
        <v>272</v>
      </c>
      <c r="C90" s="656" t="s">
        <v>108</v>
      </c>
      <c r="D90" s="43" t="s">
        <v>93</v>
      </c>
      <c r="E90" s="1108">
        <v>0</v>
      </c>
      <c r="F90" s="1108">
        <v>24960</v>
      </c>
      <c r="G90" s="1199">
        <v>24960</v>
      </c>
      <c r="H90" s="1108">
        <v>27520</v>
      </c>
      <c r="I90" s="1108">
        <v>24960</v>
      </c>
      <c r="J90" s="1199">
        <v>26880</v>
      </c>
      <c r="K90" s="1199">
        <v>26880</v>
      </c>
      <c r="L90" s="1108">
        <v>22400</v>
      </c>
      <c r="M90" s="1108">
        <v>24960</v>
      </c>
      <c r="N90" s="1108">
        <v>24960</v>
      </c>
      <c r="O90" s="1108">
        <v>26240</v>
      </c>
      <c r="P90" s="1108">
        <v>26240</v>
      </c>
      <c r="Q90" s="1199">
        <v>24960</v>
      </c>
      <c r="R90" s="1199">
        <v>24960</v>
      </c>
      <c r="S90" s="1108">
        <v>26240</v>
      </c>
      <c r="T90" s="1108">
        <v>24960</v>
      </c>
      <c r="U90" s="1108">
        <v>26880</v>
      </c>
      <c r="V90" s="1108">
        <v>24960</v>
      </c>
      <c r="W90" s="1108">
        <v>26880</v>
      </c>
      <c r="X90" s="44">
        <v>26880</v>
      </c>
      <c r="Y90" s="44">
        <v>24320</v>
      </c>
      <c r="Z90" s="1089">
        <v>21120</v>
      </c>
      <c r="AA90" s="1089">
        <v>20480</v>
      </c>
      <c r="AB90" s="1089"/>
      <c r="AC90" s="1089"/>
      <c r="AD90" s="1089"/>
      <c r="AE90" s="44"/>
      <c r="AF90" s="44"/>
      <c r="AG90" s="1089"/>
      <c r="AH90" s="1089"/>
      <c r="AI90" s="1089"/>
      <c r="AJ90" s="380">
        <f>SUM(E90:AI90)</f>
        <v>553600</v>
      </c>
      <c r="AK90" s="1024">
        <f t="shared" si="83"/>
        <v>3940</v>
      </c>
      <c r="AL90" s="424">
        <f>+AJ90*AN88</f>
        <v>2044323.0080000001</v>
      </c>
      <c r="AM90" s="1041">
        <f t="shared" si="84"/>
        <v>14549.553200000002</v>
      </c>
      <c r="AN90" s="382"/>
      <c r="AO90" s="632">
        <f>(AJ90+AJ92+AJ93+AJ94)*B92/1000</f>
        <v>533.67387599999995</v>
      </c>
      <c r="AP90" s="47" t="s">
        <v>94</v>
      </c>
      <c r="AQ90" s="48">
        <f>SUM(E90:H90)</f>
        <v>77440</v>
      </c>
      <c r="AR90" s="49">
        <f>SUM(I90:O90)</f>
        <v>177280</v>
      </c>
      <c r="AS90" s="49">
        <f>SUM(P90:V90)</f>
        <v>179200</v>
      </c>
      <c r="AT90" s="49">
        <f>SUM(W90:AC90)</f>
        <v>119680</v>
      </c>
      <c r="AU90" s="49">
        <f>SUM(AD90:AI90)</f>
        <v>0</v>
      </c>
      <c r="AV90" s="50">
        <f t="shared" si="95"/>
        <v>553600</v>
      </c>
    </row>
    <row r="91" spans="1:48" ht="19.899999999999999" customHeight="1">
      <c r="A91" s="376"/>
      <c r="B91" s="767" t="s">
        <v>247</v>
      </c>
      <c r="C91" s="1252">
        <f>+C89*0.8</f>
        <v>60000</v>
      </c>
      <c r="D91" s="53" t="s">
        <v>96</v>
      </c>
      <c r="E91" s="1137">
        <f t="shared" ref="E91:AI91" si="96">+E90-E88</f>
        <v>-24000</v>
      </c>
      <c r="F91" s="1097">
        <f t="shared" si="96"/>
        <v>960</v>
      </c>
      <c r="G91" s="1205">
        <f t="shared" si="96"/>
        <v>960</v>
      </c>
      <c r="H91" s="1097">
        <f>+H90-H88</f>
        <v>3520</v>
      </c>
      <c r="I91" s="1097">
        <f t="shared" si="96"/>
        <v>960</v>
      </c>
      <c r="J91" s="1205">
        <f t="shared" si="96"/>
        <v>2880</v>
      </c>
      <c r="K91" s="1205">
        <f t="shared" si="96"/>
        <v>2880</v>
      </c>
      <c r="L91" s="1097">
        <f t="shared" si="96"/>
        <v>-1600</v>
      </c>
      <c r="M91" s="1097">
        <f t="shared" si="96"/>
        <v>960</v>
      </c>
      <c r="N91" s="1097">
        <f t="shared" si="96"/>
        <v>960</v>
      </c>
      <c r="O91" s="1097">
        <f t="shared" si="96"/>
        <v>2240</v>
      </c>
      <c r="P91" s="1097">
        <f t="shared" si="96"/>
        <v>2240</v>
      </c>
      <c r="Q91" s="1205">
        <f t="shared" ref="Q91" si="97">+Q90-Q88</f>
        <v>960</v>
      </c>
      <c r="R91" s="1205">
        <f t="shared" si="96"/>
        <v>960</v>
      </c>
      <c r="S91" s="1097">
        <f t="shared" si="96"/>
        <v>2240</v>
      </c>
      <c r="T91" s="1097">
        <f t="shared" si="96"/>
        <v>960</v>
      </c>
      <c r="U91" s="1097">
        <f t="shared" si="96"/>
        <v>2880</v>
      </c>
      <c r="V91" s="1097">
        <f t="shared" si="96"/>
        <v>960</v>
      </c>
      <c r="W91" s="1097">
        <f t="shared" si="96"/>
        <v>2880</v>
      </c>
      <c r="X91" s="1205">
        <f t="shared" si="96"/>
        <v>26880</v>
      </c>
      <c r="Y91" s="1205">
        <f t="shared" si="96"/>
        <v>24320</v>
      </c>
      <c r="Z91" s="1097">
        <f t="shared" si="96"/>
        <v>21120</v>
      </c>
      <c r="AA91" s="1097">
        <f t="shared" si="96"/>
        <v>20480</v>
      </c>
      <c r="AB91" s="1097">
        <f t="shared" si="96"/>
        <v>0</v>
      </c>
      <c r="AC91" s="1097">
        <f t="shared" si="96"/>
        <v>0</v>
      </c>
      <c r="AD91" s="1097">
        <f t="shared" si="96"/>
        <v>0</v>
      </c>
      <c r="AE91" s="1205">
        <f>+AE90-AE88</f>
        <v>0</v>
      </c>
      <c r="AF91" s="1205">
        <f>+AF90-AF88</f>
        <v>0</v>
      </c>
      <c r="AG91" s="1097">
        <f t="shared" si="96"/>
        <v>0</v>
      </c>
      <c r="AH91" s="1097">
        <f>+AH90-AH88</f>
        <v>0</v>
      </c>
      <c r="AI91" s="1097">
        <f t="shared" si="96"/>
        <v>0</v>
      </c>
      <c r="AJ91" s="381">
        <f>+AJ90-AJ88</f>
        <v>97600</v>
      </c>
      <c r="AK91" s="1024">
        <f t="shared" si="83"/>
        <v>4584</v>
      </c>
      <c r="AL91" s="425">
        <f>+AJ91*AN88</f>
        <v>360415.32800000004</v>
      </c>
      <c r="AM91" s="1041">
        <f t="shared" si="84"/>
        <v>16927.703520000003</v>
      </c>
      <c r="AN91" s="382" t="s">
        <v>97</v>
      </c>
      <c r="AO91" s="622"/>
      <c r="AP91" s="39" t="s">
        <v>98</v>
      </c>
      <c r="AQ91" s="56">
        <f>AQ90-AQ89</f>
        <v>-18560</v>
      </c>
      <c r="AR91" s="70">
        <f>AR90-AR89</f>
        <v>9280</v>
      </c>
      <c r="AS91" s="70">
        <f>AS90-AS89</f>
        <v>11200</v>
      </c>
      <c r="AT91" s="70">
        <f>AT90-AT89</f>
        <v>95680</v>
      </c>
      <c r="AU91" s="70">
        <f>AU90-AU89</f>
        <v>0</v>
      </c>
      <c r="AV91" s="57">
        <f t="shared" si="95"/>
        <v>97600</v>
      </c>
    </row>
    <row r="92" spans="1:48" ht="19.899999999999999" customHeight="1">
      <c r="A92" s="376"/>
      <c r="B92" s="769">
        <v>0.94299999999999995</v>
      </c>
      <c r="C92" s="431" t="s">
        <v>95</v>
      </c>
      <c r="D92" s="61" t="s">
        <v>101</v>
      </c>
      <c r="E92" s="1098">
        <f>120+280</f>
        <v>400</v>
      </c>
      <c r="F92" s="1098">
        <v>0</v>
      </c>
      <c r="G92" s="1195">
        <f>120+160</f>
        <v>280</v>
      </c>
      <c r="H92" s="1098">
        <v>80</v>
      </c>
      <c r="I92" s="1098">
        <v>200</v>
      </c>
      <c r="J92" s="1208">
        <v>0</v>
      </c>
      <c r="K92" s="1208">
        <v>80</v>
      </c>
      <c r="L92" s="1099">
        <f>120+380</f>
        <v>500</v>
      </c>
      <c r="M92" s="1099">
        <f>160+80</f>
        <v>240</v>
      </c>
      <c r="N92" s="1099">
        <v>320</v>
      </c>
      <c r="O92" s="1099">
        <v>0</v>
      </c>
      <c r="P92" s="1099">
        <v>160</v>
      </c>
      <c r="Q92" s="1208">
        <v>120</v>
      </c>
      <c r="R92" s="1208">
        <v>80</v>
      </c>
      <c r="S92" s="1099">
        <v>0</v>
      </c>
      <c r="T92" s="1099">
        <v>80</v>
      </c>
      <c r="U92" s="1099">
        <v>160</v>
      </c>
      <c r="V92" s="1099">
        <v>160</v>
      </c>
      <c r="W92" s="1099">
        <v>120</v>
      </c>
      <c r="X92" s="1208">
        <v>0</v>
      </c>
      <c r="Y92" s="1208">
        <v>520</v>
      </c>
      <c r="Z92" s="1099">
        <v>200</v>
      </c>
      <c r="AA92" s="1099">
        <v>240</v>
      </c>
      <c r="AB92" s="1099"/>
      <c r="AC92" s="1099"/>
      <c r="AD92" s="1099"/>
      <c r="AE92" s="1208"/>
      <c r="AF92" s="1208"/>
      <c r="AG92" s="1099"/>
      <c r="AH92" s="1099"/>
      <c r="AI92" s="1099"/>
      <c r="AJ92" s="384">
        <f>SUM(E92:AI92)</f>
        <v>3940</v>
      </c>
      <c r="AK92" s="1024">
        <f t="shared" si="83"/>
        <v>3808</v>
      </c>
      <c r="AL92" s="420">
        <f>+AJ92*AN88</f>
        <v>14549.553200000002</v>
      </c>
      <c r="AM92" s="1040">
        <f t="shared" si="84"/>
        <v>14062.106240000001</v>
      </c>
      <c r="AN92" s="404">
        <f>+AJ92/AJ90*100</f>
        <v>0.71170520231213874</v>
      </c>
      <c r="AO92" s="635">
        <f>AO90/AO88</f>
        <v>1.2410789473684209</v>
      </c>
      <c r="AP92" s="39" t="s">
        <v>102</v>
      </c>
      <c r="AQ92" s="56">
        <f>SUM(E92:H92)</f>
        <v>760</v>
      </c>
      <c r="AR92" s="70">
        <f>SUM(I92:O92)</f>
        <v>1340</v>
      </c>
      <c r="AS92" s="70">
        <f>SUM(P92:V92)</f>
        <v>760</v>
      </c>
      <c r="AT92" s="70">
        <f>SUM(W92:AC92)</f>
        <v>1080</v>
      </c>
      <c r="AU92" s="70">
        <f>SUM(AD92:AI92)</f>
        <v>0</v>
      </c>
      <c r="AV92" s="57">
        <f t="shared" si="95"/>
        <v>3940</v>
      </c>
    </row>
    <row r="93" spans="1:48" ht="19.899999999999999" customHeight="1">
      <c r="A93" s="376"/>
      <c r="B93" s="390"/>
      <c r="C93" s="60" t="s">
        <v>409</v>
      </c>
      <c r="D93" s="67" t="s">
        <v>103</v>
      </c>
      <c r="E93" s="1100">
        <v>0</v>
      </c>
      <c r="F93" s="1100">
        <v>192</v>
      </c>
      <c r="G93" s="1196">
        <v>192</v>
      </c>
      <c r="H93" s="1100">
        <v>192</v>
      </c>
      <c r="I93" s="1100">
        <v>296</v>
      </c>
      <c r="J93" s="1209">
        <v>192</v>
      </c>
      <c r="K93" s="1209">
        <v>192</v>
      </c>
      <c r="L93" s="1101">
        <v>192</v>
      </c>
      <c r="M93" s="1101">
        <v>192</v>
      </c>
      <c r="N93" s="1101">
        <v>256</v>
      </c>
      <c r="O93" s="1101">
        <v>256</v>
      </c>
      <c r="P93" s="1101">
        <v>256</v>
      </c>
      <c r="Q93" s="1209">
        <v>192</v>
      </c>
      <c r="R93" s="1209">
        <v>192</v>
      </c>
      <c r="S93" s="1101">
        <v>192</v>
      </c>
      <c r="T93" s="1101">
        <v>192</v>
      </c>
      <c r="U93" s="1101">
        <v>192</v>
      </c>
      <c r="V93" s="1101">
        <v>192</v>
      </c>
      <c r="W93" s="1101">
        <v>192</v>
      </c>
      <c r="X93" s="1209">
        <v>256</v>
      </c>
      <c r="Y93" s="1209">
        <v>192</v>
      </c>
      <c r="Z93" s="1101">
        <v>192</v>
      </c>
      <c r="AA93" s="1101">
        <v>192</v>
      </c>
      <c r="AB93" s="1101"/>
      <c r="AC93" s="1101"/>
      <c r="AD93" s="1101"/>
      <c r="AE93" s="1209"/>
      <c r="AF93" s="1209"/>
      <c r="AG93" s="1101"/>
      <c r="AH93" s="1101"/>
      <c r="AI93" s="1101"/>
      <c r="AJ93" s="386">
        <f>SUM(E93:AI93)</f>
        <v>4584</v>
      </c>
      <c r="AK93" s="1024">
        <f t="shared" si="83"/>
        <v>0</v>
      </c>
      <c r="AL93" s="426">
        <f>+AJ93*AN88</f>
        <v>16927.703520000003</v>
      </c>
      <c r="AM93" s="1040">
        <f t="shared" si="84"/>
        <v>0</v>
      </c>
      <c r="AN93" s="382"/>
      <c r="AO93" s="622"/>
      <c r="AP93" s="39" t="s">
        <v>19</v>
      </c>
      <c r="AQ93" s="56">
        <f>AQ92*AN88</f>
        <v>2806.5128000000004</v>
      </c>
      <c r="AR93" s="56">
        <f>AR92*AN88</f>
        <v>4948.3252000000002</v>
      </c>
      <c r="AS93" s="56">
        <f>AS92*AN88</f>
        <v>2806.5128000000004</v>
      </c>
      <c r="AT93" s="56">
        <f>AT92*AN88</f>
        <v>3988.2024000000006</v>
      </c>
      <c r="AU93" s="56">
        <f>AU92*AN88</f>
        <v>0</v>
      </c>
      <c r="AV93" s="57">
        <f t="shared" si="95"/>
        <v>14549.5532</v>
      </c>
    </row>
    <row r="94" spans="1:48" ht="19.899999999999999" customHeight="1">
      <c r="A94" s="376"/>
      <c r="B94" s="334" t="s">
        <v>30</v>
      </c>
      <c r="C94" s="387"/>
      <c r="D94" s="73" t="s">
        <v>105</v>
      </c>
      <c r="E94" s="1102">
        <v>0</v>
      </c>
      <c r="F94" s="1102">
        <v>160</v>
      </c>
      <c r="G94" s="1197">
        <v>192</v>
      </c>
      <c r="H94" s="1102">
        <v>192</v>
      </c>
      <c r="I94" s="1102">
        <v>176</v>
      </c>
      <c r="J94" s="1210">
        <v>192</v>
      </c>
      <c r="K94" s="1210">
        <v>192</v>
      </c>
      <c r="L94" s="1103">
        <v>160</v>
      </c>
      <c r="M94" s="1103">
        <v>176</v>
      </c>
      <c r="N94" s="1103">
        <v>192</v>
      </c>
      <c r="O94" s="1103">
        <v>192</v>
      </c>
      <c r="P94" s="1103">
        <v>192</v>
      </c>
      <c r="Q94" s="1210">
        <v>192</v>
      </c>
      <c r="R94" s="1210">
        <v>192</v>
      </c>
      <c r="S94" s="1103">
        <v>160</v>
      </c>
      <c r="T94" s="1103">
        <v>160</v>
      </c>
      <c r="U94" s="1103">
        <v>160</v>
      </c>
      <c r="V94" s="1103">
        <v>160</v>
      </c>
      <c r="W94" s="1103">
        <v>160</v>
      </c>
      <c r="X94" s="1210">
        <v>192</v>
      </c>
      <c r="Y94" s="1210">
        <v>192</v>
      </c>
      <c r="Z94" s="1103">
        <v>64</v>
      </c>
      <c r="AA94" s="1103">
        <v>160</v>
      </c>
      <c r="AB94" s="1103"/>
      <c r="AC94" s="1103"/>
      <c r="AD94" s="1103"/>
      <c r="AE94" s="1210"/>
      <c r="AF94" s="1210"/>
      <c r="AG94" s="1103"/>
      <c r="AH94" s="1103"/>
      <c r="AI94" s="1103"/>
      <c r="AJ94" s="388">
        <f>SUM(E94:AI94)</f>
        <v>3808</v>
      </c>
      <c r="AK94" s="1024">
        <f t="shared" si="83"/>
        <v>70741.5</v>
      </c>
      <c r="AL94" s="427">
        <f>+AJ94*AN88</f>
        <v>14062.106240000001</v>
      </c>
      <c r="AM94" s="1040">
        <f t="shared" si="84"/>
        <v>0</v>
      </c>
      <c r="AN94" s="382"/>
      <c r="AO94" s="622"/>
      <c r="AP94" s="47" t="s">
        <v>106</v>
      </c>
      <c r="AQ94" s="48">
        <f>AQ90*AN88</f>
        <v>285968.88320000004</v>
      </c>
      <c r="AR94" s="48">
        <f>AR90*AN88</f>
        <v>654656.03840000008</v>
      </c>
      <c r="AS94" s="48">
        <f>AS90*AN88</f>
        <v>661746.17600000009</v>
      </c>
      <c r="AT94" s="48">
        <f>AT90*AN88</f>
        <v>441951.91040000005</v>
      </c>
      <c r="AU94" s="48">
        <f>AU90*AN88</f>
        <v>0</v>
      </c>
      <c r="AV94" s="50">
        <f t="shared" si="95"/>
        <v>2044323.0080000004</v>
      </c>
    </row>
    <row r="95" spans="1:48" ht="19.899999999999999" customHeight="1">
      <c r="A95" s="376"/>
      <c r="B95" s="390"/>
      <c r="C95" s="387" t="s">
        <v>435</v>
      </c>
      <c r="D95" s="78" t="s">
        <v>107</v>
      </c>
      <c r="E95" s="1137">
        <v>8</v>
      </c>
      <c r="F95" s="1097">
        <v>8</v>
      </c>
      <c r="G95" s="1205">
        <v>8</v>
      </c>
      <c r="H95" s="1097">
        <v>8</v>
      </c>
      <c r="I95" s="1097">
        <v>8</v>
      </c>
      <c r="J95" s="1205">
        <v>8</v>
      </c>
      <c r="K95" s="1205">
        <v>8</v>
      </c>
      <c r="L95" s="1097">
        <v>8</v>
      </c>
      <c r="M95" s="1097">
        <v>8</v>
      </c>
      <c r="N95" s="1097">
        <v>8</v>
      </c>
      <c r="O95" s="1097">
        <v>8</v>
      </c>
      <c r="P95" s="1097">
        <v>8</v>
      </c>
      <c r="Q95" s="1205">
        <v>8</v>
      </c>
      <c r="R95" s="1205">
        <v>8</v>
      </c>
      <c r="S95" s="1097">
        <v>8</v>
      </c>
      <c r="T95" s="1097">
        <v>8</v>
      </c>
      <c r="U95" s="1097">
        <v>8</v>
      </c>
      <c r="V95" s="1097">
        <v>8</v>
      </c>
      <c r="W95" s="1097">
        <v>8</v>
      </c>
      <c r="X95" s="1205">
        <v>8</v>
      </c>
      <c r="Y95" s="1205">
        <v>8</v>
      </c>
      <c r="Z95" s="1097">
        <v>8</v>
      </c>
      <c r="AA95" s="1097">
        <v>8</v>
      </c>
      <c r="AB95" s="1097">
        <v>8</v>
      </c>
      <c r="AC95" s="1097">
        <v>8</v>
      </c>
      <c r="AD95" s="1097">
        <v>8</v>
      </c>
      <c r="AE95" s="1205">
        <v>8</v>
      </c>
      <c r="AF95" s="1205">
        <v>8</v>
      </c>
      <c r="AG95" s="1097">
        <v>8</v>
      </c>
      <c r="AH95" s="1097">
        <v>8</v>
      </c>
      <c r="AI95" s="1097">
        <v>8</v>
      </c>
      <c r="AJ95" s="381"/>
      <c r="AK95" s="1024">
        <f t="shared" si="83"/>
        <v>0</v>
      </c>
      <c r="AL95" s="420"/>
      <c r="AM95" s="1040">
        <f t="shared" si="84"/>
        <v>0</v>
      </c>
      <c r="AN95" s="382"/>
      <c r="AO95" s="622"/>
      <c r="AP95" s="391"/>
      <c r="AQ95" s="391"/>
      <c r="AR95" s="4"/>
      <c r="AS95" s="4"/>
      <c r="AT95" s="392"/>
      <c r="AU95" s="4"/>
      <c r="AV95" s="4"/>
    </row>
    <row r="96" spans="1:48" ht="19.899999999999999" customHeight="1">
      <c r="A96" s="389"/>
      <c r="B96" s="390"/>
      <c r="C96" s="379">
        <v>75000</v>
      </c>
      <c r="D96" s="81" t="s">
        <v>109</v>
      </c>
      <c r="E96" s="1105">
        <f>SUM(E90+E92+E93+E94)/E95</f>
        <v>50</v>
      </c>
      <c r="F96" s="1105">
        <f t="shared" ref="F96:AI96" si="98">SUM(F90+F92+F93+F94)/F95</f>
        <v>3164</v>
      </c>
      <c r="G96" s="1198">
        <f t="shared" si="98"/>
        <v>3203</v>
      </c>
      <c r="H96" s="1105">
        <f t="shared" si="98"/>
        <v>3498</v>
      </c>
      <c r="I96" s="1105">
        <f t="shared" si="98"/>
        <v>3204</v>
      </c>
      <c r="J96" s="1198">
        <f t="shared" si="98"/>
        <v>3408</v>
      </c>
      <c r="K96" s="1198">
        <f t="shared" si="98"/>
        <v>3418</v>
      </c>
      <c r="L96" s="1105">
        <f t="shared" si="98"/>
        <v>2906.5</v>
      </c>
      <c r="M96" s="1105">
        <f t="shared" si="98"/>
        <v>3196</v>
      </c>
      <c r="N96" s="1105">
        <f t="shared" si="98"/>
        <v>3216</v>
      </c>
      <c r="O96" s="1105">
        <f t="shared" si="98"/>
        <v>3336</v>
      </c>
      <c r="P96" s="1105">
        <f t="shared" si="98"/>
        <v>3356</v>
      </c>
      <c r="Q96" s="1198">
        <f t="shared" si="98"/>
        <v>3183</v>
      </c>
      <c r="R96" s="1198">
        <f t="shared" si="98"/>
        <v>3178</v>
      </c>
      <c r="S96" s="1105">
        <f t="shared" si="98"/>
        <v>3324</v>
      </c>
      <c r="T96" s="1105">
        <f>SUM(T90+T92+T93+T94)/T95</f>
        <v>3174</v>
      </c>
      <c r="U96" s="1105">
        <f t="shared" si="98"/>
        <v>3424</v>
      </c>
      <c r="V96" s="1105">
        <f t="shared" si="98"/>
        <v>3184</v>
      </c>
      <c r="W96" s="1105">
        <f t="shared" si="98"/>
        <v>3419</v>
      </c>
      <c r="X96" s="1198">
        <f t="shared" si="98"/>
        <v>3416</v>
      </c>
      <c r="Y96" s="1198">
        <f t="shared" si="98"/>
        <v>3153</v>
      </c>
      <c r="Z96" s="1105">
        <f t="shared" si="98"/>
        <v>2697</v>
      </c>
      <c r="AA96" s="1105">
        <f t="shared" si="98"/>
        <v>2634</v>
      </c>
      <c r="AB96" s="1105">
        <f t="shared" si="98"/>
        <v>0</v>
      </c>
      <c r="AC96" s="1105">
        <f t="shared" si="98"/>
        <v>0</v>
      </c>
      <c r="AD96" s="1105">
        <f t="shared" si="98"/>
        <v>0</v>
      </c>
      <c r="AE96" s="1198">
        <f t="shared" si="98"/>
        <v>0</v>
      </c>
      <c r="AF96" s="1198">
        <f t="shared" si="98"/>
        <v>0</v>
      </c>
      <c r="AG96" s="1105">
        <f>SUM(AG90+AG92+AG93+AG94)/AG95</f>
        <v>0</v>
      </c>
      <c r="AH96" s="1105">
        <f t="shared" si="98"/>
        <v>0</v>
      </c>
      <c r="AI96" s="1105">
        <f t="shared" si="98"/>
        <v>0</v>
      </c>
      <c r="AJ96" s="410">
        <f>SUM(E96:AI96)</f>
        <v>70741.5</v>
      </c>
      <c r="AK96" s="1028">
        <f t="shared" si="83"/>
        <v>0</v>
      </c>
      <c r="AL96" s="420"/>
      <c r="AM96" s="1040">
        <f t="shared" si="84"/>
        <v>0</v>
      </c>
      <c r="AN96" s="382"/>
      <c r="AO96" s="622"/>
      <c r="AP96" s="391"/>
      <c r="AQ96" s="391"/>
      <c r="AR96" s="4"/>
      <c r="AS96" s="4"/>
      <c r="AT96" s="392"/>
      <c r="AU96" s="4"/>
      <c r="AV96" s="4"/>
    </row>
    <row r="97" spans="1:48" ht="19.899999999999999" customHeight="1">
      <c r="A97" s="376"/>
      <c r="B97" s="390"/>
      <c r="C97" s="89" t="s">
        <v>108</v>
      </c>
      <c r="D97" s="85" t="s">
        <v>110</v>
      </c>
      <c r="E97" s="1366"/>
      <c r="F97" s="1172"/>
      <c r="G97" s="1263"/>
      <c r="H97" s="1172"/>
      <c r="I97" s="1172"/>
      <c r="J97" s="1281"/>
      <c r="K97" s="1263"/>
      <c r="L97" s="1172"/>
      <c r="M97" s="1174"/>
      <c r="N97" s="1174"/>
      <c r="O97" s="1173"/>
      <c r="P97" s="1173"/>
      <c r="Q97" s="1281"/>
      <c r="R97" s="1281"/>
      <c r="S97" s="1173"/>
      <c r="T97" s="1107"/>
      <c r="U97" s="1173"/>
      <c r="V97" s="1173"/>
      <c r="W97" s="1173"/>
      <c r="X97" s="1281"/>
      <c r="Y97" s="1281"/>
      <c r="Z97" s="1155"/>
      <c r="AA97" s="1173"/>
      <c r="AB97" s="1173"/>
      <c r="AC97" s="1173"/>
      <c r="AD97" s="1173"/>
      <c r="AE97" s="1281"/>
      <c r="AF97" s="1281"/>
      <c r="AG97" s="1173"/>
      <c r="AH97" s="1173"/>
      <c r="AI97" s="1173"/>
      <c r="AJ97" s="394"/>
      <c r="AK97" s="1025">
        <f t="shared" si="83"/>
        <v>0</v>
      </c>
      <c r="AL97" s="420"/>
      <c r="AM97" s="1040">
        <f t="shared" si="84"/>
        <v>0</v>
      </c>
      <c r="AN97" s="382"/>
      <c r="AO97" s="622"/>
      <c r="AP97" s="391"/>
      <c r="AQ97" s="391"/>
      <c r="AR97" s="4"/>
      <c r="AS97" s="4"/>
      <c r="AT97" s="392"/>
      <c r="AU97" s="4"/>
      <c r="AV97" s="4"/>
    </row>
    <row r="98" spans="1:48" ht="19.5" customHeight="1">
      <c r="A98" s="376"/>
      <c r="B98" s="390"/>
      <c r="C98" s="383">
        <f>+C96*0.8</f>
        <v>60000</v>
      </c>
      <c r="D98" s="88" t="s">
        <v>111</v>
      </c>
      <c r="E98" s="1156">
        <f>IF(E97="O/H",E96,4682+E96)</f>
        <v>4732</v>
      </c>
      <c r="F98" s="1157">
        <f>IF(F97="O/H",F96,+E98+F96)</f>
        <v>7896</v>
      </c>
      <c r="G98" s="1264">
        <f t="shared" ref="G98:AI98" si="99">IF(G97="O/H",G96,+F98+G96)</f>
        <v>11099</v>
      </c>
      <c r="H98" s="1157">
        <f t="shared" si="99"/>
        <v>14597</v>
      </c>
      <c r="I98" s="1157">
        <f t="shared" si="99"/>
        <v>17801</v>
      </c>
      <c r="J98" s="1264">
        <f t="shared" si="99"/>
        <v>21209</v>
      </c>
      <c r="K98" s="1264">
        <f t="shared" si="99"/>
        <v>24627</v>
      </c>
      <c r="L98" s="1157">
        <f t="shared" si="99"/>
        <v>27533.5</v>
      </c>
      <c r="M98" s="1157">
        <f t="shared" si="99"/>
        <v>30729.5</v>
      </c>
      <c r="N98" s="1157">
        <f t="shared" si="99"/>
        <v>33945.5</v>
      </c>
      <c r="O98" s="1157">
        <f t="shared" si="99"/>
        <v>37281.5</v>
      </c>
      <c r="P98" s="1157">
        <f t="shared" si="99"/>
        <v>40637.5</v>
      </c>
      <c r="Q98" s="1264">
        <f t="shared" si="99"/>
        <v>43820.5</v>
      </c>
      <c r="R98" s="1264">
        <f t="shared" si="99"/>
        <v>46998.5</v>
      </c>
      <c r="S98" s="1157">
        <f t="shared" si="99"/>
        <v>50322.5</v>
      </c>
      <c r="T98" s="1157">
        <f t="shared" si="99"/>
        <v>53496.5</v>
      </c>
      <c r="U98" s="1157">
        <f t="shared" si="99"/>
        <v>56920.5</v>
      </c>
      <c r="V98" s="1157">
        <f t="shared" si="99"/>
        <v>60104.5</v>
      </c>
      <c r="W98" s="1157">
        <f t="shared" si="99"/>
        <v>63523.5</v>
      </c>
      <c r="X98" s="1264">
        <f t="shared" si="99"/>
        <v>66939.5</v>
      </c>
      <c r="Y98" s="1264">
        <f t="shared" si="99"/>
        <v>70092.5</v>
      </c>
      <c r="Z98" s="1157">
        <f t="shared" si="99"/>
        <v>72789.5</v>
      </c>
      <c r="AA98" s="1157">
        <f t="shared" si="99"/>
        <v>75423.5</v>
      </c>
      <c r="AB98" s="1157">
        <f t="shared" si="99"/>
        <v>75423.5</v>
      </c>
      <c r="AC98" s="1157">
        <f t="shared" si="99"/>
        <v>75423.5</v>
      </c>
      <c r="AD98" s="1157">
        <f t="shared" si="99"/>
        <v>75423.5</v>
      </c>
      <c r="AE98" s="1264">
        <f t="shared" si="99"/>
        <v>75423.5</v>
      </c>
      <c r="AF98" s="1264">
        <f t="shared" si="99"/>
        <v>75423.5</v>
      </c>
      <c r="AG98" s="1157">
        <f t="shared" si="99"/>
        <v>75423.5</v>
      </c>
      <c r="AH98" s="1157">
        <f t="shared" si="99"/>
        <v>75423.5</v>
      </c>
      <c r="AI98" s="1157">
        <f t="shared" si="99"/>
        <v>75423.5</v>
      </c>
      <c r="AJ98" s="394"/>
      <c r="AK98" s="1025">
        <f t="shared" si="83"/>
        <v>0</v>
      </c>
      <c r="AL98" s="420"/>
      <c r="AM98" s="1040">
        <f t="shared" si="84"/>
        <v>0</v>
      </c>
      <c r="AN98" s="382"/>
      <c r="AO98" s="622"/>
      <c r="AP98" s="391"/>
      <c r="AQ98" s="391"/>
      <c r="AR98" s="4"/>
      <c r="AS98" s="4"/>
      <c r="AT98" s="392"/>
      <c r="AU98" s="4"/>
      <c r="AV98" s="4"/>
    </row>
    <row r="99" spans="1:48" ht="19.899999999999999" customHeight="1">
      <c r="A99" s="376"/>
      <c r="B99" s="59"/>
      <c r="C99" s="387"/>
      <c r="D99" s="395" t="s">
        <v>435</v>
      </c>
      <c r="E99" s="1365"/>
      <c r="F99" s="1107"/>
      <c r="G99" s="1228"/>
      <c r="H99" s="1176"/>
      <c r="I99" s="1107"/>
      <c r="J99" s="1228"/>
      <c r="K99" s="1273"/>
      <c r="L99" s="1107"/>
      <c r="M99" s="1107"/>
      <c r="N99" s="1177"/>
      <c r="O99" s="1107"/>
      <c r="P99" s="1177"/>
      <c r="Q99" s="1228"/>
      <c r="R99" s="1228"/>
      <c r="S99" s="1107"/>
      <c r="T99" s="1107"/>
      <c r="U99" s="1107"/>
      <c r="V99" s="1107"/>
      <c r="W99" s="1107"/>
      <c r="X99" s="1228"/>
      <c r="Y99" s="1228"/>
      <c r="Z99" s="1155"/>
      <c r="AA99" s="1107"/>
      <c r="AB99" s="1107"/>
      <c r="AC99" s="1107"/>
      <c r="AD99" s="1107"/>
      <c r="AE99" s="1228"/>
      <c r="AF99" s="1228"/>
      <c r="AG99" s="1107"/>
      <c r="AH99" s="1107"/>
      <c r="AI99" s="1107"/>
      <c r="AJ99" s="396"/>
      <c r="AK99" s="1024">
        <f t="shared" si="83"/>
        <v>0</v>
      </c>
      <c r="AL99" s="420"/>
      <c r="AM99" s="1040">
        <f t="shared" si="84"/>
        <v>0</v>
      </c>
      <c r="AN99" s="382"/>
      <c r="AO99" s="622"/>
      <c r="AP99" s="391"/>
      <c r="AQ99" s="391"/>
    </row>
    <row r="100" spans="1:48" ht="19.899999999999999" customHeight="1">
      <c r="A100" s="376"/>
      <c r="B100" s="59"/>
      <c r="C100" s="387" t="s">
        <v>104</v>
      </c>
      <c r="D100" s="88" t="s">
        <v>111</v>
      </c>
      <c r="E100" s="1108">
        <f>IF(E99="O/H",E96,4682+E96)</f>
        <v>4732</v>
      </c>
      <c r="F100" s="1157">
        <f>IF(F99="O/H",F96,+E100+F96)</f>
        <v>7896</v>
      </c>
      <c r="G100" s="1264">
        <f t="shared" ref="G100:AI100" si="100">IF(G99="O/H",G96,+F100+G96)</f>
        <v>11099</v>
      </c>
      <c r="H100" s="1157">
        <f t="shared" si="100"/>
        <v>14597</v>
      </c>
      <c r="I100" s="1157">
        <f t="shared" si="100"/>
        <v>17801</v>
      </c>
      <c r="J100" s="1264">
        <f t="shared" si="100"/>
        <v>21209</v>
      </c>
      <c r="K100" s="1264">
        <f t="shared" si="100"/>
        <v>24627</v>
      </c>
      <c r="L100" s="1157">
        <f t="shared" si="100"/>
        <v>27533.5</v>
      </c>
      <c r="M100" s="1157">
        <f t="shared" si="100"/>
        <v>30729.5</v>
      </c>
      <c r="N100" s="1157">
        <f t="shared" si="100"/>
        <v>33945.5</v>
      </c>
      <c r="O100" s="1157">
        <f t="shared" si="100"/>
        <v>37281.5</v>
      </c>
      <c r="P100" s="1157">
        <f t="shared" si="100"/>
        <v>40637.5</v>
      </c>
      <c r="Q100" s="1264">
        <f t="shared" si="100"/>
        <v>43820.5</v>
      </c>
      <c r="R100" s="1264">
        <f t="shared" si="100"/>
        <v>46998.5</v>
      </c>
      <c r="S100" s="1157">
        <f t="shared" si="100"/>
        <v>50322.5</v>
      </c>
      <c r="T100" s="1157">
        <f t="shared" si="100"/>
        <v>53496.5</v>
      </c>
      <c r="U100" s="1157">
        <f t="shared" si="100"/>
        <v>56920.5</v>
      </c>
      <c r="V100" s="1157">
        <f t="shared" si="100"/>
        <v>60104.5</v>
      </c>
      <c r="W100" s="1157">
        <f t="shared" si="100"/>
        <v>63523.5</v>
      </c>
      <c r="X100" s="1264">
        <f t="shared" si="100"/>
        <v>66939.5</v>
      </c>
      <c r="Y100" s="1264">
        <f t="shared" si="100"/>
        <v>70092.5</v>
      </c>
      <c r="Z100" s="1157">
        <f t="shared" si="100"/>
        <v>72789.5</v>
      </c>
      <c r="AA100" s="1157">
        <f t="shared" si="100"/>
        <v>75423.5</v>
      </c>
      <c r="AB100" s="1157">
        <f t="shared" si="100"/>
        <v>75423.5</v>
      </c>
      <c r="AC100" s="1157">
        <f t="shared" si="100"/>
        <v>75423.5</v>
      </c>
      <c r="AD100" s="1157">
        <f t="shared" si="100"/>
        <v>75423.5</v>
      </c>
      <c r="AE100" s="1264">
        <f t="shared" si="100"/>
        <v>75423.5</v>
      </c>
      <c r="AF100" s="1264">
        <f t="shared" si="100"/>
        <v>75423.5</v>
      </c>
      <c r="AG100" s="1157">
        <f t="shared" si="100"/>
        <v>75423.5</v>
      </c>
      <c r="AH100" s="1157">
        <f t="shared" si="100"/>
        <v>75423.5</v>
      </c>
      <c r="AI100" s="1157">
        <f t="shared" si="100"/>
        <v>75423.5</v>
      </c>
      <c r="AJ100" s="396"/>
      <c r="AK100" s="1024">
        <f t="shared" si="83"/>
        <v>0</v>
      </c>
      <c r="AL100" s="420"/>
      <c r="AM100" s="1040">
        <f t="shared" si="84"/>
        <v>0</v>
      </c>
      <c r="AN100" s="382"/>
      <c r="AO100" s="622"/>
      <c r="AP100" s="391"/>
      <c r="AQ100" s="391"/>
    </row>
    <row r="101" spans="1:48" s="23" customFormat="1" ht="20.45" customHeight="1">
      <c r="A101" s="312"/>
      <c r="B101" s="312"/>
      <c r="C101" s="379">
        <v>150000</v>
      </c>
      <c r="D101" s="795" t="s">
        <v>112</v>
      </c>
      <c r="E101" s="1117">
        <f>IF(AND(ISNUMBER(E90)),1757918+E96)</f>
        <v>1757968</v>
      </c>
      <c r="F101" s="1118">
        <f>IF(AND(ISNUMBER(F90)),E101+F96,"")</f>
        <v>1761132</v>
      </c>
      <c r="G101" s="1216">
        <f>IF(AND(ISNUMBER(G90)),F101+G96,"")</f>
        <v>1764335</v>
      </c>
      <c r="H101" s="1118">
        <f t="shared" ref="H101:AI101" si="101">IF(AND(ISNUMBER(H90)),G101+H96,"")</f>
        <v>1767833</v>
      </c>
      <c r="I101" s="1118">
        <f t="shared" si="101"/>
        <v>1771037</v>
      </c>
      <c r="J101" s="1216">
        <f t="shared" si="101"/>
        <v>1774445</v>
      </c>
      <c r="K101" s="1216">
        <f t="shared" si="101"/>
        <v>1777863</v>
      </c>
      <c r="L101" s="1118">
        <f t="shared" si="101"/>
        <v>1780769.5</v>
      </c>
      <c r="M101" s="1118">
        <f t="shared" si="101"/>
        <v>1783965.5</v>
      </c>
      <c r="N101" s="1118">
        <f t="shared" si="101"/>
        <v>1787181.5</v>
      </c>
      <c r="O101" s="1118">
        <f t="shared" si="101"/>
        <v>1790517.5</v>
      </c>
      <c r="P101" s="1118">
        <f t="shared" si="101"/>
        <v>1793873.5</v>
      </c>
      <c r="Q101" s="1216">
        <f t="shared" si="101"/>
        <v>1797056.5</v>
      </c>
      <c r="R101" s="1216">
        <f t="shared" si="101"/>
        <v>1800234.5</v>
      </c>
      <c r="S101" s="1118">
        <f t="shared" si="101"/>
        <v>1803558.5</v>
      </c>
      <c r="T101" s="1118">
        <f t="shared" si="101"/>
        <v>1806732.5</v>
      </c>
      <c r="U101" s="1118">
        <f t="shared" si="101"/>
        <v>1810156.5</v>
      </c>
      <c r="V101" s="1118">
        <f t="shared" si="101"/>
        <v>1813340.5</v>
      </c>
      <c r="W101" s="1118">
        <f t="shared" si="101"/>
        <v>1816759.5</v>
      </c>
      <c r="X101" s="1216">
        <f t="shared" si="101"/>
        <v>1820175.5</v>
      </c>
      <c r="Y101" s="1216">
        <f t="shared" si="101"/>
        <v>1823328.5</v>
      </c>
      <c r="Z101" s="1118">
        <f t="shared" si="101"/>
        <v>1826025.5</v>
      </c>
      <c r="AA101" s="1118">
        <f t="shared" si="101"/>
        <v>1828659.5</v>
      </c>
      <c r="AB101" s="1118" t="str">
        <f t="shared" si="101"/>
        <v/>
      </c>
      <c r="AC101" s="1118" t="str">
        <f t="shared" si="101"/>
        <v/>
      </c>
      <c r="AD101" s="1118" t="str">
        <f t="shared" si="101"/>
        <v/>
      </c>
      <c r="AE101" s="1216" t="str">
        <f t="shared" si="101"/>
        <v/>
      </c>
      <c r="AF101" s="1216" t="str">
        <f t="shared" si="101"/>
        <v/>
      </c>
      <c r="AG101" s="1118" t="str">
        <f t="shared" si="101"/>
        <v/>
      </c>
      <c r="AH101" s="1118" t="str">
        <f t="shared" si="101"/>
        <v/>
      </c>
      <c r="AI101" s="1089" t="str">
        <f t="shared" si="101"/>
        <v/>
      </c>
      <c r="AJ101" s="793"/>
      <c r="AK101" s="1026">
        <f t="shared" si="83"/>
        <v>0</v>
      </c>
      <c r="AL101" s="897"/>
      <c r="AM101" s="1042">
        <f t="shared" si="84"/>
        <v>0</v>
      </c>
      <c r="AN101" s="468"/>
      <c r="AO101" s="675"/>
      <c r="AP101" s="285"/>
      <c r="AQ101" s="285"/>
      <c r="AR101" s="285"/>
      <c r="AS101" s="285"/>
      <c r="AT101" s="286"/>
      <c r="AU101" s="285"/>
      <c r="AV101" s="287"/>
    </row>
    <row r="102" spans="1:48" ht="19.899999999999999" customHeight="1">
      <c r="A102" s="376"/>
      <c r="B102" s="393" t="s">
        <v>449</v>
      </c>
      <c r="C102" s="89" t="s">
        <v>108</v>
      </c>
      <c r="D102" s="90" t="s">
        <v>104</v>
      </c>
      <c r="E102" s="1365"/>
      <c r="F102" s="1107"/>
      <c r="G102" s="1228"/>
      <c r="H102" s="1176"/>
      <c r="I102" s="1107"/>
      <c r="J102" s="1228"/>
      <c r="K102" s="1273"/>
      <c r="L102" s="1107"/>
      <c r="M102" s="1107"/>
      <c r="N102" s="1177"/>
      <c r="O102" s="1107"/>
      <c r="P102" s="1177"/>
      <c r="Q102" s="1228"/>
      <c r="R102" s="1228"/>
      <c r="S102" s="1107"/>
      <c r="T102" s="1107"/>
      <c r="U102" s="1107"/>
      <c r="V102" s="1107"/>
      <c r="W102" s="1107"/>
      <c r="X102" s="1228"/>
      <c r="Y102" s="1228"/>
      <c r="Z102" s="1155"/>
      <c r="AA102" s="1107"/>
      <c r="AB102" s="1107"/>
      <c r="AC102" s="1107"/>
      <c r="AD102" s="1107"/>
      <c r="AE102" s="1228"/>
      <c r="AF102" s="1228"/>
      <c r="AG102" s="1107"/>
      <c r="AH102" s="1107"/>
      <c r="AI102" s="1104"/>
      <c r="AJ102" s="396"/>
      <c r="AK102" s="1024">
        <f t="shared" si="83"/>
        <v>0</v>
      </c>
      <c r="AL102" s="420"/>
      <c r="AM102" s="1040">
        <f t="shared" si="84"/>
        <v>0</v>
      </c>
      <c r="AN102" s="382"/>
      <c r="AO102" s="622"/>
      <c r="AP102" s="391"/>
      <c r="AQ102" s="391"/>
    </row>
    <row r="103" spans="1:48" ht="19.899999999999999" customHeight="1" thickBot="1">
      <c r="A103" s="397"/>
      <c r="B103" s="398"/>
      <c r="C103" s="407">
        <f>+C101*0.8</f>
        <v>120000</v>
      </c>
      <c r="D103" s="95" t="s">
        <v>111</v>
      </c>
      <c r="E103" s="1109">
        <f>IF(E102="O/H",E96,0+E96)</f>
        <v>50</v>
      </c>
      <c r="F103" s="1110">
        <f>IF(F102="O/H",F96,+E103+F96)</f>
        <v>3214</v>
      </c>
      <c r="G103" s="1212">
        <f t="shared" ref="G103:AF103" si="102">IF(G102="O/H",G96,+F103+G96)</f>
        <v>6417</v>
      </c>
      <c r="H103" s="1110">
        <f t="shared" si="102"/>
        <v>9915</v>
      </c>
      <c r="I103" s="1110">
        <f t="shared" si="102"/>
        <v>13119</v>
      </c>
      <c r="J103" s="1212">
        <f t="shared" si="102"/>
        <v>16527</v>
      </c>
      <c r="K103" s="1212">
        <f t="shared" si="102"/>
        <v>19945</v>
      </c>
      <c r="L103" s="1110">
        <f t="shared" si="102"/>
        <v>22851.5</v>
      </c>
      <c r="M103" s="1110">
        <f t="shared" si="102"/>
        <v>26047.5</v>
      </c>
      <c r="N103" s="1110">
        <f t="shared" si="102"/>
        <v>29263.5</v>
      </c>
      <c r="O103" s="1110">
        <f t="shared" si="102"/>
        <v>32599.5</v>
      </c>
      <c r="P103" s="1110">
        <f t="shared" si="102"/>
        <v>35955.5</v>
      </c>
      <c r="Q103" s="1212">
        <f t="shared" si="102"/>
        <v>39138.5</v>
      </c>
      <c r="R103" s="1212">
        <f t="shared" si="102"/>
        <v>42316.5</v>
      </c>
      <c r="S103" s="1110">
        <f t="shared" si="102"/>
        <v>45640.5</v>
      </c>
      <c r="T103" s="1110">
        <f t="shared" si="102"/>
        <v>48814.5</v>
      </c>
      <c r="U103" s="1110">
        <f t="shared" si="102"/>
        <v>52238.5</v>
      </c>
      <c r="V103" s="1110">
        <f t="shared" si="102"/>
        <v>55422.5</v>
      </c>
      <c r="W103" s="1110">
        <f t="shared" si="102"/>
        <v>58841.5</v>
      </c>
      <c r="X103" s="1212">
        <f t="shared" si="102"/>
        <v>62257.5</v>
      </c>
      <c r="Y103" s="1212">
        <f t="shared" si="102"/>
        <v>65410.5</v>
      </c>
      <c r="Z103" s="1110">
        <f t="shared" si="102"/>
        <v>68107.5</v>
      </c>
      <c r="AA103" s="1110">
        <f t="shared" si="102"/>
        <v>70741.5</v>
      </c>
      <c r="AB103" s="1110">
        <f t="shared" si="102"/>
        <v>70741.5</v>
      </c>
      <c r="AC103" s="1110">
        <f t="shared" si="102"/>
        <v>70741.5</v>
      </c>
      <c r="AD103" s="1110">
        <f t="shared" si="102"/>
        <v>70741.5</v>
      </c>
      <c r="AE103" s="1212">
        <f t="shared" si="102"/>
        <v>70741.5</v>
      </c>
      <c r="AF103" s="1212">
        <f t="shared" si="102"/>
        <v>70741.5</v>
      </c>
      <c r="AG103" s="1110">
        <f t="shared" ref="AG103" si="103">IF(AG102="O/H",AG96,+AF103+AG96)</f>
        <v>70741.5</v>
      </c>
      <c r="AH103" s="1110">
        <f t="shared" ref="AH103" si="104">IF(AH102="O/H",AH96,+AG103+AH96)</f>
        <v>70741.5</v>
      </c>
      <c r="AI103" s="1110">
        <f t="shared" ref="AI103" si="105">IF(AI102="O/H",AI96,+AH103+AI96)</f>
        <v>70741.5</v>
      </c>
      <c r="AJ103" s="399"/>
      <c r="AK103" s="1027">
        <f t="shared" si="83"/>
        <v>0</v>
      </c>
      <c r="AL103" s="421"/>
      <c r="AM103" s="1043">
        <f t="shared" si="84"/>
        <v>0</v>
      </c>
      <c r="AN103" s="894"/>
      <c r="AO103" s="625"/>
      <c r="AP103" s="391"/>
      <c r="AQ103" s="391"/>
    </row>
    <row r="104" spans="1:48" ht="17.25" hidden="1" customHeight="1" thickTop="1">
      <c r="A104" s="262" t="s">
        <v>654</v>
      </c>
      <c r="B104" s="411" t="s">
        <v>655</v>
      </c>
      <c r="C104" s="518" t="str">
        <f>Table37[[#This Row],[M/C No.]]</f>
        <v>R6(18ton)</v>
      </c>
      <c r="D104" s="28" t="s">
        <v>82</v>
      </c>
      <c r="E104" s="1139"/>
      <c r="F104" s="1139"/>
      <c r="G104" s="1231"/>
      <c r="H104" s="1139"/>
      <c r="I104" s="1139"/>
      <c r="J104" s="1231"/>
      <c r="K104" s="1231"/>
      <c r="L104" s="1139"/>
      <c r="M104" s="1139"/>
      <c r="N104" s="1139"/>
      <c r="O104" s="1139"/>
      <c r="P104" s="1139"/>
      <c r="Q104" s="1231"/>
      <c r="R104" s="1231"/>
      <c r="S104" s="1139"/>
      <c r="T104" s="1139"/>
      <c r="U104" s="1139"/>
      <c r="V104" s="1139"/>
      <c r="W104" s="1139"/>
      <c r="X104" s="1231"/>
      <c r="Y104" s="1231"/>
      <c r="Z104" s="1139"/>
      <c r="AA104" s="1139"/>
      <c r="AB104" s="1139"/>
      <c r="AC104" s="1139"/>
      <c r="AD104" s="1139"/>
      <c r="AE104" s="1231"/>
      <c r="AF104" s="1231"/>
      <c r="AG104" s="1139"/>
      <c r="AH104" s="1139"/>
      <c r="AI104" s="1139"/>
      <c r="AJ104" s="375">
        <f>SUM(E104:AI104)</f>
        <v>0</v>
      </c>
      <c r="AK104" s="1047">
        <f t="shared" si="83"/>
        <v>0</v>
      </c>
      <c r="AL104" s="423">
        <f>+AJ104*AN104</f>
        <v>0</v>
      </c>
      <c r="AM104" s="1046">
        <f t="shared" si="84"/>
        <v>0</v>
      </c>
      <c r="AN104" s="382">
        <v>0</v>
      </c>
      <c r="AO104" s="622">
        <f>Table37[[#This Row],[Total]]*B108/1000</f>
        <v>0</v>
      </c>
      <c r="AP104" s="32" t="s">
        <v>450</v>
      </c>
      <c r="AQ104" s="33" t="s">
        <v>84</v>
      </c>
      <c r="AR104" s="33" t="s">
        <v>85</v>
      </c>
      <c r="AS104" s="33" t="s">
        <v>86</v>
      </c>
      <c r="AT104" s="33" t="s">
        <v>87</v>
      </c>
      <c r="AU104" s="33" t="s">
        <v>88</v>
      </c>
      <c r="AV104" s="34" t="s">
        <v>68</v>
      </c>
    </row>
    <row r="105" spans="1:48" ht="19.899999999999999" hidden="1" customHeight="1">
      <c r="A105" s="412"/>
      <c r="B105" s="393"/>
      <c r="C105" s="409" t="s">
        <v>95</v>
      </c>
      <c r="D105" s="37" t="s">
        <v>90</v>
      </c>
      <c r="E105" s="1323">
        <f>IF(E104="",0, E104/E111)</f>
        <v>0</v>
      </c>
      <c r="F105" s="1096">
        <f t="shared" ref="F105:AI105" si="106">IF(F104="",0, E105+F104/F111)</f>
        <v>0</v>
      </c>
      <c r="G105" s="1207">
        <f t="shared" si="106"/>
        <v>0</v>
      </c>
      <c r="H105" s="1096">
        <f t="shared" si="106"/>
        <v>0</v>
      </c>
      <c r="I105" s="1096">
        <f t="shared" si="106"/>
        <v>0</v>
      </c>
      <c r="J105" s="1207">
        <f t="shared" si="106"/>
        <v>0</v>
      </c>
      <c r="K105" s="1207">
        <f t="shared" si="106"/>
        <v>0</v>
      </c>
      <c r="L105" s="1096">
        <f t="shared" si="106"/>
        <v>0</v>
      </c>
      <c r="M105" s="1096">
        <f t="shared" si="106"/>
        <v>0</v>
      </c>
      <c r="N105" s="1096">
        <f t="shared" si="106"/>
        <v>0</v>
      </c>
      <c r="O105" s="1096">
        <f t="shared" si="106"/>
        <v>0</v>
      </c>
      <c r="P105" s="1096">
        <f t="shared" si="106"/>
        <v>0</v>
      </c>
      <c r="Q105" s="1207">
        <f t="shared" si="106"/>
        <v>0</v>
      </c>
      <c r="R105" s="1207">
        <f t="shared" si="106"/>
        <v>0</v>
      </c>
      <c r="S105" s="1096">
        <f t="shared" si="106"/>
        <v>0</v>
      </c>
      <c r="T105" s="1096">
        <f t="shared" si="106"/>
        <v>0</v>
      </c>
      <c r="U105" s="1096">
        <f t="shared" si="106"/>
        <v>0</v>
      </c>
      <c r="V105" s="1096">
        <f t="shared" si="106"/>
        <v>0</v>
      </c>
      <c r="W105" s="1096">
        <f t="shared" si="106"/>
        <v>0</v>
      </c>
      <c r="X105" s="1207">
        <f t="shared" si="106"/>
        <v>0</v>
      </c>
      <c r="Y105" s="1207">
        <f t="shared" si="106"/>
        <v>0</v>
      </c>
      <c r="Z105" s="1096">
        <f t="shared" si="106"/>
        <v>0</v>
      </c>
      <c r="AA105" s="1096">
        <f t="shared" si="106"/>
        <v>0</v>
      </c>
      <c r="AB105" s="1096">
        <f t="shared" si="106"/>
        <v>0</v>
      </c>
      <c r="AC105" s="1096">
        <f>IF(AC104="",0, Y105+AC104/AC111)</f>
        <v>0</v>
      </c>
      <c r="AD105" s="1096">
        <f>IF(AD104="",0, Z105+AD104/AD111)</f>
        <v>0</v>
      </c>
      <c r="AE105" s="1207">
        <f>IF(AE104="",0, AA105+AE104/AE111)</f>
        <v>0</v>
      </c>
      <c r="AF105" s="1207">
        <f>IF(AF104="",0, AB105+AF104/AF111)</f>
        <v>0</v>
      </c>
      <c r="AG105" s="1096">
        <f t="shared" si="106"/>
        <v>0</v>
      </c>
      <c r="AH105" s="1096">
        <f t="shared" si="106"/>
        <v>0</v>
      </c>
      <c r="AI105" s="1096">
        <f t="shared" si="106"/>
        <v>0</v>
      </c>
      <c r="AJ105" s="375"/>
      <c r="AK105" s="1023">
        <f t="shared" si="83"/>
        <v>0</v>
      </c>
      <c r="AL105" s="423"/>
      <c r="AM105" s="1040">
        <f t="shared" si="84"/>
        <v>0</v>
      </c>
      <c r="AN105" s="382"/>
      <c r="AO105" s="675"/>
      <c r="AP105" s="39" t="s">
        <v>91</v>
      </c>
      <c r="AQ105" s="40">
        <f>SUM(E104:I104)</f>
        <v>0</v>
      </c>
      <c r="AR105" s="41">
        <f>SUM(J104:P104)</f>
        <v>0</v>
      </c>
      <c r="AS105" s="41">
        <f>SUM(Q104:W104)</f>
        <v>0</v>
      </c>
      <c r="AT105" s="41">
        <f>SUM(X104:AD104)</f>
        <v>0</v>
      </c>
      <c r="AU105" s="41">
        <f>SUM(AE104:AI104)</f>
        <v>0</v>
      </c>
      <c r="AV105" s="34">
        <f t="shared" ref="AV105:AV110" si="107">SUM(AQ105:AU105)</f>
        <v>0</v>
      </c>
    </row>
    <row r="106" spans="1:48" ht="19.899999999999999" hidden="1" customHeight="1">
      <c r="A106" s="412"/>
      <c r="B106" s="413" t="s">
        <v>272</v>
      </c>
      <c r="C106" s="379">
        <v>110000</v>
      </c>
      <c r="D106" s="43" t="s">
        <v>93</v>
      </c>
      <c r="E106" s="1108"/>
      <c r="F106" s="1089"/>
      <c r="G106" s="44"/>
      <c r="H106" s="1089"/>
      <c r="I106" s="1089"/>
      <c r="J106" s="44"/>
      <c r="K106" s="44"/>
      <c r="L106" s="1089"/>
      <c r="M106" s="1089"/>
      <c r="N106" s="1089"/>
      <c r="O106" s="1089"/>
      <c r="P106" s="1089"/>
      <c r="Q106" s="44"/>
      <c r="R106" s="44"/>
      <c r="S106" s="1089"/>
      <c r="T106" s="1089"/>
      <c r="U106" s="1089"/>
      <c r="V106" s="1089"/>
      <c r="W106" s="1089"/>
      <c r="X106" s="44"/>
      <c r="Y106" s="44"/>
      <c r="Z106" s="1089"/>
      <c r="AA106" s="1089"/>
      <c r="AB106" s="1089"/>
      <c r="AC106" s="1089"/>
      <c r="AD106" s="1089"/>
      <c r="AE106" s="44"/>
      <c r="AF106" s="44"/>
      <c r="AG106" s="1089"/>
      <c r="AH106" s="1089"/>
      <c r="AI106" s="1089"/>
      <c r="AJ106" s="380">
        <f>SUM(E106:AI106)</f>
        <v>0</v>
      </c>
      <c r="AK106" s="1024">
        <f t="shared" si="83"/>
        <v>0</v>
      </c>
      <c r="AL106" s="424">
        <f>+AJ106*AN104</f>
        <v>0</v>
      </c>
      <c r="AM106" s="1041">
        <f t="shared" si="84"/>
        <v>0</v>
      </c>
      <c r="AN106" s="382"/>
      <c r="AO106" s="632">
        <f>(AJ106+AJ108+AJ109+AJ110)*B108/1000</f>
        <v>0</v>
      </c>
      <c r="AP106" s="47" t="s">
        <v>94</v>
      </c>
      <c r="AQ106" s="48">
        <f>SUM(E106:I106)</f>
        <v>0</v>
      </c>
      <c r="AR106" s="49">
        <f>SUM(J106:P106)</f>
        <v>0</v>
      </c>
      <c r="AS106" s="49">
        <f>SUM(Q106:W106)</f>
        <v>0</v>
      </c>
      <c r="AT106" s="49">
        <f>SUM(X106:AD106)</f>
        <v>0</v>
      </c>
      <c r="AU106" s="49">
        <f>SUM(AE106:AI106)</f>
        <v>0</v>
      </c>
      <c r="AV106" s="50">
        <f t="shared" si="107"/>
        <v>0</v>
      </c>
    </row>
    <row r="107" spans="1:48" ht="19.899999999999999" hidden="1" customHeight="1">
      <c r="A107" s="412"/>
      <c r="B107" s="638" t="s">
        <v>247</v>
      </c>
      <c r="C107" s="89" t="s">
        <v>108</v>
      </c>
      <c r="D107" s="53" t="s">
        <v>96</v>
      </c>
      <c r="E107" s="1137">
        <f t="shared" ref="E107:AJ107" si="108">+E106-E104</f>
        <v>0</v>
      </c>
      <c r="F107" s="1097">
        <f t="shared" si="108"/>
        <v>0</v>
      </c>
      <c r="G107" s="1205">
        <f t="shared" si="108"/>
        <v>0</v>
      </c>
      <c r="H107" s="1097">
        <f t="shared" si="108"/>
        <v>0</v>
      </c>
      <c r="I107" s="1097">
        <f t="shared" si="108"/>
        <v>0</v>
      </c>
      <c r="J107" s="1205">
        <f t="shared" si="108"/>
        <v>0</v>
      </c>
      <c r="K107" s="1205">
        <f t="shared" si="108"/>
        <v>0</v>
      </c>
      <c r="L107" s="1097">
        <f t="shared" si="108"/>
        <v>0</v>
      </c>
      <c r="M107" s="1097">
        <f t="shared" si="108"/>
        <v>0</v>
      </c>
      <c r="N107" s="1097">
        <f t="shared" si="108"/>
        <v>0</v>
      </c>
      <c r="O107" s="1097">
        <f t="shared" si="108"/>
        <v>0</v>
      </c>
      <c r="P107" s="1097">
        <f t="shared" si="108"/>
        <v>0</v>
      </c>
      <c r="Q107" s="1205">
        <f t="shared" si="108"/>
        <v>0</v>
      </c>
      <c r="R107" s="1205">
        <f t="shared" si="108"/>
        <v>0</v>
      </c>
      <c r="S107" s="1097">
        <f t="shared" si="108"/>
        <v>0</v>
      </c>
      <c r="T107" s="1097">
        <f t="shared" si="108"/>
        <v>0</v>
      </c>
      <c r="U107" s="1097">
        <f t="shared" si="108"/>
        <v>0</v>
      </c>
      <c r="V107" s="1097">
        <f t="shared" si="108"/>
        <v>0</v>
      </c>
      <c r="W107" s="1097">
        <f t="shared" si="108"/>
        <v>0</v>
      </c>
      <c r="X107" s="1205">
        <f t="shared" si="108"/>
        <v>0</v>
      </c>
      <c r="Y107" s="1205">
        <f t="shared" si="108"/>
        <v>0</v>
      </c>
      <c r="Z107" s="1097">
        <f t="shared" si="108"/>
        <v>0</v>
      </c>
      <c r="AA107" s="1097">
        <f t="shared" si="108"/>
        <v>0</v>
      </c>
      <c r="AB107" s="1097">
        <f t="shared" si="108"/>
        <v>0</v>
      </c>
      <c r="AC107" s="1097">
        <f t="shared" si="108"/>
        <v>0</v>
      </c>
      <c r="AD107" s="1097">
        <f t="shared" si="108"/>
        <v>0</v>
      </c>
      <c r="AE107" s="1205">
        <f t="shared" si="108"/>
        <v>0</v>
      </c>
      <c r="AF107" s="1205">
        <f t="shared" si="108"/>
        <v>0</v>
      </c>
      <c r="AG107" s="1097">
        <f t="shared" si="108"/>
        <v>0</v>
      </c>
      <c r="AH107" s="1097">
        <f t="shared" si="108"/>
        <v>0</v>
      </c>
      <c r="AI107" s="1097">
        <f t="shared" si="108"/>
        <v>0</v>
      </c>
      <c r="AJ107" s="381">
        <f t="shared" si="108"/>
        <v>0</v>
      </c>
      <c r="AK107" s="1024">
        <f t="shared" si="83"/>
        <v>0</v>
      </c>
      <c r="AL107" s="425">
        <f>+AJ107*AN104</f>
        <v>0</v>
      </c>
      <c r="AM107" s="1041">
        <f t="shared" si="84"/>
        <v>0</v>
      </c>
      <c r="AN107" s="382" t="s">
        <v>97</v>
      </c>
      <c r="AO107" s="622"/>
      <c r="AP107" s="39" t="s">
        <v>98</v>
      </c>
      <c r="AQ107" s="56">
        <f>AQ106-AQ105</f>
        <v>0</v>
      </c>
      <c r="AR107" s="70">
        <f>AR106-AR105</f>
        <v>0</v>
      </c>
      <c r="AS107" s="70">
        <f>AS106-AS105</f>
        <v>0</v>
      </c>
      <c r="AT107" s="70">
        <f>AT106-AT105</f>
        <v>0</v>
      </c>
      <c r="AU107" s="70">
        <f>AU106-AU105</f>
        <v>0</v>
      </c>
      <c r="AV107" s="57">
        <f t="shared" si="107"/>
        <v>0</v>
      </c>
    </row>
    <row r="108" spans="1:48" ht="19.899999999999999" hidden="1" customHeight="1">
      <c r="A108" s="412"/>
      <c r="B108" s="747">
        <v>0.55625000000000002</v>
      </c>
      <c r="C108" s="383">
        <f>+C106*0.8</f>
        <v>88000</v>
      </c>
      <c r="D108" s="61" t="s">
        <v>101</v>
      </c>
      <c r="E108" s="1098"/>
      <c r="F108" s="1099"/>
      <c r="G108" s="1208"/>
      <c r="H108" s="1099"/>
      <c r="I108" s="1099"/>
      <c r="J108" s="1208"/>
      <c r="K108" s="1208"/>
      <c r="L108" s="1099"/>
      <c r="M108" s="1099"/>
      <c r="N108" s="1099"/>
      <c r="O108" s="1099"/>
      <c r="P108" s="1099"/>
      <c r="Q108" s="1208"/>
      <c r="R108" s="1208"/>
      <c r="S108" s="1099"/>
      <c r="T108" s="1099"/>
      <c r="U108" s="1099"/>
      <c r="V108" s="1099"/>
      <c r="W108" s="1099"/>
      <c r="X108" s="1208"/>
      <c r="Y108" s="1208"/>
      <c r="Z108" s="1099"/>
      <c r="AA108" s="1099"/>
      <c r="AB108" s="1099"/>
      <c r="AC108" s="1099"/>
      <c r="AD108" s="1099"/>
      <c r="AE108" s="1208"/>
      <c r="AF108" s="1208"/>
      <c r="AG108" s="1099"/>
      <c r="AH108" s="1099"/>
      <c r="AI108" s="1099"/>
      <c r="AJ108" s="384">
        <f>SUM(E108:AI108)</f>
        <v>0</v>
      </c>
      <c r="AK108" s="1024">
        <f t="shared" si="83"/>
        <v>0</v>
      </c>
      <c r="AL108" s="420">
        <f>+AJ108*AN104</f>
        <v>0</v>
      </c>
      <c r="AM108" s="1040">
        <f t="shared" si="84"/>
        <v>0</v>
      </c>
      <c r="AN108" s="404" t="e">
        <f>+AJ108/AJ106*100</f>
        <v>#DIV/0!</v>
      </c>
      <c r="AO108" s="635" t="e">
        <f>AO106/AO104</f>
        <v>#DIV/0!</v>
      </c>
      <c r="AP108" s="39" t="s">
        <v>102</v>
      </c>
      <c r="AQ108" s="56">
        <f>SUM(E108:I108)</f>
        <v>0</v>
      </c>
      <c r="AR108" s="70">
        <f>SUM(J108:P108)</f>
        <v>0</v>
      </c>
      <c r="AS108" s="70">
        <f>SUM(Q108:W108)</f>
        <v>0</v>
      </c>
      <c r="AT108" s="70">
        <f>SUM(X108:AD108)</f>
        <v>0</v>
      </c>
      <c r="AU108" s="70">
        <f>SUM(AE108:AI108)</f>
        <v>0</v>
      </c>
      <c r="AV108" s="57">
        <f t="shared" si="107"/>
        <v>0</v>
      </c>
    </row>
    <row r="109" spans="1:48" ht="19.899999999999999" hidden="1" customHeight="1">
      <c r="A109" s="412"/>
      <c r="B109" s="334"/>
      <c r="C109" s="383"/>
      <c r="D109" s="67" t="s">
        <v>103</v>
      </c>
      <c r="E109" s="1100"/>
      <c r="F109" s="1101"/>
      <c r="G109" s="1209"/>
      <c r="H109" s="1101"/>
      <c r="I109" s="1101"/>
      <c r="J109" s="1209"/>
      <c r="K109" s="1209"/>
      <c r="L109" s="1101"/>
      <c r="M109" s="1101"/>
      <c r="N109" s="1101"/>
      <c r="O109" s="1101"/>
      <c r="P109" s="1101"/>
      <c r="Q109" s="1209"/>
      <c r="R109" s="1209"/>
      <c r="S109" s="1101"/>
      <c r="T109" s="1101"/>
      <c r="U109" s="1101"/>
      <c r="V109" s="1101"/>
      <c r="W109" s="1101"/>
      <c r="X109" s="1209"/>
      <c r="Y109" s="1209"/>
      <c r="Z109" s="1101"/>
      <c r="AA109" s="1101"/>
      <c r="AB109" s="1101"/>
      <c r="AC109" s="1101"/>
      <c r="AD109" s="1101"/>
      <c r="AE109" s="1209"/>
      <c r="AF109" s="1209"/>
      <c r="AG109" s="1101"/>
      <c r="AH109" s="1101"/>
      <c r="AI109" s="1101"/>
      <c r="AJ109" s="386">
        <f>SUM(E109:AI109)</f>
        <v>0</v>
      </c>
      <c r="AK109" s="1024">
        <f t="shared" si="83"/>
        <v>0</v>
      </c>
      <c r="AL109" s="426">
        <f>+AJ109*AN104</f>
        <v>0</v>
      </c>
      <c r="AM109" s="1040">
        <f t="shared" si="84"/>
        <v>0</v>
      </c>
      <c r="AN109" s="382"/>
      <c r="AO109" s="622"/>
      <c r="AP109" s="39" t="s">
        <v>19</v>
      </c>
      <c r="AQ109" s="56">
        <f>AQ108*AN104</f>
        <v>0</v>
      </c>
      <c r="AR109" s="56">
        <f>AR108*AN104</f>
        <v>0</v>
      </c>
      <c r="AS109" s="56">
        <f>AS108*AN104</f>
        <v>0</v>
      </c>
      <c r="AT109" s="56">
        <f>AT108*AN104</f>
        <v>0</v>
      </c>
      <c r="AU109" s="56">
        <f>AU108*AN104</f>
        <v>0</v>
      </c>
      <c r="AV109" s="57">
        <f t="shared" si="107"/>
        <v>0</v>
      </c>
    </row>
    <row r="110" spans="1:48" ht="19.899999999999999" hidden="1" customHeight="1">
      <c r="A110" s="412"/>
      <c r="B110" s="334"/>
      <c r="C110" s="387" t="s">
        <v>435</v>
      </c>
      <c r="D110" s="73" t="s">
        <v>105</v>
      </c>
      <c r="E110" s="1102"/>
      <c r="F110" s="1103"/>
      <c r="G110" s="1210"/>
      <c r="H110" s="1103"/>
      <c r="I110" s="1103"/>
      <c r="J110" s="1210"/>
      <c r="K110" s="1210"/>
      <c r="L110" s="1103"/>
      <c r="M110" s="1103"/>
      <c r="N110" s="1103"/>
      <c r="O110" s="1103"/>
      <c r="P110" s="1103"/>
      <c r="Q110" s="1210"/>
      <c r="R110" s="1210"/>
      <c r="S110" s="1103"/>
      <c r="T110" s="1103"/>
      <c r="U110" s="1103"/>
      <c r="V110" s="1103"/>
      <c r="W110" s="1103"/>
      <c r="X110" s="1210"/>
      <c r="Y110" s="1210"/>
      <c r="Z110" s="1103"/>
      <c r="AA110" s="1103"/>
      <c r="AB110" s="1103"/>
      <c r="AC110" s="1103"/>
      <c r="AD110" s="1103"/>
      <c r="AE110" s="1210"/>
      <c r="AF110" s="1210"/>
      <c r="AG110" s="1103"/>
      <c r="AH110" s="1103"/>
      <c r="AI110" s="1103"/>
      <c r="AJ110" s="388">
        <f>SUM(E110:AI110)</f>
        <v>0</v>
      </c>
      <c r="AK110" s="1024">
        <f t="shared" si="83"/>
        <v>0</v>
      </c>
      <c r="AL110" s="427">
        <f>+AJ110*AN104</f>
        <v>0</v>
      </c>
      <c r="AM110" s="1040">
        <f t="shared" si="84"/>
        <v>0</v>
      </c>
      <c r="AN110" s="382"/>
      <c r="AO110" s="622"/>
      <c r="AP110" s="47" t="s">
        <v>106</v>
      </c>
      <c r="AQ110" s="48">
        <f>AQ106*AN104</f>
        <v>0</v>
      </c>
      <c r="AR110" s="48">
        <f>AR106*AN104</f>
        <v>0</v>
      </c>
      <c r="AS110" s="48">
        <f>AS106*AN104</f>
        <v>0</v>
      </c>
      <c r="AT110" s="48">
        <f>AT106*AN104</f>
        <v>0</v>
      </c>
      <c r="AU110" s="48">
        <f>AU106*AN104</f>
        <v>0</v>
      </c>
      <c r="AV110" s="50">
        <f t="shared" si="107"/>
        <v>0</v>
      </c>
    </row>
    <row r="111" spans="1:48" ht="19.899999999999999" hidden="1" customHeight="1">
      <c r="A111" s="412"/>
      <c r="B111" s="414"/>
      <c r="C111" s="379">
        <v>75000</v>
      </c>
      <c r="D111" s="78" t="s">
        <v>107</v>
      </c>
      <c r="E111" s="1137">
        <v>8</v>
      </c>
      <c r="F111" s="1097">
        <v>8</v>
      </c>
      <c r="G111" s="1205">
        <v>8</v>
      </c>
      <c r="H111" s="1097">
        <v>8</v>
      </c>
      <c r="I111" s="1097">
        <v>8</v>
      </c>
      <c r="J111" s="1205">
        <v>8</v>
      </c>
      <c r="K111" s="1205">
        <v>8</v>
      </c>
      <c r="L111" s="1097">
        <v>8</v>
      </c>
      <c r="M111" s="1097">
        <v>8</v>
      </c>
      <c r="N111" s="1097">
        <v>8</v>
      </c>
      <c r="O111" s="1097">
        <v>8</v>
      </c>
      <c r="P111" s="1097">
        <v>8</v>
      </c>
      <c r="Q111" s="1205">
        <v>8</v>
      </c>
      <c r="R111" s="1205">
        <v>8</v>
      </c>
      <c r="S111" s="1097">
        <v>8</v>
      </c>
      <c r="T111" s="1097">
        <v>8</v>
      </c>
      <c r="U111" s="1097">
        <v>8</v>
      </c>
      <c r="V111" s="1097">
        <v>8</v>
      </c>
      <c r="W111" s="1097">
        <v>8</v>
      </c>
      <c r="X111" s="1205">
        <v>8</v>
      </c>
      <c r="Y111" s="1205">
        <v>8</v>
      </c>
      <c r="Z111" s="1097">
        <v>8</v>
      </c>
      <c r="AA111" s="1097">
        <v>8</v>
      </c>
      <c r="AB111" s="1097">
        <v>8</v>
      </c>
      <c r="AC111" s="1097">
        <v>8</v>
      </c>
      <c r="AD111" s="1097">
        <v>8</v>
      </c>
      <c r="AE111" s="1205">
        <v>8</v>
      </c>
      <c r="AF111" s="1205">
        <v>8</v>
      </c>
      <c r="AG111" s="1097">
        <v>8</v>
      </c>
      <c r="AH111" s="1097">
        <v>8</v>
      </c>
      <c r="AI111" s="1097">
        <v>8</v>
      </c>
      <c r="AJ111" s="381"/>
      <c r="AK111" s="1024">
        <f t="shared" si="83"/>
        <v>0</v>
      </c>
      <c r="AL111" s="425"/>
      <c r="AM111" s="1041">
        <f t="shared" si="84"/>
        <v>0</v>
      </c>
      <c r="AN111" s="382"/>
      <c r="AO111" s="622"/>
      <c r="AP111" s="391"/>
      <c r="AQ111" s="391"/>
      <c r="AR111" s="4"/>
      <c r="AS111" s="4"/>
      <c r="AT111" s="392"/>
      <c r="AU111" s="4"/>
      <c r="AV111" s="4"/>
    </row>
    <row r="112" spans="1:48" ht="19.899999999999999" hidden="1" customHeight="1">
      <c r="A112" s="363" t="s">
        <v>654</v>
      </c>
      <c r="B112" s="414"/>
      <c r="C112" s="89" t="s">
        <v>108</v>
      </c>
      <c r="D112" s="81" t="s">
        <v>109</v>
      </c>
      <c r="E112" s="1125">
        <f>SUM(E106+E108+E109+E110)/E111</f>
        <v>0</v>
      </c>
      <c r="F112" s="1125">
        <f t="shared" ref="F112:AI112" si="109">SUM(F106+F108+F109+F110)/F111</f>
        <v>0</v>
      </c>
      <c r="G112" s="1233">
        <f t="shared" si="109"/>
        <v>0</v>
      </c>
      <c r="H112" s="1125">
        <f t="shared" si="109"/>
        <v>0</v>
      </c>
      <c r="I112" s="1125">
        <f t="shared" si="109"/>
        <v>0</v>
      </c>
      <c r="J112" s="1233">
        <f t="shared" si="109"/>
        <v>0</v>
      </c>
      <c r="K112" s="1233">
        <f t="shared" si="109"/>
        <v>0</v>
      </c>
      <c r="L112" s="1125">
        <f t="shared" si="109"/>
        <v>0</v>
      </c>
      <c r="M112" s="1125">
        <f t="shared" si="109"/>
        <v>0</v>
      </c>
      <c r="N112" s="1125">
        <f t="shared" si="109"/>
        <v>0</v>
      </c>
      <c r="O112" s="1125">
        <f t="shared" si="109"/>
        <v>0</v>
      </c>
      <c r="P112" s="1125">
        <f t="shared" si="109"/>
        <v>0</v>
      </c>
      <c r="Q112" s="1233">
        <f t="shared" si="109"/>
        <v>0</v>
      </c>
      <c r="R112" s="1233">
        <f t="shared" si="109"/>
        <v>0</v>
      </c>
      <c r="S112" s="1125">
        <f t="shared" si="109"/>
        <v>0</v>
      </c>
      <c r="T112" s="1125">
        <f t="shared" si="109"/>
        <v>0</v>
      </c>
      <c r="U112" s="1125">
        <f t="shared" si="109"/>
        <v>0</v>
      </c>
      <c r="V112" s="1125">
        <f t="shared" si="109"/>
        <v>0</v>
      </c>
      <c r="W112" s="1125">
        <f t="shared" si="109"/>
        <v>0</v>
      </c>
      <c r="X112" s="1233">
        <f t="shared" si="109"/>
        <v>0</v>
      </c>
      <c r="Y112" s="1233">
        <f t="shared" si="109"/>
        <v>0</v>
      </c>
      <c r="Z112" s="1125">
        <f t="shared" si="109"/>
        <v>0</v>
      </c>
      <c r="AA112" s="1125">
        <f t="shared" si="109"/>
        <v>0</v>
      </c>
      <c r="AB112" s="1125">
        <f t="shared" si="109"/>
        <v>0</v>
      </c>
      <c r="AC112" s="1125">
        <f t="shared" si="109"/>
        <v>0</v>
      </c>
      <c r="AD112" s="1125">
        <f t="shared" si="109"/>
        <v>0</v>
      </c>
      <c r="AE112" s="1233">
        <f t="shared" si="109"/>
        <v>0</v>
      </c>
      <c r="AF112" s="1233">
        <f t="shared" si="109"/>
        <v>0</v>
      </c>
      <c r="AG112" s="1125">
        <f t="shared" si="109"/>
        <v>0</v>
      </c>
      <c r="AH112" s="1125">
        <f t="shared" si="109"/>
        <v>0</v>
      </c>
      <c r="AI112" s="1125">
        <f t="shared" si="109"/>
        <v>0</v>
      </c>
      <c r="AJ112" s="415">
        <f>SUM(E112:AI112)</f>
        <v>0</v>
      </c>
      <c r="AK112" s="1025">
        <f t="shared" si="83"/>
        <v>0</v>
      </c>
      <c r="AL112" s="419"/>
      <c r="AM112" s="1040">
        <f t="shared" si="84"/>
        <v>0</v>
      </c>
      <c r="AN112" s="382"/>
      <c r="AO112" s="622"/>
      <c r="AP112" s="391"/>
      <c r="AQ112" s="391"/>
      <c r="AR112" s="4"/>
      <c r="AS112" s="4"/>
      <c r="AT112" s="392"/>
      <c r="AU112" s="4"/>
      <c r="AV112" s="4"/>
    </row>
    <row r="113" spans="1:48" ht="19.899999999999999" hidden="1" customHeight="1">
      <c r="A113" s="363"/>
      <c r="B113" s="59"/>
      <c r="C113" s="383">
        <f>+C111*0.8</f>
        <v>60000</v>
      </c>
      <c r="D113" s="85" t="s">
        <v>110</v>
      </c>
      <c r="E113" s="1366"/>
      <c r="F113" s="1126"/>
      <c r="G113" s="1235"/>
      <c r="H113" s="1172"/>
      <c r="I113" s="1126"/>
      <c r="J113" s="1281"/>
      <c r="K113" s="1235"/>
      <c r="L113" s="1126"/>
      <c r="M113" s="1126"/>
      <c r="N113" s="1174"/>
      <c r="O113" s="1173"/>
      <c r="P113" s="1173"/>
      <c r="Q113" s="1281"/>
      <c r="R113" s="1281"/>
      <c r="S113" s="1173"/>
      <c r="T113" s="1107"/>
      <c r="U113" s="1173"/>
      <c r="V113" s="1173"/>
      <c r="W113" s="1173"/>
      <c r="X113" s="1281"/>
      <c r="Y113" s="1281"/>
      <c r="Z113" s="1155"/>
      <c r="AA113" s="1173"/>
      <c r="AB113" s="1173"/>
      <c r="AC113" s="1173"/>
      <c r="AD113" s="1173"/>
      <c r="AE113" s="1281"/>
      <c r="AF113" s="1281"/>
      <c r="AG113" s="1173"/>
      <c r="AH113" s="1173"/>
      <c r="AI113" s="1173"/>
      <c r="AJ113" s="394"/>
      <c r="AK113" s="1025">
        <f t="shared" si="83"/>
        <v>0</v>
      </c>
      <c r="AL113" s="419"/>
      <c r="AM113" s="1040">
        <f t="shared" si="84"/>
        <v>0</v>
      </c>
      <c r="AN113" s="382"/>
      <c r="AO113" s="622"/>
      <c r="AP113" s="391"/>
      <c r="AQ113" s="391"/>
      <c r="AR113" s="4"/>
      <c r="AS113" s="4"/>
      <c r="AT113" s="392"/>
      <c r="AU113" s="4"/>
      <c r="AV113" s="4"/>
    </row>
    <row r="114" spans="1:48" ht="19.899999999999999" hidden="1" customHeight="1">
      <c r="A114" s="412"/>
      <c r="B114" s="414"/>
      <c r="C114" s="89"/>
      <c r="D114" s="88" t="s">
        <v>111</v>
      </c>
      <c r="E114" s="1156">
        <f>IF(E113="O/H",E112,+E112)</f>
        <v>0</v>
      </c>
      <c r="F114" s="1156">
        <f t="shared" ref="F114:AI114" si="110">IF(F113="O/H",F112,+F112)</f>
        <v>0</v>
      </c>
      <c r="G114" s="1227">
        <f t="shared" si="110"/>
        <v>0</v>
      </c>
      <c r="H114" s="1156">
        <f t="shared" si="110"/>
        <v>0</v>
      </c>
      <c r="I114" s="1156">
        <f t="shared" si="110"/>
        <v>0</v>
      </c>
      <c r="J114" s="1227">
        <f t="shared" si="110"/>
        <v>0</v>
      </c>
      <c r="K114" s="1227">
        <f t="shared" si="110"/>
        <v>0</v>
      </c>
      <c r="L114" s="1156">
        <f t="shared" si="110"/>
        <v>0</v>
      </c>
      <c r="M114" s="1156">
        <f t="shared" si="110"/>
        <v>0</v>
      </c>
      <c r="N114" s="1156">
        <f t="shared" si="110"/>
        <v>0</v>
      </c>
      <c r="O114" s="1156">
        <f t="shared" si="110"/>
        <v>0</v>
      </c>
      <c r="P114" s="1156">
        <f t="shared" si="110"/>
        <v>0</v>
      </c>
      <c r="Q114" s="1227">
        <f t="shared" si="110"/>
        <v>0</v>
      </c>
      <c r="R114" s="1227">
        <f t="shared" si="110"/>
        <v>0</v>
      </c>
      <c r="S114" s="1156">
        <f t="shared" si="110"/>
        <v>0</v>
      </c>
      <c r="T114" s="1156">
        <f t="shared" si="110"/>
        <v>0</v>
      </c>
      <c r="U114" s="1156">
        <f t="shared" si="110"/>
        <v>0</v>
      </c>
      <c r="V114" s="1156">
        <f t="shared" si="110"/>
        <v>0</v>
      </c>
      <c r="W114" s="1156">
        <f t="shared" si="110"/>
        <v>0</v>
      </c>
      <c r="X114" s="1227">
        <f t="shared" si="110"/>
        <v>0</v>
      </c>
      <c r="Y114" s="1227">
        <f t="shared" si="110"/>
        <v>0</v>
      </c>
      <c r="Z114" s="1156">
        <f t="shared" si="110"/>
        <v>0</v>
      </c>
      <c r="AA114" s="1156">
        <f t="shared" si="110"/>
        <v>0</v>
      </c>
      <c r="AB114" s="1156">
        <f t="shared" si="110"/>
        <v>0</v>
      </c>
      <c r="AC114" s="1156">
        <f t="shared" si="110"/>
        <v>0</v>
      </c>
      <c r="AD114" s="1156">
        <f t="shared" si="110"/>
        <v>0</v>
      </c>
      <c r="AE114" s="1227">
        <f t="shared" si="110"/>
        <v>0</v>
      </c>
      <c r="AF114" s="1227">
        <f t="shared" si="110"/>
        <v>0</v>
      </c>
      <c r="AG114" s="1156">
        <f t="shared" si="110"/>
        <v>0</v>
      </c>
      <c r="AH114" s="1156">
        <f t="shared" si="110"/>
        <v>0</v>
      </c>
      <c r="AI114" s="1156">
        <f t="shared" si="110"/>
        <v>0</v>
      </c>
      <c r="AJ114" s="394"/>
      <c r="AK114" s="1025">
        <f t="shared" si="83"/>
        <v>0</v>
      </c>
      <c r="AL114" s="419"/>
      <c r="AM114" s="1040">
        <f t="shared" si="84"/>
        <v>0</v>
      </c>
      <c r="AN114" s="382"/>
      <c r="AO114" s="622"/>
      <c r="AP114" s="391"/>
      <c r="AQ114" s="391"/>
      <c r="AR114" s="4"/>
      <c r="AS114" s="4"/>
      <c r="AT114" s="392"/>
      <c r="AU114" s="4"/>
      <c r="AV114" s="4"/>
    </row>
    <row r="115" spans="1:48" ht="19.899999999999999" hidden="1" customHeight="1">
      <c r="A115" s="412"/>
      <c r="B115" s="59"/>
      <c r="C115" s="387"/>
      <c r="D115" s="395" t="s">
        <v>435</v>
      </c>
      <c r="E115" s="1365"/>
      <c r="F115" s="1104"/>
      <c r="G115" s="1211"/>
      <c r="H115" s="1176"/>
      <c r="I115" s="1104"/>
      <c r="J115" s="1211"/>
      <c r="K115" s="1273"/>
      <c r="L115" s="1104"/>
      <c r="M115" s="1104"/>
      <c r="N115" s="1177"/>
      <c r="O115" s="1104"/>
      <c r="P115" s="1177"/>
      <c r="Q115" s="1211"/>
      <c r="R115" s="1211"/>
      <c r="S115" s="1104"/>
      <c r="T115" s="1107"/>
      <c r="U115" s="1104"/>
      <c r="V115" s="1104"/>
      <c r="W115" s="1104"/>
      <c r="X115" s="1228"/>
      <c r="Y115" s="1211"/>
      <c r="Z115" s="1155"/>
      <c r="AA115" s="1104"/>
      <c r="AB115" s="1104"/>
      <c r="AC115" s="1104"/>
      <c r="AD115" s="1104"/>
      <c r="AE115" s="1211"/>
      <c r="AF115" s="1211"/>
      <c r="AG115" s="1104"/>
      <c r="AH115" s="1104"/>
      <c r="AI115" s="1104"/>
      <c r="AJ115" s="396"/>
      <c r="AK115" s="1024">
        <f t="shared" si="83"/>
        <v>0</v>
      </c>
      <c r="AL115" s="420"/>
      <c r="AM115" s="1040">
        <f t="shared" si="84"/>
        <v>0</v>
      </c>
      <c r="AN115" s="382"/>
      <c r="AO115" s="622"/>
      <c r="AP115" s="391"/>
      <c r="AQ115" s="391"/>
    </row>
    <row r="116" spans="1:48" ht="19.899999999999999" hidden="1" customHeight="1">
      <c r="A116" s="412"/>
      <c r="B116" s="59"/>
      <c r="C116" s="387" t="s">
        <v>104</v>
      </c>
      <c r="D116" s="88" t="s">
        <v>111</v>
      </c>
      <c r="E116" s="1108">
        <f>IF(E115="O/H",E112,+E112)</f>
        <v>0</v>
      </c>
      <c r="F116" s="1108">
        <f t="shared" ref="F116:AI116" si="111">IF(F115="O/H",F112,+F112)</f>
        <v>0</v>
      </c>
      <c r="G116" s="1199">
        <f t="shared" si="111"/>
        <v>0</v>
      </c>
      <c r="H116" s="1108">
        <f t="shared" si="111"/>
        <v>0</v>
      </c>
      <c r="I116" s="1108">
        <f t="shared" si="111"/>
        <v>0</v>
      </c>
      <c r="J116" s="1199">
        <f t="shared" si="111"/>
        <v>0</v>
      </c>
      <c r="K116" s="1199">
        <f t="shared" si="111"/>
        <v>0</v>
      </c>
      <c r="L116" s="1108">
        <f t="shared" si="111"/>
        <v>0</v>
      </c>
      <c r="M116" s="1108">
        <f t="shared" si="111"/>
        <v>0</v>
      </c>
      <c r="N116" s="1108">
        <f t="shared" si="111"/>
        <v>0</v>
      </c>
      <c r="O116" s="1108">
        <f t="shared" si="111"/>
        <v>0</v>
      </c>
      <c r="P116" s="1108">
        <f t="shared" si="111"/>
        <v>0</v>
      </c>
      <c r="Q116" s="1199">
        <f t="shared" si="111"/>
        <v>0</v>
      </c>
      <c r="R116" s="1199">
        <f t="shared" si="111"/>
        <v>0</v>
      </c>
      <c r="S116" s="1108">
        <f t="shared" si="111"/>
        <v>0</v>
      </c>
      <c r="T116" s="1108">
        <f t="shared" si="111"/>
        <v>0</v>
      </c>
      <c r="U116" s="1108">
        <f t="shared" si="111"/>
        <v>0</v>
      </c>
      <c r="V116" s="1108">
        <f t="shared" si="111"/>
        <v>0</v>
      </c>
      <c r="W116" s="1108">
        <f t="shared" si="111"/>
        <v>0</v>
      </c>
      <c r="X116" s="1199">
        <f t="shared" si="111"/>
        <v>0</v>
      </c>
      <c r="Y116" s="1199">
        <f t="shared" si="111"/>
        <v>0</v>
      </c>
      <c r="Z116" s="1108">
        <f t="shared" si="111"/>
        <v>0</v>
      </c>
      <c r="AA116" s="1108">
        <f t="shared" si="111"/>
        <v>0</v>
      </c>
      <c r="AB116" s="1108">
        <f t="shared" si="111"/>
        <v>0</v>
      </c>
      <c r="AC116" s="1108">
        <f t="shared" si="111"/>
        <v>0</v>
      </c>
      <c r="AD116" s="1108">
        <f t="shared" si="111"/>
        <v>0</v>
      </c>
      <c r="AE116" s="1199">
        <f t="shared" si="111"/>
        <v>0</v>
      </c>
      <c r="AF116" s="1199">
        <f t="shared" si="111"/>
        <v>0</v>
      </c>
      <c r="AG116" s="1108">
        <f t="shared" si="111"/>
        <v>0</v>
      </c>
      <c r="AH116" s="1108">
        <f t="shared" si="111"/>
        <v>0</v>
      </c>
      <c r="AI116" s="1108">
        <f t="shared" si="111"/>
        <v>0</v>
      </c>
      <c r="AJ116" s="396"/>
      <c r="AK116" s="1024">
        <f t="shared" si="83"/>
        <v>0</v>
      </c>
      <c r="AL116" s="420"/>
      <c r="AM116" s="1040">
        <f t="shared" si="84"/>
        <v>0</v>
      </c>
      <c r="AN116" s="382"/>
      <c r="AO116" s="622"/>
      <c r="AP116" s="391"/>
      <c r="AQ116" s="391"/>
    </row>
    <row r="117" spans="1:48" s="23" customFormat="1" ht="20.45" hidden="1" customHeight="1">
      <c r="A117" s="312"/>
      <c r="B117" s="312"/>
      <c r="C117" s="379">
        <v>150000</v>
      </c>
      <c r="D117" s="795" t="s">
        <v>112</v>
      </c>
      <c r="E117" s="1117" t="b">
        <f>IF(AND(ISNUMBER(E106)),1691488+E112)</f>
        <v>0</v>
      </c>
      <c r="F117" s="1118" t="str">
        <f>IF(AND(ISNUMBER(F106)),E117+F112,"")</f>
        <v/>
      </c>
      <c r="G117" s="1216" t="str">
        <f>IF(AND(ISNUMBER(G106)),F117+G112,"")</f>
        <v/>
      </c>
      <c r="H117" s="1118" t="str">
        <f t="shared" ref="H117:AI117" si="112">IF(AND(ISNUMBER(H106)),G117+H112,"")</f>
        <v/>
      </c>
      <c r="I117" s="1118" t="str">
        <f t="shared" si="112"/>
        <v/>
      </c>
      <c r="J117" s="1216" t="str">
        <f t="shared" si="112"/>
        <v/>
      </c>
      <c r="K117" s="1216" t="str">
        <f t="shared" si="112"/>
        <v/>
      </c>
      <c r="L117" s="1118" t="str">
        <f t="shared" si="112"/>
        <v/>
      </c>
      <c r="M117" s="1118" t="str">
        <f t="shared" si="112"/>
        <v/>
      </c>
      <c r="N117" s="1118" t="str">
        <f t="shared" si="112"/>
        <v/>
      </c>
      <c r="O117" s="1118" t="str">
        <f t="shared" si="112"/>
        <v/>
      </c>
      <c r="P117" s="1118" t="str">
        <f t="shared" si="112"/>
        <v/>
      </c>
      <c r="Q117" s="1216" t="str">
        <f t="shared" si="112"/>
        <v/>
      </c>
      <c r="R117" s="1216" t="str">
        <f t="shared" si="112"/>
        <v/>
      </c>
      <c r="S117" s="1118" t="str">
        <f t="shared" si="112"/>
        <v/>
      </c>
      <c r="T117" s="1118" t="str">
        <f t="shared" si="112"/>
        <v/>
      </c>
      <c r="U117" s="1118" t="str">
        <f t="shared" si="112"/>
        <v/>
      </c>
      <c r="V117" s="1118" t="str">
        <f t="shared" si="112"/>
        <v/>
      </c>
      <c r="W117" s="1118" t="str">
        <f t="shared" si="112"/>
        <v/>
      </c>
      <c r="X117" s="1216" t="str">
        <f t="shared" si="112"/>
        <v/>
      </c>
      <c r="Y117" s="1216" t="str">
        <f t="shared" si="112"/>
        <v/>
      </c>
      <c r="Z117" s="1118" t="str">
        <f t="shared" si="112"/>
        <v/>
      </c>
      <c r="AA117" s="1118" t="str">
        <f t="shared" si="112"/>
        <v/>
      </c>
      <c r="AB117" s="1118" t="str">
        <f t="shared" si="112"/>
        <v/>
      </c>
      <c r="AC117" s="1118" t="str">
        <f t="shared" si="112"/>
        <v/>
      </c>
      <c r="AD117" s="1118" t="str">
        <f t="shared" si="112"/>
        <v/>
      </c>
      <c r="AE117" s="1216" t="str">
        <f t="shared" si="112"/>
        <v/>
      </c>
      <c r="AF117" s="1216" t="str">
        <f t="shared" si="112"/>
        <v/>
      </c>
      <c r="AG117" s="1118" t="str">
        <f t="shared" si="112"/>
        <v/>
      </c>
      <c r="AH117" s="1118" t="str">
        <f t="shared" si="112"/>
        <v/>
      </c>
      <c r="AI117" s="1118" t="str">
        <f t="shared" si="112"/>
        <v/>
      </c>
      <c r="AJ117" s="793"/>
      <c r="AK117" s="1026">
        <f t="shared" si="83"/>
        <v>0</v>
      </c>
      <c r="AL117" s="897"/>
      <c r="AM117" s="1042">
        <f t="shared" si="84"/>
        <v>0</v>
      </c>
      <c r="AN117" s="468"/>
      <c r="AO117" s="675"/>
      <c r="AP117" s="285"/>
      <c r="AQ117" s="285"/>
      <c r="AR117" s="285"/>
      <c r="AS117" s="285"/>
      <c r="AT117" s="286"/>
      <c r="AU117" s="285"/>
      <c r="AV117" s="287"/>
    </row>
    <row r="118" spans="1:48" ht="19.899999999999999" hidden="1" customHeight="1">
      <c r="A118" s="412"/>
      <c r="B118" s="59"/>
      <c r="C118" s="89" t="s">
        <v>108</v>
      </c>
      <c r="D118" s="90" t="s">
        <v>104</v>
      </c>
      <c r="E118" s="1365"/>
      <c r="F118" s="1104"/>
      <c r="G118" s="1211"/>
      <c r="H118" s="1176"/>
      <c r="I118" s="1104"/>
      <c r="J118" s="1211"/>
      <c r="K118" s="1273"/>
      <c r="L118" s="1104"/>
      <c r="M118" s="1104"/>
      <c r="N118" s="1177"/>
      <c r="O118" s="1104"/>
      <c r="P118" s="1177"/>
      <c r="Q118" s="1211"/>
      <c r="R118" s="1211"/>
      <c r="S118" s="1104"/>
      <c r="T118" s="1107"/>
      <c r="U118" s="1104"/>
      <c r="V118" s="1104"/>
      <c r="W118" s="1104"/>
      <c r="X118" s="1228"/>
      <c r="Y118" s="1211"/>
      <c r="Z118" s="1155"/>
      <c r="AA118" s="1104"/>
      <c r="AB118" s="1107"/>
      <c r="AC118" s="1104"/>
      <c r="AD118" s="1104"/>
      <c r="AE118" s="1211"/>
      <c r="AF118" s="1211"/>
      <c r="AG118" s="1104"/>
      <c r="AH118" s="1104"/>
      <c r="AI118" s="1104"/>
      <c r="AJ118" s="396"/>
      <c r="AK118" s="1024">
        <f t="shared" si="83"/>
        <v>150000</v>
      </c>
      <c r="AL118" s="420"/>
      <c r="AM118" s="1040">
        <f t="shared" si="84"/>
        <v>556983</v>
      </c>
      <c r="AN118" s="382"/>
      <c r="AO118" s="622"/>
      <c r="AP118" s="391"/>
      <c r="AQ118" s="391"/>
    </row>
    <row r="119" spans="1:48" ht="19.899999999999999" hidden="1" customHeight="1" thickBot="1">
      <c r="A119" s="416"/>
      <c r="B119" s="398"/>
      <c r="C119" s="407">
        <f>+C117*0.8</f>
        <v>120000</v>
      </c>
      <c r="D119" s="95" t="s">
        <v>111</v>
      </c>
      <c r="E119" s="1109">
        <f>IF(E118="O/H",E112,0+E112)</f>
        <v>0</v>
      </c>
      <c r="F119" s="1109">
        <f t="shared" ref="F119:AI119" si="113">IF(F118="O/H",F112,0+F112)</f>
        <v>0</v>
      </c>
      <c r="G119" s="1200">
        <f t="shared" si="113"/>
        <v>0</v>
      </c>
      <c r="H119" s="1109">
        <f t="shared" si="113"/>
        <v>0</v>
      </c>
      <c r="I119" s="1109">
        <f t="shared" si="113"/>
        <v>0</v>
      </c>
      <c r="J119" s="1200">
        <f t="shared" si="113"/>
        <v>0</v>
      </c>
      <c r="K119" s="1200">
        <f t="shared" si="113"/>
        <v>0</v>
      </c>
      <c r="L119" s="1109">
        <f t="shared" si="113"/>
        <v>0</v>
      </c>
      <c r="M119" s="1109">
        <f t="shared" si="113"/>
        <v>0</v>
      </c>
      <c r="N119" s="1109">
        <f t="shared" si="113"/>
        <v>0</v>
      </c>
      <c r="O119" s="1109">
        <f t="shared" si="113"/>
        <v>0</v>
      </c>
      <c r="P119" s="1109">
        <f t="shared" si="113"/>
        <v>0</v>
      </c>
      <c r="Q119" s="1200">
        <f t="shared" si="113"/>
        <v>0</v>
      </c>
      <c r="R119" s="1200">
        <f t="shared" si="113"/>
        <v>0</v>
      </c>
      <c r="S119" s="1109">
        <f t="shared" si="113"/>
        <v>0</v>
      </c>
      <c r="T119" s="1109">
        <f t="shared" si="113"/>
        <v>0</v>
      </c>
      <c r="U119" s="1109">
        <f t="shared" si="113"/>
        <v>0</v>
      </c>
      <c r="V119" s="1109">
        <f t="shared" si="113"/>
        <v>0</v>
      </c>
      <c r="W119" s="1109">
        <f t="shared" si="113"/>
        <v>0</v>
      </c>
      <c r="X119" s="1200">
        <f t="shared" si="113"/>
        <v>0</v>
      </c>
      <c r="Y119" s="1200">
        <f t="shared" si="113"/>
        <v>0</v>
      </c>
      <c r="Z119" s="1109">
        <f t="shared" si="113"/>
        <v>0</v>
      </c>
      <c r="AA119" s="1109">
        <f t="shared" si="113"/>
        <v>0</v>
      </c>
      <c r="AB119" s="1109">
        <f t="shared" si="113"/>
        <v>0</v>
      </c>
      <c r="AC119" s="1109">
        <f t="shared" si="113"/>
        <v>0</v>
      </c>
      <c r="AD119" s="1109">
        <f t="shared" si="113"/>
        <v>0</v>
      </c>
      <c r="AE119" s="1200">
        <f t="shared" si="113"/>
        <v>0</v>
      </c>
      <c r="AF119" s="1200">
        <f t="shared" si="113"/>
        <v>0</v>
      </c>
      <c r="AG119" s="1109">
        <f t="shared" si="113"/>
        <v>0</v>
      </c>
      <c r="AH119" s="1109">
        <f t="shared" si="113"/>
        <v>0</v>
      </c>
      <c r="AI119" s="1109">
        <f t="shared" si="113"/>
        <v>0</v>
      </c>
      <c r="AJ119" s="399"/>
      <c r="AK119" s="1027">
        <f t="shared" si="83"/>
        <v>0</v>
      </c>
      <c r="AL119" s="421"/>
      <c r="AM119" s="1043">
        <f t="shared" si="84"/>
        <v>0</v>
      </c>
      <c r="AN119" s="894"/>
      <c r="AO119" s="625"/>
      <c r="AP119" s="391"/>
      <c r="AQ119" s="391"/>
    </row>
    <row r="120" spans="1:48" ht="19.899999999999999" customHeight="1" thickTop="1">
      <c r="A120" s="968" t="s">
        <v>593</v>
      </c>
      <c r="B120" s="411" t="s">
        <v>629</v>
      </c>
      <c r="C120" s="518" t="str">
        <f>Table37[[#This Row],[M/C No.]]</f>
        <v>R7(75*75ton)</v>
      </c>
      <c r="D120" s="28" t="s">
        <v>82</v>
      </c>
      <c r="E120" s="1111">
        <v>12000</v>
      </c>
      <c r="F120" s="1111">
        <v>12000</v>
      </c>
      <c r="G120" s="1201">
        <v>12000</v>
      </c>
      <c r="H120" s="1111">
        <v>12000</v>
      </c>
      <c r="I120" s="1111">
        <v>12000</v>
      </c>
      <c r="J120" s="1201">
        <v>12000</v>
      </c>
      <c r="K120" s="1201">
        <v>12000</v>
      </c>
      <c r="L120" s="1111">
        <v>12000</v>
      </c>
      <c r="M120" s="1111">
        <v>12000</v>
      </c>
      <c r="N120" s="1111">
        <v>12000</v>
      </c>
      <c r="O120" s="1111">
        <v>12000</v>
      </c>
      <c r="P120" s="1111">
        <v>12000</v>
      </c>
      <c r="Q120" s="1201">
        <v>6000</v>
      </c>
      <c r="R120" s="1201">
        <v>0</v>
      </c>
      <c r="S120" s="1111">
        <v>0</v>
      </c>
      <c r="T120" s="1111">
        <v>0</v>
      </c>
      <c r="U120" s="1111">
        <v>0</v>
      </c>
      <c r="V120" s="1111">
        <v>0</v>
      </c>
      <c r="W120" s="1111">
        <v>0</v>
      </c>
      <c r="X120" s="1201">
        <v>0</v>
      </c>
      <c r="Y120" s="1201">
        <v>0</v>
      </c>
      <c r="Z120" s="1111">
        <v>0</v>
      </c>
      <c r="AA120" s="1111">
        <v>0</v>
      </c>
      <c r="AB120" s="1111">
        <v>0</v>
      </c>
      <c r="AC120" s="1111">
        <v>0</v>
      </c>
      <c r="AD120" s="1111">
        <v>0</v>
      </c>
      <c r="AE120" s="1201">
        <v>0</v>
      </c>
      <c r="AF120" s="1201">
        <v>0</v>
      </c>
      <c r="AG120" s="1111">
        <v>0</v>
      </c>
      <c r="AH120" s="1111">
        <v>0</v>
      </c>
      <c r="AI120" s="1111"/>
      <c r="AJ120" s="375">
        <f>SUM(E120:AI120)</f>
        <v>150000</v>
      </c>
      <c r="AK120" s="1047">
        <f t="shared" si="83"/>
        <v>158720</v>
      </c>
      <c r="AL120" s="422">
        <f>+AJ120*AN120</f>
        <v>556983</v>
      </c>
      <c r="AM120" s="1046">
        <f t="shared" si="84"/>
        <v>589362.27839999995</v>
      </c>
      <c r="AN120" s="402">
        <v>3.7132199999999997</v>
      </c>
      <c r="AO120" s="622" t="s">
        <v>429</v>
      </c>
      <c r="AP120" s="32" t="s">
        <v>451</v>
      </c>
      <c r="AQ120" s="33" t="s">
        <v>84</v>
      </c>
      <c r="AR120" s="33" t="s">
        <v>85</v>
      </c>
      <c r="AS120" s="33" t="s">
        <v>86</v>
      </c>
      <c r="AT120" s="33" t="s">
        <v>87</v>
      </c>
      <c r="AU120" s="33" t="s">
        <v>88</v>
      </c>
      <c r="AV120" s="34" t="s">
        <v>68</v>
      </c>
    </row>
    <row r="121" spans="1:48" ht="19.899999999999999" customHeight="1">
      <c r="A121" s="403"/>
      <c r="B121" s="393" t="s">
        <v>452</v>
      </c>
      <c r="C121" s="1251">
        <v>67500</v>
      </c>
      <c r="D121" s="37" t="s">
        <v>90</v>
      </c>
      <c r="E121" s="1323">
        <f>IF(E120="",0, E120/E127)</f>
        <v>1500</v>
      </c>
      <c r="F121" s="1096">
        <f t="shared" ref="F121:AI121" si="114">IF(F120="",0, E121+F120/F127)</f>
        <v>3000</v>
      </c>
      <c r="G121" s="1207">
        <f t="shared" si="114"/>
        <v>4500</v>
      </c>
      <c r="H121" s="1096">
        <f t="shared" si="114"/>
        <v>6000</v>
      </c>
      <c r="I121" s="1096">
        <f t="shared" si="114"/>
        <v>7500</v>
      </c>
      <c r="J121" s="1207">
        <f t="shared" si="114"/>
        <v>9000</v>
      </c>
      <c r="K121" s="1207">
        <f>IF(K120="",0, J121+K120/K127)</f>
        <v>10500</v>
      </c>
      <c r="L121" s="1096">
        <f>IF(L120="",0, K121+L120/L127)</f>
        <v>12000</v>
      </c>
      <c r="M121" s="1096">
        <f t="shared" si="114"/>
        <v>13500</v>
      </c>
      <c r="N121" s="1096">
        <f t="shared" si="114"/>
        <v>15000</v>
      </c>
      <c r="O121" s="1096">
        <f t="shared" si="114"/>
        <v>16500</v>
      </c>
      <c r="P121" s="1096">
        <f t="shared" si="114"/>
        <v>18000</v>
      </c>
      <c r="Q121" s="1207">
        <f t="shared" si="114"/>
        <v>18750</v>
      </c>
      <c r="R121" s="1207">
        <f t="shared" si="114"/>
        <v>18750</v>
      </c>
      <c r="S121" s="1096">
        <f t="shared" si="114"/>
        <v>18750</v>
      </c>
      <c r="T121" s="1096">
        <f t="shared" si="114"/>
        <v>18750</v>
      </c>
      <c r="U121" s="1096">
        <f t="shared" si="114"/>
        <v>18750</v>
      </c>
      <c r="V121" s="1096">
        <f t="shared" si="114"/>
        <v>18750</v>
      </c>
      <c r="W121" s="1096">
        <f t="shared" si="114"/>
        <v>18750</v>
      </c>
      <c r="X121" s="1207">
        <f t="shared" si="114"/>
        <v>18750</v>
      </c>
      <c r="Y121" s="1207">
        <f t="shared" si="114"/>
        <v>18750</v>
      </c>
      <c r="Z121" s="1096">
        <f t="shared" si="114"/>
        <v>18750</v>
      </c>
      <c r="AA121" s="1096">
        <f t="shared" si="114"/>
        <v>18750</v>
      </c>
      <c r="AB121" s="1096">
        <f t="shared" si="114"/>
        <v>18750</v>
      </c>
      <c r="AC121" s="1096">
        <f t="shared" si="114"/>
        <v>18750</v>
      </c>
      <c r="AD121" s="1096">
        <f t="shared" si="114"/>
        <v>18750</v>
      </c>
      <c r="AE121" s="1207">
        <f t="shared" si="114"/>
        <v>18750</v>
      </c>
      <c r="AF121" s="1207">
        <f t="shared" si="114"/>
        <v>18750</v>
      </c>
      <c r="AG121" s="1096">
        <f t="shared" si="114"/>
        <v>18750</v>
      </c>
      <c r="AH121" s="1096">
        <f t="shared" si="114"/>
        <v>18750</v>
      </c>
      <c r="AI121" s="1096">
        <f t="shared" si="114"/>
        <v>0</v>
      </c>
      <c r="AJ121" s="375"/>
      <c r="AK121" s="1023">
        <f t="shared" si="83"/>
        <v>8720</v>
      </c>
      <c r="AL121" s="423"/>
      <c r="AM121" s="1040">
        <f t="shared" si="84"/>
        <v>32379.278399999999</v>
      </c>
      <c r="AN121" s="382"/>
      <c r="AO121" s="622">
        <f>AJ120*B124/1000</f>
        <v>0</v>
      </c>
      <c r="AP121" s="39" t="s">
        <v>91</v>
      </c>
      <c r="AQ121" s="40">
        <f>SUM(E120:H120)</f>
        <v>48000</v>
      </c>
      <c r="AR121" s="41">
        <f>SUM(I120:O120)</f>
        <v>84000</v>
      </c>
      <c r="AS121" s="41">
        <f>SUM(P120:V120)</f>
        <v>18000</v>
      </c>
      <c r="AT121" s="41">
        <f>SUM(W120:AC120)</f>
        <v>0</v>
      </c>
      <c r="AU121" s="41">
        <f>SUM(AD120:AI120)</f>
        <v>0</v>
      </c>
      <c r="AV121" s="34">
        <f t="shared" ref="AV121:AV126" si="115">SUM(AQ121:AU121)</f>
        <v>150000</v>
      </c>
    </row>
    <row r="122" spans="1:48" ht="19.899999999999999" customHeight="1">
      <c r="A122" s="403"/>
      <c r="B122" s="393" t="s">
        <v>453</v>
      </c>
      <c r="C122" s="656" t="s">
        <v>108</v>
      </c>
      <c r="D122" s="43" t="s">
        <v>93</v>
      </c>
      <c r="E122" s="1108">
        <v>16320</v>
      </c>
      <c r="F122" s="1089">
        <v>17280</v>
      </c>
      <c r="G122" s="44">
        <v>16320</v>
      </c>
      <c r="H122" s="1089">
        <v>15360</v>
      </c>
      <c r="I122" s="1089">
        <v>15040</v>
      </c>
      <c r="J122" s="44">
        <v>16320</v>
      </c>
      <c r="K122" s="44">
        <v>16960</v>
      </c>
      <c r="L122" s="1089">
        <v>14080</v>
      </c>
      <c r="M122" s="1089">
        <v>13440</v>
      </c>
      <c r="N122" s="1089">
        <v>16320</v>
      </c>
      <c r="O122" s="1089">
        <v>1280</v>
      </c>
      <c r="P122" s="1089">
        <v>0</v>
      </c>
      <c r="Q122" s="44">
        <v>0</v>
      </c>
      <c r="R122" s="44">
        <v>0</v>
      </c>
      <c r="S122" s="1089">
        <v>0</v>
      </c>
      <c r="T122" s="1089">
        <v>0</v>
      </c>
      <c r="U122" s="1089">
        <v>0</v>
      </c>
      <c r="V122" s="1089">
        <v>0</v>
      </c>
      <c r="W122" s="1089">
        <v>0</v>
      </c>
      <c r="X122" s="44">
        <v>0</v>
      </c>
      <c r="Y122" s="44">
        <v>0</v>
      </c>
      <c r="Z122" s="1089">
        <v>0</v>
      </c>
      <c r="AA122" s="1089">
        <v>0</v>
      </c>
      <c r="AB122" s="1089"/>
      <c r="AC122" s="1089"/>
      <c r="AD122" s="1089"/>
      <c r="AE122" s="44"/>
      <c r="AF122" s="44"/>
      <c r="AG122" s="1089"/>
      <c r="AH122" s="1089"/>
      <c r="AI122" s="1089"/>
      <c r="AJ122" s="380">
        <f>SUM(E122:AI122)</f>
        <v>158720</v>
      </c>
      <c r="AK122" s="1024">
        <f t="shared" si="83"/>
        <v>880</v>
      </c>
      <c r="AL122" s="424">
        <f>+AJ122*AN120</f>
        <v>589362.27839999995</v>
      </c>
      <c r="AM122" s="1041">
        <f t="shared" si="84"/>
        <v>3267.6335999999997</v>
      </c>
      <c r="AN122" s="382"/>
      <c r="AO122" s="632">
        <f>(AJ122+AJ124+AJ125+AJ126)*B124/1000</f>
        <v>0</v>
      </c>
      <c r="AP122" s="47" t="s">
        <v>94</v>
      </c>
      <c r="AQ122" s="48">
        <f>SUM(E122:H122)</f>
        <v>65280</v>
      </c>
      <c r="AR122" s="49">
        <f>SUM(I122:O122)</f>
        <v>93440</v>
      </c>
      <c r="AS122" s="49">
        <f>SUM(P122:V122)</f>
        <v>0</v>
      </c>
      <c r="AT122" s="49">
        <f>SUM(W122:AC122)</f>
        <v>0</v>
      </c>
      <c r="AU122" s="49">
        <f>SUM(AD122:AI122)</f>
        <v>0</v>
      </c>
      <c r="AV122" s="50">
        <f t="shared" si="115"/>
        <v>158720</v>
      </c>
    </row>
    <row r="123" spans="1:48" ht="19.899999999999999" customHeight="1">
      <c r="A123" s="403"/>
      <c r="B123" s="211" t="s">
        <v>432</v>
      </c>
      <c r="C123" s="1252">
        <f>+C121*0.8</f>
        <v>54000</v>
      </c>
      <c r="D123" s="53" t="s">
        <v>96</v>
      </c>
      <c r="E123" s="1137">
        <f t="shared" ref="E123:AJ123" si="116">+E122-E120</f>
        <v>4320</v>
      </c>
      <c r="F123" s="1097">
        <f t="shared" si="116"/>
        <v>5280</v>
      </c>
      <c r="G123" s="1205">
        <f t="shared" si="116"/>
        <v>4320</v>
      </c>
      <c r="H123" s="1097">
        <f t="shared" si="116"/>
        <v>3360</v>
      </c>
      <c r="I123" s="1097">
        <f t="shared" si="116"/>
        <v>3040</v>
      </c>
      <c r="J123" s="1205">
        <f t="shared" si="116"/>
        <v>4320</v>
      </c>
      <c r="K123" s="1205">
        <f>+K122-K120</f>
        <v>4960</v>
      </c>
      <c r="L123" s="1097">
        <f>+L122-L120</f>
        <v>2080</v>
      </c>
      <c r="M123" s="1097">
        <f>+M122-M120</f>
        <v>1440</v>
      </c>
      <c r="N123" s="1097">
        <f t="shared" si="116"/>
        <v>4320</v>
      </c>
      <c r="O123" s="1097">
        <f t="shared" si="116"/>
        <v>-10720</v>
      </c>
      <c r="P123" s="1097">
        <f t="shared" si="116"/>
        <v>-12000</v>
      </c>
      <c r="Q123" s="1205">
        <f t="shared" si="116"/>
        <v>-6000</v>
      </c>
      <c r="R123" s="1205">
        <f t="shared" si="116"/>
        <v>0</v>
      </c>
      <c r="S123" s="1097">
        <f t="shared" si="116"/>
        <v>0</v>
      </c>
      <c r="T123" s="1097">
        <f t="shared" si="116"/>
        <v>0</v>
      </c>
      <c r="U123" s="1097">
        <f t="shared" si="116"/>
        <v>0</v>
      </c>
      <c r="V123" s="1097">
        <f t="shared" si="116"/>
        <v>0</v>
      </c>
      <c r="W123" s="1097">
        <f t="shared" si="116"/>
        <v>0</v>
      </c>
      <c r="X123" s="1205">
        <f t="shared" si="116"/>
        <v>0</v>
      </c>
      <c r="Y123" s="1205">
        <f>+Y122-Y120</f>
        <v>0</v>
      </c>
      <c r="Z123" s="1097">
        <f>+Z122-Z120</f>
        <v>0</v>
      </c>
      <c r="AA123" s="1097">
        <f t="shared" si="116"/>
        <v>0</v>
      </c>
      <c r="AB123" s="1097">
        <f t="shared" si="116"/>
        <v>0</v>
      </c>
      <c r="AC123" s="1097">
        <f t="shared" si="116"/>
        <v>0</v>
      </c>
      <c r="AD123" s="1097">
        <f t="shared" si="116"/>
        <v>0</v>
      </c>
      <c r="AE123" s="1205">
        <f t="shared" si="116"/>
        <v>0</v>
      </c>
      <c r="AF123" s="1205">
        <f t="shared" si="116"/>
        <v>0</v>
      </c>
      <c r="AG123" s="1097">
        <f t="shared" si="116"/>
        <v>0</v>
      </c>
      <c r="AH123" s="1097">
        <f t="shared" si="116"/>
        <v>0</v>
      </c>
      <c r="AI123" s="1097">
        <f t="shared" si="116"/>
        <v>0</v>
      </c>
      <c r="AJ123" s="381">
        <f t="shared" si="116"/>
        <v>8720</v>
      </c>
      <c r="AK123" s="1024">
        <f t="shared" si="83"/>
        <v>2344</v>
      </c>
      <c r="AL123" s="425">
        <f>+AJ123*AN120</f>
        <v>32379.278399999999</v>
      </c>
      <c r="AM123" s="1041">
        <f t="shared" si="84"/>
        <v>8703.7876799999995</v>
      </c>
      <c r="AN123" s="382" t="s">
        <v>97</v>
      </c>
      <c r="AO123" s="622" t="s">
        <v>433</v>
      </c>
      <c r="AP123" s="39" t="s">
        <v>98</v>
      </c>
      <c r="AQ123" s="56">
        <f>AQ122-AQ121</f>
        <v>17280</v>
      </c>
      <c r="AR123" s="70">
        <f>AR122-AR121</f>
        <v>9440</v>
      </c>
      <c r="AS123" s="70">
        <f>AS122-AS121</f>
        <v>-18000</v>
      </c>
      <c r="AT123" s="70">
        <f>AT122-AT121</f>
        <v>0</v>
      </c>
      <c r="AU123" s="70">
        <f>AU122-AU121</f>
        <v>0</v>
      </c>
      <c r="AV123" s="57">
        <f t="shared" si="115"/>
        <v>8720</v>
      </c>
    </row>
    <row r="124" spans="1:48" ht="19.899999999999999" customHeight="1">
      <c r="A124" s="403"/>
      <c r="B124" s="658"/>
      <c r="C124" s="431" t="s">
        <v>95</v>
      </c>
      <c r="D124" s="61" t="s">
        <v>101</v>
      </c>
      <c r="E124" s="1098">
        <v>0</v>
      </c>
      <c r="F124" s="1099">
        <v>0</v>
      </c>
      <c r="G124" s="1208">
        <v>0</v>
      </c>
      <c r="H124" s="1099">
        <v>240</v>
      </c>
      <c r="I124" s="1099">
        <v>0</v>
      </c>
      <c r="J124" s="1208">
        <v>240</v>
      </c>
      <c r="K124" s="1208">
        <v>0</v>
      </c>
      <c r="L124" s="1099">
        <v>0</v>
      </c>
      <c r="M124" s="1099">
        <v>280</v>
      </c>
      <c r="N124" s="1099">
        <v>0</v>
      </c>
      <c r="O124" s="1099">
        <v>120</v>
      </c>
      <c r="P124" s="1099">
        <v>0</v>
      </c>
      <c r="Q124" s="1208">
        <v>0</v>
      </c>
      <c r="R124" s="1208">
        <v>0</v>
      </c>
      <c r="S124" s="1099">
        <v>0</v>
      </c>
      <c r="T124" s="1099">
        <v>0</v>
      </c>
      <c r="U124" s="1099">
        <v>0</v>
      </c>
      <c r="V124" s="1099">
        <v>0</v>
      </c>
      <c r="W124" s="1099">
        <v>0</v>
      </c>
      <c r="X124" s="1208">
        <v>0</v>
      </c>
      <c r="Y124" s="1208">
        <v>0</v>
      </c>
      <c r="Z124" s="1099">
        <v>0</v>
      </c>
      <c r="AA124" s="1099">
        <v>0</v>
      </c>
      <c r="AB124" s="1099"/>
      <c r="AC124" s="1099"/>
      <c r="AD124" s="1099"/>
      <c r="AE124" s="1208"/>
      <c r="AF124" s="1208"/>
      <c r="AG124" s="1099"/>
      <c r="AH124" s="1099"/>
      <c r="AI124" s="1099"/>
      <c r="AJ124" s="384">
        <f>SUM(E124:AI124)</f>
        <v>880</v>
      </c>
      <c r="AK124" s="1024">
        <f t="shared" si="83"/>
        <v>1744</v>
      </c>
      <c r="AL124" s="420">
        <f>+AJ124*AN120</f>
        <v>3267.6335999999997</v>
      </c>
      <c r="AM124" s="1040">
        <f t="shared" si="84"/>
        <v>6475.8556799999997</v>
      </c>
      <c r="AN124" s="385">
        <f>+AJ124/AJ122</f>
        <v>5.5443548387096777E-3</v>
      </c>
      <c r="AO124" s="622">
        <f>AJ120*B126/1000</f>
        <v>0</v>
      </c>
      <c r="AP124" s="39" t="s">
        <v>102</v>
      </c>
      <c r="AQ124" s="56">
        <f>SUM(E124:H124)</f>
        <v>240</v>
      </c>
      <c r="AR124" s="70">
        <f>SUM(I124:O124)</f>
        <v>640</v>
      </c>
      <c r="AS124" s="70">
        <f>SUM(P124:V124)</f>
        <v>0</v>
      </c>
      <c r="AT124" s="70">
        <f>SUM(W124:AC124)</f>
        <v>0</v>
      </c>
      <c r="AU124" s="70">
        <f>SUM(AD124:AI124)</f>
        <v>0</v>
      </c>
      <c r="AV124" s="57">
        <f t="shared" si="115"/>
        <v>880</v>
      </c>
    </row>
    <row r="125" spans="1:48" ht="19.899999999999999" customHeight="1">
      <c r="A125" s="403"/>
      <c r="B125" s="211" t="s">
        <v>434</v>
      </c>
      <c r="C125" s="60" t="s">
        <v>409</v>
      </c>
      <c r="D125" s="67" t="s">
        <v>103</v>
      </c>
      <c r="E125" s="1100">
        <v>216</v>
      </c>
      <c r="F125" s="1101">
        <v>216</v>
      </c>
      <c r="G125" s="1209">
        <v>336</v>
      </c>
      <c r="H125" s="1101">
        <v>296</v>
      </c>
      <c r="I125" s="1101">
        <v>256</v>
      </c>
      <c r="J125" s="1209">
        <v>192</v>
      </c>
      <c r="K125" s="1209">
        <v>192</v>
      </c>
      <c r="L125" s="1101">
        <v>192</v>
      </c>
      <c r="M125" s="1101">
        <v>192</v>
      </c>
      <c r="N125" s="1101">
        <v>216</v>
      </c>
      <c r="O125" s="1101">
        <v>40</v>
      </c>
      <c r="P125" s="1101">
        <v>0</v>
      </c>
      <c r="Q125" s="1209">
        <v>0</v>
      </c>
      <c r="R125" s="1209">
        <v>0</v>
      </c>
      <c r="S125" s="1101">
        <v>0</v>
      </c>
      <c r="T125" s="1101">
        <v>0</v>
      </c>
      <c r="U125" s="1101">
        <v>0</v>
      </c>
      <c r="V125" s="1101">
        <v>0</v>
      </c>
      <c r="W125" s="1101">
        <v>0</v>
      </c>
      <c r="X125" s="1209">
        <v>0</v>
      </c>
      <c r="Y125" s="1209">
        <v>0</v>
      </c>
      <c r="Z125" s="1101">
        <v>0</v>
      </c>
      <c r="AA125" s="1101">
        <v>0</v>
      </c>
      <c r="AB125" s="1101"/>
      <c r="AC125" s="1101"/>
      <c r="AD125" s="1101"/>
      <c r="AE125" s="1209"/>
      <c r="AF125" s="1209"/>
      <c r="AG125" s="1101"/>
      <c r="AH125" s="1101"/>
      <c r="AI125" s="1101"/>
      <c r="AJ125" s="386">
        <f>SUM(E125:AI125)</f>
        <v>2344</v>
      </c>
      <c r="AK125" s="1024">
        <f t="shared" si="83"/>
        <v>0</v>
      </c>
      <c r="AL125" s="426">
        <f>+AJ125*AN120</f>
        <v>8703.7876799999995</v>
      </c>
      <c r="AM125" s="1040">
        <f t="shared" si="84"/>
        <v>0</v>
      </c>
      <c r="AN125" s="382"/>
      <c r="AO125" s="632">
        <f>(AJ125+AJ127+AJ128+AJ129)*B126/1000</f>
        <v>0</v>
      </c>
      <c r="AP125" s="39" t="s">
        <v>19</v>
      </c>
      <c r="AQ125" s="56">
        <f>AQ124*AN120</f>
        <v>891.17279999999994</v>
      </c>
      <c r="AR125" s="56">
        <f>AR124*AN120</f>
        <v>2376.4607999999998</v>
      </c>
      <c r="AS125" s="56">
        <f>AS124*AN120</f>
        <v>0</v>
      </c>
      <c r="AT125" s="56">
        <f>AT124*AN120</f>
        <v>0</v>
      </c>
      <c r="AU125" s="56">
        <f>AU124*AN120</f>
        <v>0</v>
      </c>
      <c r="AV125" s="57">
        <f t="shared" si="115"/>
        <v>3267.6335999999997</v>
      </c>
    </row>
    <row r="126" spans="1:48" ht="19.899999999999999" customHeight="1">
      <c r="A126" s="403"/>
      <c r="B126" s="658"/>
      <c r="C126" s="387"/>
      <c r="D126" s="73" t="s">
        <v>105</v>
      </c>
      <c r="E126" s="1102">
        <v>128</v>
      </c>
      <c r="F126" s="1103">
        <v>160</v>
      </c>
      <c r="G126" s="1210">
        <v>192</v>
      </c>
      <c r="H126" s="1103">
        <v>176</v>
      </c>
      <c r="I126" s="1103">
        <v>176</v>
      </c>
      <c r="J126" s="1210">
        <v>192</v>
      </c>
      <c r="K126" s="1210">
        <v>192</v>
      </c>
      <c r="L126" s="1103">
        <v>160</v>
      </c>
      <c r="M126" s="1103">
        <v>176</v>
      </c>
      <c r="N126" s="1103">
        <v>192</v>
      </c>
      <c r="O126" s="1103">
        <v>0</v>
      </c>
      <c r="P126" s="1103">
        <v>0</v>
      </c>
      <c r="Q126" s="1210">
        <v>0</v>
      </c>
      <c r="R126" s="1210">
        <v>0</v>
      </c>
      <c r="S126" s="1103">
        <v>0</v>
      </c>
      <c r="T126" s="1103">
        <v>0</v>
      </c>
      <c r="U126" s="1103">
        <v>0</v>
      </c>
      <c r="V126" s="1103">
        <v>0</v>
      </c>
      <c r="W126" s="1103">
        <v>0</v>
      </c>
      <c r="X126" s="1210">
        <v>0</v>
      </c>
      <c r="Y126" s="1210">
        <v>0</v>
      </c>
      <c r="Z126" s="1103">
        <v>0</v>
      </c>
      <c r="AA126" s="1103">
        <v>0</v>
      </c>
      <c r="AB126" s="1103"/>
      <c r="AC126" s="1103"/>
      <c r="AD126" s="1103"/>
      <c r="AE126" s="1210"/>
      <c r="AF126" s="1210"/>
      <c r="AG126" s="1103"/>
      <c r="AH126" s="1103"/>
      <c r="AI126" s="1103"/>
      <c r="AJ126" s="388">
        <f>SUM(E126:AI126)</f>
        <v>1744</v>
      </c>
      <c r="AK126" s="1024">
        <f t="shared" si="83"/>
        <v>20461</v>
      </c>
      <c r="AL126" s="427">
        <f>+AJ126*AN120</f>
        <v>6475.8556799999997</v>
      </c>
      <c r="AM126" s="1040">
        <f t="shared" si="84"/>
        <v>0</v>
      </c>
      <c r="AN126" s="382"/>
      <c r="AO126" s="622"/>
      <c r="AP126" s="47" t="s">
        <v>106</v>
      </c>
      <c r="AQ126" s="48">
        <f>AQ122*AN120</f>
        <v>242399.00159999999</v>
      </c>
      <c r="AR126" s="48">
        <f>AR122*AN120</f>
        <v>346963.27679999999</v>
      </c>
      <c r="AS126" s="48">
        <f>AS122*AN120</f>
        <v>0</v>
      </c>
      <c r="AT126" s="48">
        <f>AT122*AN120</f>
        <v>0</v>
      </c>
      <c r="AU126" s="48">
        <f>AU122*AN120</f>
        <v>0</v>
      </c>
      <c r="AV126" s="50">
        <f t="shared" si="115"/>
        <v>589362.27839999995</v>
      </c>
    </row>
    <row r="127" spans="1:48" ht="19.899999999999999" customHeight="1">
      <c r="A127" s="403"/>
      <c r="B127" s="390"/>
      <c r="C127" s="387" t="s">
        <v>435</v>
      </c>
      <c r="D127" s="78" t="s">
        <v>107</v>
      </c>
      <c r="E127" s="1137">
        <v>8</v>
      </c>
      <c r="F127" s="1097">
        <v>8</v>
      </c>
      <c r="G127" s="1205">
        <v>8</v>
      </c>
      <c r="H127" s="1097">
        <v>8</v>
      </c>
      <c r="I127" s="1097">
        <v>8</v>
      </c>
      <c r="J127" s="1205">
        <v>8</v>
      </c>
      <c r="K127" s="1205">
        <v>8</v>
      </c>
      <c r="L127" s="1097">
        <v>8</v>
      </c>
      <c r="M127" s="1097">
        <v>8</v>
      </c>
      <c r="N127" s="1097">
        <v>8</v>
      </c>
      <c r="O127" s="1097">
        <v>8</v>
      </c>
      <c r="P127" s="1097">
        <v>8</v>
      </c>
      <c r="Q127" s="1205">
        <v>8</v>
      </c>
      <c r="R127" s="1205">
        <v>8</v>
      </c>
      <c r="S127" s="1097">
        <v>8</v>
      </c>
      <c r="T127" s="1097">
        <v>8</v>
      </c>
      <c r="U127" s="1097">
        <v>8</v>
      </c>
      <c r="V127" s="1097">
        <v>8</v>
      </c>
      <c r="W127" s="1097">
        <v>8</v>
      </c>
      <c r="X127" s="1205">
        <v>8</v>
      </c>
      <c r="Y127" s="1205">
        <v>8</v>
      </c>
      <c r="Z127" s="1097">
        <v>8</v>
      </c>
      <c r="AA127" s="1097">
        <v>8</v>
      </c>
      <c r="AB127" s="1097">
        <v>8</v>
      </c>
      <c r="AC127" s="1097">
        <v>8</v>
      </c>
      <c r="AD127" s="1097">
        <v>8</v>
      </c>
      <c r="AE127" s="1205">
        <v>8</v>
      </c>
      <c r="AF127" s="1205">
        <v>8</v>
      </c>
      <c r="AG127" s="1097">
        <v>8</v>
      </c>
      <c r="AH127" s="1097">
        <v>8</v>
      </c>
      <c r="AI127" s="1097">
        <v>8</v>
      </c>
      <c r="AJ127" s="381"/>
      <c r="AK127" s="1024">
        <f t="shared" si="83"/>
        <v>0</v>
      </c>
      <c r="AL127" s="425"/>
      <c r="AM127" s="1041">
        <f t="shared" si="84"/>
        <v>0</v>
      </c>
      <c r="AN127" s="382"/>
      <c r="AO127" s="622"/>
      <c r="AP127" s="391"/>
      <c r="AQ127" s="391"/>
      <c r="AR127" s="4"/>
      <c r="AS127" s="4"/>
      <c r="AT127" s="392"/>
      <c r="AU127" s="4"/>
      <c r="AV127" s="4"/>
    </row>
    <row r="128" spans="1:48" ht="19.899999999999999" customHeight="1">
      <c r="A128" s="405"/>
      <c r="B128" s="390"/>
      <c r="C128" s="379">
        <v>50000</v>
      </c>
      <c r="D128" s="81" t="s">
        <v>109</v>
      </c>
      <c r="E128" s="1156">
        <f>SUM(E122+E124+E125+E126)/E127</f>
        <v>2083</v>
      </c>
      <c r="F128" s="1156">
        <f t="shared" ref="F128:AI128" si="117">SUM(F122+F124+F125+F126)/F127</f>
        <v>2207</v>
      </c>
      <c r="G128" s="1227">
        <f t="shared" si="117"/>
        <v>2106</v>
      </c>
      <c r="H128" s="1156">
        <f t="shared" si="117"/>
        <v>2009</v>
      </c>
      <c r="I128" s="1156">
        <f t="shared" si="117"/>
        <v>1934</v>
      </c>
      <c r="J128" s="1227">
        <f t="shared" si="117"/>
        <v>2118</v>
      </c>
      <c r="K128" s="1227">
        <f t="shared" si="117"/>
        <v>2168</v>
      </c>
      <c r="L128" s="1156">
        <f t="shared" si="117"/>
        <v>1804</v>
      </c>
      <c r="M128" s="1156">
        <f>SUM(M122+M124+M125+M126)/M127</f>
        <v>1761</v>
      </c>
      <c r="N128" s="1156">
        <f t="shared" si="117"/>
        <v>2091</v>
      </c>
      <c r="O128" s="1156">
        <f t="shared" si="117"/>
        <v>180</v>
      </c>
      <c r="P128" s="1156">
        <f t="shared" si="117"/>
        <v>0</v>
      </c>
      <c r="Q128" s="1227">
        <f t="shared" si="117"/>
        <v>0</v>
      </c>
      <c r="R128" s="1227">
        <f t="shared" si="117"/>
        <v>0</v>
      </c>
      <c r="S128" s="1156">
        <f t="shared" si="117"/>
        <v>0</v>
      </c>
      <c r="T128" s="1156">
        <f t="shared" si="117"/>
        <v>0</v>
      </c>
      <c r="U128" s="1156">
        <f t="shared" si="117"/>
        <v>0</v>
      </c>
      <c r="V128" s="1156">
        <f t="shared" si="117"/>
        <v>0</v>
      </c>
      <c r="W128" s="1156">
        <f t="shared" si="117"/>
        <v>0</v>
      </c>
      <c r="X128" s="1227">
        <f t="shared" si="117"/>
        <v>0</v>
      </c>
      <c r="Y128" s="1227">
        <f>SUM(Y122+Y124+Y125+Y126)/Y127</f>
        <v>0</v>
      </c>
      <c r="Z128" s="1156">
        <f>SUM(Z122+Z124+Z125+Z126)/Z127</f>
        <v>0</v>
      </c>
      <c r="AA128" s="1156">
        <f t="shared" si="117"/>
        <v>0</v>
      </c>
      <c r="AB128" s="1156">
        <f t="shared" si="117"/>
        <v>0</v>
      </c>
      <c r="AC128" s="1156">
        <f t="shared" si="117"/>
        <v>0</v>
      </c>
      <c r="AD128" s="1156">
        <f t="shared" si="117"/>
        <v>0</v>
      </c>
      <c r="AE128" s="1227">
        <f t="shared" si="117"/>
        <v>0</v>
      </c>
      <c r="AF128" s="1227">
        <f t="shared" si="117"/>
        <v>0</v>
      </c>
      <c r="AG128" s="1156">
        <f t="shared" si="117"/>
        <v>0</v>
      </c>
      <c r="AH128" s="1156">
        <f t="shared" si="117"/>
        <v>0</v>
      </c>
      <c r="AI128" s="1156">
        <f t="shared" si="117"/>
        <v>0</v>
      </c>
      <c r="AJ128" s="410">
        <f>SUM(E128:AI128)</f>
        <v>20461</v>
      </c>
      <c r="AK128" s="1029">
        <f t="shared" si="83"/>
        <v>0</v>
      </c>
      <c r="AL128" s="419"/>
      <c r="AM128" s="1040">
        <f t="shared" si="84"/>
        <v>0</v>
      </c>
      <c r="AN128" s="382"/>
      <c r="AO128" s="622"/>
      <c r="AP128" s="391"/>
      <c r="AQ128" s="391"/>
      <c r="AR128" s="4"/>
      <c r="AS128" s="4"/>
      <c r="AT128" s="392"/>
      <c r="AU128" s="4"/>
      <c r="AV128" s="4"/>
    </row>
    <row r="129" spans="1:48" ht="19.899999999999999" customHeight="1">
      <c r="A129" s="403"/>
      <c r="B129" s="334" t="s">
        <v>30</v>
      </c>
      <c r="C129" s="89" t="s">
        <v>108</v>
      </c>
      <c r="D129" s="85" t="s">
        <v>110</v>
      </c>
      <c r="E129" s="1366"/>
      <c r="F129" s="1172"/>
      <c r="G129" s="1263"/>
      <c r="H129" s="1172"/>
      <c r="I129" s="1172"/>
      <c r="J129" s="1281"/>
      <c r="K129" s="1263"/>
      <c r="L129" s="1172"/>
      <c r="M129" s="1172"/>
      <c r="N129" s="1174"/>
      <c r="O129" s="1173" t="s">
        <v>534</v>
      </c>
      <c r="P129" s="1173"/>
      <c r="Q129" s="1281"/>
      <c r="R129" s="1281"/>
      <c r="S129" s="1173"/>
      <c r="T129" s="1107"/>
      <c r="U129" s="1173"/>
      <c r="V129" s="1173"/>
      <c r="W129" s="1173"/>
      <c r="X129" s="1281"/>
      <c r="Y129" s="1281"/>
      <c r="Z129" s="1155"/>
      <c r="AA129" s="1173"/>
      <c r="AB129" s="1173"/>
      <c r="AC129" s="1173"/>
      <c r="AD129" s="1173"/>
      <c r="AE129" s="1281"/>
      <c r="AF129" s="1281"/>
      <c r="AG129" s="1173"/>
      <c r="AH129" s="1173"/>
      <c r="AI129" s="1173"/>
      <c r="AJ129" s="394"/>
      <c r="AK129" s="1025">
        <f t="shared" si="83"/>
        <v>0</v>
      </c>
      <c r="AL129" s="419"/>
      <c r="AM129" s="1040">
        <f t="shared" si="84"/>
        <v>0</v>
      </c>
      <c r="AN129" s="382"/>
      <c r="AO129" s="622"/>
      <c r="AP129" s="391"/>
      <c r="AQ129" s="391"/>
      <c r="AR129" s="4"/>
      <c r="AS129" s="4"/>
      <c r="AT129" s="392"/>
      <c r="AU129" s="4"/>
      <c r="AV129" s="4"/>
    </row>
    <row r="130" spans="1:48" ht="19.899999999999999" customHeight="1">
      <c r="A130" s="403"/>
      <c r="B130" s="334" t="s">
        <v>436</v>
      </c>
      <c r="C130" s="383">
        <f>+C128*0.8</f>
        <v>40000</v>
      </c>
      <c r="D130" s="88" t="s">
        <v>111</v>
      </c>
      <c r="E130" s="1475">
        <f>IF(E129="O/H",E128,35516+E128)</f>
        <v>37599</v>
      </c>
      <c r="F130" s="1476">
        <f>IF(F129="O/H",F128,+E130+F128)</f>
        <v>39806</v>
      </c>
      <c r="G130" s="1264">
        <f t="shared" ref="G130:AI130" si="118">IF(G129="O/H",G128,+F130+G128)</f>
        <v>41912</v>
      </c>
      <c r="H130" s="1476">
        <f t="shared" si="118"/>
        <v>43921</v>
      </c>
      <c r="I130" s="1476">
        <f t="shared" si="118"/>
        <v>45855</v>
      </c>
      <c r="J130" s="1264">
        <f t="shared" si="118"/>
        <v>47973</v>
      </c>
      <c r="K130" s="1264">
        <f t="shared" si="118"/>
        <v>50141</v>
      </c>
      <c r="L130" s="1476">
        <f t="shared" si="118"/>
        <v>51945</v>
      </c>
      <c r="M130" s="1476">
        <f t="shared" si="118"/>
        <v>53706</v>
      </c>
      <c r="N130" s="1476">
        <f t="shared" si="118"/>
        <v>55797</v>
      </c>
      <c r="O130" s="1476">
        <f t="shared" si="118"/>
        <v>180</v>
      </c>
      <c r="P130" s="1476">
        <f t="shared" si="118"/>
        <v>180</v>
      </c>
      <c r="Q130" s="1264">
        <f t="shared" si="118"/>
        <v>180</v>
      </c>
      <c r="R130" s="1264">
        <f t="shared" si="118"/>
        <v>180</v>
      </c>
      <c r="S130" s="1157">
        <f t="shared" si="118"/>
        <v>180</v>
      </c>
      <c r="T130" s="1157">
        <f t="shared" si="118"/>
        <v>180</v>
      </c>
      <c r="U130" s="1157">
        <f t="shared" si="118"/>
        <v>180</v>
      </c>
      <c r="V130" s="1157">
        <f t="shared" si="118"/>
        <v>180</v>
      </c>
      <c r="W130" s="1157">
        <f t="shared" si="118"/>
        <v>180</v>
      </c>
      <c r="X130" s="1264">
        <f t="shared" si="118"/>
        <v>180</v>
      </c>
      <c r="Y130" s="1264">
        <f t="shared" si="118"/>
        <v>180</v>
      </c>
      <c r="Z130" s="1476">
        <f t="shared" si="118"/>
        <v>180</v>
      </c>
      <c r="AA130" s="1476">
        <f t="shared" si="118"/>
        <v>180</v>
      </c>
      <c r="AB130" s="1476">
        <f t="shared" si="118"/>
        <v>180</v>
      </c>
      <c r="AC130" s="1476">
        <f t="shared" si="118"/>
        <v>180</v>
      </c>
      <c r="AD130" s="1476">
        <f t="shared" si="118"/>
        <v>180</v>
      </c>
      <c r="AE130" s="1264">
        <f t="shared" si="118"/>
        <v>180</v>
      </c>
      <c r="AF130" s="1264">
        <f t="shared" si="118"/>
        <v>180</v>
      </c>
      <c r="AG130" s="1476">
        <f t="shared" si="118"/>
        <v>180</v>
      </c>
      <c r="AH130" s="1476">
        <f t="shared" si="118"/>
        <v>180</v>
      </c>
      <c r="AI130" s="1157">
        <f t="shared" si="118"/>
        <v>180</v>
      </c>
      <c r="AJ130" s="394"/>
      <c r="AK130" s="1025">
        <f t="shared" si="83"/>
        <v>0</v>
      </c>
      <c r="AL130" s="419"/>
      <c r="AM130" s="1040">
        <f t="shared" si="84"/>
        <v>0</v>
      </c>
      <c r="AN130" s="382"/>
      <c r="AO130" s="622"/>
      <c r="AP130" s="391"/>
      <c r="AQ130" s="391"/>
      <c r="AR130" s="4"/>
      <c r="AS130" s="4"/>
      <c r="AT130" s="392"/>
      <c r="AU130" s="4"/>
      <c r="AV130" s="4"/>
    </row>
    <row r="131" spans="1:48" ht="19.899999999999999" customHeight="1">
      <c r="A131" s="403"/>
      <c r="B131" s="59"/>
      <c r="C131" s="387"/>
      <c r="D131" s="395" t="s">
        <v>435</v>
      </c>
      <c r="E131" s="1365"/>
      <c r="F131" s="1107"/>
      <c r="G131" s="1228"/>
      <c r="H131" s="1107"/>
      <c r="I131" s="1107"/>
      <c r="J131" s="1228"/>
      <c r="K131" s="1228"/>
      <c r="L131" s="1107"/>
      <c r="M131" s="1107"/>
      <c r="N131" s="1177"/>
      <c r="O131" s="1107" t="s">
        <v>534</v>
      </c>
      <c r="P131" s="1177"/>
      <c r="Q131" s="1228"/>
      <c r="R131" s="1228"/>
      <c r="S131" s="1107"/>
      <c r="T131" s="1107"/>
      <c r="U131" s="1107"/>
      <c r="V131" s="1107"/>
      <c r="W131" s="1107"/>
      <c r="X131" s="1228"/>
      <c r="Y131" s="1228"/>
      <c r="Z131" s="1155"/>
      <c r="AA131" s="1107"/>
      <c r="AB131" s="1107"/>
      <c r="AC131" s="1107"/>
      <c r="AD131" s="1107"/>
      <c r="AE131" s="1228"/>
      <c r="AF131" s="1228"/>
      <c r="AG131" s="1107"/>
      <c r="AH131" s="1107"/>
      <c r="AI131" s="1107"/>
      <c r="AJ131" s="396"/>
      <c r="AK131" s="1024">
        <f t="shared" si="83"/>
        <v>0</v>
      </c>
      <c r="AL131" s="420"/>
      <c r="AM131" s="1040">
        <f t="shared" si="84"/>
        <v>0</v>
      </c>
      <c r="AN131" s="382"/>
      <c r="AO131" s="622"/>
      <c r="AP131" s="391"/>
      <c r="AQ131" s="391"/>
    </row>
    <row r="132" spans="1:48" ht="19.899999999999999" customHeight="1">
      <c r="A132" s="403"/>
      <c r="B132" s="59"/>
      <c r="C132" s="387" t="s">
        <v>104</v>
      </c>
      <c r="D132" s="88" t="s">
        <v>111</v>
      </c>
      <c r="E132" s="1477">
        <f>IF(E131="O/H",E128,33503+E128)</f>
        <v>35586</v>
      </c>
      <c r="F132" s="1476">
        <f>IF(F131="O/H",F128,+E132+F128)</f>
        <v>37793</v>
      </c>
      <c r="G132" s="1264">
        <f t="shared" ref="G132:AI132" si="119">IF(G131="O/H",G128,+F132+G128)</f>
        <v>39899</v>
      </c>
      <c r="H132" s="1476">
        <f t="shared" si="119"/>
        <v>41908</v>
      </c>
      <c r="I132" s="1476">
        <f t="shared" si="119"/>
        <v>43842</v>
      </c>
      <c r="J132" s="1264">
        <f t="shared" si="119"/>
        <v>45960</v>
      </c>
      <c r="K132" s="1264">
        <f t="shared" si="119"/>
        <v>48128</v>
      </c>
      <c r="L132" s="1476">
        <f t="shared" si="119"/>
        <v>49932</v>
      </c>
      <c r="M132" s="1476">
        <f t="shared" si="119"/>
        <v>51693</v>
      </c>
      <c r="N132" s="1476">
        <f t="shared" si="119"/>
        <v>53784</v>
      </c>
      <c r="O132" s="1476">
        <f t="shared" si="119"/>
        <v>180</v>
      </c>
      <c r="P132" s="1476">
        <f t="shared" si="119"/>
        <v>180</v>
      </c>
      <c r="Q132" s="1264">
        <f t="shared" si="119"/>
        <v>180</v>
      </c>
      <c r="R132" s="1264">
        <f t="shared" si="119"/>
        <v>180</v>
      </c>
      <c r="S132" s="1157">
        <f t="shared" si="119"/>
        <v>180</v>
      </c>
      <c r="T132" s="1157">
        <f t="shared" si="119"/>
        <v>180</v>
      </c>
      <c r="U132" s="1157">
        <f t="shared" si="119"/>
        <v>180</v>
      </c>
      <c r="V132" s="1157">
        <f t="shared" si="119"/>
        <v>180</v>
      </c>
      <c r="W132" s="1157">
        <f t="shared" si="119"/>
        <v>180</v>
      </c>
      <c r="X132" s="1264">
        <f t="shared" si="119"/>
        <v>180</v>
      </c>
      <c r="Y132" s="1264">
        <f t="shared" si="119"/>
        <v>180</v>
      </c>
      <c r="Z132" s="1476">
        <f t="shared" si="119"/>
        <v>180</v>
      </c>
      <c r="AA132" s="1476">
        <f t="shared" si="119"/>
        <v>180</v>
      </c>
      <c r="AB132" s="1476">
        <f t="shared" si="119"/>
        <v>180</v>
      </c>
      <c r="AC132" s="1476">
        <f t="shared" si="119"/>
        <v>180</v>
      </c>
      <c r="AD132" s="1476">
        <f t="shared" si="119"/>
        <v>180</v>
      </c>
      <c r="AE132" s="1264">
        <f t="shared" si="119"/>
        <v>180</v>
      </c>
      <c r="AF132" s="1264">
        <f t="shared" si="119"/>
        <v>180</v>
      </c>
      <c r="AG132" s="1476">
        <f t="shared" si="119"/>
        <v>180</v>
      </c>
      <c r="AH132" s="1476">
        <f t="shared" si="119"/>
        <v>180</v>
      </c>
      <c r="AI132" s="1157">
        <f t="shared" si="119"/>
        <v>180</v>
      </c>
      <c r="AJ132" s="396"/>
      <c r="AK132" s="1024">
        <f t="shared" si="83"/>
        <v>0</v>
      </c>
      <c r="AL132" s="420"/>
      <c r="AM132" s="1040">
        <f t="shared" si="84"/>
        <v>0</v>
      </c>
      <c r="AN132" s="382"/>
      <c r="AO132" s="622"/>
      <c r="AP132" s="391"/>
      <c r="AQ132" s="391"/>
    </row>
    <row r="133" spans="1:48" s="23" customFormat="1" ht="20.45" customHeight="1">
      <c r="A133" s="312"/>
      <c r="B133" s="312" t="s">
        <v>543</v>
      </c>
      <c r="C133" s="379">
        <v>150000</v>
      </c>
      <c r="D133" s="795" t="s">
        <v>112</v>
      </c>
      <c r="E133" s="1117">
        <f>IF(AND(ISNUMBER(E122)),144893+E128)</f>
        <v>146976</v>
      </c>
      <c r="F133" s="1118">
        <f>IF(AND(ISNUMBER(F122)),E133+F128,"")</f>
        <v>149183</v>
      </c>
      <c r="G133" s="1216">
        <f>IF(AND(ISNUMBER(G122)),F133+G128,"")</f>
        <v>151289</v>
      </c>
      <c r="H133" s="1118">
        <f t="shared" ref="H133:AI133" si="120">IF(AND(ISNUMBER(H122)),G133+H128,"")</f>
        <v>153298</v>
      </c>
      <c r="I133" s="1118">
        <f t="shared" si="120"/>
        <v>155232</v>
      </c>
      <c r="J133" s="1216">
        <f t="shared" si="120"/>
        <v>157350</v>
      </c>
      <c r="K133" s="1216">
        <f t="shared" si="120"/>
        <v>159518</v>
      </c>
      <c r="L133" s="1118">
        <f t="shared" si="120"/>
        <v>161322</v>
      </c>
      <c r="M133" s="1118">
        <f t="shared" si="120"/>
        <v>163083</v>
      </c>
      <c r="N133" s="1118">
        <f t="shared" si="120"/>
        <v>165174</v>
      </c>
      <c r="O133" s="1118">
        <f t="shared" si="120"/>
        <v>165354</v>
      </c>
      <c r="P133" s="1118">
        <f t="shared" si="120"/>
        <v>165354</v>
      </c>
      <c r="Q133" s="1216">
        <f t="shared" si="120"/>
        <v>165354</v>
      </c>
      <c r="R133" s="1216">
        <f t="shared" si="120"/>
        <v>165354</v>
      </c>
      <c r="S133" s="1118">
        <f t="shared" si="120"/>
        <v>165354</v>
      </c>
      <c r="T133" s="1118">
        <f t="shared" si="120"/>
        <v>165354</v>
      </c>
      <c r="U133" s="1118">
        <f t="shared" si="120"/>
        <v>165354</v>
      </c>
      <c r="V133" s="1118">
        <f t="shared" si="120"/>
        <v>165354</v>
      </c>
      <c r="W133" s="1118">
        <f t="shared" si="120"/>
        <v>165354</v>
      </c>
      <c r="X133" s="1216">
        <f t="shared" si="120"/>
        <v>165354</v>
      </c>
      <c r="Y133" s="1216">
        <f t="shared" si="120"/>
        <v>165354</v>
      </c>
      <c r="Z133" s="1118">
        <f t="shared" si="120"/>
        <v>165354</v>
      </c>
      <c r="AA133" s="1118">
        <f t="shared" si="120"/>
        <v>165354</v>
      </c>
      <c r="AB133" s="1118" t="str">
        <f t="shared" si="120"/>
        <v/>
      </c>
      <c r="AC133" s="1118" t="str">
        <f t="shared" si="120"/>
        <v/>
      </c>
      <c r="AD133" s="1118" t="str">
        <f t="shared" si="120"/>
        <v/>
      </c>
      <c r="AE133" s="1216" t="str">
        <f t="shared" si="120"/>
        <v/>
      </c>
      <c r="AF133" s="1216" t="str">
        <f t="shared" si="120"/>
        <v/>
      </c>
      <c r="AG133" s="1118" t="str">
        <f t="shared" si="120"/>
        <v/>
      </c>
      <c r="AH133" s="1118" t="str">
        <f t="shared" si="120"/>
        <v/>
      </c>
      <c r="AI133" s="1118" t="str">
        <f t="shared" si="120"/>
        <v/>
      </c>
      <c r="AJ133" s="793"/>
      <c r="AK133" s="1026">
        <f t="shared" si="83"/>
        <v>0</v>
      </c>
      <c r="AL133" s="897"/>
      <c r="AM133" s="1042">
        <f t="shared" si="84"/>
        <v>0</v>
      </c>
      <c r="AN133" s="468"/>
      <c r="AO133" s="675"/>
      <c r="AP133" s="285"/>
      <c r="AQ133" s="285"/>
      <c r="AR133" s="285"/>
      <c r="AS133" s="285"/>
      <c r="AT133" s="286"/>
      <c r="AU133" s="285"/>
      <c r="AV133" s="287"/>
    </row>
    <row r="134" spans="1:48" ht="19.899999999999999" customHeight="1">
      <c r="A134" s="403"/>
      <c r="B134" s="393"/>
      <c r="C134" s="89" t="s">
        <v>108</v>
      </c>
      <c r="D134" s="90" t="s">
        <v>104</v>
      </c>
      <c r="E134" s="1336"/>
      <c r="F134" s="1107"/>
      <c r="G134" s="1228"/>
      <c r="H134" s="1176"/>
      <c r="I134" s="1107"/>
      <c r="J134" s="1228"/>
      <c r="K134" s="1228"/>
      <c r="L134" s="1107"/>
      <c r="M134" s="1107"/>
      <c r="N134" s="1177"/>
      <c r="O134" s="1107"/>
      <c r="P134" s="1177"/>
      <c r="Q134" s="1228"/>
      <c r="R134" s="1228"/>
      <c r="S134" s="1107"/>
      <c r="T134" s="1107"/>
      <c r="U134" s="1107"/>
      <c r="V134" s="1107"/>
      <c r="W134" s="1107"/>
      <c r="X134" s="1228"/>
      <c r="Y134" s="1228"/>
      <c r="Z134" s="1155"/>
      <c r="AA134" s="1107"/>
      <c r="AB134" s="1107"/>
      <c r="AC134" s="1107"/>
      <c r="AD134" s="1107"/>
      <c r="AE134" s="1228"/>
      <c r="AF134" s="1228"/>
      <c r="AG134" s="1107"/>
      <c r="AH134" s="1107"/>
      <c r="AI134" s="1107"/>
      <c r="AJ134" s="396"/>
      <c r="AK134" s="1024">
        <f t="shared" si="83"/>
        <v>150000</v>
      </c>
      <c r="AL134" s="420"/>
      <c r="AM134" s="1040">
        <f t="shared" si="84"/>
        <v>658773</v>
      </c>
      <c r="AN134" s="382"/>
      <c r="AO134" s="622"/>
      <c r="AP134" s="391"/>
      <c r="AQ134" s="391"/>
    </row>
    <row r="135" spans="1:48" ht="19.899999999999999" customHeight="1" thickBot="1">
      <c r="A135" s="406"/>
      <c r="B135" s="398"/>
      <c r="C135" s="407">
        <f>+C133*0.8</f>
        <v>120000</v>
      </c>
      <c r="D135" s="95" t="s">
        <v>111</v>
      </c>
      <c r="E135" s="1478">
        <f>IF(E134="O/H",E128,46937+E128)</f>
        <v>49020</v>
      </c>
      <c r="F135" s="1479">
        <f>IF(F134="O/H",F128,+E135+F128)</f>
        <v>51227</v>
      </c>
      <c r="G135" s="1212">
        <f t="shared" ref="G135:AH135" si="121">IF(G134="O/H",G128,+F135+G128)</f>
        <v>53333</v>
      </c>
      <c r="H135" s="1479">
        <f t="shared" si="121"/>
        <v>55342</v>
      </c>
      <c r="I135" s="1479">
        <f t="shared" si="121"/>
        <v>57276</v>
      </c>
      <c r="J135" s="1212">
        <f t="shared" si="121"/>
        <v>59394</v>
      </c>
      <c r="K135" s="1212">
        <f t="shared" si="121"/>
        <v>61562</v>
      </c>
      <c r="L135" s="1479">
        <f t="shared" si="121"/>
        <v>63366</v>
      </c>
      <c r="M135" s="1479">
        <f t="shared" si="121"/>
        <v>65127</v>
      </c>
      <c r="N135" s="1479">
        <f t="shared" si="121"/>
        <v>67218</v>
      </c>
      <c r="O135" s="1479">
        <f t="shared" si="121"/>
        <v>67398</v>
      </c>
      <c r="P135" s="1479">
        <f t="shared" si="121"/>
        <v>67398</v>
      </c>
      <c r="Q135" s="1212">
        <f t="shared" si="121"/>
        <v>67398</v>
      </c>
      <c r="R135" s="1212">
        <f t="shared" si="121"/>
        <v>67398</v>
      </c>
      <c r="S135" s="1110">
        <f t="shared" si="121"/>
        <v>67398</v>
      </c>
      <c r="T135" s="1110">
        <f t="shared" si="121"/>
        <v>67398</v>
      </c>
      <c r="U135" s="1110">
        <f t="shared" si="121"/>
        <v>67398</v>
      </c>
      <c r="V135" s="1110">
        <f t="shared" si="121"/>
        <v>67398</v>
      </c>
      <c r="W135" s="1110">
        <f t="shared" si="121"/>
        <v>67398</v>
      </c>
      <c r="X135" s="1212">
        <f t="shared" si="121"/>
        <v>67398</v>
      </c>
      <c r="Y135" s="1212">
        <f t="shared" si="121"/>
        <v>67398</v>
      </c>
      <c r="Z135" s="1479">
        <f t="shared" si="121"/>
        <v>67398</v>
      </c>
      <c r="AA135" s="1479">
        <f t="shared" si="121"/>
        <v>67398</v>
      </c>
      <c r="AB135" s="1479">
        <f t="shared" si="121"/>
        <v>67398</v>
      </c>
      <c r="AC135" s="1479">
        <f t="shared" si="121"/>
        <v>67398</v>
      </c>
      <c r="AD135" s="1479">
        <f t="shared" si="121"/>
        <v>67398</v>
      </c>
      <c r="AE135" s="1212">
        <f t="shared" si="121"/>
        <v>67398</v>
      </c>
      <c r="AF135" s="1212">
        <f t="shared" si="121"/>
        <v>67398</v>
      </c>
      <c r="AG135" s="1479">
        <f t="shared" si="121"/>
        <v>67398</v>
      </c>
      <c r="AH135" s="1479">
        <f t="shared" si="121"/>
        <v>67398</v>
      </c>
      <c r="AI135" s="1109">
        <f t="shared" ref="AI135" si="122">IF(AI134="O/H",AI128,44849+AI128)</f>
        <v>44849</v>
      </c>
      <c r="AJ135" s="399"/>
      <c r="AK135" s="1027">
        <f t="shared" ref="AK135:AK198" si="123">AJ137</f>
        <v>0</v>
      </c>
      <c r="AL135" s="421"/>
      <c r="AM135" s="1043">
        <f t="shared" ref="AM135:AM198" si="124">AL137</f>
        <v>0</v>
      </c>
      <c r="AN135" s="894"/>
      <c r="AO135" s="625"/>
      <c r="AP135" s="391"/>
      <c r="AQ135" s="391"/>
    </row>
    <row r="136" spans="1:48" ht="19.899999999999999" customHeight="1" thickTop="1">
      <c r="A136" s="968" t="s">
        <v>594</v>
      </c>
      <c r="B136" s="393" t="s">
        <v>630</v>
      </c>
      <c r="C136" s="518" t="str">
        <f>Table37[[#This Row],[M/C No.]]</f>
        <v>R8(18ton)</v>
      </c>
      <c r="D136" s="28" t="s">
        <v>82</v>
      </c>
      <c r="E136" s="1124">
        <v>0</v>
      </c>
      <c r="F136" s="1124">
        <v>0</v>
      </c>
      <c r="G136" s="1242">
        <v>0</v>
      </c>
      <c r="H136" s="1124">
        <v>0</v>
      </c>
      <c r="I136" s="1124">
        <v>0</v>
      </c>
      <c r="J136" s="1242">
        <v>0</v>
      </c>
      <c r="K136" s="1242">
        <v>0</v>
      </c>
      <c r="L136" s="1124">
        <v>6000</v>
      </c>
      <c r="M136" s="1124">
        <v>18000</v>
      </c>
      <c r="N136" s="1124">
        <v>18000</v>
      </c>
      <c r="O136" s="1124">
        <v>18000</v>
      </c>
      <c r="P136" s="1124">
        <v>18000</v>
      </c>
      <c r="Q136" s="1242">
        <v>18000</v>
      </c>
      <c r="R136" s="1242">
        <v>18000</v>
      </c>
      <c r="S136" s="1124">
        <v>18000</v>
      </c>
      <c r="T136" s="1124">
        <v>18000</v>
      </c>
      <c r="U136" s="1124">
        <v>0</v>
      </c>
      <c r="V136" s="1124">
        <v>0</v>
      </c>
      <c r="W136" s="1124">
        <v>0</v>
      </c>
      <c r="X136" s="1242">
        <v>0</v>
      </c>
      <c r="Y136" s="1242">
        <v>0</v>
      </c>
      <c r="Z136" s="1124">
        <v>0</v>
      </c>
      <c r="AA136" s="1124">
        <v>0</v>
      </c>
      <c r="AB136" s="1124">
        <v>0</v>
      </c>
      <c r="AC136" s="1124">
        <v>0</v>
      </c>
      <c r="AD136" s="1124">
        <v>0</v>
      </c>
      <c r="AE136" s="1242">
        <v>0</v>
      </c>
      <c r="AF136" s="1242">
        <v>0</v>
      </c>
      <c r="AG136" s="1124">
        <v>0</v>
      </c>
      <c r="AH136" s="1124">
        <v>0</v>
      </c>
      <c r="AI136" s="1124"/>
      <c r="AJ136" s="375">
        <f>SUM(E136:AI136)</f>
        <v>150000</v>
      </c>
      <c r="AK136" s="1047">
        <f t="shared" si="123"/>
        <v>439200</v>
      </c>
      <c r="AL136" s="422">
        <f>+AJ136*AN136</f>
        <v>658773</v>
      </c>
      <c r="AM136" s="1046">
        <f t="shared" si="124"/>
        <v>1928887.344</v>
      </c>
      <c r="AN136" s="402">
        <v>4.3918200000000001</v>
      </c>
      <c r="AO136" s="622">
        <f>Table37[[#This Row],[Total]]*B140/1000</f>
        <v>168.52500000000001</v>
      </c>
      <c r="AP136" s="32" t="s">
        <v>454</v>
      </c>
      <c r="AQ136" s="33" t="s">
        <v>84</v>
      </c>
      <c r="AR136" s="33" t="s">
        <v>85</v>
      </c>
      <c r="AS136" s="33" t="s">
        <v>86</v>
      </c>
      <c r="AT136" s="33" t="s">
        <v>87</v>
      </c>
      <c r="AU136" s="33" t="s">
        <v>88</v>
      </c>
      <c r="AV136" s="34" t="s">
        <v>68</v>
      </c>
    </row>
    <row r="137" spans="1:48" ht="19.899999999999999" customHeight="1">
      <c r="A137" s="403"/>
      <c r="B137" s="393" t="s">
        <v>455</v>
      </c>
      <c r="C137" s="1251">
        <v>67500</v>
      </c>
      <c r="D137" s="37" t="s">
        <v>90</v>
      </c>
      <c r="E137" s="1323">
        <f>IF(E136="",0, E136/E143)</f>
        <v>0</v>
      </c>
      <c r="F137" s="1096">
        <f t="shared" ref="F137:AI137" si="125">IF(F136="",0, E137+F136/F143)</f>
        <v>0</v>
      </c>
      <c r="G137" s="1207">
        <f t="shared" si="125"/>
        <v>0</v>
      </c>
      <c r="H137" s="1096">
        <f t="shared" si="125"/>
        <v>0</v>
      </c>
      <c r="I137" s="1096">
        <f t="shared" si="125"/>
        <v>0</v>
      </c>
      <c r="J137" s="1207">
        <f t="shared" si="125"/>
        <v>0</v>
      </c>
      <c r="K137" s="1207">
        <f>IF(K136="",0, J137+K136/K143)</f>
        <v>0</v>
      </c>
      <c r="L137" s="1096">
        <f t="shared" si="125"/>
        <v>1500</v>
      </c>
      <c r="M137" s="1096">
        <f t="shared" si="125"/>
        <v>6000</v>
      </c>
      <c r="N137" s="1096">
        <f t="shared" si="125"/>
        <v>10500</v>
      </c>
      <c r="O137" s="1096">
        <f t="shared" si="125"/>
        <v>15000</v>
      </c>
      <c r="P137" s="1096">
        <f t="shared" si="125"/>
        <v>19500</v>
      </c>
      <c r="Q137" s="1207">
        <f t="shared" si="125"/>
        <v>24000</v>
      </c>
      <c r="R137" s="1207">
        <f t="shared" si="125"/>
        <v>28500</v>
      </c>
      <c r="S137" s="1096">
        <f t="shared" si="125"/>
        <v>33000</v>
      </c>
      <c r="T137" s="1096">
        <f t="shared" si="125"/>
        <v>37500</v>
      </c>
      <c r="U137" s="1096">
        <f t="shared" si="125"/>
        <v>37500</v>
      </c>
      <c r="V137" s="1096">
        <f t="shared" si="125"/>
        <v>37500</v>
      </c>
      <c r="W137" s="1096">
        <f t="shared" si="125"/>
        <v>37500</v>
      </c>
      <c r="X137" s="1207">
        <f t="shared" si="125"/>
        <v>37500</v>
      </c>
      <c r="Y137" s="1207">
        <f t="shared" si="125"/>
        <v>37500</v>
      </c>
      <c r="Z137" s="1096">
        <f t="shared" si="125"/>
        <v>37500</v>
      </c>
      <c r="AA137" s="1096">
        <f t="shared" si="125"/>
        <v>37500</v>
      </c>
      <c r="AB137" s="1096">
        <f t="shared" si="125"/>
        <v>37500</v>
      </c>
      <c r="AC137" s="1096">
        <f t="shared" si="125"/>
        <v>37500</v>
      </c>
      <c r="AD137" s="1096">
        <f t="shared" si="125"/>
        <v>37500</v>
      </c>
      <c r="AE137" s="1207">
        <f t="shared" si="125"/>
        <v>37500</v>
      </c>
      <c r="AF137" s="1207">
        <f t="shared" si="125"/>
        <v>37500</v>
      </c>
      <c r="AG137" s="1096">
        <f t="shared" si="125"/>
        <v>37500</v>
      </c>
      <c r="AH137" s="1096">
        <f t="shared" si="125"/>
        <v>37500</v>
      </c>
      <c r="AI137" s="1096">
        <f t="shared" si="125"/>
        <v>0</v>
      </c>
      <c r="AJ137" s="375"/>
      <c r="AK137" s="1023">
        <f t="shared" si="123"/>
        <v>289200</v>
      </c>
      <c r="AL137" s="423"/>
      <c r="AM137" s="1040">
        <f t="shared" si="124"/>
        <v>1270114.344</v>
      </c>
      <c r="AN137" s="382"/>
      <c r="AO137" s="675"/>
      <c r="AP137" s="39" t="s">
        <v>91</v>
      </c>
      <c r="AQ137" s="40">
        <f>SUM(E136:H136)</f>
        <v>0</v>
      </c>
      <c r="AR137" s="41">
        <f>SUM(I136:O136)</f>
        <v>60000</v>
      </c>
      <c r="AS137" s="41">
        <f>SUM(P136:V136)</f>
        <v>90000</v>
      </c>
      <c r="AT137" s="41">
        <f>SUM(W136:AC136)</f>
        <v>0</v>
      </c>
      <c r="AU137" s="41">
        <f>SUM(AD136:AI136)</f>
        <v>0</v>
      </c>
      <c r="AV137" s="34">
        <f t="shared" ref="AV137:AV142" si="126">SUM(AQ137:AU137)</f>
        <v>150000</v>
      </c>
    </row>
    <row r="138" spans="1:48" ht="19.899999999999999" customHeight="1">
      <c r="A138" s="403"/>
      <c r="B138" s="393" t="s">
        <v>246</v>
      </c>
      <c r="C138" s="656" t="s">
        <v>108</v>
      </c>
      <c r="D138" s="43" t="s">
        <v>93</v>
      </c>
      <c r="E138" s="1108">
        <v>0</v>
      </c>
      <c r="F138" s="1108">
        <v>17400</v>
      </c>
      <c r="G138" s="1199">
        <v>20400</v>
      </c>
      <c r="H138" s="1108">
        <v>19200</v>
      </c>
      <c r="I138" s="1108">
        <v>19800</v>
      </c>
      <c r="J138" s="44">
        <v>17400</v>
      </c>
      <c r="K138" s="44">
        <v>19800</v>
      </c>
      <c r="L138" s="1089">
        <v>20400</v>
      </c>
      <c r="M138" s="1089">
        <v>18000</v>
      </c>
      <c r="N138" s="1089">
        <v>20400</v>
      </c>
      <c r="O138" s="1089">
        <v>19200</v>
      </c>
      <c r="P138" s="1089">
        <v>19200</v>
      </c>
      <c r="Q138" s="44">
        <v>20400</v>
      </c>
      <c r="R138" s="44">
        <v>18000</v>
      </c>
      <c r="S138" s="1089">
        <v>21600</v>
      </c>
      <c r="T138" s="1089">
        <v>21600</v>
      </c>
      <c r="U138" s="1089">
        <v>21600</v>
      </c>
      <c r="V138" s="1089">
        <v>21600</v>
      </c>
      <c r="W138" s="1089">
        <v>21600</v>
      </c>
      <c r="X138" s="44">
        <v>22800</v>
      </c>
      <c r="Y138" s="44">
        <v>19800</v>
      </c>
      <c r="Z138" s="1089">
        <v>18000</v>
      </c>
      <c r="AA138" s="1089">
        <v>21000</v>
      </c>
      <c r="AB138" s="1089"/>
      <c r="AC138" s="1089"/>
      <c r="AD138" s="1089"/>
      <c r="AE138" s="44"/>
      <c r="AF138" s="44"/>
      <c r="AG138" s="1089"/>
      <c r="AH138" s="1089"/>
      <c r="AI138" s="1089"/>
      <c r="AJ138" s="380">
        <f>SUM(E138:AI138)</f>
        <v>439200</v>
      </c>
      <c r="AK138" s="1024">
        <f t="shared" si="123"/>
        <v>2812</v>
      </c>
      <c r="AL138" s="424">
        <f>+AJ138*AN136</f>
        <v>1928887.344</v>
      </c>
      <c r="AM138" s="1041">
        <f t="shared" si="124"/>
        <v>12349.797839999999</v>
      </c>
      <c r="AN138" s="382"/>
      <c r="AO138" s="632">
        <f>(AJ138+AJ140+AJ141+AJ142)*B140/1000</f>
        <v>501.41355599999997</v>
      </c>
      <c r="AP138" s="47" t="s">
        <v>94</v>
      </c>
      <c r="AQ138" s="48">
        <f>SUM(E138:H138)</f>
        <v>57000</v>
      </c>
      <c r="AR138" s="49">
        <f>SUM(I138:O138)</f>
        <v>135000</v>
      </c>
      <c r="AS138" s="49">
        <f>SUM(P138:V138)</f>
        <v>144000</v>
      </c>
      <c r="AT138" s="49">
        <f>SUM(W138:AC138)</f>
        <v>103200</v>
      </c>
      <c r="AU138" s="49">
        <f>SUM(AD138:AI138)</f>
        <v>0</v>
      </c>
      <c r="AV138" s="50">
        <f t="shared" si="126"/>
        <v>439200</v>
      </c>
    </row>
    <row r="139" spans="1:48" ht="19.899999999999999" customHeight="1">
      <c r="A139" s="403"/>
      <c r="B139" s="767" t="s">
        <v>247</v>
      </c>
      <c r="C139" s="1252">
        <f>+C137*0.8</f>
        <v>54000</v>
      </c>
      <c r="D139" s="53" t="s">
        <v>96</v>
      </c>
      <c r="E139" s="1097">
        <f t="shared" ref="E139:AI139" si="127">+E138-E136</f>
        <v>0</v>
      </c>
      <c r="F139" s="1097">
        <f t="shared" si="127"/>
        <v>17400</v>
      </c>
      <c r="G139" s="1205">
        <f t="shared" si="127"/>
        <v>20400</v>
      </c>
      <c r="H139" s="1097">
        <f t="shared" si="127"/>
        <v>19200</v>
      </c>
      <c r="I139" s="1097">
        <f t="shared" si="127"/>
        <v>19800</v>
      </c>
      <c r="J139" s="1205">
        <f t="shared" si="127"/>
        <v>17400</v>
      </c>
      <c r="K139" s="1205">
        <f t="shared" si="127"/>
        <v>19800</v>
      </c>
      <c r="L139" s="1097">
        <f t="shared" si="127"/>
        <v>14400</v>
      </c>
      <c r="M139" s="1097">
        <f t="shared" si="127"/>
        <v>0</v>
      </c>
      <c r="N139" s="1097">
        <f t="shared" si="127"/>
        <v>2400</v>
      </c>
      <c r="O139" s="1097">
        <f t="shared" si="127"/>
        <v>1200</v>
      </c>
      <c r="P139" s="1097">
        <f t="shared" si="127"/>
        <v>1200</v>
      </c>
      <c r="Q139" s="1205">
        <f t="shared" si="127"/>
        <v>2400</v>
      </c>
      <c r="R139" s="1205">
        <f t="shared" si="127"/>
        <v>0</v>
      </c>
      <c r="S139" s="1097">
        <f t="shared" si="127"/>
        <v>3600</v>
      </c>
      <c r="T139" s="1097">
        <f t="shared" si="127"/>
        <v>3600</v>
      </c>
      <c r="U139" s="1097">
        <f t="shared" si="127"/>
        <v>21600</v>
      </c>
      <c r="V139" s="1097">
        <f>+V138-V136</f>
        <v>21600</v>
      </c>
      <c r="W139" s="1097">
        <f t="shared" si="127"/>
        <v>21600</v>
      </c>
      <c r="X139" s="1205">
        <f t="shared" si="127"/>
        <v>22800</v>
      </c>
      <c r="Y139" s="1205">
        <f t="shared" si="127"/>
        <v>19800</v>
      </c>
      <c r="Z139" s="1097">
        <f t="shared" si="127"/>
        <v>18000</v>
      </c>
      <c r="AA139" s="1097">
        <f t="shared" si="127"/>
        <v>21000</v>
      </c>
      <c r="AB139" s="1097">
        <f t="shared" si="127"/>
        <v>0</v>
      </c>
      <c r="AC139" s="1097">
        <f t="shared" si="127"/>
        <v>0</v>
      </c>
      <c r="AD139" s="1097">
        <f t="shared" si="127"/>
        <v>0</v>
      </c>
      <c r="AE139" s="1205">
        <f t="shared" si="127"/>
        <v>0</v>
      </c>
      <c r="AF139" s="1205">
        <f t="shared" ref="AF139" si="128">+AF138-AF136</f>
        <v>0</v>
      </c>
      <c r="AG139" s="1097">
        <f t="shared" si="127"/>
        <v>0</v>
      </c>
      <c r="AH139" s="1097">
        <f t="shared" si="127"/>
        <v>0</v>
      </c>
      <c r="AI139" s="1097">
        <f t="shared" si="127"/>
        <v>0</v>
      </c>
      <c r="AJ139" s="381">
        <f>+AJ138-AJ136</f>
        <v>289200</v>
      </c>
      <c r="AK139" s="1024">
        <f t="shared" si="123"/>
        <v>2404</v>
      </c>
      <c r="AL139" s="425">
        <f>+AJ139*AN136</f>
        <v>1270114.344</v>
      </c>
      <c r="AM139" s="1041">
        <f t="shared" si="124"/>
        <v>10557.93528</v>
      </c>
      <c r="AN139" s="382" t="s">
        <v>97</v>
      </c>
      <c r="AO139" s="622"/>
      <c r="AP139" s="39" t="s">
        <v>98</v>
      </c>
      <c r="AQ139" s="56">
        <f>AQ138-AQ137</f>
        <v>57000</v>
      </c>
      <c r="AR139" s="70">
        <f>AR138-AR137</f>
        <v>75000</v>
      </c>
      <c r="AS139" s="70">
        <f>AS138-AS137</f>
        <v>54000</v>
      </c>
      <c r="AT139" s="70">
        <f>AT138-AT137</f>
        <v>103200</v>
      </c>
      <c r="AU139" s="70">
        <f>AU138-AU137</f>
        <v>0</v>
      </c>
      <c r="AV139" s="57">
        <f t="shared" si="126"/>
        <v>289200</v>
      </c>
    </row>
    <row r="140" spans="1:48" ht="19.899999999999999" customHeight="1">
      <c r="A140" s="403"/>
      <c r="B140" s="769">
        <v>1.1234999999999999</v>
      </c>
      <c r="C140" s="431" t="s">
        <v>95</v>
      </c>
      <c r="D140" s="61" t="s">
        <v>101</v>
      </c>
      <c r="E140" s="1098">
        <v>1016</v>
      </c>
      <c r="F140" s="1098">
        <v>120</v>
      </c>
      <c r="G140" s="1195">
        <v>120</v>
      </c>
      <c r="H140" s="1098">
        <v>0</v>
      </c>
      <c r="I140" s="1098">
        <v>496</v>
      </c>
      <c r="J140" s="1208">
        <v>120</v>
      </c>
      <c r="K140" s="1208">
        <v>0</v>
      </c>
      <c r="L140" s="1099">
        <v>80</v>
      </c>
      <c r="M140" s="1099">
        <v>200</v>
      </c>
      <c r="N140" s="1099">
        <v>0</v>
      </c>
      <c r="O140" s="1099">
        <v>200</v>
      </c>
      <c r="P140" s="1099">
        <v>0</v>
      </c>
      <c r="Q140" s="1208">
        <v>140</v>
      </c>
      <c r="R140" s="1208">
        <v>0</v>
      </c>
      <c r="S140" s="1099">
        <v>0</v>
      </c>
      <c r="T140" s="1099">
        <v>0</v>
      </c>
      <c r="U140" s="1099">
        <v>0</v>
      </c>
      <c r="V140" s="1099">
        <v>0</v>
      </c>
      <c r="W140" s="1099">
        <v>0</v>
      </c>
      <c r="X140" s="1208">
        <v>0</v>
      </c>
      <c r="Y140" s="1208">
        <v>160</v>
      </c>
      <c r="Z140" s="1099">
        <v>120</v>
      </c>
      <c r="AA140" s="1099">
        <v>40</v>
      </c>
      <c r="AB140" s="1099"/>
      <c r="AC140" s="1099"/>
      <c r="AD140" s="1099"/>
      <c r="AE140" s="1208"/>
      <c r="AF140" s="1208"/>
      <c r="AG140" s="1099"/>
      <c r="AH140" s="1099"/>
      <c r="AI140" s="1099"/>
      <c r="AJ140" s="384">
        <f>SUM(E140:AI140)</f>
        <v>2812</v>
      </c>
      <c r="AK140" s="1024">
        <f t="shared" si="123"/>
        <v>1880</v>
      </c>
      <c r="AL140" s="420">
        <f>+AJ140*AN136</f>
        <v>12349.797839999999</v>
      </c>
      <c r="AM140" s="1040">
        <f t="shared" si="124"/>
        <v>8256.6216000000004</v>
      </c>
      <c r="AN140" s="385">
        <f>+AJ140/AJ138</f>
        <v>6.4025500910746816E-3</v>
      </c>
      <c r="AO140" s="635">
        <f>AO138/AO136</f>
        <v>2.9753066666666665</v>
      </c>
      <c r="AP140" s="39" t="s">
        <v>102</v>
      </c>
      <c r="AQ140" s="56">
        <f>SUM(E140:H140)</f>
        <v>1256</v>
      </c>
      <c r="AR140" s="70">
        <f>SUM(I140:O140)</f>
        <v>1096</v>
      </c>
      <c r="AS140" s="70">
        <f>SUM(P140:V140)</f>
        <v>140</v>
      </c>
      <c r="AT140" s="70">
        <f>SUM(W140:AC140)</f>
        <v>320</v>
      </c>
      <c r="AU140" s="70">
        <f>SUM(AD140:AI140)</f>
        <v>0</v>
      </c>
      <c r="AV140" s="57">
        <f t="shared" si="126"/>
        <v>2812</v>
      </c>
    </row>
    <row r="141" spans="1:48" ht="19.899999999999999" customHeight="1">
      <c r="A141" s="403"/>
      <c r="B141" s="65"/>
      <c r="C141" s="60" t="s">
        <v>409</v>
      </c>
      <c r="D141" s="67" t="s">
        <v>103</v>
      </c>
      <c r="E141" s="1100">
        <v>0</v>
      </c>
      <c r="F141" s="1100">
        <v>88</v>
      </c>
      <c r="G141" s="1196">
        <v>120</v>
      </c>
      <c r="H141" s="1100">
        <v>120</v>
      </c>
      <c r="I141" s="1100">
        <v>96</v>
      </c>
      <c r="J141" s="1209">
        <v>96</v>
      </c>
      <c r="K141" s="1209">
        <v>96</v>
      </c>
      <c r="L141" s="1101">
        <v>120</v>
      </c>
      <c r="M141" s="1101">
        <v>120</v>
      </c>
      <c r="N141" s="1101">
        <v>96</v>
      </c>
      <c r="O141" s="1101">
        <v>96</v>
      </c>
      <c r="P141" s="1101">
        <v>96</v>
      </c>
      <c r="Q141" s="1209">
        <v>96</v>
      </c>
      <c r="R141" s="1209">
        <v>96</v>
      </c>
      <c r="S141" s="1101">
        <v>96</v>
      </c>
      <c r="T141" s="1101">
        <v>168</v>
      </c>
      <c r="U141" s="1101">
        <v>96</v>
      </c>
      <c r="V141" s="1101">
        <v>228</v>
      </c>
      <c r="W141" s="1101">
        <v>96</v>
      </c>
      <c r="X141" s="1209">
        <v>96</v>
      </c>
      <c r="Y141" s="1209">
        <v>96</v>
      </c>
      <c r="Z141" s="1101">
        <v>96</v>
      </c>
      <c r="AA141" s="1101">
        <v>96</v>
      </c>
      <c r="AB141" s="1101"/>
      <c r="AC141" s="1101"/>
      <c r="AD141" s="1101"/>
      <c r="AE141" s="1209"/>
      <c r="AF141" s="1209"/>
      <c r="AG141" s="1101"/>
      <c r="AH141" s="1101"/>
      <c r="AI141" s="1101"/>
      <c r="AJ141" s="386">
        <f>SUM(E141:AI141)</f>
        <v>2404</v>
      </c>
      <c r="AK141" s="1024">
        <f t="shared" si="123"/>
        <v>0</v>
      </c>
      <c r="AL141" s="426">
        <f>+AJ141*AN136</f>
        <v>10557.93528</v>
      </c>
      <c r="AM141" s="1040">
        <f t="shared" si="124"/>
        <v>0</v>
      </c>
      <c r="AN141" s="382"/>
      <c r="AO141" s="622"/>
      <c r="AP141" s="39" t="s">
        <v>19</v>
      </c>
      <c r="AQ141" s="56">
        <f>AQ140*AN136</f>
        <v>5516.1259200000004</v>
      </c>
      <c r="AR141" s="56">
        <f>AR140*AN136</f>
        <v>4813.4347200000002</v>
      </c>
      <c r="AS141" s="56">
        <f>AS140*AN136</f>
        <v>614.85479999999995</v>
      </c>
      <c r="AT141" s="56">
        <f>AT140*AN136</f>
        <v>1405.3824</v>
      </c>
      <c r="AU141" s="56">
        <f>AU140*AN136</f>
        <v>0</v>
      </c>
      <c r="AV141" s="57">
        <f t="shared" si="126"/>
        <v>12349.797839999999</v>
      </c>
    </row>
    <row r="142" spans="1:48" ht="19.899999999999999" customHeight="1">
      <c r="A142" s="403"/>
      <c r="B142" s="65"/>
      <c r="C142" s="387"/>
      <c r="D142" s="73" t="s">
        <v>105</v>
      </c>
      <c r="E142" s="1102">
        <v>0</v>
      </c>
      <c r="F142" s="1102">
        <v>72</v>
      </c>
      <c r="G142" s="1197">
        <v>96</v>
      </c>
      <c r="H142" s="1102">
        <v>96</v>
      </c>
      <c r="I142" s="1102">
        <v>88</v>
      </c>
      <c r="J142" s="1210">
        <v>96</v>
      </c>
      <c r="K142" s="1210">
        <v>96</v>
      </c>
      <c r="L142" s="1103">
        <v>80</v>
      </c>
      <c r="M142" s="1103">
        <v>80</v>
      </c>
      <c r="N142" s="1103">
        <v>96</v>
      </c>
      <c r="O142" s="1103">
        <v>96</v>
      </c>
      <c r="P142" s="1103">
        <v>96</v>
      </c>
      <c r="Q142" s="1210">
        <v>96</v>
      </c>
      <c r="R142" s="1210">
        <v>96</v>
      </c>
      <c r="S142" s="1103">
        <v>80</v>
      </c>
      <c r="T142" s="1103">
        <v>80</v>
      </c>
      <c r="U142" s="1103">
        <v>80</v>
      </c>
      <c r="V142" s="1103">
        <v>80</v>
      </c>
      <c r="W142" s="1103">
        <v>80</v>
      </c>
      <c r="X142" s="1210">
        <v>96</v>
      </c>
      <c r="Y142" s="1210">
        <v>96</v>
      </c>
      <c r="Z142" s="1103">
        <v>24</v>
      </c>
      <c r="AA142" s="1103">
        <v>80</v>
      </c>
      <c r="AB142" s="1103"/>
      <c r="AC142" s="1103"/>
      <c r="AD142" s="1103"/>
      <c r="AE142" s="1210"/>
      <c r="AF142" s="1210"/>
      <c r="AG142" s="1103"/>
      <c r="AH142" s="1103"/>
      <c r="AI142" s="1103"/>
      <c r="AJ142" s="388">
        <f>SUM(E142:AI142)</f>
        <v>1880</v>
      </c>
      <c r="AK142" s="1024">
        <f t="shared" si="123"/>
        <v>111574</v>
      </c>
      <c r="AL142" s="427">
        <f>+AJ142*AN136</f>
        <v>8256.6216000000004</v>
      </c>
      <c r="AM142" s="1040">
        <f t="shared" si="124"/>
        <v>0</v>
      </c>
      <c r="AN142" s="382"/>
      <c r="AO142" s="622"/>
      <c r="AP142" s="47" t="s">
        <v>106</v>
      </c>
      <c r="AQ142" s="48">
        <f>AQ138*AN136</f>
        <v>250333.74</v>
      </c>
      <c r="AR142" s="48">
        <f>AR138*AN136</f>
        <v>592895.69999999995</v>
      </c>
      <c r="AS142" s="48">
        <f>AS138*AN136</f>
        <v>632422.07999999996</v>
      </c>
      <c r="AT142" s="48">
        <f>AT138*AN136</f>
        <v>453235.82400000002</v>
      </c>
      <c r="AU142" s="48">
        <f>AU138*AN136</f>
        <v>0</v>
      </c>
      <c r="AV142" s="50">
        <f t="shared" si="126"/>
        <v>1928887.344</v>
      </c>
    </row>
    <row r="143" spans="1:48" ht="19.899999999999999" customHeight="1">
      <c r="A143" s="403"/>
      <c r="B143" s="390"/>
      <c r="C143" s="387" t="s">
        <v>435</v>
      </c>
      <c r="D143" s="78" t="s">
        <v>107</v>
      </c>
      <c r="E143" s="1137">
        <v>4</v>
      </c>
      <c r="F143" s="1097">
        <v>4</v>
      </c>
      <c r="G143" s="1205">
        <v>4</v>
      </c>
      <c r="H143" s="1097">
        <v>4</v>
      </c>
      <c r="I143" s="1097">
        <v>4</v>
      </c>
      <c r="J143" s="1205">
        <v>4</v>
      </c>
      <c r="K143" s="1205">
        <v>4</v>
      </c>
      <c r="L143" s="1097">
        <v>4</v>
      </c>
      <c r="M143" s="1097">
        <v>4</v>
      </c>
      <c r="N143" s="1097">
        <v>4</v>
      </c>
      <c r="O143" s="1097">
        <v>4</v>
      </c>
      <c r="P143" s="1097">
        <v>4</v>
      </c>
      <c r="Q143" s="1205">
        <v>4</v>
      </c>
      <c r="R143" s="1205">
        <v>4</v>
      </c>
      <c r="S143" s="1097">
        <v>4</v>
      </c>
      <c r="T143" s="1097">
        <v>4</v>
      </c>
      <c r="U143" s="1097">
        <v>4</v>
      </c>
      <c r="V143" s="1097">
        <v>4</v>
      </c>
      <c r="W143" s="1097">
        <v>4</v>
      </c>
      <c r="X143" s="1205">
        <v>4</v>
      </c>
      <c r="Y143" s="1205">
        <v>4</v>
      </c>
      <c r="Z143" s="1097">
        <v>4</v>
      </c>
      <c r="AA143" s="1097">
        <v>4</v>
      </c>
      <c r="AB143" s="1097">
        <v>4</v>
      </c>
      <c r="AC143" s="1097">
        <v>4</v>
      </c>
      <c r="AD143" s="1097">
        <v>4</v>
      </c>
      <c r="AE143" s="1205">
        <v>4</v>
      </c>
      <c r="AF143" s="1205">
        <v>4</v>
      </c>
      <c r="AG143" s="1097">
        <v>4</v>
      </c>
      <c r="AH143" s="1097">
        <v>4</v>
      </c>
      <c r="AI143" s="1097">
        <v>4</v>
      </c>
      <c r="AJ143" s="381"/>
      <c r="AK143" s="1024">
        <f t="shared" si="123"/>
        <v>0</v>
      </c>
      <c r="AL143" s="425"/>
      <c r="AM143" s="1041">
        <f t="shared" si="124"/>
        <v>0</v>
      </c>
      <c r="AN143" s="382"/>
      <c r="AO143" s="622"/>
      <c r="AP143" s="391"/>
      <c r="AQ143" s="391"/>
      <c r="AR143" s="4"/>
      <c r="AS143" s="4"/>
      <c r="AT143" s="392"/>
      <c r="AU143" s="4"/>
      <c r="AV143" s="4"/>
    </row>
    <row r="144" spans="1:48" ht="19.899999999999999" customHeight="1">
      <c r="A144" s="405"/>
      <c r="B144" s="334" t="s">
        <v>30</v>
      </c>
      <c r="C144" s="379">
        <v>50000</v>
      </c>
      <c r="D144" s="81" t="s">
        <v>109</v>
      </c>
      <c r="E144" s="1125">
        <f>SUM(E138+E140+E141+E142)/E143</f>
        <v>254</v>
      </c>
      <c r="F144" s="1125">
        <f t="shared" ref="F144:AI144" si="129">SUM(F138+F140+F141+F142)/F143</f>
        <v>4420</v>
      </c>
      <c r="G144" s="1233">
        <f t="shared" si="129"/>
        <v>5184</v>
      </c>
      <c r="H144" s="1125">
        <f t="shared" si="129"/>
        <v>4854</v>
      </c>
      <c r="I144" s="1125">
        <f t="shared" si="129"/>
        <v>5120</v>
      </c>
      <c r="J144" s="1233">
        <f t="shared" si="129"/>
        <v>4428</v>
      </c>
      <c r="K144" s="1233">
        <f>SUM(K138+K140+K141+K142)/K143</f>
        <v>4998</v>
      </c>
      <c r="L144" s="1125">
        <f t="shared" si="129"/>
        <v>5170</v>
      </c>
      <c r="M144" s="1125">
        <f t="shared" si="129"/>
        <v>4600</v>
      </c>
      <c r="N144" s="1125">
        <f t="shared" si="129"/>
        <v>5148</v>
      </c>
      <c r="O144" s="1125">
        <f t="shared" si="129"/>
        <v>4898</v>
      </c>
      <c r="P144" s="1125">
        <f t="shared" si="129"/>
        <v>4848</v>
      </c>
      <c r="Q144" s="1233">
        <f t="shared" si="129"/>
        <v>5183</v>
      </c>
      <c r="R144" s="1233">
        <f t="shared" si="129"/>
        <v>4548</v>
      </c>
      <c r="S144" s="1125">
        <f t="shared" si="129"/>
        <v>5444</v>
      </c>
      <c r="T144" s="1125">
        <f t="shared" si="129"/>
        <v>5462</v>
      </c>
      <c r="U144" s="1125">
        <f t="shared" si="129"/>
        <v>5444</v>
      </c>
      <c r="V144" s="1125">
        <f>SUM(V138+V140+V141+V142)/V143</f>
        <v>5477</v>
      </c>
      <c r="W144" s="1125">
        <f>SUM(W138+W140+W141+W142)/W143</f>
        <v>5444</v>
      </c>
      <c r="X144" s="1233">
        <f t="shared" si="129"/>
        <v>5748</v>
      </c>
      <c r="Y144" s="1233">
        <f t="shared" si="129"/>
        <v>5038</v>
      </c>
      <c r="Z144" s="1125">
        <f t="shared" si="129"/>
        <v>4560</v>
      </c>
      <c r="AA144" s="1125">
        <f t="shared" si="129"/>
        <v>5304</v>
      </c>
      <c r="AB144" s="1125">
        <f t="shared" si="129"/>
        <v>0</v>
      </c>
      <c r="AC144" s="1125">
        <f t="shared" si="129"/>
        <v>0</v>
      </c>
      <c r="AD144" s="1125">
        <f t="shared" si="129"/>
        <v>0</v>
      </c>
      <c r="AE144" s="1233">
        <f t="shared" si="129"/>
        <v>0</v>
      </c>
      <c r="AF144" s="1233">
        <f t="shared" si="129"/>
        <v>0</v>
      </c>
      <c r="AG144" s="1125">
        <f t="shared" si="129"/>
        <v>0</v>
      </c>
      <c r="AH144" s="1125">
        <f t="shared" si="129"/>
        <v>0</v>
      </c>
      <c r="AI144" s="1125">
        <f t="shared" si="129"/>
        <v>0</v>
      </c>
      <c r="AJ144" s="410">
        <f>SUM(E144:AI144)</f>
        <v>111574</v>
      </c>
      <c r="AK144" s="1029">
        <f t="shared" si="123"/>
        <v>0</v>
      </c>
      <c r="AL144" s="419"/>
      <c r="AM144" s="1040">
        <f t="shared" si="124"/>
        <v>0</v>
      </c>
      <c r="AN144" s="382"/>
      <c r="AO144" s="622"/>
      <c r="AP144" s="391"/>
      <c r="AQ144" s="391"/>
      <c r="AR144" s="4"/>
      <c r="AS144" s="4"/>
      <c r="AT144" s="392"/>
      <c r="AU144" s="4"/>
      <c r="AV144" s="4"/>
    </row>
    <row r="145" spans="1:48" ht="19.899999999999999" customHeight="1">
      <c r="A145" s="403"/>
      <c r="B145" s="59"/>
      <c r="C145" s="89" t="s">
        <v>108</v>
      </c>
      <c r="D145" s="85" t="s">
        <v>110</v>
      </c>
      <c r="E145" s="1366"/>
      <c r="F145" s="1172"/>
      <c r="G145" s="1263"/>
      <c r="H145" s="1172"/>
      <c r="I145" s="1172"/>
      <c r="J145" s="1281"/>
      <c r="K145" s="1263"/>
      <c r="L145" s="1172"/>
      <c r="M145" s="1172"/>
      <c r="N145" s="1174"/>
      <c r="O145" s="1175"/>
      <c r="P145" s="1173"/>
      <c r="Q145" s="1281"/>
      <c r="R145" s="1281"/>
      <c r="S145" s="1173"/>
      <c r="T145" s="1107"/>
      <c r="U145" s="1173"/>
      <c r="V145" s="1173"/>
      <c r="W145" s="1173"/>
      <c r="X145" s="1281"/>
      <c r="Y145" s="1281"/>
      <c r="Z145" s="1155"/>
      <c r="AA145" s="1173"/>
      <c r="AB145" s="1173"/>
      <c r="AC145" s="1173"/>
      <c r="AD145" s="1173"/>
      <c r="AE145" s="1281"/>
      <c r="AF145" s="1281"/>
      <c r="AG145" s="1173"/>
      <c r="AH145" s="1173"/>
      <c r="AI145" s="1173"/>
      <c r="AJ145" s="394"/>
      <c r="AK145" s="1025">
        <f t="shared" si="123"/>
        <v>0</v>
      </c>
      <c r="AL145" s="419"/>
      <c r="AM145" s="1040">
        <f t="shared" si="124"/>
        <v>0</v>
      </c>
      <c r="AN145" s="382"/>
      <c r="AO145" s="622"/>
      <c r="AP145" s="391"/>
      <c r="AQ145" s="391"/>
      <c r="AR145" s="4"/>
      <c r="AS145" s="4"/>
      <c r="AT145" s="392"/>
      <c r="AU145" s="4"/>
      <c r="AV145" s="4"/>
    </row>
    <row r="146" spans="1:48" ht="19.899999999999999" customHeight="1">
      <c r="A146" s="403"/>
      <c r="B146" s="390"/>
      <c r="C146" s="383">
        <f>+C144*0.8</f>
        <v>40000</v>
      </c>
      <c r="D146" s="88" t="s">
        <v>111</v>
      </c>
      <c r="E146" s="1156">
        <f>IF(E145="O/H",E144,0+E144)</f>
        <v>254</v>
      </c>
      <c r="F146" s="1157">
        <f>IF(F145="O/H",F144,+E146+F144)</f>
        <v>4674</v>
      </c>
      <c r="G146" s="1264">
        <f t="shared" ref="G146:AI146" si="130">IF(G145="O/H",G144,+F146+G144)</f>
        <v>9858</v>
      </c>
      <c r="H146" s="1157">
        <f t="shared" si="130"/>
        <v>14712</v>
      </c>
      <c r="I146" s="1157">
        <f t="shared" si="130"/>
        <v>19832</v>
      </c>
      <c r="J146" s="1264">
        <f t="shared" si="130"/>
        <v>24260</v>
      </c>
      <c r="K146" s="1264">
        <f t="shared" si="130"/>
        <v>29258</v>
      </c>
      <c r="L146" s="1157">
        <f t="shared" si="130"/>
        <v>34428</v>
      </c>
      <c r="M146" s="1157">
        <f t="shared" si="130"/>
        <v>39028</v>
      </c>
      <c r="N146" s="1157">
        <f t="shared" si="130"/>
        <v>44176</v>
      </c>
      <c r="O146" s="1157">
        <f t="shared" si="130"/>
        <v>49074</v>
      </c>
      <c r="P146" s="1157">
        <f t="shared" si="130"/>
        <v>53922</v>
      </c>
      <c r="Q146" s="1264">
        <f t="shared" si="130"/>
        <v>59105</v>
      </c>
      <c r="R146" s="1264">
        <f t="shared" si="130"/>
        <v>63653</v>
      </c>
      <c r="S146" s="1157">
        <f t="shared" si="130"/>
        <v>69097</v>
      </c>
      <c r="T146" s="1157">
        <f t="shared" si="130"/>
        <v>74559</v>
      </c>
      <c r="U146" s="1157">
        <f t="shared" si="130"/>
        <v>80003</v>
      </c>
      <c r="V146" s="1157">
        <f t="shared" si="130"/>
        <v>85480</v>
      </c>
      <c r="W146" s="1157">
        <f t="shared" si="130"/>
        <v>90924</v>
      </c>
      <c r="X146" s="1264">
        <f t="shared" si="130"/>
        <v>96672</v>
      </c>
      <c r="Y146" s="1264">
        <f t="shared" si="130"/>
        <v>101710</v>
      </c>
      <c r="Z146" s="1157">
        <f t="shared" si="130"/>
        <v>106270</v>
      </c>
      <c r="AA146" s="1157">
        <f t="shared" si="130"/>
        <v>111574</v>
      </c>
      <c r="AB146" s="1157">
        <f t="shared" si="130"/>
        <v>111574</v>
      </c>
      <c r="AC146" s="1157">
        <f t="shared" si="130"/>
        <v>111574</v>
      </c>
      <c r="AD146" s="1157">
        <f t="shared" si="130"/>
        <v>111574</v>
      </c>
      <c r="AE146" s="1264">
        <f t="shared" si="130"/>
        <v>111574</v>
      </c>
      <c r="AF146" s="1264">
        <f t="shared" si="130"/>
        <v>111574</v>
      </c>
      <c r="AG146" s="1157">
        <f t="shared" si="130"/>
        <v>111574</v>
      </c>
      <c r="AH146" s="1157">
        <f t="shared" si="130"/>
        <v>111574</v>
      </c>
      <c r="AI146" s="1157">
        <f t="shared" si="130"/>
        <v>111574</v>
      </c>
      <c r="AJ146" s="394"/>
      <c r="AK146" s="1025">
        <f t="shared" si="123"/>
        <v>0</v>
      </c>
      <c r="AL146" s="419"/>
      <c r="AM146" s="1040">
        <f t="shared" si="124"/>
        <v>0</v>
      </c>
      <c r="AN146" s="382"/>
      <c r="AO146" s="622"/>
      <c r="AP146" s="391"/>
      <c r="AQ146" s="391"/>
      <c r="AR146" s="4"/>
      <c r="AS146" s="4"/>
      <c r="AT146" s="392"/>
      <c r="AU146" s="4"/>
      <c r="AV146" s="4"/>
    </row>
    <row r="147" spans="1:48" ht="19.899999999999999" customHeight="1">
      <c r="A147" s="403"/>
      <c r="B147" s="59"/>
      <c r="C147" s="387"/>
      <c r="D147" s="395" t="s">
        <v>435</v>
      </c>
      <c r="E147" s="1365"/>
      <c r="F147" s="1107"/>
      <c r="G147" s="1228"/>
      <c r="H147" s="1176"/>
      <c r="I147" s="1107"/>
      <c r="J147" s="1228"/>
      <c r="K147" s="1273"/>
      <c r="L147" s="1107"/>
      <c r="M147" s="1107"/>
      <c r="N147" s="1177"/>
      <c r="O147" s="1107"/>
      <c r="P147" s="1177"/>
      <c r="Q147" s="1228"/>
      <c r="R147" s="1228"/>
      <c r="S147" s="1107"/>
      <c r="T147" s="1107"/>
      <c r="U147" s="1107"/>
      <c r="V147" s="1107"/>
      <c r="W147" s="1107"/>
      <c r="X147" s="1228"/>
      <c r="Y147" s="1228"/>
      <c r="Z147" s="1155"/>
      <c r="AA147" s="1107"/>
      <c r="AB147" s="1107"/>
      <c r="AC147" s="1107"/>
      <c r="AD147" s="1107"/>
      <c r="AE147" s="1228"/>
      <c r="AF147" s="1228"/>
      <c r="AG147" s="1107"/>
      <c r="AH147" s="1107"/>
      <c r="AI147" s="1107"/>
      <c r="AJ147" s="396"/>
      <c r="AK147" s="1024">
        <f t="shared" si="123"/>
        <v>0</v>
      </c>
      <c r="AL147" s="420"/>
      <c r="AM147" s="1040">
        <f t="shared" si="124"/>
        <v>0</v>
      </c>
      <c r="AN147" s="382"/>
      <c r="AO147" s="622"/>
      <c r="AP147" s="391"/>
      <c r="AQ147" s="391"/>
    </row>
    <row r="148" spans="1:48" ht="19.899999999999999" customHeight="1">
      <c r="A148" s="403"/>
      <c r="B148" s="59"/>
      <c r="C148" s="387" t="s">
        <v>104</v>
      </c>
      <c r="D148" s="88" t="s">
        <v>111</v>
      </c>
      <c r="E148" s="1156">
        <f>IF(E147="O/H",E144,0+E144)</f>
        <v>254</v>
      </c>
      <c r="F148" s="1157">
        <f>IF(F147="O/H",F144,+E148+F144)</f>
        <v>4674</v>
      </c>
      <c r="G148" s="1264">
        <f t="shared" ref="G148:AI148" si="131">IF(G147="O/H",G144,+F148+G144)</f>
        <v>9858</v>
      </c>
      <c r="H148" s="1157">
        <f t="shared" si="131"/>
        <v>14712</v>
      </c>
      <c r="I148" s="1157">
        <f t="shared" si="131"/>
        <v>19832</v>
      </c>
      <c r="J148" s="1264">
        <f t="shared" si="131"/>
        <v>24260</v>
      </c>
      <c r="K148" s="1264">
        <f t="shared" si="131"/>
        <v>29258</v>
      </c>
      <c r="L148" s="1157">
        <f t="shared" si="131"/>
        <v>34428</v>
      </c>
      <c r="M148" s="1157">
        <f t="shared" si="131"/>
        <v>39028</v>
      </c>
      <c r="N148" s="1157">
        <f t="shared" si="131"/>
        <v>44176</v>
      </c>
      <c r="O148" s="1157">
        <f t="shared" si="131"/>
        <v>49074</v>
      </c>
      <c r="P148" s="1157">
        <f t="shared" si="131"/>
        <v>53922</v>
      </c>
      <c r="Q148" s="1264">
        <f t="shared" si="131"/>
        <v>59105</v>
      </c>
      <c r="R148" s="1264">
        <f t="shared" si="131"/>
        <v>63653</v>
      </c>
      <c r="S148" s="1157">
        <f t="shared" si="131"/>
        <v>69097</v>
      </c>
      <c r="T148" s="1157">
        <f t="shared" si="131"/>
        <v>74559</v>
      </c>
      <c r="U148" s="1157">
        <f t="shared" si="131"/>
        <v>80003</v>
      </c>
      <c r="V148" s="1157">
        <f t="shared" si="131"/>
        <v>85480</v>
      </c>
      <c r="W148" s="1157">
        <f t="shared" si="131"/>
        <v>90924</v>
      </c>
      <c r="X148" s="1264">
        <f t="shared" si="131"/>
        <v>96672</v>
      </c>
      <c r="Y148" s="1264">
        <f t="shared" si="131"/>
        <v>101710</v>
      </c>
      <c r="Z148" s="1157">
        <f t="shared" si="131"/>
        <v>106270</v>
      </c>
      <c r="AA148" s="1157">
        <f t="shared" si="131"/>
        <v>111574</v>
      </c>
      <c r="AB148" s="1157">
        <f t="shared" si="131"/>
        <v>111574</v>
      </c>
      <c r="AC148" s="1157">
        <f t="shared" si="131"/>
        <v>111574</v>
      </c>
      <c r="AD148" s="1157">
        <f t="shared" si="131"/>
        <v>111574</v>
      </c>
      <c r="AE148" s="1264">
        <f t="shared" si="131"/>
        <v>111574</v>
      </c>
      <c r="AF148" s="1264">
        <f t="shared" si="131"/>
        <v>111574</v>
      </c>
      <c r="AG148" s="1157">
        <f t="shared" si="131"/>
        <v>111574</v>
      </c>
      <c r="AH148" s="1157">
        <f t="shared" si="131"/>
        <v>111574</v>
      </c>
      <c r="AI148" s="1157">
        <f t="shared" si="131"/>
        <v>111574</v>
      </c>
      <c r="AJ148" s="394"/>
      <c r="AK148" s="1030">
        <f t="shared" si="123"/>
        <v>0</v>
      </c>
      <c r="AL148" s="419"/>
      <c r="AM148" s="1040">
        <f t="shared" si="124"/>
        <v>0</v>
      </c>
      <c r="AN148" s="382"/>
      <c r="AO148" s="622"/>
      <c r="AP148" s="391"/>
      <c r="AQ148" s="391"/>
    </row>
    <row r="149" spans="1:48" s="23" customFormat="1" ht="20.45" customHeight="1">
      <c r="A149" s="312"/>
      <c r="B149" s="312"/>
      <c r="C149" s="379">
        <v>150000</v>
      </c>
      <c r="D149" s="795" t="s">
        <v>112</v>
      </c>
      <c r="E149" s="1117">
        <f>IF(AND(ISNUMBER(E138)),1657938+E144)</f>
        <v>1658192</v>
      </c>
      <c r="F149" s="1118">
        <f>IF(AND(ISNUMBER(F138)),E149+F144,"")</f>
        <v>1662612</v>
      </c>
      <c r="G149" s="1216">
        <f>IF(AND(ISNUMBER(G138)),F149+G144,"")</f>
        <v>1667796</v>
      </c>
      <c r="H149" s="1118">
        <f t="shared" ref="H149:AI149" si="132">IF(AND(ISNUMBER(H138)),G149+H144,"")</f>
        <v>1672650</v>
      </c>
      <c r="I149" s="1118">
        <f t="shared" si="132"/>
        <v>1677770</v>
      </c>
      <c r="J149" s="1216">
        <f t="shared" si="132"/>
        <v>1682198</v>
      </c>
      <c r="K149" s="1216">
        <f t="shared" si="132"/>
        <v>1687196</v>
      </c>
      <c r="L149" s="1118">
        <f t="shared" si="132"/>
        <v>1692366</v>
      </c>
      <c r="M149" s="1118">
        <f t="shared" si="132"/>
        <v>1696966</v>
      </c>
      <c r="N149" s="1118">
        <f t="shared" si="132"/>
        <v>1702114</v>
      </c>
      <c r="O149" s="1118">
        <f t="shared" si="132"/>
        <v>1707012</v>
      </c>
      <c r="P149" s="1118">
        <f t="shared" si="132"/>
        <v>1711860</v>
      </c>
      <c r="Q149" s="1216">
        <f t="shared" si="132"/>
        <v>1717043</v>
      </c>
      <c r="R149" s="1216">
        <f t="shared" si="132"/>
        <v>1721591</v>
      </c>
      <c r="S149" s="1118">
        <f t="shared" si="132"/>
        <v>1727035</v>
      </c>
      <c r="T149" s="1118">
        <f t="shared" si="132"/>
        <v>1732497</v>
      </c>
      <c r="U149" s="1118">
        <f t="shared" si="132"/>
        <v>1737941</v>
      </c>
      <c r="V149" s="1118">
        <f t="shared" si="132"/>
        <v>1743418</v>
      </c>
      <c r="W149" s="1118">
        <f t="shared" si="132"/>
        <v>1748862</v>
      </c>
      <c r="X149" s="1216">
        <f t="shared" si="132"/>
        <v>1754610</v>
      </c>
      <c r="Y149" s="1216">
        <f t="shared" si="132"/>
        <v>1759648</v>
      </c>
      <c r="Z149" s="1118">
        <f t="shared" si="132"/>
        <v>1764208</v>
      </c>
      <c r="AA149" s="1118">
        <f t="shared" si="132"/>
        <v>1769512</v>
      </c>
      <c r="AB149" s="1118" t="str">
        <f t="shared" si="132"/>
        <v/>
      </c>
      <c r="AC149" s="1118" t="str">
        <f t="shared" si="132"/>
        <v/>
      </c>
      <c r="AD149" s="1118" t="str">
        <f t="shared" si="132"/>
        <v/>
      </c>
      <c r="AE149" s="1216" t="str">
        <f t="shared" si="132"/>
        <v/>
      </c>
      <c r="AF149" s="1216" t="str">
        <f t="shared" si="132"/>
        <v/>
      </c>
      <c r="AG149" s="1118" t="str">
        <f t="shared" si="132"/>
        <v/>
      </c>
      <c r="AH149" s="1118" t="str">
        <f t="shared" si="132"/>
        <v/>
      </c>
      <c r="AI149" s="1118" t="str">
        <f t="shared" si="132"/>
        <v/>
      </c>
      <c r="AJ149" s="793"/>
      <c r="AK149" s="1026">
        <f t="shared" si="123"/>
        <v>0</v>
      </c>
      <c r="AL149" s="897"/>
      <c r="AM149" s="1042">
        <f t="shared" si="124"/>
        <v>0</v>
      </c>
      <c r="AN149" s="468"/>
      <c r="AO149" s="675"/>
      <c r="AP149" s="285"/>
      <c r="AQ149" s="285"/>
      <c r="AR149" s="285"/>
      <c r="AS149" s="285"/>
      <c r="AT149" s="286"/>
      <c r="AU149" s="285"/>
      <c r="AV149" s="287"/>
    </row>
    <row r="150" spans="1:48" ht="19.899999999999999" customHeight="1">
      <c r="A150" s="403"/>
      <c r="B150" s="393" t="s">
        <v>456</v>
      </c>
      <c r="C150" s="89" t="s">
        <v>108</v>
      </c>
      <c r="D150" s="90" t="s">
        <v>104</v>
      </c>
      <c r="E150" s="1365"/>
      <c r="F150" s="1107"/>
      <c r="G150" s="1228"/>
      <c r="H150" s="1176"/>
      <c r="I150" s="1107"/>
      <c r="J150" s="1228"/>
      <c r="K150" s="1273"/>
      <c r="L150" s="1107"/>
      <c r="M150" s="1107"/>
      <c r="N150" s="1177"/>
      <c r="O150" s="1107"/>
      <c r="P150" s="1177"/>
      <c r="Q150" s="1228"/>
      <c r="R150" s="1228"/>
      <c r="S150" s="1107"/>
      <c r="T150" s="1107"/>
      <c r="U150" s="1107"/>
      <c r="V150" s="1107"/>
      <c r="W150" s="1107"/>
      <c r="X150" s="1228"/>
      <c r="Y150" s="1228"/>
      <c r="Z150" s="1106"/>
      <c r="AA150" s="1107"/>
      <c r="AB150" s="1107"/>
      <c r="AC150" s="1107"/>
      <c r="AD150" s="1107"/>
      <c r="AE150" s="1228"/>
      <c r="AF150" s="1228"/>
      <c r="AG150" s="1107"/>
      <c r="AH150" s="1107"/>
      <c r="AI150" s="1107"/>
      <c r="AJ150" s="396"/>
      <c r="AK150" s="1031">
        <f t="shared" si="123"/>
        <v>100000</v>
      </c>
      <c r="AL150" s="420"/>
      <c r="AM150" s="1040">
        <f t="shared" si="124"/>
        <v>586918</v>
      </c>
      <c r="AN150" s="382"/>
      <c r="AO150" s="622"/>
      <c r="AP150" s="391"/>
      <c r="AQ150" s="391"/>
    </row>
    <row r="151" spans="1:48" ht="21" thickBot="1">
      <c r="A151" s="406"/>
      <c r="B151" s="398"/>
      <c r="C151" s="407">
        <f>+C149*0.8</f>
        <v>120000</v>
      </c>
      <c r="D151" s="95" t="s">
        <v>111</v>
      </c>
      <c r="E151" s="1109">
        <f>IF(E150="O/H",E144,0+E144)</f>
        <v>254</v>
      </c>
      <c r="F151" s="1110">
        <f>IF(F150="O/H",F144,+E151+F144)</f>
        <v>4674</v>
      </c>
      <c r="G151" s="1212">
        <f t="shared" ref="G151:AI151" si="133">IF(G150="O/H",G144,+F151+G144)</f>
        <v>9858</v>
      </c>
      <c r="H151" s="1110">
        <f t="shared" si="133"/>
        <v>14712</v>
      </c>
      <c r="I151" s="1110">
        <f t="shared" si="133"/>
        <v>19832</v>
      </c>
      <c r="J151" s="1212">
        <f t="shared" si="133"/>
        <v>24260</v>
      </c>
      <c r="K151" s="1212">
        <f t="shared" si="133"/>
        <v>29258</v>
      </c>
      <c r="L151" s="1110">
        <f t="shared" si="133"/>
        <v>34428</v>
      </c>
      <c r="M151" s="1110">
        <f t="shared" si="133"/>
        <v>39028</v>
      </c>
      <c r="N151" s="1110">
        <f t="shared" si="133"/>
        <v>44176</v>
      </c>
      <c r="O151" s="1110">
        <f t="shared" si="133"/>
        <v>49074</v>
      </c>
      <c r="P151" s="1110">
        <f t="shared" si="133"/>
        <v>53922</v>
      </c>
      <c r="Q151" s="1212">
        <f t="shared" si="133"/>
        <v>59105</v>
      </c>
      <c r="R151" s="1212">
        <f t="shared" si="133"/>
        <v>63653</v>
      </c>
      <c r="S151" s="1110">
        <f t="shared" si="133"/>
        <v>69097</v>
      </c>
      <c r="T151" s="1110">
        <f t="shared" si="133"/>
        <v>74559</v>
      </c>
      <c r="U151" s="1110">
        <f t="shared" si="133"/>
        <v>80003</v>
      </c>
      <c r="V151" s="1110">
        <f t="shared" si="133"/>
        <v>85480</v>
      </c>
      <c r="W151" s="1110">
        <f t="shared" si="133"/>
        <v>90924</v>
      </c>
      <c r="X151" s="1212">
        <f t="shared" si="133"/>
        <v>96672</v>
      </c>
      <c r="Y151" s="1212">
        <f t="shared" si="133"/>
        <v>101710</v>
      </c>
      <c r="Z151" s="1110">
        <f t="shared" si="133"/>
        <v>106270</v>
      </c>
      <c r="AA151" s="1110">
        <f t="shared" si="133"/>
        <v>111574</v>
      </c>
      <c r="AB151" s="1110">
        <f t="shared" si="133"/>
        <v>111574</v>
      </c>
      <c r="AC151" s="1110">
        <f t="shared" si="133"/>
        <v>111574</v>
      </c>
      <c r="AD151" s="1110">
        <f t="shared" si="133"/>
        <v>111574</v>
      </c>
      <c r="AE151" s="1212">
        <f t="shared" si="133"/>
        <v>111574</v>
      </c>
      <c r="AF151" s="1212">
        <f t="shared" si="133"/>
        <v>111574</v>
      </c>
      <c r="AG151" s="1110">
        <f t="shared" si="133"/>
        <v>111574</v>
      </c>
      <c r="AH151" s="1110">
        <f t="shared" si="133"/>
        <v>111574</v>
      </c>
      <c r="AI151" s="1110">
        <f t="shared" si="133"/>
        <v>111574</v>
      </c>
      <c r="AJ151" s="399"/>
      <c r="AK151" s="1032">
        <f t="shared" si="123"/>
        <v>0</v>
      </c>
      <c r="AL151" s="421"/>
      <c r="AM151" s="1043">
        <f t="shared" si="124"/>
        <v>0</v>
      </c>
      <c r="AN151" s="894"/>
      <c r="AO151" s="625"/>
      <c r="AP151" s="391"/>
      <c r="AQ151" s="391"/>
    </row>
    <row r="152" spans="1:48" ht="19.899999999999999" customHeight="1" thickTop="1">
      <c r="A152" s="968" t="s">
        <v>595</v>
      </c>
      <c r="B152" s="781" t="s">
        <v>657</v>
      </c>
      <c r="C152" s="518" t="str">
        <f>Table37[[#This Row],[M/C No.]]</f>
        <v>R9(18ton)</v>
      </c>
      <c r="D152" s="28" t="s">
        <v>82</v>
      </c>
      <c r="E152" s="1124">
        <v>0</v>
      </c>
      <c r="F152" s="1124">
        <v>0</v>
      </c>
      <c r="G152" s="1242">
        <v>0</v>
      </c>
      <c r="H152" s="1124">
        <v>0</v>
      </c>
      <c r="I152" s="1124">
        <v>0</v>
      </c>
      <c r="J152" s="1242">
        <v>0</v>
      </c>
      <c r="K152" s="1242">
        <v>0</v>
      </c>
      <c r="L152" s="1124">
        <v>0</v>
      </c>
      <c r="M152" s="1124">
        <v>0</v>
      </c>
      <c r="N152" s="1124">
        <v>0</v>
      </c>
      <c r="O152" s="1124">
        <v>0</v>
      </c>
      <c r="P152" s="1124">
        <v>0</v>
      </c>
      <c r="Q152" s="1242">
        <v>0</v>
      </c>
      <c r="R152" s="1242">
        <v>0</v>
      </c>
      <c r="S152" s="1124">
        <v>6000</v>
      </c>
      <c r="T152" s="1124">
        <v>16000</v>
      </c>
      <c r="U152" s="1124">
        <v>16000</v>
      </c>
      <c r="V152" s="1124">
        <v>16000</v>
      </c>
      <c r="W152" s="1124">
        <v>16000</v>
      </c>
      <c r="X152" s="1242">
        <v>16000</v>
      </c>
      <c r="Y152" s="1242">
        <v>14000</v>
      </c>
      <c r="Z152" s="1124">
        <v>0</v>
      </c>
      <c r="AA152" s="1124">
        <v>0</v>
      </c>
      <c r="AB152" s="1124">
        <v>0</v>
      </c>
      <c r="AC152" s="1124">
        <v>0</v>
      </c>
      <c r="AD152" s="1124">
        <v>0</v>
      </c>
      <c r="AE152" s="1242">
        <v>0</v>
      </c>
      <c r="AF152" s="1242">
        <v>0</v>
      </c>
      <c r="AG152" s="1124">
        <v>0</v>
      </c>
      <c r="AH152" s="1124">
        <v>0</v>
      </c>
      <c r="AI152" s="1124"/>
      <c r="AJ152" s="375">
        <f>SUM(E152:AI152)</f>
        <v>100000</v>
      </c>
      <c r="AK152" s="1049">
        <f t="shared" si="123"/>
        <v>0</v>
      </c>
      <c r="AL152" s="422">
        <f>+AJ152*AN152</f>
        <v>586918</v>
      </c>
      <c r="AM152" s="1046">
        <f t="shared" si="124"/>
        <v>0</v>
      </c>
      <c r="AN152" s="402">
        <v>5.8691800000000001</v>
      </c>
      <c r="AO152" s="622">
        <f>Table37[[#This Row],[Total]]*B156/1000</f>
        <v>0</v>
      </c>
      <c r="AP152" s="32" t="s">
        <v>457</v>
      </c>
      <c r="AQ152" s="33" t="s">
        <v>84</v>
      </c>
      <c r="AR152" s="33" t="s">
        <v>85</v>
      </c>
      <c r="AS152" s="33" t="s">
        <v>86</v>
      </c>
      <c r="AT152" s="33" t="s">
        <v>87</v>
      </c>
      <c r="AU152" s="33" t="s">
        <v>88</v>
      </c>
      <c r="AV152" s="34" t="s">
        <v>68</v>
      </c>
    </row>
    <row r="153" spans="1:48" ht="19.899999999999999" customHeight="1">
      <c r="A153" s="403"/>
      <c r="B153" s="393" t="s">
        <v>458</v>
      </c>
      <c r="C153" s="52" t="s">
        <v>95</v>
      </c>
      <c r="D153" s="37" t="s">
        <v>90</v>
      </c>
      <c r="E153" s="1323">
        <f>IF(E152="",0, E152/E159)</f>
        <v>0</v>
      </c>
      <c r="F153" s="1096">
        <f t="shared" ref="F153:AI153" si="134">IF(F152="",0, E153+F152/F159)</f>
        <v>0</v>
      </c>
      <c r="G153" s="1207">
        <f t="shared" si="134"/>
        <v>0</v>
      </c>
      <c r="H153" s="1096">
        <f t="shared" si="134"/>
        <v>0</v>
      </c>
      <c r="I153" s="1096">
        <f t="shared" si="134"/>
        <v>0</v>
      </c>
      <c r="J153" s="1207">
        <f t="shared" si="134"/>
        <v>0</v>
      </c>
      <c r="K153" s="1207">
        <f t="shared" si="134"/>
        <v>0</v>
      </c>
      <c r="L153" s="1096">
        <f t="shared" si="134"/>
        <v>0</v>
      </c>
      <c r="M153" s="1096">
        <f t="shared" si="134"/>
        <v>0</v>
      </c>
      <c r="N153" s="1096">
        <f t="shared" si="134"/>
        <v>0</v>
      </c>
      <c r="O153" s="1096">
        <f t="shared" si="134"/>
        <v>0</v>
      </c>
      <c r="P153" s="1096">
        <f t="shared" si="134"/>
        <v>0</v>
      </c>
      <c r="Q153" s="1207">
        <f t="shared" si="134"/>
        <v>0</v>
      </c>
      <c r="R153" s="1207">
        <f t="shared" si="134"/>
        <v>0</v>
      </c>
      <c r="S153" s="1096">
        <f t="shared" si="134"/>
        <v>1500</v>
      </c>
      <c r="T153" s="1096">
        <f t="shared" si="134"/>
        <v>5500</v>
      </c>
      <c r="U153" s="1096">
        <f t="shared" si="134"/>
        <v>9500</v>
      </c>
      <c r="V153" s="1096">
        <f t="shared" si="134"/>
        <v>13500</v>
      </c>
      <c r="W153" s="1096">
        <f t="shared" si="134"/>
        <v>17500</v>
      </c>
      <c r="X153" s="1207">
        <f t="shared" si="134"/>
        <v>21500</v>
      </c>
      <c r="Y153" s="1207">
        <f t="shared" si="134"/>
        <v>25000</v>
      </c>
      <c r="Z153" s="1096">
        <f t="shared" si="134"/>
        <v>25000</v>
      </c>
      <c r="AA153" s="1096">
        <f t="shared" si="134"/>
        <v>25000</v>
      </c>
      <c r="AB153" s="1096">
        <f t="shared" si="134"/>
        <v>25000</v>
      </c>
      <c r="AC153" s="1096">
        <f t="shared" si="134"/>
        <v>25000</v>
      </c>
      <c r="AD153" s="1096">
        <f t="shared" si="134"/>
        <v>25000</v>
      </c>
      <c r="AE153" s="1207">
        <f t="shared" si="134"/>
        <v>25000</v>
      </c>
      <c r="AF153" s="1207">
        <f t="shared" si="134"/>
        <v>25000</v>
      </c>
      <c r="AG153" s="1096">
        <f t="shared" si="134"/>
        <v>25000</v>
      </c>
      <c r="AH153" s="1096">
        <f t="shared" si="134"/>
        <v>25000</v>
      </c>
      <c r="AI153" s="1096">
        <f t="shared" si="134"/>
        <v>0</v>
      </c>
      <c r="AJ153" s="375"/>
      <c r="AK153" s="1033">
        <f t="shared" si="123"/>
        <v>-100000</v>
      </c>
      <c r="AL153" s="423"/>
      <c r="AM153" s="1040">
        <f t="shared" si="124"/>
        <v>-586918</v>
      </c>
      <c r="AN153" s="382"/>
      <c r="AO153" s="675"/>
      <c r="AP153" s="39" t="s">
        <v>91</v>
      </c>
      <c r="AQ153" s="40">
        <f>SUM(E152:H152)</f>
        <v>0</v>
      </c>
      <c r="AR153" s="41">
        <f>SUM(I152:O152)</f>
        <v>0</v>
      </c>
      <c r="AS153" s="41">
        <f>SUM(P152:V152)</f>
        <v>54000</v>
      </c>
      <c r="AT153" s="41">
        <f>SUM(W152:AC152)</f>
        <v>46000</v>
      </c>
      <c r="AU153" s="41">
        <f>SUM(AD152:AI152)</f>
        <v>0</v>
      </c>
      <c r="AV153" s="34">
        <f t="shared" ref="AV153:AV158" si="135">SUM(AQ153:AU153)</f>
        <v>100000</v>
      </c>
    </row>
    <row r="154" spans="1:48" ht="19.899999999999999" customHeight="1">
      <c r="A154" s="403"/>
      <c r="B154" s="393" t="s">
        <v>246</v>
      </c>
      <c r="C154" s="379">
        <v>60000</v>
      </c>
      <c r="D154" s="43" t="s">
        <v>93</v>
      </c>
      <c r="E154" s="1108">
        <v>0</v>
      </c>
      <c r="F154" s="1089">
        <v>0</v>
      </c>
      <c r="G154" s="44">
        <v>0</v>
      </c>
      <c r="H154" s="1089">
        <v>0</v>
      </c>
      <c r="I154" s="1089">
        <v>0</v>
      </c>
      <c r="J154" s="44">
        <v>0</v>
      </c>
      <c r="K154" s="44">
        <v>0</v>
      </c>
      <c r="L154" s="1089">
        <v>0</v>
      </c>
      <c r="M154" s="1089">
        <v>0</v>
      </c>
      <c r="N154" s="1089">
        <v>0</v>
      </c>
      <c r="O154" s="1089">
        <v>0</v>
      </c>
      <c r="P154" s="1089">
        <v>0</v>
      </c>
      <c r="Q154" s="44">
        <v>0</v>
      </c>
      <c r="R154" s="44">
        <v>0</v>
      </c>
      <c r="S154" s="1089">
        <v>0</v>
      </c>
      <c r="T154" s="1089">
        <v>0</v>
      </c>
      <c r="U154" s="1089">
        <v>0</v>
      </c>
      <c r="V154" s="1089">
        <v>0</v>
      </c>
      <c r="W154" s="1089">
        <v>0</v>
      </c>
      <c r="X154" s="44">
        <v>0</v>
      </c>
      <c r="Y154" s="44">
        <v>0</v>
      </c>
      <c r="Z154" s="1089">
        <v>0</v>
      </c>
      <c r="AA154" s="1089">
        <v>0</v>
      </c>
      <c r="AB154" s="1089"/>
      <c r="AC154" s="1089"/>
      <c r="AD154" s="1089"/>
      <c r="AE154" s="44"/>
      <c r="AF154" s="44"/>
      <c r="AG154" s="1089"/>
      <c r="AH154" s="1089"/>
      <c r="AI154" s="1089"/>
      <c r="AJ154" s="380">
        <f>SUM(E154:AI154)</f>
        <v>0</v>
      </c>
      <c r="AK154" s="1031">
        <f t="shared" si="123"/>
        <v>9568</v>
      </c>
      <c r="AL154" s="424">
        <f>+AJ154*AN152</f>
        <v>0</v>
      </c>
      <c r="AM154" s="1041">
        <f t="shared" si="124"/>
        <v>56156.31424</v>
      </c>
      <c r="AN154" s="382"/>
      <c r="AO154" s="632">
        <f>(AJ154+AJ156+AJ157+AJ158)*B156/1000</f>
        <v>0</v>
      </c>
      <c r="AP154" s="47" t="s">
        <v>94</v>
      </c>
      <c r="AQ154" s="48">
        <f>SUM(E154:H154)</f>
        <v>0</v>
      </c>
      <c r="AR154" s="49">
        <f>SUM(I154:O154)</f>
        <v>0</v>
      </c>
      <c r="AS154" s="49">
        <f>SUM(P154:V154)</f>
        <v>0</v>
      </c>
      <c r="AT154" s="49">
        <f>SUM(W154:AC154)</f>
        <v>0</v>
      </c>
      <c r="AU154" s="49">
        <f>SUM(AD154:AI154)</f>
        <v>0</v>
      </c>
      <c r="AV154" s="50">
        <f t="shared" si="135"/>
        <v>0</v>
      </c>
    </row>
    <row r="155" spans="1:48" ht="19.899999999999999" customHeight="1">
      <c r="A155" s="403"/>
      <c r="B155" s="638" t="s">
        <v>247</v>
      </c>
      <c r="C155" s="89" t="s">
        <v>108</v>
      </c>
      <c r="D155" s="53" t="s">
        <v>96</v>
      </c>
      <c r="E155" s="1137">
        <f t="shared" ref="E155:AI155" si="136">+E154-E152</f>
        <v>0</v>
      </c>
      <c r="F155" s="1097">
        <f t="shared" si="136"/>
        <v>0</v>
      </c>
      <c r="G155" s="1205">
        <f t="shared" si="136"/>
        <v>0</v>
      </c>
      <c r="H155" s="1097">
        <f t="shared" si="136"/>
        <v>0</v>
      </c>
      <c r="I155" s="1097">
        <f>+I154-I152</f>
        <v>0</v>
      </c>
      <c r="J155" s="1205">
        <f t="shared" si="136"/>
        <v>0</v>
      </c>
      <c r="K155" s="1205">
        <f t="shared" si="136"/>
        <v>0</v>
      </c>
      <c r="L155" s="1097">
        <f t="shared" si="136"/>
        <v>0</v>
      </c>
      <c r="M155" s="1097">
        <f t="shared" si="136"/>
        <v>0</v>
      </c>
      <c r="N155" s="1097">
        <f t="shared" si="136"/>
        <v>0</v>
      </c>
      <c r="O155" s="1097">
        <f t="shared" si="136"/>
        <v>0</v>
      </c>
      <c r="P155" s="1097">
        <f t="shared" si="136"/>
        <v>0</v>
      </c>
      <c r="Q155" s="1205">
        <f t="shared" si="136"/>
        <v>0</v>
      </c>
      <c r="R155" s="1205">
        <f t="shared" si="136"/>
        <v>0</v>
      </c>
      <c r="S155" s="1097">
        <f t="shared" si="136"/>
        <v>-6000</v>
      </c>
      <c r="T155" s="1097">
        <f t="shared" si="136"/>
        <v>-16000</v>
      </c>
      <c r="U155" s="1097">
        <f t="shared" si="136"/>
        <v>-16000</v>
      </c>
      <c r="V155" s="1097">
        <f t="shared" si="136"/>
        <v>-16000</v>
      </c>
      <c r="W155" s="1097">
        <f>+W154-W152</f>
        <v>-16000</v>
      </c>
      <c r="X155" s="1205">
        <f t="shared" si="136"/>
        <v>-16000</v>
      </c>
      <c r="Y155" s="1205">
        <f t="shared" si="136"/>
        <v>-14000</v>
      </c>
      <c r="Z155" s="1097">
        <f t="shared" si="136"/>
        <v>0</v>
      </c>
      <c r="AA155" s="1097">
        <f t="shared" si="136"/>
        <v>0</v>
      </c>
      <c r="AB155" s="1097">
        <f t="shared" si="136"/>
        <v>0</v>
      </c>
      <c r="AC155" s="1097">
        <f t="shared" si="136"/>
        <v>0</v>
      </c>
      <c r="AD155" s="1097">
        <f t="shared" si="136"/>
        <v>0</v>
      </c>
      <c r="AE155" s="1205">
        <f t="shared" si="136"/>
        <v>0</v>
      </c>
      <c r="AF155" s="1205">
        <f t="shared" si="136"/>
        <v>0</v>
      </c>
      <c r="AG155" s="1097">
        <f t="shared" si="136"/>
        <v>0</v>
      </c>
      <c r="AH155" s="1097">
        <f t="shared" si="136"/>
        <v>0</v>
      </c>
      <c r="AI155" s="1097">
        <f t="shared" si="136"/>
        <v>0</v>
      </c>
      <c r="AJ155" s="381">
        <f>+AJ154-AJ152</f>
        <v>-100000</v>
      </c>
      <c r="AK155" s="1031">
        <f t="shared" si="123"/>
        <v>0</v>
      </c>
      <c r="AL155" s="425">
        <f>+AJ155*AN152</f>
        <v>-586918</v>
      </c>
      <c r="AM155" s="1041">
        <f t="shared" si="124"/>
        <v>0</v>
      </c>
      <c r="AN155" s="382" t="s">
        <v>97</v>
      </c>
      <c r="AO155" s="622"/>
      <c r="AP155" s="39" t="s">
        <v>98</v>
      </c>
      <c r="AQ155" s="56">
        <f>AQ154-AQ153</f>
        <v>0</v>
      </c>
      <c r="AR155" s="70">
        <f>AR154-AR153</f>
        <v>0</v>
      </c>
      <c r="AS155" s="70">
        <f>AS154-AS153</f>
        <v>-54000</v>
      </c>
      <c r="AT155" s="70">
        <f>AT154-AT153</f>
        <v>-46000</v>
      </c>
      <c r="AU155" s="70">
        <f>AU154-AU153</f>
        <v>0</v>
      </c>
      <c r="AV155" s="57">
        <f t="shared" si="135"/>
        <v>-100000</v>
      </c>
    </row>
    <row r="156" spans="1:48" ht="19.899999999999999" customHeight="1">
      <c r="A156" s="403"/>
      <c r="B156" s="746"/>
      <c r="C156" s="383">
        <f>+C154*0.8</f>
        <v>48000</v>
      </c>
      <c r="D156" s="61" t="s">
        <v>101</v>
      </c>
      <c r="E156" s="1098">
        <v>0</v>
      </c>
      <c r="F156" s="1099">
        <v>0</v>
      </c>
      <c r="G156" s="1208">
        <v>0</v>
      </c>
      <c r="H156" s="1099">
        <v>0</v>
      </c>
      <c r="I156" s="1099">
        <f>160+200</f>
        <v>360</v>
      </c>
      <c r="J156" s="1208">
        <v>0</v>
      </c>
      <c r="K156" s="1208">
        <v>0</v>
      </c>
      <c r="L156" s="1099">
        <f>360+740</f>
        <v>1100</v>
      </c>
      <c r="M156" s="1099">
        <f>200+380</f>
        <v>580</v>
      </c>
      <c r="N156" s="1099">
        <f>120+220</f>
        <v>340</v>
      </c>
      <c r="O156" s="1099">
        <f>1160+1024</f>
        <v>2184</v>
      </c>
      <c r="P156" s="1099">
        <f>360+940</f>
        <v>1300</v>
      </c>
      <c r="Q156" s="1208">
        <v>0</v>
      </c>
      <c r="R156" s="1208">
        <v>0</v>
      </c>
      <c r="S156" s="1099">
        <f>320+524</f>
        <v>844</v>
      </c>
      <c r="T156" s="1099">
        <f>200+160</f>
        <v>360</v>
      </c>
      <c r="U156" s="1099">
        <f>200+200</f>
        <v>400</v>
      </c>
      <c r="V156" s="1099">
        <f>232+200</f>
        <v>432</v>
      </c>
      <c r="W156" s="1099">
        <f>200+160</f>
        <v>360</v>
      </c>
      <c r="X156" s="1208">
        <v>0</v>
      </c>
      <c r="Y156" s="1208">
        <v>0</v>
      </c>
      <c r="Z156" s="1099">
        <f>240+740</f>
        <v>980</v>
      </c>
      <c r="AA156" s="1099">
        <f>200+128</f>
        <v>328</v>
      </c>
      <c r="AB156" s="1099"/>
      <c r="AC156" s="1099"/>
      <c r="AD156" s="1099"/>
      <c r="AE156" s="1208"/>
      <c r="AF156" s="1208"/>
      <c r="AG156" s="1099"/>
      <c r="AH156" s="1099"/>
      <c r="AI156" s="1099"/>
      <c r="AJ156" s="384">
        <f>SUM(E156:AI156)</f>
        <v>9568</v>
      </c>
      <c r="AK156" s="1031">
        <f t="shared" si="123"/>
        <v>0</v>
      </c>
      <c r="AL156" s="420">
        <f>+AJ156*AN152</f>
        <v>56156.31424</v>
      </c>
      <c r="AM156" s="1040">
        <f t="shared" si="124"/>
        <v>0</v>
      </c>
      <c r="AN156" s="404" t="e">
        <f>+AJ156/AJ154*100</f>
        <v>#DIV/0!</v>
      </c>
      <c r="AO156" s="635" t="e">
        <f>AO154/AO152</f>
        <v>#DIV/0!</v>
      </c>
      <c r="AP156" s="39" t="s">
        <v>102</v>
      </c>
      <c r="AQ156" s="56">
        <f>SUM(E156:H156)</f>
        <v>0</v>
      </c>
      <c r="AR156" s="70">
        <f>SUM(I156:O156)</f>
        <v>4564</v>
      </c>
      <c r="AS156" s="70">
        <f>SUM(P156:V156)</f>
        <v>3336</v>
      </c>
      <c r="AT156" s="70">
        <f>SUM(W156:AC156)</f>
        <v>1668</v>
      </c>
      <c r="AU156" s="70">
        <f>SUM(AD156:AI156)</f>
        <v>0</v>
      </c>
      <c r="AV156" s="57">
        <f t="shared" si="135"/>
        <v>9568</v>
      </c>
    </row>
    <row r="157" spans="1:48" ht="19.899999999999999" customHeight="1">
      <c r="A157" s="403"/>
      <c r="B157" s="390"/>
      <c r="C157" s="383"/>
      <c r="D157" s="67" t="s">
        <v>103</v>
      </c>
      <c r="E157" s="1100">
        <v>0</v>
      </c>
      <c r="F157" s="1101">
        <v>0</v>
      </c>
      <c r="G157" s="1209">
        <v>0</v>
      </c>
      <c r="H157" s="1101">
        <v>0</v>
      </c>
      <c r="I157" s="1101">
        <v>0</v>
      </c>
      <c r="J157" s="1209">
        <v>0</v>
      </c>
      <c r="K157" s="1209">
        <v>0</v>
      </c>
      <c r="L157" s="1101">
        <v>0</v>
      </c>
      <c r="M157" s="1101">
        <v>0</v>
      </c>
      <c r="N157" s="1101">
        <v>0</v>
      </c>
      <c r="O157" s="1101">
        <v>0</v>
      </c>
      <c r="P157" s="1101">
        <v>0</v>
      </c>
      <c r="Q157" s="1209">
        <v>0</v>
      </c>
      <c r="R157" s="1209">
        <v>0</v>
      </c>
      <c r="S157" s="1101">
        <v>0</v>
      </c>
      <c r="T157" s="1101">
        <v>0</v>
      </c>
      <c r="U157" s="1101">
        <v>0</v>
      </c>
      <c r="V157" s="1101">
        <v>0</v>
      </c>
      <c r="W157" s="1101">
        <v>0</v>
      </c>
      <c r="X157" s="1209">
        <v>0</v>
      </c>
      <c r="Y157" s="1209">
        <v>0</v>
      </c>
      <c r="Z157" s="1101">
        <v>0</v>
      </c>
      <c r="AA157" s="1101">
        <v>0</v>
      </c>
      <c r="AB157" s="1101"/>
      <c r="AC157" s="1101"/>
      <c r="AD157" s="1101"/>
      <c r="AE157" s="1209"/>
      <c r="AF157" s="1209"/>
      <c r="AG157" s="1101"/>
      <c r="AH157" s="1101"/>
      <c r="AI157" s="1101"/>
      <c r="AJ157" s="386">
        <f>SUM(E157:AI157)</f>
        <v>0</v>
      </c>
      <c r="AK157" s="1031">
        <f t="shared" si="123"/>
        <v>0</v>
      </c>
      <c r="AL157" s="426">
        <f>+AJ157*AN152</f>
        <v>0</v>
      </c>
      <c r="AM157" s="1040">
        <f t="shared" si="124"/>
        <v>0</v>
      </c>
      <c r="AN157" s="382"/>
      <c r="AO157" s="622"/>
      <c r="AP157" s="39" t="s">
        <v>19</v>
      </c>
      <c r="AQ157" s="56">
        <f>AQ156*AN152</f>
        <v>0</v>
      </c>
      <c r="AR157" s="56">
        <f>AR156*AN152</f>
        <v>26786.937519999999</v>
      </c>
      <c r="AS157" s="56">
        <f>AS156*AN152</f>
        <v>19579.584480000001</v>
      </c>
      <c r="AT157" s="56">
        <f>AT156*AN152</f>
        <v>9789.7922400000007</v>
      </c>
      <c r="AU157" s="56">
        <f>AU156*AN152</f>
        <v>0</v>
      </c>
      <c r="AV157" s="57">
        <f t="shared" si="135"/>
        <v>56156.31424</v>
      </c>
    </row>
    <row r="158" spans="1:48" ht="19.899999999999999" customHeight="1">
      <c r="A158" s="403"/>
      <c r="B158" s="390"/>
      <c r="C158" s="387" t="s">
        <v>435</v>
      </c>
      <c r="D158" s="73" t="s">
        <v>105</v>
      </c>
      <c r="E158" s="1102">
        <v>0</v>
      </c>
      <c r="F158" s="1103">
        <v>0</v>
      </c>
      <c r="G158" s="1210">
        <v>0</v>
      </c>
      <c r="H158" s="1103">
        <v>0</v>
      </c>
      <c r="I158" s="1103">
        <v>0</v>
      </c>
      <c r="J158" s="1210">
        <v>0</v>
      </c>
      <c r="K158" s="1210">
        <v>0</v>
      </c>
      <c r="L158" s="1103">
        <v>0</v>
      </c>
      <c r="M158" s="1103">
        <v>0</v>
      </c>
      <c r="N158" s="1103">
        <v>0</v>
      </c>
      <c r="O158" s="1103">
        <v>0</v>
      </c>
      <c r="P158" s="1103">
        <v>0</v>
      </c>
      <c r="Q158" s="1210">
        <v>0</v>
      </c>
      <c r="R158" s="1210">
        <v>0</v>
      </c>
      <c r="S158" s="1103">
        <v>0</v>
      </c>
      <c r="T158" s="1103">
        <v>0</v>
      </c>
      <c r="U158" s="1103">
        <v>0</v>
      </c>
      <c r="V158" s="1103">
        <v>0</v>
      </c>
      <c r="W158" s="1103">
        <v>0</v>
      </c>
      <c r="X158" s="1210">
        <v>0</v>
      </c>
      <c r="Y158" s="1210">
        <v>0</v>
      </c>
      <c r="Z158" s="1103">
        <v>0</v>
      </c>
      <c r="AA158" s="1103">
        <v>0</v>
      </c>
      <c r="AB158" s="1103"/>
      <c r="AC158" s="1103"/>
      <c r="AD158" s="1103"/>
      <c r="AE158" s="1210"/>
      <c r="AF158" s="1210"/>
      <c r="AG158" s="1103"/>
      <c r="AH158" s="1103"/>
      <c r="AI158" s="1103"/>
      <c r="AJ158" s="388">
        <f>SUM(E158:AI158)</f>
        <v>0</v>
      </c>
      <c r="AK158" s="1031">
        <f t="shared" si="123"/>
        <v>2392</v>
      </c>
      <c r="AL158" s="427">
        <f>+AJ158*AN152</f>
        <v>0</v>
      </c>
      <c r="AM158" s="1040">
        <f t="shared" si="124"/>
        <v>0</v>
      </c>
      <c r="AN158" s="382"/>
      <c r="AO158" s="622"/>
      <c r="AP158" s="47" t="s">
        <v>106</v>
      </c>
      <c r="AQ158" s="48">
        <f>AQ154*AN152</f>
        <v>0</v>
      </c>
      <c r="AR158" s="48">
        <f>AR154*AN152</f>
        <v>0</v>
      </c>
      <c r="AS158" s="48">
        <f>AS154*AN152</f>
        <v>0</v>
      </c>
      <c r="AT158" s="48">
        <f>AT154*AN152</f>
        <v>0</v>
      </c>
      <c r="AU158" s="48">
        <f>AU154*AN152</f>
        <v>0</v>
      </c>
      <c r="AV158" s="50">
        <f t="shared" si="135"/>
        <v>0</v>
      </c>
    </row>
    <row r="159" spans="1:48" ht="19.899999999999999" customHeight="1">
      <c r="A159" s="403"/>
      <c r="B159" s="390"/>
      <c r="C159" s="379">
        <v>50000</v>
      </c>
      <c r="D159" s="78" t="s">
        <v>107</v>
      </c>
      <c r="E159" s="1137">
        <v>4</v>
      </c>
      <c r="F159" s="1137">
        <v>4</v>
      </c>
      <c r="G159" s="1232">
        <v>4</v>
      </c>
      <c r="H159" s="1137">
        <v>4</v>
      </c>
      <c r="I159" s="1137">
        <v>4</v>
      </c>
      <c r="J159" s="1232">
        <v>4</v>
      </c>
      <c r="K159" s="1232">
        <v>4</v>
      </c>
      <c r="L159" s="1137">
        <v>4</v>
      </c>
      <c r="M159" s="1137">
        <v>4</v>
      </c>
      <c r="N159" s="1137">
        <v>4</v>
      </c>
      <c r="O159" s="1097">
        <v>4</v>
      </c>
      <c r="P159" s="1097">
        <v>4</v>
      </c>
      <c r="Q159" s="1205">
        <v>4</v>
      </c>
      <c r="R159" s="1205">
        <v>4</v>
      </c>
      <c r="S159" s="1097">
        <v>4</v>
      </c>
      <c r="T159" s="1097">
        <v>4</v>
      </c>
      <c r="U159" s="1097">
        <v>4</v>
      </c>
      <c r="V159" s="1097">
        <v>4</v>
      </c>
      <c r="W159" s="1097">
        <v>4</v>
      </c>
      <c r="X159" s="1205">
        <v>4</v>
      </c>
      <c r="Y159" s="1205">
        <v>4</v>
      </c>
      <c r="Z159" s="1097">
        <v>4</v>
      </c>
      <c r="AA159" s="1097">
        <v>4</v>
      </c>
      <c r="AB159" s="1097">
        <v>4</v>
      </c>
      <c r="AC159" s="1097">
        <v>4</v>
      </c>
      <c r="AD159" s="1097">
        <v>4</v>
      </c>
      <c r="AE159" s="1205">
        <v>4</v>
      </c>
      <c r="AF159" s="1205">
        <v>4</v>
      </c>
      <c r="AG159" s="1097">
        <v>4</v>
      </c>
      <c r="AH159" s="1097">
        <v>4</v>
      </c>
      <c r="AI159" s="1097">
        <v>8</v>
      </c>
      <c r="AJ159" s="381"/>
      <c r="AK159" s="1031">
        <f t="shared" si="123"/>
        <v>0</v>
      </c>
      <c r="AL159" s="425"/>
      <c r="AM159" s="1041">
        <f t="shared" si="124"/>
        <v>0</v>
      </c>
      <c r="AN159" s="382"/>
      <c r="AO159" s="622"/>
      <c r="AP159" s="391"/>
      <c r="AQ159" s="391"/>
      <c r="AR159" s="4"/>
      <c r="AS159" s="4"/>
      <c r="AT159" s="392"/>
      <c r="AU159" s="4"/>
      <c r="AV159" s="4"/>
    </row>
    <row r="160" spans="1:48" ht="19.899999999999999" customHeight="1">
      <c r="A160" s="405"/>
      <c r="B160" s="390"/>
      <c r="C160" s="89" t="s">
        <v>108</v>
      </c>
      <c r="D160" s="81" t="s">
        <v>109</v>
      </c>
      <c r="E160" s="1125">
        <f>SUM(E154+E156+E157+E158)/E159</f>
        <v>0</v>
      </c>
      <c r="F160" s="1125">
        <f t="shared" ref="F160:AI160" si="137">SUM(F154+F156+F157+F158)/F159</f>
        <v>0</v>
      </c>
      <c r="G160" s="1233">
        <f>SUM(G154+G156+G157+G158)/G159</f>
        <v>0</v>
      </c>
      <c r="H160" s="1125">
        <f t="shared" si="137"/>
        <v>0</v>
      </c>
      <c r="I160" s="1125">
        <f t="shared" si="137"/>
        <v>90</v>
      </c>
      <c r="J160" s="1233">
        <f t="shared" si="137"/>
        <v>0</v>
      </c>
      <c r="K160" s="1233">
        <f t="shared" si="137"/>
        <v>0</v>
      </c>
      <c r="L160" s="1125">
        <f t="shared" si="137"/>
        <v>275</v>
      </c>
      <c r="M160" s="1125">
        <f t="shared" si="137"/>
        <v>145</v>
      </c>
      <c r="N160" s="1125">
        <f t="shared" si="137"/>
        <v>85</v>
      </c>
      <c r="O160" s="1125">
        <f t="shared" si="137"/>
        <v>546</v>
      </c>
      <c r="P160" s="1125">
        <f t="shared" si="137"/>
        <v>325</v>
      </c>
      <c r="Q160" s="1233">
        <f t="shared" si="137"/>
        <v>0</v>
      </c>
      <c r="R160" s="1233">
        <f t="shared" si="137"/>
        <v>0</v>
      </c>
      <c r="S160" s="1125">
        <f t="shared" si="137"/>
        <v>211</v>
      </c>
      <c r="T160" s="1125">
        <f t="shared" si="137"/>
        <v>90</v>
      </c>
      <c r="U160" s="1125">
        <f t="shared" si="137"/>
        <v>100</v>
      </c>
      <c r="V160" s="1125">
        <f t="shared" si="137"/>
        <v>108</v>
      </c>
      <c r="W160" s="1125">
        <f t="shared" si="137"/>
        <v>90</v>
      </c>
      <c r="X160" s="1233">
        <f t="shared" si="137"/>
        <v>0</v>
      </c>
      <c r="Y160" s="1233">
        <f t="shared" si="137"/>
        <v>0</v>
      </c>
      <c r="Z160" s="1125">
        <f t="shared" si="137"/>
        <v>245</v>
      </c>
      <c r="AA160" s="1125">
        <f t="shared" si="137"/>
        <v>82</v>
      </c>
      <c r="AB160" s="1125">
        <f t="shared" si="137"/>
        <v>0</v>
      </c>
      <c r="AC160" s="1125">
        <f t="shared" si="137"/>
        <v>0</v>
      </c>
      <c r="AD160" s="1125">
        <f t="shared" si="137"/>
        <v>0</v>
      </c>
      <c r="AE160" s="1233">
        <f t="shared" si="137"/>
        <v>0</v>
      </c>
      <c r="AF160" s="1233">
        <f t="shared" si="137"/>
        <v>0</v>
      </c>
      <c r="AG160" s="1125">
        <f t="shared" si="137"/>
        <v>0</v>
      </c>
      <c r="AH160" s="1125">
        <f t="shared" si="137"/>
        <v>0</v>
      </c>
      <c r="AI160" s="1125">
        <f t="shared" si="137"/>
        <v>0</v>
      </c>
      <c r="AJ160" s="415">
        <f>SUM(E160:AI160)</f>
        <v>2392</v>
      </c>
      <c r="AK160" s="1030">
        <f t="shared" si="123"/>
        <v>0</v>
      </c>
      <c r="AL160" s="419"/>
      <c r="AM160" s="1040">
        <f t="shared" si="124"/>
        <v>0</v>
      </c>
      <c r="AN160" s="382"/>
      <c r="AO160" s="622"/>
      <c r="AP160" s="391"/>
      <c r="AQ160" s="391"/>
      <c r="AR160" s="4"/>
      <c r="AS160" s="4"/>
      <c r="AT160" s="392"/>
      <c r="AU160" s="4"/>
      <c r="AV160" s="4"/>
    </row>
    <row r="161" spans="1:48" ht="19.899999999999999" customHeight="1">
      <c r="A161" s="403"/>
      <c r="B161" s="59"/>
      <c r="C161" s="383">
        <f>+C159*0.8</f>
        <v>40000</v>
      </c>
      <c r="D161" s="85" t="s">
        <v>110</v>
      </c>
      <c r="E161" s="1178"/>
      <c r="F161" s="1175"/>
      <c r="G161" s="1267"/>
      <c r="H161" s="1175"/>
      <c r="I161" s="1175"/>
      <c r="J161" s="1267"/>
      <c r="K161" s="1267"/>
      <c r="L161" s="1175"/>
      <c r="M161" s="1175"/>
      <c r="N161" s="1175"/>
      <c r="O161" s="1175"/>
      <c r="P161" s="1175"/>
      <c r="Q161" s="1267"/>
      <c r="R161" s="1267"/>
      <c r="S161" s="1175"/>
      <c r="T161" s="1144"/>
      <c r="U161" s="1175"/>
      <c r="V161" s="1175"/>
      <c r="W161" s="1175"/>
      <c r="X161" s="1267"/>
      <c r="Y161" s="1267"/>
      <c r="Z161" s="1175"/>
      <c r="AA161" s="1175"/>
      <c r="AB161" s="1175"/>
      <c r="AC161" s="1175"/>
      <c r="AD161" s="1175"/>
      <c r="AE161" s="1267"/>
      <c r="AF161" s="1267"/>
      <c r="AG161" s="1175"/>
      <c r="AH161" s="1175"/>
      <c r="AI161" s="1175"/>
      <c r="AJ161" s="394"/>
      <c r="AK161" s="1030">
        <f t="shared" si="123"/>
        <v>0</v>
      </c>
      <c r="AL161" s="419"/>
      <c r="AM161" s="1040">
        <f t="shared" si="124"/>
        <v>0</v>
      </c>
      <c r="AN161" s="382"/>
      <c r="AO161" s="622"/>
      <c r="AP161" s="391"/>
      <c r="AQ161" s="391"/>
      <c r="AR161" s="4"/>
      <c r="AS161" s="4"/>
      <c r="AT161" s="392"/>
      <c r="AU161" s="4"/>
      <c r="AV161" s="4"/>
    </row>
    <row r="162" spans="1:48" ht="19.899999999999999" customHeight="1">
      <c r="A162" s="403"/>
      <c r="B162" s="390"/>
      <c r="C162" s="89"/>
      <c r="D162" s="88" t="s">
        <v>111</v>
      </c>
      <c r="E162" s="1156">
        <f>IF(E161="O/H",E160,15925+E160)</f>
        <v>15925</v>
      </c>
      <c r="F162" s="1156">
        <f>IF(F161="O/H",F160,+E162+F160)</f>
        <v>15925</v>
      </c>
      <c r="G162" s="1227">
        <f t="shared" ref="G162:M162" si="138">IF(G161="O/H",G160,+F162+G160)</f>
        <v>15925</v>
      </c>
      <c r="H162" s="1156">
        <f t="shared" si="138"/>
        <v>15925</v>
      </c>
      <c r="I162" s="1156">
        <f t="shared" si="138"/>
        <v>16015</v>
      </c>
      <c r="J162" s="1227">
        <f t="shared" si="138"/>
        <v>16015</v>
      </c>
      <c r="K162" s="1227">
        <f t="shared" si="138"/>
        <v>16015</v>
      </c>
      <c r="L162" s="1156">
        <f t="shared" si="138"/>
        <v>16290</v>
      </c>
      <c r="M162" s="1156">
        <f t="shared" si="138"/>
        <v>16435</v>
      </c>
      <c r="N162" s="1156">
        <f t="shared" ref="N162" si="139">IF(N161="O/H",N160,+M162+N160)</f>
        <v>16520</v>
      </c>
      <c r="O162" s="1156">
        <f t="shared" ref="O162" si="140">IF(O161="O/H",O160,+N162+O160)</f>
        <v>17066</v>
      </c>
      <c r="P162" s="1156">
        <f t="shared" ref="P162" si="141">IF(P161="O/H",P160,+O162+P160)</f>
        <v>17391</v>
      </c>
      <c r="Q162" s="1227">
        <f t="shared" ref="Q162" si="142">IF(Q161="O/H",Q160,+P162+Q160)</f>
        <v>17391</v>
      </c>
      <c r="R162" s="1227">
        <f t="shared" ref="R162" si="143">IF(R161="O/H",R160,+Q162+R160)</f>
        <v>17391</v>
      </c>
      <c r="S162" s="1156">
        <f t="shared" ref="S162:T162" si="144">IF(S161="O/H",S160,+R162+S160)</f>
        <v>17602</v>
      </c>
      <c r="T162" s="1156">
        <f t="shared" si="144"/>
        <v>17692</v>
      </c>
      <c r="U162" s="1156">
        <f t="shared" ref="U162" si="145">IF(U161="O/H",U160,+T162+U160)</f>
        <v>17792</v>
      </c>
      <c r="V162" s="1156">
        <f t="shared" ref="V162" si="146">IF(V161="O/H",V160,+U162+V160)</f>
        <v>17900</v>
      </c>
      <c r="W162" s="1156">
        <f t="shared" ref="W162" si="147">IF(W161="O/H",W160,+V162+W160)</f>
        <v>17990</v>
      </c>
      <c r="X162" s="1227">
        <f t="shared" ref="X162" si="148">IF(X161="O/H",X160,+W162+X160)</f>
        <v>17990</v>
      </c>
      <c r="Y162" s="1227">
        <f t="shared" ref="Y162" si="149">IF(Y161="O/H",Y160,+X162+Y160)</f>
        <v>17990</v>
      </c>
      <c r="Z162" s="1156">
        <f t="shared" ref="Z162:AA162" si="150">IF(Z161="O/H",Z160,+Y162+Z160)</f>
        <v>18235</v>
      </c>
      <c r="AA162" s="1156">
        <f t="shared" si="150"/>
        <v>18317</v>
      </c>
      <c r="AB162" s="1156">
        <f t="shared" ref="AB162" si="151">IF(AB161="O/H",AB160,+AA162+AB160)</f>
        <v>18317</v>
      </c>
      <c r="AC162" s="1156">
        <f t="shared" ref="AC162" si="152">IF(AC161="O/H",AC160,+AB162+AC160)</f>
        <v>18317</v>
      </c>
      <c r="AD162" s="1156">
        <f t="shared" ref="AD162" si="153">IF(AD161="O/H",AD160,+AC162+AD160)</f>
        <v>18317</v>
      </c>
      <c r="AE162" s="1227">
        <f t="shared" ref="AE162" si="154">IF(AE161="O/H",AE160,+AD162+AE160)</f>
        <v>18317</v>
      </c>
      <c r="AF162" s="1227">
        <f t="shared" ref="AF162" si="155">IF(AF161="O/H",AF160,+AE162+AF160)</f>
        <v>18317</v>
      </c>
      <c r="AG162" s="1156">
        <f t="shared" ref="AG162" si="156">IF(AG161="O/H",AG160,+AF162+AG160)</f>
        <v>18317</v>
      </c>
      <c r="AH162" s="1156">
        <f t="shared" ref="AH162" si="157">IF(AH161="O/H",AH160,+AG162+AH160)</f>
        <v>18317</v>
      </c>
      <c r="AI162" s="1156">
        <f t="shared" ref="AI162" si="158">IF(AI161="O/H",AI160,+AH162+AI160)</f>
        <v>18317</v>
      </c>
      <c r="AJ162" s="394"/>
      <c r="AK162" s="1030">
        <f t="shared" si="123"/>
        <v>0</v>
      </c>
      <c r="AL162" s="419"/>
      <c r="AM162" s="1040">
        <f t="shared" si="124"/>
        <v>0</v>
      </c>
      <c r="AN162" s="382"/>
      <c r="AO162" s="622"/>
      <c r="AP162" s="391"/>
      <c r="AQ162" s="391"/>
      <c r="AR162" s="4"/>
      <c r="AS162" s="4"/>
      <c r="AT162" s="392"/>
      <c r="AU162" s="4"/>
      <c r="AV162" s="4"/>
    </row>
    <row r="163" spans="1:48" ht="19.899999999999999" customHeight="1">
      <c r="A163" s="403"/>
      <c r="B163" s="59"/>
      <c r="C163" s="89"/>
      <c r="D163" s="395" t="s">
        <v>435</v>
      </c>
      <c r="E163" s="1365"/>
      <c r="F163" s="1107"/>
      <c r="G163" s="1228"/>
      <c r="H163" s="1176"/>
      <c r="I163" s="1107"/>
      <c r="J163" s="1228"/>
      <c r="K163" s="1273"/>
      <c r="L163" s="1107"/>
      <c r="M163" s="1107"/>
      <c r="N163" s="1177"/>
      <c r="O163" s="1107"/>
      <c r="P163" s="1177"/>
      <c r="Q163" s="1228"/>
      <c r="R163" s="1228"/>
      <c r="S163" s="1107"/>
      <c r="T163" s="1107"/>
      <c r="U163" s="1107"/>
      <c r="V163" s="1107"/>
      <c r="W163" s="1107"/>
      <c r="X163" s="1228"/>
      <c r="Y163" s="1228"/>
      <c r="Z163" s="1155"/>
      <c r="AA163" s="1107"/>
      <c r="AB163" s="1107"/>
      <c r="AC163" s="1107"/>
      <c r="AD163" s="1107"/>
      <c r="AE163" s="1228"/>
      <c r="AF163" s="1228"/>
      <c r="AG163" s="1107"/>
      <c r="AH163" s="1107"/>
      <c r="AI163" s="1107"/>
      <c r="AJ163" s="396"/>
      <c r="AK163" s="1031">
        <f t="shared" si="123"/>
        <v>0</v>
      </c>
      <c r="AL163" s="420"/>
      <c r="AM163" s="1040">
        <f t="shared" si="124"/>
        <v>0</v>
      </c>
      <c r="AN163" s="382"/>
      <c r="AO163" s="622"/>
      <c r="AP163" s="391"/>
      <c r="AQ163" s="391"/>
    </row>
    <row r="164" spans="1:48" ht="19.899999999999999" customHeight="1">
      <c r="A164" s="403"/>
      <c r="B164" s="59"/>
      <c r="C164" s="387" t="s">
        <v>104</v>
      </c>
      <c r="D164" s="88" t="s">
        <v>111</v>
      </c>
      <c r="E164" s="1156">
        <f>IF(E163="O/H",E160,15925+E160)</f>
        <v>15925</v>
      </c>
      <c r="F164" s="1156">
        <f>IF(F163="O/H",F160,+E164+F160)</f>
        <v>15925</v>
      </c>
      <c r="G164" s="1227">
        <f t="shared" ref="G164:AF164" si="159">IF(G163="O/H",G160,+F164+G160)</f>
        <v>15925</v>
      </c>
      <c r="H164" s="1156">
        <f t="shared" si="159"/>
        <v>15925</v>
      </c>
      <c r="I164" s="1156">
        <f t="shared" si="159"/>
        <v>16015</v>
      </c>
      <c r="J164" s="1227">
        <f t="shared" si="159"/>
        <v>16015</v>
      </c>
      <c r="K164" s="1227">
        <f t="shared" si="159"/>
        <v>16015</v>
      </c>
      <c r="L164" s="1156">
        <f t="shared" si="159"/>
        <v>16290</v>
      </c>
      <c r="M164" s="1156">
        <f t="shared" si="159"/>
        <v>16435</v>
      </c>
      <c r="N164" s="1156">
        <f t="shared" si="159"/>
        <v>16520</v>
      </c>
      <c r="O164" s="1156">
        <f t="shared" si="159"/>
        <v>17066</v>
      </c>
      <c r="P164" s="1156">
        <f t="shared" si="159"/>
        <v>17391</v>
      </c>
      <c r="Q164" s="1227">
        <f t="shared" si="159"/>
        <v>17391</v>
      </c>
      <c r="R164" s="1227">
        <f t="shared" si="159"/>
        <v>17391</v>
      </c>
      <c r="S164" s="1156">
        <f t="shared" si="159"/>
        <v>17602</v>
      </c>
      <c r="T164" s="1156">
        <f t="shared" si="159"/>
        <v>17692</v>
      </c>
      <c r="U164" s="1156">
        <f t="shared" si="159"/>
        <v>17792</v>
      </c>
      <c r="V164" s="1156">
        <f t="shared" si="159"/>
        <v>17900</v>
      </c>
      <c r="W164" s="1156">
        <f t="shared" si="159"/>
        <v>17990</v>
      </c>
      <c r="X164" s="1227">
        <f t="shared" si="159"/>
        <v>17990</v>
      </c>
      <c r="Y164" s="1227">
        <f t="shared" si="159"/>
        <v>17990</v>
      </c>
      <c r="Z164" s="1156">
        <f t="shared" si="159"/>
        <v>18235</v>
      </c>
      <c r="AA164" s="1156">
        <f t="shared" si="159"/>
        <v>18317</v>
      </c>
      <c r="AB164" s="1156">
        <f t="shared" si="159"/>
        <v>18317</v>
      </c>
      <c r="AC164" s="1156">
        <f t="shared" si="159"/>
        <v>18317</v>
      </c>
      <c r="AD164" s="1156">
        <f t="shared" si="159"/>
        <v>18317</v>
      </c>
      <c r="AE164" s="1227">
        <f t="shared" si="159"/>
        <v>18317</v>
      </c>
      <c r="AF164" s="1227">
        <f t="shared" si="159"/>
        <v>18317</v>
      </c>
      <c r="AG164" s="1156">
        <f t="shared" ref="AG164" si="160">IF(AG163="O/H",AG160,+AF164+AG160)</f>
        <v>18317</v>
      </c>
      <c r="AH164" s="1156">
        <f t="shared" ref="AH164" si="161">IF(AH163="O/H",AH160,+AG164+AH160)</f>
        <v>18317</v>
      </c>
      <c r="AI164" s="1156">
        <f t="shared" ref="AI164" si="162">IF(AI163="O/H",AI160,+AH164+AI160)</f>
        <v>18317</v>
      </c>
      <c r="AJ164" s="396"/>
      <c r="AK164" s="1031">
        <f t="shared" si="123"/>
        <v>0</v>
      </c>
      <c r="AL164" s="420"/>
      <c r="AM164" s="1040">
        <f t="shared" si="124"/>
        <v>0</v>
      </c>
      <c r="AN164" s="382"/>
      <c r="AO164" s="622"/>
      <c r="AP164" s="391"/>
      <c r="AQ164" s="391"/>
    </row>
    <row r="165" spans="1:48" s="23" customFormat="1" ht="20.45" customHeight="1">
      <c r="A165" s="312"/>
      <c r="B165" s="312"/>
      <c r="C165" s="379">
        <v>150000</v>
      </c>
      <c r="D165" s="795" t="s">
        <v>112</v>
      </c>
      <c r="E165" s="1117">
        <f>IF(AND(ISNUMBER(E154)),500992+E160)</f>
        <v>500992</v>
      </c>
      <c r="F165" s="1118">
        <f>IF(AND(ISNUMBER(F154)),E165+F160,"")</f>
        <v>500992</v>
      </c>
      <c r="G165" s="1216">
        <f>IF(AND(ISNUMBER(G154)),F165+G160,"")</f>
        <v>500992</v>
      </c>
      <c r="H165" s="1118">
        <f t="shared" ref="H165:AI165" si="163">IF(AND(ISNUMBER(H154)),G165+H160,"")</f>
        <v>500992</v>
      </c>
      <c r="I165" s="1118">
        <f t="shared" si="163"/>
        <v>501082</v>
      </c>
      <c r="J165" s="1216">
        <f t="shared" si="163"/>
        <v>501082</v>
      </c>
      <c r="K165" s="1216">
        <f t="shared" si="163"/>
        <v>501082</v>
      </c>
      <c r="L165" s="1118">
        <f t="shared" si="163"/>
        <v>501357</v>
      </c>
      <c r="M165" s="1118">
        <f t="shared" si="163"/>
        <v>501502</v>
      </c>
      <c r="N165" s="1118">
        <f t="shared" si="163"/>
        <v>501587</v>
      </c>
      <c r="O165" s="1118">
        <f t="shared" si="163"/>
        <v>502133</v>
      </c>
      <c r="P165" s="1118">
        <f t="shared" si="163"/>
        <v>502458</v>
      </c>
      <c r="Q165" s="1216">
        <f t="shared" si="163"/>
        <v>502458</v>
      </c>
      <c r="R165" s="1216">
        <f t="shared" si="163"/>
        <v>502458</v>
      </c>
      <c r="S165" s="1118">
        <f t="shared" si="163"/>
        <v>502669</v>
      </c>
      <c r="T165" s="1118">
        <f t="shared" si="163"/>
        <v>502759</v>
      </c>
      <c r="U165" s="1118">
        <f t="shared" si="163"/>
        <v>502859</v>
      </c>
      <c r="V165" s="1118">
        <f t="shared" si="163"/>
        <v>502967</v>
      </c>
      <c r="W165" s="1118">
        <f t="shared" si="163"/>
        <v>503057</v>
      </c>
      <c r="X165" s="1216">
        <f t="shared" si="163"/>
        <v>503057</v>
      </c>
      <c r="Y165" s="1216">
        <f t="shared" si="163"/>
        <v>503057</v>
      </c>
      <c r="Z165" s="1118">
        <f t="shared" si="163"/>
        <v>503302</v>
      </c>
      <c r="AA165" s="1118">
        <f t="shared" si="163"/>
        <v>503384</v>
      </c>
      <c r="AB165" s="1118" t="str">
        <f t="shared" si="163"/>
        <v/>
      </c>
      <c r="AC165" s="1118" t="str">
        <f t="shared" si="163"/>
        <v/>
      </c>
      <c r="AD165" s="1118" t="str">
        <f t="shared" si="163"/>
        <v/>
      </c>
      <c r="AE165" s="1216" t="str">
        <f t="shared" si="163"/>
        <v/>
      </c>
      <c r="AF165" s="1216" t="str">
        <f t="shared" si="163"/>
        <v/>
      </c>
      <c r="AG165" s="1118" t="str">
        <f t="shared" si="163"/>
        <v/>
      </c>
      <c r="AH165" s="1118" t="str">
        <f t="shared" si="163"/>
        <v/>
      </c>
      <c r="AI165" s="1089" t="str">
        <f t="shared" si="163"/>
        <v/>
      </c>
      <c r="AJ165" s="793"/>
      <c r="AK165" s="1026">
        <f t="shared" si="123"/>
        <v>0</v>
      </c>
      <c r="AL165" s="897"/>
      <c r="AM165" s="1042">
        <f t="shared" si="124"/>
        <v>0</v>
      </c>
      <c r="AN165" s="468"/>
      <c r="AO165" s="675"/>
      <c r="AP165" s="285"/>
      <c r="AQ165" s="285"/>
      <c r="AR165" s="285"/>
      <c r="AS165" s="285"/>
      <c r="AT165" s="286"/>
      <c r="AU165" s="285"/>
      <c r="AV165" s="287"/>
    </row>
    <row r="166" spans="1:48" ht="19.899999999999999" customHeight="1">
      <c r="A166" s="403"/>
      <c r="B166" s="393" t="s">
        <v>528</v>
      </c>
      <c r="C166" s="89" t="s">
        <v>108</v>
      </c>
      <c r="D166" s="90" t="s">
        <v>104</v>
      </c>
      <c r="E166" s="1365"/>
      <c r="F166" s="1107"/>
      <c r="G166" s="1228"/>
      <c r="H166" s="1176"/>
      <c r="I166" s="1107"/>
      <c r="J166" s="1228"/>
      <c r="K166" s="1273"/>
      <c r="L166" s="1107"/>
      <c r="M166" s="1107"/>
      <c r="N166" s="1177"/>
      <c r="O166" s="1107"/>
      <c r="P166" s="1177"/>
      <c r="Q166" s="1228"/>
      <c r="R166" s="1273"/>
      <c r="S166" s="1107"/>
      <c r="T166" s="1107"/>
      <c r="U166" s="1107"/>
      <c r="V166" s="1107"/>
      <c r="W166" s="1107"/>
      <c r="X166" s="1228"/>
      <c r="Y166" s="1228"/>
      <c r="Z166" s="1106"/>
      <c r="AA166" s="1107"/>
      <c r="AB166" s="1107"/>
      <c r="AC166" s="1107"/>
      <c r="AD166" s="1107"/>
      <c r="AE166" s="1228"/>
      <c r="AF166" s="1228"/>
      <c r="AG166" s="1107"/>
      <c r="AH166" s="1107"/>
      <c r="AI166" s="1107"/>
      <c r="AJ166" s="396"/>
      <c r="AK166" s="1031">
        <f t="shared" si="123"/>
        <v>0</v>
      </c>
      <c r="AL166" s="420"/>
      <c r="AM166" s="1040">
        <f t="shared" si="124"/>
        <v>0</v>
      </c>
      <c r="AN166" s="382"/>
      <c r="AO166" s="622"/>
      <c r="AP166" s="391"/>
      <c r="AQ166" s="391"/>
    </row>
    <row r="167" spans="1:48" ht="19.899999999999999" customHeight="1" thickBot="1">
      <c r="A167" s="406"/>
      <c r="B167" s="398"/>
      <c r="C167" s="407">
        <f>+C165*0.8</f>
        <v>120000</v>
      </c>
      <c r="D167" s="95" t="s">
        <v>111</v>
      </c>
      <c r="E167" s="1478">
        <f>IF(E166="O/H",E160,0+E160)</f>
        <v>0</v>
      </c>
      <c r="F167" s="1479">
        <f>IF(F166="O/H",F160,+E167+F160)</f>
        <v>0</v>
      </c>
      <c r="G167" s="1212">
        <f t="shared" ref="G167:AF167" si="164">IF(G166="O/H",G160,+F167+G160)</f>
        <v>0</v>
      </c>
      <c r="H167" s="1479">
        <f t="shared" si="164"/>
        <v>0</v>
      </c>
      <c r="I167" s="1479">
        <f t="shared" si="164"/>
        <v>90</v>
      </c>
      <c r="J167" s="1479">
        <f t="shared" si="164"/>
        <v>90</v>
      </c>
      <c r="K167" s="1479">
        <f t="shared" si="164"/>
        <v>90</v>
      </c>
      <c r="L167" s="1479">
        <f t="shared" si="164"/>
        <v>365</v>
      </c>
      <c r="M167" s="1479">
        <f t="shared" si="164"/>
        <v>510</v>
      </c>
      <c r="N167" s="1479">
        <f t="shared" si="164"/>
        <v>595</v>
      </c>
      <c r="O167" s="1479">
        <f t="shared" si="164"/>
        <v>1141</v>
      </c>
      <c r="P167" s="1479">
        <f t="shared" si="164"/>
        <v>1466</v>
      </c>
      <c r="Q167" s="1479">
        <f t="shared" si="164"/>
        <v>1466</v>
      </c>
      <c r="R167" s="1479">
        <f t="shared" si="164"/>
        <v>1466</v>
      </c>
      <c r="S167" s="1479">
        <f t="shared" si="164"/>
        <v>1677</v>
      </c>
      <c r="T167" s="1479">
        <f t="shared" si="164"/>
        <v>1767</v>
      </c>
      <c r="U167" s="1479">
        <f t="shared" si="164"/>
        <v>1867</v>
      </c>
      <c r="V167" s="1479">
        <f t="shared" si="164"/>
        <v>1975</v>
      </c>
      <c r="W167" s="1479">
        <f t="shared" si="164"/>
        <v>2065</v>
      </c>
      <c r="X167" s="1479">
        <f t="shared" si="164"/>
        <v>2065</v>
      </c>
      <c r="Y167" s="1479">
        <f t="shared" si="164"/>
        <v>2065</v>
      </c>
      <c r="Z167" s="1479">
        <f t="shared" si="164"/>
        <v>2310</v>
      </c>
      <c r="AA167" s="1479">
        <f t="shared" si="164"/>
        <v>2392</v>
      </c>
      <c r="AB167" s="1479">
        <f t="shared" si="164"/>
        <v>2392</v>
      </c>
      <c r="AC167" s="1479">
        <f t="shared" si="164"/>
        <v>2392</v>
      </c>
      <c r="AD167" s="1479">
        <f t="shared" si="164"/>
        <v>2392</v>
      </c>
      <c r="AE167" s="1479">
        <f t="shared" si="164"/>
        <v>2392</v>
      </c>
      <c r="AF167" s="1479">
        <f t="shared" si="164"/>
        <v>2392</v>
      </c>
      <c r="AG167" s="1479">
        <f t="shared" ref="AG167" si="165">IF(AG166="O/H",AG160,+AF167+AG160)</f>
        <v>2392</v>
      </c>
      <c r="AH167" s="1479">
        <f t="shared" ref="AH167" si="166">IF(AH166="O/H",AH160,+AG167+AH160)</f>
        <v>2392</v>
      </c>
      <c r="AI167" s="1110">
        <f t="shared" ref="AI167" si="167">IF(AI166="O/H",AI160,+AH167+AI160)</f>
        <v>2392</v>
      </c>
      <c r="AJ167" s="399"/>
      <c r="AK167" s="1032">
        <f t="shared" si="123"/>
        <v>0</v>
      </c>
      <c r="AL167" s="421"/>
      <c r="AM167" s="1043">
        <f t="shared" si="124"/>
        <v>0</v>
      </c>
      <c r="AN167" s="894"/>
      <c r="AO167" s="625"/>
      <c r="AP167" s="391"/>
      <c r="AQ167" s="391"/>
    </row>
    <row r="168" spans="1:48" ht="21" hidden="1" customHeight="1" thickTop="1">
      <c r="A168" s="968" t="s">
        <v>595</v>
      </c>
      <c r="B168" s="393" t="s">
        <v>658</v>
      </c>
      <c r="C168" s="518" t="str">
        <f>Table37[[#This Row],[M/C No.]]</f>
        <v>R9(18ton)</v>
      </c>
      <c r="D168" s="28" t="s">
        <v>82</v>
      </c>
      <c r="E168" s="1124"/>
      <c r="F168" s="1124"/>
      <c r="G168" s="1242"/>
      <c r="H168" s="1124"/>
      <c r="I168" s="1124"/>
      <c r="J168" s="1242"/>
      <c r="K168" s="1242"/>
      <c r="L168" s="1124"/>
      <c r="M168" s="1124"/>
      <c r="N168" s="1124"/>
      <c r="O168" s="1124"/>
      <c r="P168" s="1124"/>
      <c r="Q168" s="1242"/>
      <c r="R168" s="1242"/>
      <c r="S168" s="1124"/>
      <c r="T168" s="1124"/>
      <c r="U168" s="1124"/>
      <c r="V168" s="1124"/>
      <c r="W168" s="1124"/>
      <c r="X168" s="1242"/>
      <c r="Y168" s="1242"/>
      <c r="Z168" s="1124"/>
      <c r="AA168" s="1124"/>
      <c r="AB168" s="1124"/>
      <c r="AC168" s="1124"/>
      <c r="AD168" s="1124"/>
      <c r="AE168" s="1242"/>
      <c r="AF168" s="1242"/>
      <c r="AG168" s="1124"/>
      <c r="AH168" s="1124"/>
      <c r="AI168" s="1124"/>
      <c r="AJ168" s="375">
        <f>SUM(E168:AI168)</f>
        <v>0</v>
      </c>
      <c r="AK168" s="1049">
        <f t="shared" si="123"/>
        <v>0</v>
      </c>
      <c r="AL168" s="422">
        <f>+AJ168*AN168</f>
        <v>0</v>
      </c>
      <c r="AM168" s="1046">
        <f t="shared" si="124"/>
        <v>0</v>
      </c>
      <c r="AN168" s="402">
        <v>5.78491</v>
      </c>
      <c r="AO168" s="622">
        <f>Table37[[#This Row],[Total]]*B172/1000</f>
        <v>0</v>
      </c>
      <c r="AP168" s="32" t="s">
        <v>457</v>
      </c>
      <c r="AQ168" s="33" t="s">
        <v>84</v>
      </c>
      <c r="AR168" s="33" t="s">
        <v>85</v>
      </c>
      <c r="AS168" s="33" t="s">
        <v>86</v>
      </c>
      <c r="AT168" s="33" t="s">
        <v>87</v>
      </c>
      <c r="AU168" s="33" t="s">
        <v>88</v>
      </c>
      <c r="AV168" s="34" t="s">
        <v>68</v>
      </c>
    </row>
    <row r="169" spans="1:48" ht="21" hidden="1" customHeight="1">
      <c r="A169" s="403"/>
      <c r="B169" s="393" t="s">
        <v>459</v>
      </c>
      <c r="C169" s="52" t="s">
        <v>95</v>
      </c>
      <c r="D169" s="37" t="s">
        <v>90</v>
      </c>
      <c r="E169" s="1323">
        <f>IF(E168="",0, +E168/E175)</f>
        <v>0</v>
      </c>
      <c r="F169" s="1096">
        <f t="shared" ref="F169:AI169" si="168">IF(F168="",0, E169+F168/F175)</f>
        <v>0</v>
      </c>
      <c r="G169" s="1207">
        <f t="shared" si="168"/>
        <v>0</v>
      </c>
      <c r="H169" s="1096">
        <f t="shared" si="168"/>
        <v>0</v>
      </c>
      <c r="I169" s="1096">
        <f t="shared" si="168"/>
        <v>0</v>
      </c>
      <c r="J169" s="1207">
        <f t="shared" si="168"/>
        <v>0</v>
      </c>
      <c r="K169" s="1207">
        <f t="shared" si="168"/>
        <v>0</v>
      </c>
      <c r="L169" s="1096">
        <f t="shared" si="168"/>
        <v>0</v>
      </c>
      <c r="M169" s="1096">
        <f t="shared" si="168"/>
        <v>0</v>
      </c>
      <c r="N169" s="1096">
        <f t="shared" si="168"/>
        <v>0</v>
      </c>
      <c r="O169" s="1096">
        <f t="shared" si="168"/>
        <v>0</v>
      </c>
      <c r="P169" s="1096">
        <f t="shared" si="168"/>
        <v>0</v>
      </c>
      <c r="Q169" s="1207">
        <f t="shared" si="168"/>
        <v>0</v>
      </c>
      <c r="R169" s="1207">
        <f t="shared" si="168"/>
        <v>0</v>
      </c>
      <c r="S169" s="1096">
        <f t="shared" si="168"/>
        <v>0</v>
      </c>
      <c r="T169" s="1096">
        <f t="shared" si="168"/>
        <v>0</v>
      </c>
      <c r="U169" s="1096">
        <f t="shared" si="168"/>
        <v>0</v>
      </c>
      <c r="V169" s="1096">
        <f t="shared" si="168"/>
        <v>0</v>
      </c>
      <c r="W169" s="1096">
        <f t="shared" si="168"/>
        <v>0</v>
      </c>
      <c r="X169" s="1207">
        <f t="shared" si="168"/>
        <v>0</v>
      </c>
      <c r="Y169" s="1207">
        <f t="shared" si="168"/>
        <v>0</v>
      </c>
      <c r="Z169" s="1096">
        <f t="shared" si="168"/>
        <v>0</v>
      </c>
      <c r="AA169" s="1096">
        <f t="shared" si="168"/>
        <v>0</v>
      </c>
      <c r="AB169" s="1096">
        <f t="shared" si="168"/>
        <v>0</v>
      </c>
      <c r="AC169" s="1096">
        <f t="shared" si="168"/>
        <v>0</v>
      </c>
      <c r="AD169" s="1096">
        <f t="shared" si="168"/>
        <v>0</v>
      </c>
      <c r="AE169" s="1207">
        <f t="shared" si="168"/>
        <v>0</v>
      </c>
      <c r="AF169" s="1207">
        <f t="shared" si="168"/>
        <v>0</v>
      </c>
      <c r="AG169" s="1096">
        <f t="shared" si="168"/>
        <v>0</v>
      </c>
      <c r="AH169" s="1096">
        <f t="shared" si="168"/>
        <v>0</v>
      </c>
      <c r="AI169" s="1096">
        <f t="shared" si="168"/>
        <v>0</v>
      </c>
      <c r="AJ169" s="375"/>
      <c r="AK169" s="1033">
        <f t="shared" si="123"/>
        <v>0</v>
      </c>
      <c r="AL169" s="423"/>
      <c r="AM169" s="1040">
        <f t="shared" si="124"/>
        <v>0</v>
      </c>
      <c r="AN169" s="382"/>
      <c r="AO169" s="675"/>
      <c r="AP169" s="39" t="s">
        <v>91</v>
      </c>
      <c r="AQ169" s="40">
        <f>SUM(E168:H168)</f>
        <v>0</v>
      </c>
      <c r="AR169" s="41">
        <f>SUM(I168:O168)</f>
        <v>0</v>
      </c>
      <c r="AS169" s="41">
        <f>SUM(P168:V168)</f>
        <v>0</v>
      </c>
      <c r="AT169" s="41">
        <f>SUM(W168:AC168)</f>
        <v>0</v>
      </c>
      <c r="AU169" s="41">
        <f>SUM(AD168:AI168)</f>
        <v>0</v>
      </c>
      <c r="AV169" s="34">
        <f t="shared" ref="AV169:AV174" si="169">SUM(AQ169:AU169)</f>
        <v>0</v>
      </c>
    </row>
    <row r="170" spans="1:48" ht="21" hidden="1" customHeight="1">
      <c r="A170" s="403"/>
      <c r="B170" s="393" t="s">
        <v>246</v>
      </c>
      <c r="C170" s="379">
        <v>60000</v>
      </c>
      <c r="D170" s="43" t="s">
        <v>93</v>
      </c>
      <c r="E170" s="1108"/>
      <c r="F170" s="1089"/>
      <c r="G170" s="44"/>
      <c r="H170" s="1089"/>
      <c r="I170" s="1089"/>
      <c r="J170" s="44"/>
      <c r="K170" s="44"/>
      <c r="L170" s="1089"/>
      <c r="M170" s="1089"/>
      <c r="N170" s="1089"/>
      <c r="O170" s="1089"/>
      <c r="P170" s="1089"/>
      <c r="Q170" s="44"/>
      <c r="R170" s="44"/>
      <c r="S170" s="1089"/>
      <c r="T170" s="1089"/>
      <c r="U170" s="1089"/>
      <c r="V170" s="1089"/>
      <c r="W170" s="1089"/>
      <c r="X170" s="44"/>
      <c r="Y170" s="44"/>
      <c r="Z170" s="1089"/>
      <c r="AA170" s="1089"/>
      <c r="AB170" s="1089"/>
      <c r="AC170" s="1089"/>
      <c r="AD170" s="1089"/>
      <c r="AE170" s="44"/>
      <c r="AF170" s="44"/>
      <c r="AG170" s="1089"/>
      <c r="AH170" s="1089"/>
      <c r="AI170" s="1089"/>
      <c r="AJ170" s="380">
        <f>SUM(E170:AI170)</f>
        <v>0</v>
      </c>
      <c r="AK170" s="1031">
        <f t="shared" si="123"/>
        <v>0</v>
      </c>
      <c r="AL170" s="424">
        <f>+AJ170*AN168</f>
        <v>0</v>
      </c>
      <c r="AM170" s="1041">
        <f t="shared" si="124"/>
        <v>0</v>
      </c>
      <c r="AN170" s="382"/>
      <c r="AO170" s="632">
        <f>(AJ170+AJ172+AJ173+AJ174)*B172/1000</f>
        <v>0</v>
      </c>
      <c r="AP170" s="47" t="s">
        <v>94</v>
      </c>
      <c r="AQ170" s="48">
        <f>SUM(E170:H170)</f>
        <v>0</v>
      </c>
      <c r="AR170" s="49">
        <f>SUM(I170:O170)</f>
        <v>0</v>
      </c>
      <c r="AS170" s="49">
        <f>SUM(P170:V170)</f>
        <v>0</v>
      </c>
      <c r="AT170" s="49">
        <f>SUM(W170:AC170)</f>
        <v>0</v>
      </c>
      <c r="AU170" s="49">
        <f>SUM(AD170:AI170)</f>
        <v>0</v>
      </c>
      <c r="AV170" s="50">
        <f t="shared" si="169"/>
        <v>0</v>
      </c>
    </row>
    <row r="171" spans="1:48" ht="21" hidden="1" customHeight="1">
      <c r="A171" s="403"/>
      <c r="B171" s="748" t="s">
        <v>247</v>
      </c>
      <c r="C171" s="89" t="s">
        <v>108</v>
      </c>
      <c r="D171" s="53" t="s">
        <v>96</v>
      </c>
      <c r="E171" s="1137">
        <f t="shared" ref="E171:AJ171" si="170">+E170-E168</f>
        <v>0</v>
      </c>
      <c r="F171" s="1097">
        <f t="shared" si="170"/>
        <v>0</v>
      </c>
      <c r="G171" s="1205">
        <f t="shared" si="170"/>
        <v>0</v>
      </c>
      <c r="H171" s="1097">
        <f t="shared" si="170"/>
        <v>0</v>
      </c>
      <c r="I171" s="1097">
        <f t="shared" si="170"/>
        <v>0</v>
      </c>
      <c r="J171" s="1205">
        <f t="shared" si="170"/>
        <v>0</v>
      </c>
      <c r="K171" s="1205">
        <f t="shared" si="170"/>
        <v>0</v>
      </c>
      <c r="L171" s="1097">
        <f t="shared" si="170"/>
        <v>0</v>
      </c>
      <c r="M171" s="1097">
        <f t="shared" si="170"/>
        <v>0</v>
      </c>
      <c r="N171" s="1097">
        <f t="shared" si="170"/>
        <v>0</v>
      </c>
      <c r="O171" s="1097">
        <f>+O170-O168</f>
        <v>0</v>
      </c>
      <c r="P171" s="1097">
        <f t="shared" si="170"/>
        <v>0</v>
      </c>
      <c r="Q171" s="1205">
        <f>+Q170-Q168</f>
        <v>0</v>
      </c>
      <c r="R171" s="1205">
        <f t="shared" si="170"/>
        <v>0</v>
      </c>
      <c r="S171" s="1097">
        <f>+S170-S168</f>
        <v>0</v>
      </c>
      <c r="T171" s="1097">
        <f t="shared" si="170"/>
        <v>0</v>
      </c>
      <c r="U171" s="1097">
        <f t="shared" si="170"/>
        <v>0</v>
      </c>
      <c r="V171" s="1097">
        <f t="shared" si="170"/>
        <v>0</v>
      </c>
      <c r="W171" s="1097">
        <f t="shared" si="170"/>
        <v>0</v>
      </c>
      <c r="X171" s="1205">
        <f t="shared" si="170"/>
        <v>0</v>
      </c>
      <c r="Y171" s="1205">
        <f t="shared" si="170"/>
        <v>0</v>
      </c>
      <c r="Z171" s="1097">
        <f t="shared" si="170"/>
        <v>0</v>
      </c>
      <c r="AA171" s="1097">
        <f t="shared" si="170"/>
        <v>0</v>
      </c>
      <c r="AB171" s="1097">
        <f t="shared" si="170"/>
        <v>0</v>
      </c>
      <c r="AC171" s="1097">
        <f t="shared" si="170"/>
        <v>0</v>
      </c>
      <c r="AD171" s="1097">
        <f t="shared" si="170"/>
        <v>0</v>
      </c>
      <c r="AE171" s="1205">
        <f t="shared" si="170"/>
        <v>0</v>
      </c>
      <c r="AF171" s="1205">
        <f t="shared" si="170"/>
        <v>0</v>
      </c>
      <c r="AG171" s="1097">
        <f t="shared" si="170"/>
        <v>0</v>
      </c>
      <c r="AH171" s="1097">
        <f t="shared" si="170"/>
        <v>0</v>
      </c>
      <c r="AI171" s="1097">
        <f t="shared" si="170"/>
        <v>0</v>
      </c>
      <c r="AJ171" s="381">
        <f t="shared" si="170"/>
        <v>0</v>
      </c>
      <c r="AK171" s="1031">
        <f t="shared" si="123"/>
        <v>0</v>
      </c>
      <c r="AL171" s="425">
        <f>+AJ171*AN168</f>
        <v>0</v>
      </c>
      <c r="AM171" s="1041">
        <f t="shared" si="124"/>
        <v>0</v>
      </c>
      <c r="AN171" s="382" t="s">
        <v>97</v>
      </c>
      <c r="AO171" s="622"/>
      <c r="AP171" s="39" t="s">
        <v>98</v>
      </c>
      <c r="AQ171" s="56">
        <f>AQ170-AQ169</f>
        <v>0</v>
      </c>
      <c r="AR171" s="70">
        <f>AR170-AR169</f>
        <v>0</v>
      </c>
      <c r="AS171" s="70">
        <f>AS170-AS169</f>
        <v>0</v>
      </c>
      <c r="AT171" s="70">
        <f>AT170-AT169</f>
        <v>0</v>
      </c>
      <c r="AU171" s="70">
        <f>AU170-AU169</f>
        <v>0</v>
      </c>
      <c r="AV171" s="57">
        <f t="shared" si="169"/>
        <v>0</v>
      </c>
    </row>
    <row r="172" spans="1:48" ht="21" hidden="1" customHeight="1">
      <c r="A172" s="403"/>
      <c r="B172" s="749">
        <v>2.6277499999999998</v>
      </c>
      <c r="C172" s="383">
        <f>+C170*0.8</f>
        <v>48000</v>
      </c>
      <c r="D172" s="61" t="s">
        <v>101</v>
      </c>
      <c r="E172" s="1098"/>
      <c r="F172" s="1099"/>
      <c r="G172" s="1208"/>
      <c r="H172" s="1099"/>
      <c r="I172" s="1099"/>
      <c r="J172" s="1208"/>
      <c r="K172" s="1208"/>
      <c r="L172" s="1099"/>
      <c r="M172" s="1099"/>
      <c r="N172" s="1099"/>
      <c r="O172" s="1099"/>
      <c r="P172" s="1099"/>
      <c r="Q172" s="1208"/>
      <c r="R172" s="1208"/>
      <c r="S172" s="1099"/>
      <c r="T172" s="1099"/>
      <c r="U172" s="1099"/>
      <c r="V172" s="1099"/>
      <c r="W172" s="1099"/>
      <c r="X172" s="1208"/>
      <c r="Y172" s="1208"/>
      <c r="Z172" s="1099"/>
      <c r="AA172" s="1099"/>
      <c r="AB172" s="1099"/>
      <c r="AC172" s="1099"/>
      <c r="AD172" s="1099"/>
      <c r="AE172" s="1208"/>
      <c r="AF172" s="1208"/>
      <c r="AG172" s="1099"/>
      <c r="AH172" s="1099"/>
      <c r="AI172" s="1099"/>
      <c r="AJ172" s="384">
        <f>SUM(E172:AI172)</f>
        <v>0</v>
      </c>
      <c r="AK172" s="1031">
        <f t="shared" si="123"/>
        <v>0</v>
      </c>
      <c r="AL172" s="420">
        <f>+AJ172*AN168</f>
        <v>0</v>
      </c>
      <c r="AM172" s="1040">
        <f t="shared" si="124"/>
        <v>0</v>
      </c>
      <c r="AN172" s="404" t="e">
        <f>+AJ172/AJ170*100</f>
        <v>#DIV/0!</v>
      </c>
      <c r="AO172" s="635" t="e">
        <f>AO170/AO168</f>
        <v>#DIV/0!</v>
      </c>
      <c r="AP172" s="39" t="s">
        <v>102</v>
      </c>
      <c r="AQ172" s="56">
        <f>SUM(E172:H172)</f>
        <v>0</v>
      </c>
      <c r="AR172" s="70">
        <f>SUM(I172:O172)</f>
        <v>0</v>
      </c>
      <c r="AS172" s="70">
        <f>SUM(P172:V172)</f>
        <v>0</v>
      </c>
      <c r="AT172" s="70">
        <f>SUM(W172:AC172)</f>
        <v>0</v>
      </c>
      <c r="AU172" s="70">
        <f>SUM(AD172:AI172)</f>
        <v>0</v>
      </c>
      <c r="AV172" s="57">
        <f t="shared" si="169"/>
        <v>0</v>
      </c>
    </row>
    <row r="173" spans="1:48" ht="21" hidden="1" customHeight="1">
      <c r="A173" s="403"/>
      <c r="B173" s="65"/>
      <c r="C173" s="383"/>
      <c r="D173" s="67" t="s">
        <v>103</v>
      </c>
      <c r="E173" s="1100"/>
      <c r="F173" s="1101"/>
      <c r="G173" s="1209"/>
      <c r="H173" s="1101"/>
      <c r="I173" s="1101"/>
      <c r="J173" s="1209"/>
      <c r="K173" s="1209"/>
      <c r="L173" s="1101"/>
      <c r="M173" s="1101"/>
      <c r="N173" s="1101"/>
      <c r="O173" s="1101"/>
      <c r="P173" s="1101"/>
      <c r="Q173" s="1209"/>
      <c r="R173" s="1209"/>
      <c r="S173" s="1101"/>
      <c r="T173" s="1101"/>
      <c r="U173" s="1101"/>
      <c r="V173" s="1101"/>
      <c r="W173" s="1101"/>
      <c r="X173" s="1209"/>
      <c r="Y173" s="1209"/>
      <c r="Z173" s="1101"/>
      <c r="AA173" s="1101"/>
      <c r="AB173" s="1101"/>
      <c r="AC173" s="1101"/>
      <c r="AD173" s="1101"/>
      <c r="AE173" s="1209"/>
      <c r="AF173" s="1209"/>
      <c r="AG173" s="1101"/>
      <c r="AH173" s="1101"/>
      <c r="AI173" s="1101"/>
      <c r="AJ173" s="386">
        <f>SUM(E173:AI173)</f>
        <v>0</v>
      </c>
      <c r="AK173" s="1031">
        <f t="shared" si="123"/>
        <v>0</v>
      </c>
      <c r="AL173" s="426">
        <f>+AJ173*AN168</f>
        <v>0</v>
      </c>
      <c r="AM173" s="1040">
        <f t="shared" si="124"/>
        <v>0</v>
      </c>
      <c r="AN173" s="382"/>
      <c r="AO173" s="622"/>
      <c r="AP173" s="39" t="s">
        <v>19</v>
      </c>
      <c r="AQ173" s="56">
        <f>AQ172*AN168</f>
        <v>0</v>
      </c>
      <c r="AR173" s="56">
        <f>AR172*AN168</f>
        <v>0</v>
      </c>
      <c r="AS173" s="56">
        <f>AS172*AN168</f>
        <v>0</v>
      </c>
      <c r="AT173" s="56">
        <f>AT172*AN168</f>
        <v>0</v>
      </c>
      <c r="AU173" s="56">
        <f>AU172*AN168</f>
        <v>0</v>
      </c>
      <c r="AV173" s="57">
        <f t="shared" si="169"/>
        <v>0</v>
      </c>
    </row>
    <row r="174" spans="1:48" ht="21" hidden="1" customHeight="1">
      <c r="A174" s="403"/>
      <c r="B174" s="65"/>
      <c r="C174" s="387" t="s">
        <v>435</v>
      </c>
      <c r="D174" s="73" t="s">
        <v>105</v>
      </c>
      <c r="E174" s="1102"/>
      <c r="F174" s="1103"/>
      <c r="G174" s="1210"/>
      <c r="H174" s="1103"/>
      <c r="I174" s="1103"/>
      <c r="J174" s="1210"/>
      <c r="K174" s="1210"/>
      <c r="L174" s="1103"/>
      <c r="M174" s="1103"/>
      <c r="N174" s="1103"/>
      <c r="O174" s="1103"/>
      <c r="P174" s="1103"/>
      <c r="Q174" s="1210"/>
      <c r="R174" s="1210"/>
      <c r="S174" s="1103"/>
      <c r="T174" s="1103"/>
      <c r="U174" s="1103"/>
      <c r="V174" s="1103"/>
      <c r="W174" s="1103"/>
      <c r="X174" s="1210"/>
      <c r="Y174" s="1210"/>
      <c r="Z174" s="1103"/>
      <c r="AA174" s="1103"/>
      <c r="AB174" s="1103"/>
      <c r="AC174" s="1103"/>
      <c r="AD174" s="1103"/>
      <c r="AE174" s="1210"/>
      <c r="AF174" s="1210"/>
      <c r="AG174" s="1103"/>
      <c r="AH174" s="1103"/>
      <c r="AI174" s="1103"/>
      <c r="AJ174" s="388">
        <f>SUM(E174:AI174)</f>
        <v>0</v>
      </c>
      <c r="AK174" s="1031">
        <f t="shared" si="123"/>
        <v>0</v>
      </c>
      <c r="AL174" s="427">
        <f>+AJ174*AN168</f>
        <v>0</v>
      </c>
      <c r="AM174" s="1040">
        <f t="shared" si="124"/>
        <v>0</v>
      </c>
      <c r="AN174" s="382"/>
      <c r="AO174" s="622"/>
      <c r="AP174" s="47" t="s">
        <v>106</v>
      </c>
      <c r="AQ174" s="48">
        <f>AQ170*AN168</f>
        <v>0</v>
      </c>
      <c r="AR174" s="48">
        <f>AR170*AN168</f>
        <v>0</v>
      </c>
      <c r="AS174" s="48">
        <f>AS170*AN168</f>
        <v>0</v>
      </c>
      <c r="AT174" s="48">
        <f>AT170*AN168</f>
        <v>0</v>
      </c>
      <c r="AU174" s="48">
        <f>AU170*AN168</f>
        <v>0</v>
      </c>
      <c r="AV174" s="50">
        <f t="shared" si="169"/>
        <v>0</v>
      </c>
    </row>
    <row r="175" spans="1:48" ht="21" hidden="1" customHeight="1">
      <c r="A175" s="403"/>
      <c r="B175" s="390"/>
      <c r="C175" s="379">
        <v>50000</v>
      </c>
      <c r="D175" s="78" t="s">
        <v>107</v>
      </c>
      <c r="E175" s="1137">
        <v>4</v>
      </c>
      <c r="F175" s="1097">
        <v>4</v>
      </c>
      <c r="G175" s="1205">
        <v>4</v>
      </c>
      <c r="H175" s="1097">
        <v>4</v>
      </c>
      <c r="I175" s="1097">
        <v>4</v>
      </c>
      <c r="J175" s="1205">
        <v>4</v>
      </c>
      <c r="K175" s="1205">
        <v>4</v>
      </c>
      <c r="L175" s="1097">
        <v>4</v>
      </c>
      <c r="M175" s="1097">
        <v>4</v>
      </c>
      <c r="N175" s="1097">
        <v>4</v>
      </c>
      <c r="O175" s="1097">
        <v>4</v>
      </c>
      <c r="P175" s="1097">
        <v>4</v>
      </c>
      <c r="Q175" s="1205">
        <v>4</v>
      </c>
      <c r="R175" s="1205">
        <v>4</v>
      </c>
      <c r="S175" s="1097">
        <v>4</v>
      </c>
      <c r="T175" s="1097">
        <v>4</v>
      </c>
      <c r="U175" s="1097">
        <v>4</v>
      </c>
      <c r="V175" s="1097">
        <v>4</v>
      </c>
      <c r="W175" s="1097">
        <v>4</v>
      </c>
      <c r="X175" s="1205">
        <v>4</v>
      </c>
      <c r="Y175" s="1205">
        <v>4</v>
      </c>
      <c r="Z175" s="1097">
        <v>4</v>
      </c>
      <c r="AA175" s="1097">
        <v>4</v>
      </c>
      <c r="AB175" s="1097">
        <v>4</v>
      </c>
      <c r="AC175" s="1097">
        <v>4</v>
      </c>
      <c r="AD175" s="1097">
        <v>4</v>
      </c>
      <c r="AE175" s="1205">
        <v>4</v>
      </c>
      <c r="AF175" s="1205">
        <v>4</v>
      </c>
      <c r="AG175" s="1097">
        <v>4</v>
      </c>
      <c r="AH175" s="1097">
        <v>4</v>
      </c>
      <c r="AI175" s="1097">
        <v>4</v>
      </c>
      <c r="AJ175" s="381"/>
      <c r="AK175" s="1031">
        <f t="shared" si="123"/>
        <v>0</v>
      </c>
      <c r="AL175" s="425"/>
      <c r="AM175" s="1041">
        <f t="shared" si="124"/>
        <v>0</v>
      </c>
      <c r="AN175" s="382"/>
      <c r="AO175" s="622"/>
      <c r="AP175" s="391"/>
      <c r="AQ175" s="391"/>
      <c r="AR175" s="4"/>
      <c r="AS175" s="4"/>
      <c r="AT175" s="392"/>
      <c r="AU175" s="4"/>
      <c r="AV175" s="4"/>
    </row>
    <row r="176" spans="1:48" ht="21" hidden="1" customHeight="1">
      <c r="A176" s="405"/>
      <c r="B176" s="390"/>
      <c r="C176" s="89" t="s">
        <v>108</v>
      </c>
      <c r="D176" s="81" t="s">
        <v>109</v>
      </c>
      <c r="E176" s="1125">
        <f>SUM(E170+E172+E173+E174)/E175</f>
        <v>0</v>
      </c>
      <c r="F176" s="1125">
        <f t="shared" ref="F176:AI176" si="171">SUM(F170+F172+F173+F174)/F175</f>
        <v>0</v>
      </c>
      <c r="G176" s="1233">
        <f t="shared" si="171"/>
        <v>0</v>
      </c>
      <c r="H176" s="1125">
        <f t="shared" si="171"/>
        <v>0</v>
      </c>
      <c r="I176" s="1125">
        <f t="shared" si="171"/>
        <v>0</v>
      </c>
      <c r="J176" s="1233">
        <f t="shared" si="171"/>
        <v>0</v>
      </c>
      <c r="K176" s="1233">
        <f t="shared" si="171"/>
        <v>0</v>
      </c>
      <c r="L176" s="1125">
        <f t="shared" si="171"/>
        <v>0</v>
      </c>
      <c r="M176" s="1125">
        <f t="shared" si="171"/>
        <v>0</v>
      </c>
      <c r="N176" s="1125">
        <f t="shared" si="171"/>
        <v>0</v>
      </c>
      <c r="O176" s="1125">
        <f t="shared" si="171"/>
        <v>0</v>
      </c>
      <c r="P176" s="1125">
        <f t="shared" si="171"/>
        <v>0</v>
      </c>
      <c r="Q176" s="1233">
        <f t="shared" si="171"/>
        <v>0</v>
      </c>
      <c r="R176" s="1233">
        <f t="shared" si="171"/>
        <v>0</v>
      </c>
      <c r="S176" s="1125">
        <f>SUM(S170+S172+S173+S174)/S175</f>
        <v>0</v>
      </c>
      <c r="T176" s="1125">
        <f t="shared" si="171"/>
        <v>0</v>
      </c>
      <c r="U176" s="1125">
        <f t="shared" si="171"/>
        <v>0</v>
      </c>
      <c r="V176" s="1125">
        <f t="shared" si="171"/>
        <v>0</v>
      </c>
      <c r="W176" s="1125">
        <f t="shared" si="171"/>
        <v>0</v>
      </c>
      <c r="X176" s="1233">
        <f t="shared" si="171"/>
        <v>0</v>
      </c>
      <c r="Y176" s="1233">
        <f t="shared" si="171"/>
        <v>0</v>
      </c>
      <c r="Z176" s="1125">
        <f t="shared" si="171"/>
        <v>0</v>
      </c>
      <c r="AA176" s="1125">
        <f t="shared" si="171"/>
        <v>0</v>
      </c>
      <c r="AB176" s="1125">
        <f t="shared" si="171"/>
        <v>0</v>
      </c>
      <c r="AC176" s="1125">
        <f t="shared" si="171"/>
        <v>0</v>
      </c>
      <c r="AD176" s="1125">
        <f t="shared" si="171"/>
        <v>0</v>
      </c>
      <c r="AE176" s="1233">
        <f t="shared" si="171"/>
        <v>0</v>
      </c>
      <c r="AF176" s="1233">
        <f t="shared" si="171"/>
        <v>0</v>
      </c>
      <c r="AG176" s="1125">
        <f t="shared" si="171"/>
        <v>0</v>
      </c>
      <c r="AH176" s="1156">
        <f t="shared" si="171"/>
        <v>0</v>
      </c>
      <c r="AI176" s="1156">
        <f t="shared" si="171"/>
        <v>0</v>
      </c>
      <c r="AJ176" s="380">
        <f>SUM(E176:AI176)</f>
        <v>0</v>
      </c>
      <c r="AK176" s="1030">
        <f t="shared" si="123"/>
        <v>0</v>
      </c>
      <c r="AL176" s="419"/>
      <c r="AM176" s="1040">
        <f t="shared" si="124"/>
        <v>0</v>
      </c>
      <c r="AN176" s="382"/>
      <c r="AO176" s="622"/>
      <c r="AP176" s="391"/>
      <c r="AQ176" s="391"/>
      <c r="AR176" s="4"/>
      <c r="AS176" s="4"/>
      <c r="AT176" s="392"/>
      <c r="AU176" s="4"/>
      <c r="AV176" s="4"/>
    </row>
    <row r="177" spans="1:48" ht="21" hidden="1" customHeight="1">
      <c r="A177" s="389"/>
      <c r="B177" s="390"/>
      <c r="C177" s="383">
        <f>+C175*0.8</f>
        <v>40000</v>
      </c>
      <c r="D177" s="85" t="s">
        <v>110</v>
      </c>
      <c r="E177" s="1366"/>
      <c r="F177" s="1126"/>
      <c r="G177" s="1263"/>
      <c r="H177" s="1172"/>
      <c r="I177" s="1126"/>
      <c r="J177" s="1268"/>
      <c r="K177" s="1235"/>
      <c r="L177" s="1126"/>
      <c r="M177" s="1126"/>
      <c r="N177" s="1126"/>
      <c r="O177" s="1175"/>
      <c r="P177" s="1173"/>
      <c r="Q177" s="1267"/>
      <c r="R177" s="1281"/>
      <c r="S177" s="1175"/>
      <c r="T177" s="1107"/>
      <c r="U177" s="1175"/>
      <c r="V177" s="1155"/>
      <c r="W177" s="1175"/>
      <c r="X177" s="1281"/>
      <c r="Y177" s="1281"/>
      <c r="Z177" s="1155"/>
      <c r="AA177" s="1173"/>
      <c r="AB177" s="1174"/>
      <c r="AC177" s="1173"/>
      <c r="AD177" s="1175"/>
      <c r="AE177" s="1267"/>
      <c r="AF177" s="1267"/>
      <c r="AG177" s="1175"/>
      <c r="AH177" s="1173"/>
      <c r="AI177" s="1173"/>
      <c r="AJ177" s="394"/>
      <c r="AK177" s="1030">
        <f t="shared" si="123"/>
        <v>0</v>
      </c>
      <c r="AL177" s="420"/>
      <c r="AM177" s="1040">
        <f t="shared" si="124"/>
        <v>0</v>
      </c>
      <c r="AN177" s="382"/>
      <c r="AO177" s="622"/>
      <c r="AP177" s="391"/>
      <c r="AQ177" s="391"/>
      <c r="AR177" s="4"/>
      <c r="AS177" s="4"/>
      <c r="AT177" s="392"/>
      <c r="AU177" s="4"/>
      <c r="AV177" s="4"/>
    </row>
    <row r="178" spans="1:48" ht="21" hidden="1" customHeight="1">
      <c r="A178" s="403"/>
      <c r="B178" s="390"/>
      <c r="C178" s="89"/>
      <c r="D178" s="88" t="s">
        <v>111</v>
      </c>
      <c r="E178" s="1156">
        <f>IF(E177="O/H",E176,0+E176)</f>
        <v>0</v>
      </c>
      <c r="F178" s="1156">
        <f t="shared" ref="F178:AI178" si="172">IF(F177="O/H",F176,0+F176)</f>
        <v>0</v>
      </c>
      <c r="G178" s="1227">
        <f t="shared" si="172"/>
        <v>0</v>
      </c>
      <c r="H178" s="1156">
        <f t="shared" si="172"/>
        <v>0</v>
      </c>
      <c r="I178" s="1156">
        <f t="shared" si="172"/>
        <v>0</v>
      </c>
      <c r="J178" s="1227">
        <f t="shared" si="172"/>
        <v>0</v>
      </c>
      <c r="K178" s="1227">
        <f t="shared" si="172"/>
        <v>0</v>
      </c>
      <c r="L178" s="1156">
        <f t="shared" si="172"/>
        <v>0</v>
      </c>
      <c r="M178" s="1156">
        <f t="shared" si="172"/>
        <v>0</v>
      </c>
      <c r="N178" s="1156">
        <f t="shared" si="172"/>
        <v>0</v>
      </c>
      <c r="O178" s="1156">
        <f t="shared" si="172"/>
        <v>0</v>
      </c>
      <c r="P178" s="1156">
        <f t="shared" si="172"/>
        <v>0</v>
      </c>
      <c r="Q178" s="1227">
        <f t="shared" si="172"/>
        <v>0</v>
      </c>
      <c r="R178" s="1227">
        <f t="shared" si="172"/>
        <v>0</v>
      </c>
      <c r="S178" s="1156">
        <f t="shared" si="172"/>
        <v>0</v>
      </c>
      <c r="T178" s="1156">
        <f t="shared" si="172"/>
        <v>0</v>
      </c>
      <c r="U178" s="1156">
        <f t="shared" si="172"/>
        <v>0</v>
      </c>
      <c r="V178" s="1156">
        <f t="shared" si="172"/>
        <v>0</v>
      </c>
      <c r="W178" s="1156">
        <f t="shared" si="172"/>
        <v>0</v>
      </c>
      <c r="X178" s="1227">
        <f t="shared" si="172"/>
        <v>0</v>
      </c>
      <c r="Y178" s="1227">
        <f t="shared" si="172"/>
        <v>0</v>
      </c>
      <c r="Z178" s="1156">
        <f t="shared" si="172"/>
        <v>0</v>
      </c>
      <c r="AA178" s="1156">
        <f t="shared" si="172"/>
        <v>0</v>
      </c>
      <c r="AB178" s="1156">
        <f t="shared" si="172"/>
        <v>0</v>
      </c>
      <c r="AC178" s="1156">
        <f t="shared" si="172"/>
        <v>0</v>
      </c>
      <c r="AD178" s="1156">
        <f t="shared" si="172"/>
        <v>0</v>
      </c>
      <c r="AE178" s="1227">
        <f t="shared" si="172"/>
        <v>0</v>
      </c>
      <c r="AF178" s="1227">
        <f t="shared" si="172"/>
        <v>0</v>
      </c>
      <c r="AG178" s="1156">
        <f t="shared" si="172"/>
        <v>0</v>
      </c>
      <c r="AH178" s="1156">
        <f t="shared" si="172"/>
        <v>0</v>
      </c>
      <c r="AI178" s="1156">
        <f t="shared" si="172"/>
        <v>0</v>
      </c>
      <c r="AJ178" s="394"/>
      <c r="AK178" s="1025">
        <f t="shared" si="123"/>
        <v>0</v>
      </c>
      <c r="AL178" s="419"/>
      <c r="AM178" s="1040">
        <f t="shared" si="124"/>
        <v>0</v>
      </c>
      <c r="AN178" s="382"/>
      <c r="AO178" s="622"/>
      <c r="AP178" s="391"/>
      <c r="AQ178" s="391"/>
      <c r="AR178" s="4"/>
      <c r="AS178" s="4"/>
      <c r="AT178" s="392"/>
      <c r="AU178" s="4"/>
      <c r="AV178" s="4"/>
    </row>
    <row r="179" spans="1:48" ht="21" hidden="1" customHeight="1">
      <c r="A179" s="403"/>
      <c r="B179" s="59"/>
      <c r="C179" s="89"/>
      <c r="D179" s="395" t="s">
        <v>435</v>
      </c>
      <c r="E179" s="1365"/>
      <c r="F179" s="1104"/>
      <c r="G179" s="1228"/>
      <c r="H179" s="1176"/>
      <c r="I179" s="1107"/>
      <c r="J179" s="1228"/>
      <c r="K179" s="1253"/>
      <c r="L179" s="1104"/>
      <c r="M179" s="1104"/>
      <c r="N179" s="1104"/>
      <c r="O179" s="1107"/>
      <c r="P179" s="1177"/>
      <c r="Q179" s="1228"/>
      <c r="R179" s="1211"/>
      <c r="S179" s="1107"/>
      <c r="T179" s="1107"/>
      <c r="U179" s="1107"/>
      <c r="V179" s="1107"/>
      <c r="W179" s="1107"/>
      <c r="X179" s="1228"/>
      <c r="Y179" s="1211"/>
      <c r="Z179" s="1155"/>
      <c r="AA179" s="1104"/>
      <c r="AB179" s="1104"/>
      <c r="AC179" s="1104"/>
      <c r="AD179" s="1107"/>
      <c r="AE179" s="1211"/>
      <c r="AF179" s="1228"/>
      <c r="AG179" s="1107"/>
      <c r="AH179" s="1104"/>
      <c r="AI179" s="1104"/>
      <c r="AJ179" s="396"/>
      <c r="AK179" s="1024">
        <f t="shared" si="123"/>
        <v>0</v>
      </c>
      <c r="AL179" s="420"/>
      <c r="AM179" s="1040">
        <f t="shared" si="124"/>
        <v>0</v>
      </c>
      <c r="AN179" s="382"/>
      <c r="AO179" s="622"/>
      <c r="AP179" s="391"/>
      <c r="AQ179" s="391"/>
    </row>
    <row r="180" spans="1:48" ht="21" hidden="1" customHeight="1">
      <c r="A180" s="403"/>
      <c r="B180" s="59"/>
      <c r="C180" s="387" t="s">
        <v>104</v>
      </c>
      <c r="D180" s="88" t="s">
        <v>111</v>
      </c>
      <c r="E180" s="1156">
        <f>IF(E179="O/H",E176,0+E176)</f>
        <v>0</v>
      </c>
      <c r="F180" s="1156">
        <f t="shared" ref="F180:AI180" si="173">IF(F179="O/H",F176,0+F176)</f>
        <v>0</v>
      </c>
      <c r="G180" s="1227">
        <f t="shared" si="173"/>
        <v>0</v>
      </c>
      <c r="H180" s="1156">
        <f t="shared" si="173"/>
        <v>0</v>
      </c>
      <c r="I180" s="1156">
        <f t="shared" si="173"/>
        <v>0</v>
      </c>
      <c r="J180" s="1227">
        <f t="shared" si="173"/>
        <v>0</v>
      </c>
      <c r="K180" s="1227">
        <f t="shared" si="173"/>
        <v>0</v>
      </c>
      <c r="L180" s="1156">
        <f t="shared" si="173"/>
        <v>0</v>
      </c>
      <c r="M180" s="1156">
        <f t="shared" si="173"/>
        <v>0</v>
      </c>
      <c r="N180" s="1156">
        <f t="shared" si="173"/>
        <v>0</v>
      </c>
      <c r="O180" s="1156">
        <f t="shared" si="173"/>
        <v>0</v>
      </c>
      <c r="P180" s="1156">
        <f t="shared" si="173"/>
        <v>0</v>
      </c>
      <c r="Q180" s="1227">
        <f t="shared" si="173"/>
        <v>0</v>
      </c>
      <c r="R180" s="1227">
        <f t="shared" si="173"/>
        <v>0</v>
      </c>
      <c r="S180" s="1156">
        <f t="shared" si="173"/>
        <v>0</v>
      </c>
      <c r="T180" s="1156">
        <f t="shared" si="173"/>
        <v>0</v>
      </c>
      <c r="U180" s="1156">
        <f t="shared" si="173"/>
        <v>0</v>
      </c>
      <c r="V180" s="1156">
        <f t="shared" si="173"/>
        <v>0</v>
      </c>
      <c r="W180" s="1156">
        <f t="shared" si="173"/>
        <v>0</v>
      </c>
      <c r="X180" s="1227">
        <f t="shared" si="173"/>
        <v>0</v>
      </c>
      <c r="Y180" s="1227">
        <f t="shared" si="173"/>
        <v>0</v>
      </c>
      <c r="Z180" s="1156">
        <f t="shared" si="173"/>
        <v>0</v>
      </c>
      <c r="AA180" s="1156">
        <f t="shared" si="173"/>
        <v>0</v>
      </c>
      <c r="AB180" s="1156">
        <f t="shared" si="173"/>
        <v>0</v>
      </c>
      <c r="AC180" s="1156">
        <f t="shared" si="173"/>
        <v>0</v>
      </c>
      <c r="AD180" s="1156">
        <f t="shared" si="173"/>
        <v>0</v>
      </c>
      <c r="AE180" s="1227">
        <f t="shared" si="173"/>
        <v>0</v>
      </c>
      <c r="AF180" s="1227">
        <f t="shared" si="173"/>
        <v>0</v>
      </c>
      <c r="AG180" s="1156">
        <f t="shared" si="173"/>
        <v>0</v>
      </c>
      <c r="AH180" s="1156">
        <f t="shared" si="173"/>
        <v>0</v>
      </c>
      <c r="AI180" s="1156">
        <f t="shared" si="173"/>
        <v>0</v>
      </c>
      <c r="AJ180" s="396"/>
      <c r="AK180" s="1024">
        <f t="shared" si="123"/>
        <v>0</v>
      </c>
      <c r="AL180" s="420"/>
      <c r="AM180" s="1040">
        <f t="shared" si="124"/>
        <v>0</v>
      </c>
      <c r="AN180" s="382"/>
      <c r="AO180" s="622"/>
      <c r="AP180" s="391"/>
      <c r="AQ180" s="391"/>
    </row>
    <row r="181" spans="1:48" s="23" customFormat="1" ht="16.5" hidden="1" customHeight="1">
      <c r="A181" s="312"/>
      <c r="B181" s="312"/>
      <c r="C181" s="379">
        <v>150000</v>
      </c>
      <c r="D181" s="795" t="s">
        <v>112</v>
      </c>
      <c r="E181" s="1117" t="b">
        <f>IF(AND(ISNUMBER(E170)),1692054+E176)</f>
        <v>0</v>
      </c>
      <c r="F181" s="1118" t="str">
        <f>IF(AND(ISNUMBER(F170)),E181+F176,"")</f>
        <v/>
      </c>
      <c r="G181" s="1216" t="str">
        <f>IF(AND(ISNUMBER(G170)),F181+G176,"")</f>
        <v/>
      </c>
      <c r="H181" s="1118" t="str">
        <f t="shared" ref="H181:AI181" si="174">IF(AND(ISNUMBER(H170)),G181+H176,"")</f>
        <v/>
      </c>
      <c r="I181" s="1118" t="str">
        <f t="shared" si="174"/>
        <v/>
      </c>
      <c r="J181" s="1216" t="str">
        <f t="shared" si="174"/>
        <v/>
      </c>
      <c r="K181" s="1216" t="str">
        <f t="shared" si="174"/>
        <v/>
      </c>
      <c r="L181" s="1118" t="str">
        <f t="shared" si="174"/>
        <v/>
      </c>
      <c r="M181" s="1118" t="str">
        <f t="shared" si="174"/>
        <v/>
      </c>
      <c r="N181" s="1118" t="str">
        <f t="shared" si="174"/>
        <v/>
      </c>
      <c r="O181" s="1118" t="str">
        <f t="shared" si="174"/>
        <v/>
      </c>
      <c r="P181" s="1118" t="str">
        <f t="shared" si="174"/>
        <v/>
      </c>
      <c r="Q181" s="1216" t="str">
        <f t="shared" si="174"/>
        <v/>
      </c>
      <c r="R181" s="1216" t="str">
        <f t="shared" si="174"/>
        <v/>
      </c>
      <c r="S181" s="1118" t="str">
        <f t="shared" si="174"/>
        <v/>
      </c>
      <c r="T181" s="1118" t="str">
        <f t="shared" si="174"/>
        <v/>
      </c>
      <c r="U181" s="1118" t="str">
        <f t="shared" si="174"/>
        <v/>
      </c>
      <c r="V181" s="1118" t="str">
        <f t="shared" si="174"/>
        <v/>
      </c>
      <c r="W181" s="1118" t="str">
        <f t="shared" si="174"/>
        <v/>
      </c>
      <c r="X181" s="1216" t="str">
        <f t="shared" si="174"/>
        <v/>
      </c>
      <c r="Y181" s="1216" t="str">
        <f t="shared" si="174"/>
        <v/>
      </c>
      <c r="Z181" s="1118" t="str">
        <f t="shared" si="174"/>
        <v/>
      </c>
      <c r="AA181" s="1118" t="str">
        <f t="shared" si="174"/>
        <v/>
      </c>
      <c r="AB181" s="1118" t="str">
        <f t="shared" si="174"/>
        <v/>
      </c>
      <c r="AC181" s="1118" t="str">
        <f t="shared" si="174"/>
        <v/>
      </c>
      <c r="AD181" s="1118" t="str">
        <f t="shared" si="174"/>
        <v/>
      </c>
      <c r="AE181" s="1216" t="str">
        <f t="shared" si="174"/>
        <v/>
      </c>
      <c r="AF181" s="1216" t="str">
        <f t="shared" si="174"/>
        <v/>
      </c>
      <c r="AG181" s="1118" t="str">
        <f t="shared" si="174"/>
        <v/>
      </c>
      <c r="AH181" s="1118" t="str">
        <f t="shared" si="174"/>
        <v/>
      </c>
      <c r="AI181" s="1118" t="str">
        <f t="shared" si="174"/>
        <v/>
      </c>
      <c r="AJ181" s="793"/>
      <c r="AK181" s="1026">
        <f t="shared" si="123"/>
        <v>0</v>
      </c>
      <c r="AL181" s="897"/>
      <c r="AM181" s="1042">
        <f t="shared" si="124"/>
        <v>0</v>
      </c>
      <c r="AN181" s="468"/>
      <c r="AO181" s="675"/>
      <c r="AP181" s="285"/>
      <c r="AQ181" s="285"/>
      <c r="AR181" s="285"/>
      <c r="AS181" s="285"/>
      <c r="AT181" s="286"/>
      <c r="AU181" s="285"/>
      <c r="AV181" s="287"/>
    </row>
    <row r="182" spans="1:48" ht="21" hidden="1" customHeight="1">
      <c r="A182" s="403"/>
      <c r="B182" s="393" t="s">
        <v>460</v>
      </c>
      <c r="C182" s="89" t="s">
        <v>108</v>
      </c>
      <c r="D182" s="90" t="s">
        <v>104</v>
      </c>
      <c r="E182" s="1365"/>
      <c r="F182" s="1104"/>
      <c r="G182" s="1211"/>
      <c r="H182" s="1176"/>
      <c r="I182" s="1107"/>
      <c r="J182" s="1228"/>
      <c r="K182" s="1273"/>
      <c r="L182" s="1104"/>
      <c r="M182" s="1104"/>
      <c r="N182" s="1177"/>
      <c r="O182" s="1104"/>
      <c r="P182" s="1177"/>
      <c r="Q182" s="1211"/>
      <c r="R182" s="1211"/>
      <c r="S182" s="1104"/>
      <c r="T182" s="1107"/>
      <c r="U182" s="1107"/>
      <c r="V182" s="1107"/>
      <c r="W182" s="1107"/>
      <c r="X182" s="1228"/>
      <c r="Y182" s="1211"/>
      <c r="Z182" s="1106"/>
      <c r="AA182" s="1104"/>
      <c r="AB182" s="1104"/>
      <c r="AC182" s="1104"/>
      <c r="AD182" s="1104"/>
      <c r="AE182" s="1211"/>
      <c r="AF182" s="1211"/>
      <c r="AG182" s="1107"/>
      <c r="AH182" s="1104"/>
      <c r="AI182" s="1104"/>
      <c r="AJ182" s="396"/>
      <c r="AK182" s="1024">
        <f t="shared" si="123"/>
        <v>0</v>
      </c>
      <c r="AL182" s="420"/>
      <c r="AM182" s="1040">
        <f t="shared" si="124"/>
        <v>0</v>
      </c>
      <c r="AN182" s="382"/>
      <c r="AO182" s="622"/>
      <c r="AP182" s="391"/>
      <c r="AQ182" s="391"/>
    </row>
    <row r="183" spans="1:48" ht="21.75" hidden="1" customHeight="1" thickBot="1">
      <c r="A183" s="406"/>
      <c r="B183" s="398"/>
      <c r="C183" s="407">
        <f>+C181*0.8</f>
        <v>120000</v>
      </c>
      <c r="D183" s="95" t="s">
        <v>111</v>
      </c>
      <c r="E183" s="1109">
        <f>IF(E182="O/H",E176,0+E176)</f>
        <v>0</v>
      </c>
      <c r="F183" s="1109">
        <f t="shared" ref="F183:AI183" si="175">IF(F182="O/H",F176,0+F176)</f>
        <v>0</v>
      </c>
      <c r="G183" s="1200">
        <f t="shared" si="175"/>
        <v>0</v>
      </c>
      <c r="H183" s="1109">
        <f t="shared" si="175"/>
        <v>0</v>
      </c>
      <c r="I183" s="1109">
        <f t="shared" si="175"/>
        <v>0</v>
      </c>
      <c r="J183" s="1200">
        <f t="shared" si="175"/>
        <v>0</v>
      </c>
      <c r="K183" s="1200">
        <f t="shared" si="175"/>
        <v>0</v>
      </c>
      <c r="L183" s="1109">
        <f t="shared" si="175"/>
        <v>0</v>
      </c>
      <c r="M183" s="1109">
        <f t="shared" si="175"/>
        <v>0</v>
      </c>
      <c r="N183" s="1109">
        <f t="shared" si="175"/>
        <v>0</v>
      </c>
      <c r="O183" s="1109">
        <f t="shared" si="175"/>
        <v>0</v>
      </c>
      <c r="P183" s="1109">
        <f t="shared" si="175"/>
        <v>0</v>
      </c>
      <c r="Q183" s="1200">
        <f t="shared" si="175"/>
        <v>0</v>
      </c>
      <c r="R183" s="1200">
        <f t="shared" si="175"/>
        <v>0</v>
      </c>
      <c r="S183" s="1109">
        <f t="shared" si="175"/>
        <v>0</v>
      </c>
      <c r="T183" s="1109">
        <f t="shared" si="175"/>
        <v>0</v>
      </c>
      <c r="U183" s="1109">
        <f t="shared" si="175"/>
        <v>0</v>
      </c>
      <c r="V183" s="1109">
        <f t="shared" si="175"/>
        <v>0</v>
      </c>
      <c r="W183" s="1109">
        <f t="shared" si="175"/>
        <v>0</v>
      </c>
      <c r="X183" s="1200">
        <f t="shared" si="175"/>
        <v>0</v>
      </c>
      <c r="Y183" s="1200">
        <f t="shared" si="175"/>
        <v>0</v>
      </c>
      <c r="Z183" s="1109">
        <f t="shared" si="175"/>
        <v>0</v>
      </c>
      <c r="AA183" s="1109">
        <f t="shared" si="175"/>
        <v>0</v>
      </c>
      <c r="AB183" s="1109">
        <f t="shared" si="175"/>
        <v>0</v>
      </c>
      <c r="AC183" s="1109">
        <f t="shared" si="175"/>
        <v>0</v>
      </c>
      <c r="AD183" s="1109">
        <f t="shared" si="175"/>
        <v>0</v>
      </c>
      <c r="AE183" s="1200">
        <f t="shared" si="175"/>
        <v>0</v>
      </c>
      <c r="AF183" s="1200">
        <f t="shared" si="175"/>
        <v>0</v>
      </c>
      <c r="AG183" s="1109">
        <f t="shared" si="175"/>
        <v>0</v>
      </c>
      <c r="AH183" s="1109">
        <f t="shared" si="175"/>
        <v>0</v>
      </c>
      <c r="AI183" s="1109">
        <f t="shared" si="175"/>
        <v>0</v>
      </c>
      <c r="AJ183" s="399"/>
      <c r="AK183" s="1027">
        <f t="shared" si="123"/>
        <v>0</v>
      </c>
      <c r="AL183" s="421"/>
      <c r="AM183" s="1043">
        <f t="shared" si="124"/>
        <v>0</v>
      </c>
      <c r="AN183" s="894"/>
      <c r="AO183" s="625"/>
      <c r="AP183" s="391"/>
      <c r="AQ183" s="391"/>
    </row>
    <row r="184" spans="1:48" ht="21" hidden="1" customHeight="1" thickTop="1">
      <c r="A184" s="968" t="s">
        <v>596</v>
      </c>
      <c r="B184" s="393" t="s">
        <v>659</v>
      </c>
      <c r="C184" s="418" t="str">
        <f>Table37[[#This Row],[M/C No.]]</f>
        <v>R11(50ton)</v>
      </c>
      <c r="D184" s="28" t="s">
        <v>82</v>
      </c>
      <c r="E184" s="1124"/>
      <c r="F184" s="1124"/>
      <c r="G184" s="1242"/>
      <c r="H184" s="1124"/>
      <c r="I184" s="1124"/>
      <c r="J184" s="1242"/>
      <c r="K184" s="1242"/>
      <c r="L184" s="1124"/>
      <c r="M184" s="1124"/>
      <c r="N184" s="1124"/>
      <c r="O184" s="1124"/>
      <c r="P184" s="1124"/>
      <c r="Q184" s="1242"/>
      <c r="R184" s="1242"/>
      <c r="S184" s="1124"/>
      <c r="T184" s="1124"/>
      <c r="U184" s="1124"/>
      <c r="V184" s="1124"/>
      <c r="W184" s="1124"/>
      <c r="X184" s="1242"/>
      <c r="Y184" s="1242"/>
      <c r="Z184" s="1124"/>
      <c r="AA184" s="1124"/>
      <c r="AB184" s="1124"/>
      <c r="AC184" s="1124"/>
      <c r="AD184" s="1124"/>
      <c r="AE184" s="1242"/>
      <c r="AF184" s="1242"/>
      <c r="AG184" s="1124"/>
      <c r="AH184" s="1124"/>
      <c r="AI184" s="1124"/>
      <c r="AJ184" s="375">
        <f>SUM(E184:AI184)</f>
        <v>0</v>
      </c>
      <c r="AK184" s="1047">
        <f t="shared" si="123"/>
        <v>0</v>
      </c>
      <c r="AL184" s="422">
        <f>+AJ184*AN184</f>
        <v>0</v>
      </c>
      <c r="AM184" s="1046">
        <f t="shared" si="124"/>
        <v>0</v>
      </c>
      <c r="AN184" s="402">
        <v>5.8691800000000001</v>
      </c>
      <c r="AO184" s="622">
        <f>Table37[[#This Row],[Total]]*B188/1000</f>
        <v>0</v>
      </c>
      <c r="AP184" s="32" t="s">
        <v>461</v>
      </c>
      <c r="AQ184" s="33" t="s">
        <v>84</v>
      </c>
      <c r="AR184" s="33" t="s">
        <v>85</v>
      </c>
      <c r="AS184" s="33" t="s">
        <v>86</v>
      </c>
      <c r="AT184" s="33" t="s">
        <v>87</v>
      </c>
      <c r="AU184" s="33" t="s">
        <v>88</v>
      </c>
      <c r="AV184" s="34" t="s">
        <v>68</v>
      </c>
    </row>
    <row r="185" spans="1:48" ht="21" hidden="1" customHeight="1">
      <c r="A185" s="403"/>
      <c r="B185" s="393" t="s">
        <v>458</v>
      </c>
      <c r="C185" s="52" t="s">
        <v>95</v>
      </c>
      <c r="D185" s="37" t="s">
        <v>90</v>
      </c>
      <c r="E185" s="1323">
        <f>IF(E184="",0, +E184/E191)</f>
        <v>0</v>
      </c>
      <c r="F185" s="1096">
        <f t="shared" ref="F185:AI185" si="176">IF(F184="",0, E185+F184/F191)</f>
        <v>0</v>
      </c>
      <c r="G185" s="1207">
        <f t="shared" si="176"/>
        <v>0</v>
      </c>
      <c r="H185" s="1096">
        <f t="shared" si="176"/>
        <v>0</v>
      </c>
      <c r="I185" s="1096">
        <f t="shared" si="176"/>
        <v>0</v>
      </c>
      <c r="J185" s="1207">
        <f t="shared" si="176"/>
        <v>0</v>
      </c>
      <c r="K185" s="1207">
        <f t="shared" si="176"/>
        <v>0</v>
      </c>
      <c r="L185" s="1096">
        <f t="shared" si="176"/>
        <v>0</v>
      </c>
      <c r="M185" s="1096">
        <f t="shared" si="176"/>
        <v>0</v>
      </c>
      <c r="N185" s="1096">
        <f t="shared" si="176"/>
        <v>0</v>
      </c>
      <c r="O185" s="1096">
        <f t="shared" si="176"/>
        <v>0</v>
      </c>
      <c r="P185" s="1096">
        <f t="shared" si="176"/>
        <v>0</v>
      </c>
      <c r="Q185" s="1207">
        <f t="shared" si="176"/>
        <v>0</v>
      </c>
      <c r="R185" s="1207">
        <f t="shared" si="176"/>
        <v>0</v>
      </c>
      <c r="S185" s="1096">
        <f t="shared" si="176"/>
        <v>0</v>
      </c>
      <c r="T185" s="1096">
        <f t="shared" si="176"/>
        <v>0</v>
      </c>
      <c r="U185" s="1096">
        <f t="shared" si="176"/>
        <v>0</v>
      </c>
      <c r="V185" s="1096">
        <f t="shared" si="176"/>
        <v>0</v>
      </c>
      <c r="W185" s="1096">
        <f t="shared" si="176"/>
        <v>0</v>
      </c>
      <c r="X185" s="1207">
        <f t="shared" si="176"/>
        <v>0</v>
      </c>
      <c r="Y185" s="1207">
        <f t="shared" si="176"/>
        <v>0</v>
      </c>
      <c r="Z185" s="1096">
        <f t="shared" si="176"/>
        <v>0</v>
      </c>
      <c r="AA185" s="1096">
        <f t="shared" si="176"/>
        <v>0</v>
      </c>
      <c r="AB185" s="1096">
        <f t="shared" si="176"/>
        <v>0</v>
      </c>
      <c r="AC185" s="1096">
        <f t="shared" si="176"/>
        <v>0</v>
      </c>
      <c r="AD185" s="1096">
        <f t="shared" si="176"/>
        <v>0</v>
      </c>
      <c r="AE185" s="1207">
        <f t="shared" si="176"/>
        <v>0</v>
      </c>
      <c r="AF185" s="1207">
        <f t="shared" si="176"/>
        <v>0</v>
      </c>
      <c r="AG185" s="1096">
        <f t="shared" si="176"/>
        <v>0</v>
      </c>
      <c r="AH185" s="1096">
        <f t="shared" si="176"/>
        <v>0</v>
      </c>
      <c r="AI185" s="1096">
        <f t="shared" si="176"/>
        <v>0</v>
      </c>
      <c r="AJ185" s="375"/>
      <c r="AK185" s="1023">
        <f t="shared" si="123"/>
        <v>0</v>
      </c>
      <c r="AL185" s="423"/>
      <c r="AM185" s="1040">
        <f t="shared" si="124"/>
        <v>0</v>
      </c>
      <c r="AN185" s="382"/>
      <c r="AO185" s="675"/>
      <c r="AP185" s="39" t="s">
        <v>91</v>
      </c>
      <c r="AQ185" s="40">
        <f>SUM(E184:I184)</f>
        <v>0</v>
      </c>
      <c r="AR185" s="41">
        <f>SUM(J184:P184)</f>
        <v>0</v>
      </c>
      <c r="AS185" s="41">
        <f>SUM(Q184:W184)</f>
        <v>0</v>
      </c>
      <c r="AT185" s="41">
        <f>SUM(X184:AD184)</f>
        <v>0</v>
      </c>
      <c r="AU185" s="41">
        <f>SUM(AE184:AI184)</f>
        <v>0</v>
      </c>
      <c r="AV185" s="34">
        <f t="shared" ref="AV185:AV190" si="177">SUM(AQ185:AU185)</f>
        <v>0</v>
      </c>
    </row>
    <row r="186" spans="1:48" ht="21" hidden="1" customHeight="1">
      <c r="A186" s="403"/>
      <c r="B186" s="393" t="s">
        <v>246</v>
      </c>
      <c r="C186" s="379">
        <v>60000</v>
      </c>
      <c r="D186" s="43" t="s">
        <v>93</v>
      </c>
      <c r="E186" s="1108"/>
      <c r="F186" s="1089"/>
      <c r="G186" s="44"/>
      <c r="H186" s="1089"/>
      <c r="I186" s="1089"/>
      <c r="J186" s="44"/>
      <c r="K186" s="44"/>
      <c r="L186" s="1089"/>
      <c r="M186" s="1089"/>
      <c r="N186" s="1089"/>
      <c r="O186" s="1089"/>
      <c r="P186" s="1089"/>
      <c r="Q186" s="44"/>
      <c r="R186" s="44"/>
      <c r="S186" s="1089"/>
      <c r="T186" s="1089"/>
      <c r="U186" s="1089"/>
      <c r="V186" s="1089"/>
      <c r="W186" s="1089"/>
      <c r="X186" s="44"/>
      <c r="Y186" s="44"/>
      <c r="Z186" s="1089"/>
      <c r="AA186" s="1089"/>
      <c r="AB186" s="1089"/>
      <c r="AC186" s="1089"/>
      <c r="AD186" s="1089"/>
      <c r="AE186" s="44"/>
      <c r="AF186" s="44"/>
      <c r="AG186" s="1089"/>
      <c r="AH186" s="1089"/>
      <c r="AI186" s="1089"/>
      <c r="AJ186" s="380">
        <f>SUM(E186:AI186)</f>
        <v>0</v>
      </c>
      <c r="AK186" s="1024">
        <f t="shared" si="123"/>
        <v>0</v>
      </c>
      <c r="AL186" s="424">
        <f>+AJ186*AN184</f>
        <v>0</v>
      </c>
      <c r="AM186" s="1041">
        <f t="shared" si="124"/>
        <v>0</v>
      </c>
      <c r="AN186" s="382"/>
      <c r="AO186" s="632">
        <f>(AJ186+AJ188+AJ189+AJ190)*B188/1000</f>
        <v>0</v>
      </c>
      <c r="AP186" s="47" t="s">
        <v>94</v>
      </c>
      <c r="AQ186" s="48">
        <f>SUM(E186:I186)</f>
        <v>0</v>
      </c>
      <c r="AR186" s="49">
        <f>SUM(J186:P186)</f>
        <v>0</v>
      </c>
      <c r="AS186" s="49">
        <f>SUM(Q186:W186)</f>
        <v>0</v>
      </c>
      <c r="AT186" s="49">
        <f>SUM(X186:AD186)</f>
        <v>0</v>
      </c>
      <c r="AU186" s="49">
        <f>SUM(AE186:AI186)</f>
        <v>0</v>
      </c>
      <c r="AV186" s="50">
        <f t="shared" si="177"/>
        <v>0</v>
      </c>
    </row>
    <row r="187" spans="1:48" ht="21" hidden="1" customHeight="1">
      <c r="A187" s="403"/>
      <c r="B187" s="748" t="s">
        <v>247</v>
      </c>
      <c r="C187" s="89" t="s">
        <v>108</v>
      </c>
      <c r="D187" s="53" t="s">
        <v>96</v>
      </c>
      <c r="E187" s="1137">
        <f t="shared" ref="E187:AJ187" si="178">+E186-E184</f>
        <v>0</v>
      </c>
      <c r="F187" s="1097">
        <f t="shared" si="178"/>
        <v>0</v>
      </c>
      <c r="G187" s="1205">
        <f t="shared" si="178"/>
        <v>0</v>
      </c>
      <c r="H187" s="1097">
        <f t="shared" si="178"/>
        <v>0</v>
      </c>
      <c r="I187" s="1097">
        <f t="shared" si="178"/>
        <v>0</v>
      </c>
      <c r="J187" s="1205">
        <f t="shared" si="178"/>
        <v>0</v>
      </c>
      <c r="K187" s="1205">
        <f t="shared" si="178"/>
        <v>0</v>
      </c>
      <c r="L187" s="1097">
        <f t="shared" si="178"/>
        <v>0</v>
      </c>
      <c r="M187" s="1097">
        <f t="shared" si="178"/>
        <v>0</v>
      </c>
      <c r="N187" s="1097">
        <f t="shared" si="178"/>
        <v>0</v>
      </c>
      <c r="O187" s="1097">
        <f t="shared" si="178"/>
        <v>0</v>
      </c>
      <c r="P187" s="1097">
        <f t="shared" si="178"/>
        <v>0</v>
      </c>
      <c r="Q187" s="1205">
        <f t="shared" si="178"/>
        <v>0</v>
      </c>
      <c r="R187" s="1205">
        <f t="shared" si="178"/>
        <v>0</v>
      </c>
      <c r="S187" s="1097">
        <f t="shared" si="178"/>
        <v>0</v>
      </c>
      <c r="T187" s="1097">
        <f t="shared" si="178"/>
        <v>0</v>
      </c>
      <c r="U187" s="1097">
        <f t="shared" si="178"/>
        <v>0</v>
      </c>
      <c r="V187" s="1097">
        <f t="shared" si="178"/>
        <v>0</v>
      </c>
      <c r="W187" s="1097">
        <f t="shared" si="178"/>
        <v>0</v>
      </c>
      <c r="X187" s="1205">
        <f t="shared" si="178"/>
        <v>0</v>
      </c>
      <c r="Y187" s="1205">
        <f t="shared" si="178"/>
        <v>0</v>
      </c>
      <c r="Z187" s="1097">
        <f t="shared" si="178"/>
        <v>0</v>
      </c>
      <c r="AA187" s="1097">
        <f t="shared" si="178"/>
        <v>0</v>
      </c>
      <c r="AB187" s="1097">
        <f t="shared" si="178"/>
        <v>0</v>
      </c>
      <c r="AC187" s="1097">
        <f t="shared" si="178"/>
        <v>0</v>
      </c>
      <c r="AD187" s="1097">
        <f t="shared" si="178"/>
        <v>0</v>
      </c>
      <c r="AE187" s="1205">
        <f t="shared" si="178"/>
        <v>0</v>
      </c>
      <c r="AF187" s="1205">
        <f t="shared" si="178"/>
        <v>0</v>
      </c>
      <c r="AG187" s="1097">
        <f t="shared" si="178"/>
        <v>0</v>
      </c>
      <c r="AH187" s="1097">
        <f t="shared" si="178"/>
        <v>0</v>
      </c>
      <c r="AI187" s="1097">
        <f t="shared" si="178"/>
        <v>0</v>
      </c>
      <c r="AJ187" s="381">
        <f t="shared" si="178"/>
        <v>0</v>
      </c>
      <c r="AK187" s="1024">
        <f t="shared" si="123"/>
        <v>0</v>
      </c>
      <c r="AL187" s="425">
        <f>+AJ187*AN184</f>
        <v>0</v>
      </c>
      <c r="AM187" s="1041">
        <f t="shared" si="124"/>
        <v>0</v>
      </c>
      <c r="AN187" s="382" t="s">
        <v>97</v>
      </c>
      <c r="AO187" s="622"/>
      <c r="AP187" s="39" t="s">
        <v>98</v>
      </c>
      <c r="AQ187" s="56">
        <f>AQ186-AQ185</f>
        <v>0</v>
      </c>
      <c r="AR187" s="70">
        <f>AR186-AR185</f>
        <v>0</v>
      </c>
      <c r="AS187" s="70">
        <f>AS186-AS185</f>
        <v>0</v>
      </c>
      <c r="AT187" s="70">
        <f>AT186-AT185</f>
        <v>0</v>
      </c>
      <c r="AU187" s="70">
        <f>AU186-AU185</f>
        <v>0</v>
      </c>
      <c r="AV187" s="57">
        <f t="shared" si="177"/>
        <v>0</v>
      </c>
    </row>
    <row r="188" spans="1:48" ht="21" hidden="1" customHeight="1">
      <c r="A188" s="403"/>
      <c r="B188" s="749">
        <v>2.6277499999999998</v>
      </c>
      <c r="C188" s="383">
        <f>+C186*0.8</f>
        <v>48000</v>
      </c>
      <c r="D188" s="61" t="s">
        <v>101</v>
      </c>
      <c r="E188" s="1098"/>
      <c r="F188" s="1099"/>
      <c r="G188" s="1208"/>
      <c r="H188" s="1099"/>
      <c r="I188" s="1099"/>
      <c r="J188" s="1208"/>
      <c r="K188" s="1208"/>
      <c r="L188" s="1099"/>
      <c r="M188" s="1099"/>
      <c r="N188" s="1099"/>
      <c r="O188" s="1099"/>
      <c r="P188" s="1099"/>
      <c r="Q188" s="1208"/>
      <c r="R188" s="1208"/>
      <c r="S188" s="1099"/>
      <c r="T188" s="1099"/>
      <c r="U188" s="1099"/>
      <c r="V188" s="1099"/>
      <c r="W188" s="1099"/>
      <c r="X188" s="1208"/>
      <c r="Y188" s="1208"/>
      <c r="Z188" s="1099"/>
      <c r="AA188" s="1099"/>
      <c r="AB188" s="1099"/>
      <c r="AC188" s="1099"/>
      <c r="AD188" s="1099"/>
      <c r="AE188" s="1208"/>
      <c r="AF188" s="1208"/>
      <c r="AG188" s="1099"/>
      <c r="AH188" s="1099"/>
      <c r="AI188" s="1099"/>
      <c r="AJ188" s="384">
        <f>SUM(E188:AI188)</f>
        <v>0</v>
      </c>
      <c r="AK188" s="1024">
        <f t="shared" si="123"/>
        <v>0</v>
      </c>
      <c r="AL188" s="420">
        <f>+AJ188*AN184</f>
        <v>0</v>
      </c>
      <c r="AM188" s="1040">
        <f t="shared" si="124"/>
        <v>0</v>
      </c>
      <c r="AN188" s="404" t="e">
        <f>+AJ188/AJ186*100</f>
        <v>#DIV/0!</v>
      </c>
      <c r="AO188" s="635" t="e">
        <f>AO186/AO184</f>
        <v>#DIV/0!</v>
      </c>
      <c r="AP188" s="39" t="s">
        <v>102</v>
      </c>
      <c r="AQ188" s="56">
        <f>SUM(E188:I188)</f>
        <v>0</v>
      </c>
      <c r="AR188" s="70">
        <f>SUM(J188:P188)</f>
        <v>0</v>
      </c>
      <c r="AS188" s="70">
        <f>SUM(Q188:W188)</f>
        <v>0</v>
      </c>
      <c r="AT188" s="70">
        <f>SUM(X188:AD188)</f>
        <v>0</v>
      </c>
      <c r="AU188" s="70">
        <f>SUM(AE188:AI188)</f>
        <v>0</v>
      </c>
      <c r="AV188" s="57">
        <f t="shared" si="177"/>
        <v>0</v>
      </c>
    </row>
    <row r="189" spans="1:48" ht="21" hidden="1" customHeight="1">
      <c r="A189" s="403"/>
      <c r="B189" s="65"/>
      <c r="C189" s="383"/>
      <c r="D189" s="67" t="s">
        <v>103</v>
      </c>
      <c r="E189" s="1100"/>
      <c r="F189" s="1101"/>
      <c r="G189" s="1209"/>
      <c r="H189" s="1101"/>
      <c r="I189" s="1101"/>
      <c r="J189" s="1209"/>
      <c r="K189" s="1209"/>
      <c r="L189" s="1101"/>
      <c r="M189" s="1101"/>
      <c r="N189" s="1101"/>
      <c r="O189" s="1101"/>
      <c r="P189" s="1101"/>
      <c r="Q189" s="1209"/>
      <c r="R189" s="1209"/>
      <c r="S189" s="1101"/>
      <c r="T189" s="1101"/>
      <c r="U189" s="1101"/>
      <c r="V189" s="1101"/>
      <c r="W189" s="1101"/>
      <c r="X189" s="1209"/>
      <c r="Y189" s="1209"/>
      <c r="Z189" s="1101"/>
      <c r="AA189" s="1101"/>
      <c r="AB189" s="1101"/>
      <c r="AC189" s="1101"/>
      <c r="AD189" s="1101"/>
      <c r="AE189" s="1209"/>
      <c r="AF189" s="1209"/>
      <c r="AG189" s="1101"/>
      <c r="AH189" s="1101"/>
      <c r="AI189" s="1101"/>
      <c r="AJ189" s="386">
        <f>SUM(E189:AI189)</f>
        <v>0</v>
      </c>
      <c r="AK189" s="1024">
        <f t="shared" si="123"/>
        <v>0</v>
      </c>
      <c r="AL189" s="426">
        <f>+AJ189*AN184</f>
        <v>0</v>
      </c>
      <c r="AM189" s="1040">
        <f t="shared" si="124"/>
        <v>0</v>
      </c>
      <c r="AN189" s="382"/>
      <c r="AO189" s="622"/>
      <c r="AP189" s="39" t="s">
        <v>19</v>
      </c>
      <c r="AQ189" s="56">
        <f>AQ188*AN184</f>
        <v>0</v>
      </c>
      <c r="AR189" s="56">
        <f>AR188*AN184</f>
        <v>0</v>
      </c>
      <c r="AS189" s="56">
        <f>AS188*AN184</f>
        <v>0</v>
      </c>
      <c r="AT189" s="56">
        <f>AT188*AN184</f>
        <v>0</v>
      </c>
      <c r="AU189" s="56">
        <f>AU188*AN184</f>
        <v>0</v>
      </c>
      <c r="AV189" s="57">
        <f t="shared" si="177"/>
        <v>0</v>
      </c>
    </row>
    <row r="190" spans="1:48" ht="21" hidden="1" customHeight="1">
      <c r="A190" s="403"/>
      <c r="B190" s="65"/>
      <c r="C190" s="387" t="s">
        <v>435</v>
      </c>
      <c r="D190" s="73" t="s">
        <v>105</v>
      </c>
      <c r="E190" s="1102"/>
      <c r="F190" s="1103"/>
      <c r="G190" s="1210"/>
      <c r="H190" s="1103"/>
      <c r="I190" s="1103"/>
      <c r="J190" s="1210"/>
      <c r="K190" s="1210"/>
      <c r="L190" s="1103"/>
      <c r="M190" s="1103"/>
      <c r="N190" s="1103"/>
      <c r="O190" s="1103"/>
      <c r="P190" s="1103"/>
      <c r="Q190" s="1210"/>
      <c r="R190" s="1210"/>
      <c r="S190" s="1103"/>
      <c r="T190" s="1103"/>
      <c r="U190" s="1103"/>
      <c r="V190" s="1103"/>
      <c r="W190" s="1103"/>
      <c r="X190" s="1210"/>
      <c r="Y190" s="1210"/>
      <c r="Z190" s="1103"/>
      <c r="AA190" s="1103"/>
      <c r="AB190" s="1103"/>
      <c r="AC190" s="1103"/>
      <c r="AD190" s="1103"/>
      <c r="AE190" s="1210"/>
      <c r="AF190" s="1210"/>
      <c r="AG190" s="1103"/>
      <c r="AH190" s="1103"/>
      <c r="AI190" s="1103"/>
      <c r="AJ190" s="388">
        <f>SUM(E190:AI190)</f>
        <v>0</v>
      </c>
      <c r="AK190" s="1024">
        <f t="shared" si="123"/>
        <v>0</v>
      </c>
      <c r="AL190" s="427">
        <f>+AJ190*AN184</f>
        <v>0</v>
      </c>
      <c r="AM190" s="1040">
        <f t="shared" si="124"/>
        <v>0</v>
      </c>
      <c r="AN190" s="382"/>
      <c r="AO190" s="622"/>
      <c r="AP190" s="47" t="s">
        <v>106</v>
      </c>
      <c r="AQ190" s="48">
        <f>AQ186*AN184</f>
        <v>0</v>
      </c>
      <c r="AR190" s="48">
        <f>AR186*AN184</f>
        <v>0</v>
      </c>
      <c r="AS190" s="48">
        <f>AS186*AN184</f>
        <v>0</v>
      </c>
      <c r="AT190" s="48">
        <f>AT186*AN184</f>
        <v>0</v>
      </c>
      <c r="AU190" s="48">
        <f>AU186*AN184</f>
        <v>0</v>
      </c>
      <c r="AV190" s="50">
        <f t="shared" si="177"/>
        <v>0</v>
      </c>
    </row>
    <row r="191" spans="1:48" ht="21" hidden="1" customHeight="1">
      <c r="A191" s="403"/>
      <c r="B191" s="390"/>
      <c r="C191" s="379">
        <v>50000</v>
      </c>
      <c r="D191" s="78" t="s">
        <v>107</v>
      </c>
      <c r="E191" s="1137">
        <v>4</v>
      </c>
      <c r="F191" s="1097">
        <v>4</v>
      </c>
      <c r="G191" s="1205">
        <v>4</v>
      </c>
      <c r="H191" s="1097">
        <v>4</v>
      </c>
      <c r="I191" s="1097">
        <v>4</v>
      </c>
      <c r="J191" s="1205">
        <v>4</v>
      </c>
      <c r="K191" s="1205">
        <v>4</v>
      </c>
      <c r="L191" s="1097">
        <v>4</v>
      </c>
      <c r="M191" s="1097">
        <v>4</v>
      </c>
      <c r="N191" s="1097">
        <v>4</v>
      </c>
      <c r="O191" s="1097">
        <v>4</v>
      </c>
      <c r="P191" s="1097">
        <v>4</v>
      </c>
      <c r="Q191" s="1205">
        <v>4</v>
      </c>
      <c r="R191" s="1205">
        <v>4</v>
      </c>
      <c r="S191" s="1097">
        <v>4</v>
      </c>
      <c r="T191" s="1097">
        <v>4</v>
      </c>
      <c r="U191" s="1097">
        <v>4</v>
      </c>
      <c r="V191" s="1097">
        <v>4</v>
      </c>
      <c r="W191" s="1097">
        <v>4</v>
      </c>
      <c r="X191" s="1205">
        <v>4</v>
      </c>
      <c r="Y191" s="1205">
        <v>4</v>
      </c>
      <c r="Z191" s="1097">
        <v>4</v>
      </c>
      <c r="AA191" s="1097">
        <v>4</v>
      </c>
      <c r="AB191" s="1097">
        <v>4</v>
      </c>
      <c r="AC191" s="1097">
        <v>4</v>
      </c>
      <c r="AD191" s="1097">
        <v>4</v>
      </c>
      <c r="AE191" s="1205">
        <v>4</v>
      </c>
      <c r="AF191" s="1205">
        <v>4</v>
      </c>
      <c r="AG191" s="1097">
        <v>4</v>
      </c>
      <c r="AH191" s="1097">
        <v>4</v>
      </c>
      <c r="AI191" s="1097">
        <v>4</v>
      </c>
      <c r="AJ191" s="381"/>
      <c r="AK191" s="1024">
        <f t="shared" si="123"/>
        <v>0</v>
      </c>
      <c r="AL191" s="425"/>
      <c r="AM191" s="1041">
        <f t="shared" si="124"/>
        <v>0</v>
      </c>
      <c r="AN191" s="382"/>
      <c r="AO191" s="622"/>
      <c r="AP191" s="391"/>
      <c r="AQ191" s="391"/>
    </row>
    <row r="192" spans="1:48" ht="21" hidden="1" customHeight="1">
      <c r="A192" s="405"/>
      <c r="B192" s="390"/>
      <c r="C192" s="89" t="s">
        <v>108</v>
      </c>
      <c r="D192" s="81" t="s">
        <v>109</v>
      </c>
      <c r="E192" s="1125">
        <f>SUM(E186+E188+E189+E190)/E191</f>
        <v>0</v>
      </c>
      <c r="F192" s="1125">
        <f t="shared" ref="F192:AI192" si="179">SUM(F186+F188+F189+F190)/F191</f>
        <v>0</v>
      </c>
      <c r="G192" s="1233">
        <f t="shared" si="179"/>
        <v>0</v>
      </c>
      <c r="H192" s="1125">
        <f t="shared" si="179"/>
        <v>0</v>
      </c>
      <c r="I192" s="1125">
        <f t="shared" si="179"/>
        <v>0</v>
      </c>
      <c r="J192" s="1233">
        <f t="shared" si="179"/>
        <v>0</v>
      </c>
      <c r="K192" s="1233">
        <f t="shared" si="179"/>
        <v>0</v>
      </c>
      <c r="L192" s="1125">
        <f t="shared" si="179"/>
        <v>0</v>
      </c>
      <c r="M192" s="1125">
        <f t="shared" si="179"/>
        <v>0</v>
      </c>
      <c r="N192" s="1125">
        <f t="shared" si="179"/>
        <v>0</v>
      </c>
      <c r="O192" s="1125">
        <f t="shared" si="179"/>
        <v>0</v>
      </c>
      <c r="P192" s="1125">
        <f t="shared" si="179"/>
        <v>0</v>
      </c>
      <c r="Q192" s="1233">
        <f t="shared" si="179"/>
        <v>0</v>
      </c>
      <c r="R192" s="1233">
        <f t="shared" si="179"/>
        <v>0</v>
      </c>
      <c r="S192" s="1125">
        <f t="shared" si="179"/>
        <v>0</v>
      </c>
      <c r="T192" s="1125">
        <f t="shared" si="179"/>
        <v>0</v>
      </c>
      <c r="U192" s="1125">
        <f t="shared" si="179"/>
        <v>0</v>
      </c>
      <c r="V192" s="1125">
        <f t="shared" si="179"/>
        <v>0</v>
      </c>
      <c r="W192" s="1125">
        <f t="shared" si="179"/>
        <v>0</v>
      </c>
      <c r="X192" s="1233">
        <f t="shared" si="179"/>
        <v>0</v>
      </c>
      <c r="Y192" s="1233">
        <f t="shared" si="179"/>
        <v>0</v>
      </c>
      <c r="Z192" s="1125">
        <f t="shared" si="179"/>
        <v>0</v>
      </c>
      <c r="AA192" s="1125">
        <f t="shared" si="179"/>
        <v>0</v>
      </c>
      <c r="AB192" s="1125">
        <f t="shared" si="179"/>
        <v>0</v>
      </c>
      <c r="AC192" s="1125">
        <f t="shared" si="179"/>
        <v>0</v>
      </c>
      <c r="AD192" s="1125">
        <f t="shared" si="179"/>
        <v>0</v>
      </c>
      <c r="AE192" s="1233">
        <f t="shared" si="179"/>
        <v>0</v>
      </c>
      <c r="AF192" s="1233">
        <f t="shared" si="179"/>
        <v>0</v>
      </c>
      <c r="AG192" s="1125">
        <f t="shared" si="179"/>
        <v>0</v>
      </c>
      <c r="AH192" s="1125">
        <f t="shared" si="179"/>
        <v>0</v>
      </c>
      <c r="AI192" s="1125">
        <f t="shared" si="179"/>
        <v>0</v>
      </c>
      <c r="AJ192" s="415">
        <f>SUM(E192:AI192)</f>
        <v>0</v>
      </c>
      <c r="AK192" s="1025">
        <f t="shared" si="123"/>
        <v>0</v>
      </c>
      <c r="AL192" s="419"/>
      <c r="AM192" s="1040">
        <f t="shared" si="124"/>
        <v>0</v>
      </c>
      <c r="AN192" s="382"/>
      <c r="AO192" s="622"/>
      <c r="AP192" s="391"/>
      <c r="AQ192" s="391"/>
    </row>
    <row r="193" spans="1:48" ht="21" hidden="1" customHeight="1">
      <c r="A193" s="405"/>
      <c r="B193" s="390"/>
      <c r="C193" s="383">
        <f>+C191*0.8</f>
        <v>40000</v>
      </c>
      <c r="D193" s="85" t="s">
        <v>110</v>
      </c>
      <c r="E193" s="1366"/>
      <c r="F193" s="1126"/>
      <c r="G193" s="1263"/>
      <c r="H193" s="1172"/>
      <c r="I193" s="1126"/>
      <c r="J193" s="1281"/>
      <c r="K193" s="1235"/>
      <c r="L193" s="1126"/>
      <c r="M193" s="1126"/>
      <c r="N193" s="1174"/>
      <c r="O193" s="1173"/>
      <c r="P193" s="1173"/>
      <c r="Q193" s="1281"/>
      <c r="R193" s="1281"/>
      <c r="S193" s="1173"/>
      <c r="T193" s="1107"/>
      <c r="U193" s="1173"/>
      <c r="V193" s="1173"/>
      <c r="W193" s="1173"/>
      <c r="X193" s="1281"/>
      <c r="Y193" s="1281"/>
      <c r="Z193" s="1155"/>
      <c r="AA193" s="1173"/>
      <c r="AB193" s="1173"/>
      <c r="AC193" s="1173"/>
      <c r="AD193" s="1173"/>
      <c r="AE193" s="1281"/>
      <c r="AF193" s="1281"/>
      <c r="AG193" s="1173"/>
      <c r="AH193" s="1173"/>
      <c r="AI193" s="1173"/>
      <c r="AJ193" s="394"/>
      <c r="AK193" s="1025">
        <f t="shared" si="123"/>
        <v>0</v>
      </c>
      <c r="AL193" s="419"/>
      <c r="AM193" s="1040">
        <f t="shared" si="124"/>
        <v>0</v>
      </c>
      <c r="AN193" s="382"/>
      <c r="AO193" s="622"/>
      <c r="AP193" s="391"/>
      <c r="AQ193" s="391"/>
    </row>
    <row r="194" spans="1:48" ht="21" hidden="1" customHeight="1">
      <c r="A194" s="403"/>
      <c r="B194" s="390"/>
      <c r="C194" s="89"/>
      <c r="D194" s="88" t="s">
        <v>111</v>
      </c>
      <c r="E194" s="1156">
        <f>IF(E193="O/H",E192,+E192)</f>
        <v>0</v>
      </c>
      <c r="F194" s="1156">
        <f t="shared" ref="F194:AI194" si="180">IF(F193="O/H",F192,+F192)</f>
        <v>0</v>
      </c>
      <c r="G194" s="1227">
        <f t="shared" si="180"/>
        <v>0</v>
      </c>
      <c r="H194" s="1156">
        <f t="shared" si="180"/>
        <v>0</v>
      </c>
      <c r="I194" s="1156">
        <f t="shared" si="180"/>
        <v>0</v>
      </c>
      <c r="J194" s="1227">
        <f t="shared" si="180"/>
        <v>0</v>
      </c>
      <c r="K194" s="1227">
        <f t="shared" si="180"/>
        <v>0</v>
      </c>
      <c r="L194" s="1156">
        <f t="shared" si="180"/>
        <v>0</v>
      </c>
      <c r="M194" s="1156">
        <f t="shared" si="180"/>
        <v>0</v>
      </c>
      <c r="N194" s="1156">
        <f t="shared" si="180"/>
        <v>0</v>
      </c>
      <c r="O194" s="1156">
        <f t="shared" si="180"/>
        <v>0</v>
      </c>
      <c r="P194" s="1156">
        <f t="shared" si="180"/>
        <v>0</v>
      </c>
      <c r="Q194" s="1227">
        <f t="shared" si="180"/>
        <v>0</v>
      </c>
      <c r="R194" s="1227">
        <f t="shared" si="180"/>
        <v>0</v>
      </c>
      <c r="S194" s="1156">
        <f t="shared" si="180"/>
        <v>0</v>
      </c>
      <c r="T194" s="1156">
        <f t="shared" si="180"/>
        <v>0</v>
      </c>
      <c r="U194" s="1156">
        <f t="shared" si="180"/>
        <v>0</v>
      </c>
      <c r="V194" s="1156">
        <f t="shared" si="180"/>
        <v>0</v>
      </c>
      <c r="W194" s="1156">
        <f t="shared" si="180"/>
        <v>0</v>
      </c>
      <c r="X194" s="1227">
        <f t="shared" si="180"/>
        <v>0</v>
      </c>
      <c r="Y194" s="1227">
        <f t="shared" si="180"/>
        <v>0</v>
      </c>
      <c r="Z194" s="1156">
        <f t="shared" si="180"/>
        <v>0</v>
      </c>
      <c r="AA194" s="1156">
        <f t="shared" si="180"/>
        <v>0</v>
      </c>
      <c r="AB194" s="1156">
        <f t="shared" si="180"/>
        <v>0</v>
      </c>
      <c r="AC194" s="1156">
        <f t="shared" si="180"/>
        <v>0</v>
      </c>
      <c r="AD194" s="1156">
        <f t="shared" si="180"/>
        <v>0</v>
      </c>
      <c r="AE194" s="1227">
        <f t="shared" si="180"/>
        <v>0</v>
      </c>
      <c r="AF194" s="1227">
        <f t="shared" si="180"/>
        <v>0</v>
      </c>
      <c r="AG194" s="1156">
        <f t="shared" si="180"/>
        <v>0</v>
      </c>
      <c r="AH194" s="1156">
        <f t="shared" si="180"/>
        <v>0</v>
      </c>
      <c r="AI194" s="1156">
        <f t="shared" si="180"/>
        <v>0</v>
      </c>
      <c r="AJ194" s="394"/>
      <c r="AK194" s="1025">
        <f t="shared" si="123"/>
        <v>0</v>
      </c>
      <c r="AL194" s="419"/>
      <c r="AM194" s="1040">
        <f t="shared" si="124"/>
        <v>0</v>
      </c>
      <c r="AN194" s="382"/>
      <c r="AO194" s="622"/>
      <c r="AP194" s="391"/>
      <c r="AQ194" s="391"/>
    </row>
    <row r="195" spans="1:48" ht="21" hidden="1" customHeight="1">
      <c r="A195" s="403"/>
      <c r="B195" s="59"/>
      <c r="C195" s="89"/>
      <c r="D195" s="395" t="s">
        <v>435</v>
      </c>
      <c r="E195" s="1365"/>
      <c r="F195" s="1104"/>
      <c r="G195" s="1228"/>
      <c r="H195" s="1176"/>
      <c r="I195" s="1107"/>
      <c r="J195" s="1228"/>
      <c r="K195" s="1273"/>
      <c r="L195" s="1104"/>
      <c r="M195" s="1104"/>
      <c r="N195" s="1177"/>
      <c r="O195" s="1104"/>
      <c r="P195" s="1177"/>
      <c r="Q195" s="1211"/>
      <c r="R195" s="1211"/>
      <c r="S195" s="1104"/>
      <c r="T195" s="1107"/>
      <c r="U195" s="1104"/>
      <c r="V195" s="1107"/>
      <c r="W195" s="1107"/>
      <c r="X195" s="1228"/>
      <c r="Y195" s="1211"/>
      <c r="Z195" s="1155"/>
      <c r="AA195" s="1104"/>
      <c r="AB195" s="1104"/>
      <c r="AC195" s="1104"/>
      <c r="AD195" s="1104"/>
      <c r="AE195" s="1211"/>
      <c r="AF195" s="1211"/>
      <c r="AG195" s="1104"/>
      <c r="AH195" s="1104"/>
      <c r="AI195" s="1104"/>
      <c r="AJ195" s="396"/>
      <c r="AK195" s="1024">
        <f t="shared" si="123"/>
        <v>0</v>
      </c>
      <c r="AL195" s="420"/>
      <c r="AM195" s="1040">
        <f t="shared" si="124"/>
        <v>0</v>
      </c>
      <c r="AN195" s="382"/>
      <c r="AO195" s="622"/>
      <c r="AP195" s="391"/>
      <c r="AQ195" s="391"/>
    </row>
    <row r="196" spans="1:48" ht="21" hidden="1" customHeight="1">
      <c r="A196" s="403"/>
      <c r="B196" s="781" t="s">
        <v>528</v>
      </c>
      <c r="C196" s="387" t="s">
        <v>104</v>
      </c>
      <c r="D196" s="88" t="s">
        <v>111</v>
      </c>
      <c r="E196" s="1156">
        <f>IF(E195="O/H",E192,+E192)</f>
        <v>0</v>
      </c>
      <c r="F196" s="1156">
        <f t="shared" ref="F196:AI196" si="181">IF(F195="O/H",F192,+F192)</f>
        <v>0</v>
      </c>
      <c r="G196" s="1227">
        <f t="shared" si="181"/>
        <v>0</v>
      </c>
      <c r="H196" s="1156">
        <f t="shared" si="181"/>
        <v>0</v>
      </c>
      <c r="I196" s="1156">
        <f t="shared" si="181"/>
        <v>0</v>
      </c>
      <c r="J196" s="1227">
        <f t="shared" si="181"/>
        <v>0</v>
      </c>
      <c r="K196" s="1227">
        <f t="shared" si="181"/>
        <v>0</v>
      </c>
      <c r="L196" s="1156">
        <f t="shared" si="181"/>
        <v>0</v>
      </c>
      <c r="M196" s="1156">
        <f t="shared" si="181"/>
        <v>0</v>
      </c>
      <c r="N196" s="1156">
        <f t="shared" si="181"/>
        <v>0</v>
      </c>
      <c r="O196" s="1156">
        <f t="shared" si="181"/>
        <v>0</v>
      </c>
      <c r="P196" s="1156">
        <f t="shared" si="181"/>
        <v>0</v>
      </c>
      <c r="Q196" s="1227">
        <f t="shared" si="181"/>
        <v>0</v>
      </c>
      <c r="R196" s="1227">
        <f t="shared" si="181"/>
        <v>0</v>
      </c>
      <c r="S196" s="1156">
        <f t="shared" si="181"/>
        <v>0</v>
      </c>
      <c r="T196" s="1156">
        <f t="shared" si="181"/>
        <v>0</v>
      </c>
      <c r="U196" s="1156">
        <f t="shared" si="181"/>
        <v>0</v>
      </c>
      <c r="V196" s="1156">
        <f t="shared" si="181"/>
        <v>0</v>
      </c>
      <c r="W196" s="1156">
        <f t="shared" si="181"/>
        <v>0</v>
      </c>
      <c r="X196" s="1227">
        <f t="shared" si="181"/>
        <v>0</v>
      </c>
      <c r="Y196" s="1227">
        <f t="shared" si="181"/>
        <v>0</v>
      </c>
      <c r="Z196" s="1156">
        <f t="shared" si="181"/>
        <v>0</v>
      </c>
      <c r="AA196" s="1156">
        <f t="shared" si="181"/>
        <v>0</v>
      </c>
      <c r="AB196" s="1156">
        <f t="shared" si="181"/>
        <v>0</v>
      </c>
      <c r="AC196" s="1156">
        <f t="shared" si="181"/>
        <v>0</v>
      </c>
      <c r="AD196" s="1156">
        <f t="shared" si="181"/>
        <v>0</v>
      </c>
      <c r="AE196" s="1227">
        <f t="shared" si="181"/>
        <v>0</v>
      </c>
      <c r="AF196" s="1227">
        <f t="shared" si="181"/>
        <v>0</v>
      </c>
      <c r="AG196" s="1156">
        <f t="shared" si="181"/>
        <v>0</v>
      </c>
      <c r="AH196" s="1156">
        <f t="shared" si="181"/>
        <v>0</v>
      </c>
      <c r="AI196" s="1156">
        <f t="shared" si="181"/>
        <v>0</v>
      </c>
      <c r="AJ196" s="396"/>
      <c r="AK196" s="1024">
        <f t="shared" si="123"/>
        <v>0</v>
      </c>
      <c r="AL196" s="420"/>
      <c r="AM196" s="1040">
        <f t="shared" si="124"/>
        <v>0</v>
      </c>
      <c r="AN196" s="382"/>
      <c r="AO196" s="622"/>
      <c r="AP196" s="391"/>
      <c r="AQ196" s="391"/>
    </row>
    <row r="197" spans="1:48" s="23" customFormat="1" ht="16.5" hidden="1" customHeight="1">
      <c r="A197" s="312"/>
      <c r="B197" s="312"/>
      <c r="C197" s="379">
        <v>150000</v>
      </c>
      <c r="D197" s="795" t="s">
        <v>112</v>
      </c>
      <c r="E197" s="1117" t="b">
        <f>IF(AND(ISNUMBER(E186)),1691488+E192)</f>
        <v>0</v>
      </c>
      <c r="F197" s="1118" t="str">
        <f>IF(AND(ISNUMBER(F186)),E197+F192,"")</f>
        <v/>
      </c>
      <c r="G197" s="1216" t="str">
        <f>IF(AND(ISNUMBER(G186)),F197+G192,"")</f>
        <v/>
      </c>
      <c r="H197" s="1118" t="str">
        <f t="shared" ref="H197:AI197" si="182">IF(AND(ISNUMBER(H186)),G197+H192,"")</f>
        <v/>
      </c>
      <c r="I197" s="1118" t="str">
        <f t="shared" si="182"/>
        <v/>
      </c>
      <c r="J197" s="1216" t="str">
        <f t="shared" si="182"/>
        <v/>
      </c>
      <c r="K197" s="1216" t="str">
        <f t="shared" si="182"/>
        <v/>
      </c>
      <c r="L197" s="1118" t="str">
        <f t="shared" si="182"/>
        <v/>
      </c>
      <c r="M197" s="1118" t="str">
        <f t="shared" si="182"/>
        <v/>
      </c>
      <c r="N197" s="1118" t="str">
        <f t="shared" si="182"/>
        <v/>
      </c>
      <c r="O197" s="1118" t="str">
        <f t="shared" si="182"/>
        <v/>
      </c>
      <c r="P197" s="1118" t="str">
        <f t="shared" si="182"/>
        <v/>
      </c>
      <c r="Q197" s="1216" t="str">
        <f t="shared" si="182"/>
        <v/>
      </c>
      <c r="R197" s="1216" t="str">
        <f t="shared" si="182"/>
        <v/>
      </c>
      <c r="S197" s="1118" t="str">
        <f t="shared" si="182"/>
        <v/>
      </c>
      <c r="T197" s="1118" t="str">
        <f t="shared" si="182"/>
        <v/>
      </c>
      <c r="U197" s="1118" t="str">
        <f t="shared" si="182"/>
        <v/>
      </c>
      <c r="V197" s="1118" t="str">
        <f t="shared" si="182"/>
        <v/>
      </c>
      <c r="W197" s="1118" t="str">
        <f t="shared" si="182"/>
        <v/>
      </c>
      <c r="X197" s="1216" t="str">
        <f t="shared" si="182"/>
        <v/>
      </c>
      <c r="Y197" s="1216" t="str">
        <f t="shared" si="182"/>
        <v/>
      </c>
      <c r="Z197" s="1118" t="str">
        <f t="shared" si="182"/>
        <v/>
      </c>
      <c r="AA197" s="1118" t="str">
        <f t="shared" si="182"/>
        <v/>
      </c>
      <c r="AB197" s="1118" t="str">
        <f t="shared" si="182"/>
        <v/>
      </c>
      <c r="AC197" s="1118" t="str">
        <f t="shared" si="182"/>
        <v/>
      </c>
      <c r="AD197" s="1118" t="str">
        <f t="shared" si="182"/>
        <v/>
      </c>
      <c r="AE197" s="1216" t="str">
        <f t="shared" si="182"/>
        <v/>
      </c>
      <c r="AF197" s="1216" t="str">
        <f t="shared" si="182"/>
        <v/>
      </c>
      <c r="AG197" s="1118" t="str">
        <f t="shared" si="182"/>
        <v/>
      </c>
      <c r="AH197" s="1118" t="str">
        <f t="shared" si="182"/>
        <v/>
      </c>
      <c r="AI197" s="1118" t="str">
        <f t="shared" si="182"/>
        <v/>
      </c>
      <c r="AJ197" s="793"/>
      <c r="AK197" s="1026">
        <f t="shared" si="123"/>
        <v>0</v>
      </c>
      <c r="AL197" s="897"/>
      <c r="AM197" s="1042">
        <f t="shared" si="124"/>
        <v>0</v>
      </c>
      <c r="AN197" s="468"/>
      <c r="AO197" s="675"/>
      <c r="AP197" s="285"/>
      <c r="AQ197" s="285"/>
      <c r="AR197" s="285"/>
      <c r="AS197" s="285"/>
      <c r="AT197" s="286"/>
      <c r="AU197" s="285"/>
      <c r="AV197" s="287"/>
    </row>
    <row r="198" spans="1:48" ht="21" hidden="1" customHeight="1">
      <c r="A198" s="403"/>
      <c r="B198" s="59"/>
      <c r="C198" s="89" t="s">
        <v>108</v>
      </c>
      <c r="D198" s="90" t="s">
        <v>104</v>
      </c>
      <c r="E198" s="1365"/>
      <c r="F198" s="1104"/>
      <c r="G198" s="1211"/>
      <c r="H198" s="1176"/>
      <c r="I198" s="1107"/>
      <c r="J198" s="1228"/>
      <c r="K198" s="1273"/>
      <c r="L198" s="1104"/>
      <c r="M198" s="1104"/>
      <c r="N198" s="1177"/>
      <c r="O198" s="1104"/>
      <c r="P198" s="1177"/>
      <c r="Q198" s="1211"/>
      <c r="R198" s="1211"/>
      <c r="S198" s="1104"/>
      <c r="T198" s="1107"/>
      <c r="U198" s="1104"/>
      <c r="V198" s="1107"/>
      <c r="W198" s="1107"/>
      <c r="X198" s="1228"/>
      <c r="Y198" s="1211"/>
      <c r="Z198" s="1106"/>
      <c r="AA198" s="1104"/>
      <c r="AB198" s="1104"/>
      <c r="AC198" s="1104"/>
      <c r="AD198" s="1104"/>
      <c r="AE198" s="1211"/>
      <c r="AF198" s="1211"/>
      <c r="AG198" s="1104"/>
      <c r="AH198" s="1104"/>
      <c r="AI198" s="1104"/>
      <c r="AJ198" s="396"/>
      <c r="AK198" s="1024">
        <f t="shared" si="123"/>
        <v>350000</v>
      </c>
      <c r="AL198" s="420"/>
      <c r="AM198" s="1040">
        <f t="shared" si="124"/>
        <v>2403702</v>
      </c>
      <c r="AN198" s="382"/>
      <c r="AO198" s="622"/>
      <c r="AP198" s="391"/>
      <c r="AQ198" s="391"/>
    </row>
    <row r="199" spans="1:48" ht="21.75" hidden="1" customHeight="1" thickBot="1">
      <c r="A199" s="403"/>
      <c r="B199" s="398"/>
      <c r="C199" s="407">
        <f>+C197*0.8</f>
        <v>120000</v>
      </c>
      <c r="D199" s="95" t="s">
        <v>111</v>
      </c>
      <c r="E199" s="1109">
        <f>IF(E198="O/H",E192,+E192)</f>
        <v>0</v>
      </c>
      <c r="F199" s="1109">
        <f t="shared" ref="F199:AI199" si="183">IF(F198="O/H",F192,+F192)</f>
        <v>0</v>
      </c>
      <c r="G199" s="1200">
        <f t="shared" si="183"/>
        <v>0</v>
      </c>
      <c r="H199" s="1109">
        <f t="shared" si="183"/>
        <v>0</v>
      </c>
      <c r="I199" s="1109">
        <f t="shared" si="183"/>
        <v>0</v>
      </c>
      <c r="J199" s="1200">
        <f t="shared" si="183"/>
        <v>0</v>
      </c>
      <c r="K199" s="1200">
        <f t="shared" si="183"/>
        <v>0</v>
      </c>
      <c r="L199" s="1109">
        <f t="shared" si="183"/>
        <v>0</v>
      </c>
      <c r="M199" s="1109">
        <f t="shared" si="183"/>
        <v>0</v>
      </c>
      <c r="N199" s="1109">
        <f t="shared" si="183"/>
        <v>0</v>
      </c>
      <c r="O199" s="1109">
        <f t="shared" si="183"/>
        <v>0</v>
      </c>
      <c r="P199" s="1109">
        <f t="shared" si="183"/>
        <v>0</v>
      </c>
      <c r="Q199" s="1200">
        <f t="shared" si="183"/>
        <v>0</v>
      </c>
      <c r="R199" s="1200">
        <f t="shared" si="183"/>
        <v>0</v>
      </c>
      <c r="S199" s="1109">
        <f t="shared" si="183"/>
        <v>0</v>
      </c>
      <c r="T199" s="1109">
        <f t="shared" si="183"/>
        <v>0</v>
      </c>
      <c r="U199" s="1109">
        <f t="shared" si="183"/>
        <v>0</v>
      </c>
      <c r="V199" s="1109">
        <f t="shared" si="183"/>
        <v>0</v>
      </c>
      <c r="W199" s="1109">
        <f t="shared" si="183"/>
        <v>0</v>
      </c>
      <c r="X199" s="1200">
        <f t="shared" si="183"/>
        <v>0</v>
      </c>
      <c r="Y199" s="1200">
        <f t="shared" si="183"/>
        <v>0</v>
      </c>
      <c r="Z199" s="1109">
        <f t="shared" si="183"/>
        <v>0</v>
      </c>
      <c r="AA199" s="1109">
        <f t="shared" si="183"/>
        <v>0</v>
      </c>
      <c r="AB199" s="1109">
        <f t="shared" si="183"/>
        <v>0</v>
      </c>
      <c r="AC199" s="1109">
        <f t="shared" si="183"/>
        <v>0</v>
      </c>
      <c r="AD199" s="1109">
        <f t="shared" si="183"/>
        <v>0</v>
      </c>
      <c r="AE199" s="1200">
        <f t="shared" si="183"/>
        <v>0</v>
      </c>
      <c r="AF199" s="1200">
        <f t="shared" si="183"/>
        <v>0</v>
      </c>
      <c r="AG199" s="1109">
        <f t="shared" si="183"/>
        <v>0</v>
      </c>
      <c r="AH199" s="1109">
        <f t="shared" si="183"/>
        <v>0</v>
      </c>
      <c r="AI199" s="1109">
        <f t="shared" si="183"/>
        <v>0</v>
      </c>
      <c r="AJ199" s="399"/>
      <c r="AK199" s="1027">
        <f t="shared" ref="AK199:AK262" si="184">AJ201</f>
        <v>0</v>
      </c>
      <c r="AL199" s="421"/>
      <c r="AM199" s="1043">
        <f t="shared" ref="AM199:AM262" si="185">AL201</f>
        <v>0</v>
      </c>
      <c r="AN199" s="894"/>
      <c r="AO199" s="625"/>
      <c r="AP199" s="391"/>
      <c r="AQ199" s="391"/>
    </row>
    <row r="200" spans="1:48" ht="19.5" customHeight="1" thickTop="1">
      <c r="A200" s="968" t="s">
        <v>596</v>
      </c>
      <c r="B200" s="393" t="s">
        <v>660</v>
      </c>
      <c r="C200" s="518" t="str">
        <f>Table37[[#This Row],[M/C No.]]</f>
        <v>R11(50ton)</v>
      </c>
      <c r="D200" s="28" t="s">
        <v>82</v>
      </c>
      <c r="E200" s="1124">
        <v>15000</v>
      </c>
      <c r="F200" s="1124">
        <v>15000</v>
      </c>
      <c r="G200" s="1242">
        <v>15000</v>
      </c>
      <c r="H200" s="1124">
        <v>15000</v>
      </c>
      <c r="I200" s="1124">
        <v>15000</v>
      </c>
      <c r="J200" s="1242">
        <v>15000</v>
      </c>
      <c r="K200" s="1242">
        <v>15000</v>
      </c>
      <c r="L200" s="1124">
        <v>15000</v>
      </c>
      <c r="M200" s="1124">
        <v>15000</v>
      </c>
      <c r="N200" s="1124">
        <v>15000</v>
      </c>
      <c r="O200" s="1124">
        <v>15000</v>
      </c>
      <c r="P200" s="1124">
        <v>15000</v>
      </c>
      <c r="Q200" s="1242">
        <v>15000</v>
      </c>
      <c r="R200" s="1242">
        <v>15000</v>
      </c>
      <c r="S200" s="1124">
        <v>0</v>
      </c>
      <c r="T200" s="1124">
        <v>0</v>
      </c>
      <c r="U200" s="1124">
        <v>6000</v>
      </c>
      <c r="V200" s="1124">
        <v>15000</v>
      </c>
      <c r="W200" s="1124">
        <v>15000</v>
      </c>
      <c r="X200" s="1242">
        <v>15000</v>
      </c>
      <c r="Y200" s="1242">
        <v>15000</v>
      </c>
      <c r="Z200" s="1124">
        <v>15000</v>
      </c>
      <c r="AA200" s="1124">
        <v>15000</v>
      </c>
      <c r="AB200" s="1124">
        <v>15000</v>
      </c>
      <c r="AC200" s="1124">
        <v>15000</v>
      </c>
      <c r="AD200" s="1124">
        <v>14000</v>
      </c>
      <c r="AE200" s="1242">
        <v>0</v>
      </c>
      <c r="AF200" s="1242">
        <v>0</v>
      </c>
      <c r="AG200" s="1124">
        <v>0</v>
      </c>
      <c r="AH200" s="1124">
        <v>0</v>
      </c>
      <c r="AI200" s="1124"/>
      <c r="AJ200" s="375">
        <f>SUM(E200:AI200)</f>
        <v>350000</v>
      </c>
      <c r="AK200" s="1047">
        <f t="shared" si="184"/>
        <v>287010</v>
      </c>
      <c r="AL200" s="422">
        <f>+AJ200*AN200</f>
        <v>2403702</v>
      </c>
      <c r="AM200" s="1046">
        <f t="shared" si="185"/>
        <v>1971104.3172000002</v>
      </c>
      <c r="AN200" s="402">
        <v>6.8677200000000003</v>
      </c>
      <c r="AO200" s="622">
        <f>Table37[[#This Row],[Total]]*B204/1000</f>
        <v>924</v>
      </c>
      <c r="AP200" s="32" t="s">
        <v>461</v>
      </c>
      <c r="AQ200" s="33" t="s">
        <v>84</v>
      </c>
      <c r="AR200" s="33" t="s">
        <v>85</v>
      </c>
      <c r="AS200" s="33" t="s">
        <v>86</v>
      </c>
      <c r="AT200" s="33" t="s">
        <v>87</v>
      </c>
      <c r="AU200" s="33" t="s">
        <v>88</v>
      </c>
      <c r="AV200" s="34" t="s">
        <v>68</v>
      </c>
    </row>
    <row r="201" spans="1:48" ht="19.899999999999999" customHeight="1">
      <c r="A201" s="403"/>
      <c r="B201" s="393" t="s">
        <v>462</v>
      </c>
      <c r="C201" s="52" t="s">
        <v>95</v>
      </c>
      <c r="D201" s="37" t="s">
        <v>90</v>
      </c>
      <c r="E201" s="1323">
        <f>IF(E200="",0, +E200/E207)</f>
        <v>3750</v>
      </c>
      <c r="F201" s="1096">
        <f t="shared" ref="F201:AI201" si="186">IF(F200="",0, E201+F200/F207)</f>
        <v>7500</v>
      </c>
      <c r="G201" s="1207">
        <f t="shared" si="186"/>
        <v>11250</v>
      </c>
      <c r="H201" s="1096">
        <f t="shared" si="186"/>
        <v>15000</v>
      </c>
      <c r="I201" s="1096">
        <f t="shared" si="186"/>
        <v>18750</v>
      </c>
      <c r="J201" s="1207">
        <f t="shared" si="186"/>
        <v>22500</v>
      </c>
      <c r="K201" s="1207">
        <f t="shared" si="186"/>
        <v>26250</v>
      </c>
      <c r="L201" s="1096">
        <f t="shared" si="186"/>
        <v>30000</v>
      </c>
      <c r="M201" s="1096">
        <f t="shared" si="186"/>
        <v>33750</v>
      </c>
      <c r="N201" s="1096">
        <f t="shared" si="186"/>
        <v>37500</v>
      </c>
      <c r="O201" s="1096">
        <f t="shared" si="186"/>
        <v>41250</v>
      </c>
      <c r="P201" s="1096">
        <f t="shared" si="186"/>
        <v>45000</v>
      </c>
      <c r="Q201" s="1207">
        <f t="shared" si="186"/>
        <v>48750</v>
      </c>
      <c r="R201" s="1207">
        <f t="shared" si="186"/>
        <v>52500</v>
      </c>
      <c r="S201" s="1096">
        <f t="shared" si="186"/>
        <v>52500</v>
      </c>
      <c r="T201" s="1096">
        <f t="shared" si="186"/>
        <v>52500</v>
      </c>
      <c r="U201" s="1096">
        <f t="shared" si="186"/>
        <v>54000</v>
      </c>
      <c r="V201" s="1096">
        <f t="shared" si="186"/>
        <v>57750</v>
      </c>
      <c r="W201" s="1096">
        <f t="shared" si="186"/>
        <v>61500</v>
      </c>
      <c r="X201" s="1207">
        <f t="shared" si="186"/>
        <v>65250</v>
      </c>
      <c r="Y201" s="1207">
        <f t="shared" si="186"/>
        <v>69000</v>
      </c>
      <c r="Z201" s="1096">
        <f t="shared" si="186"/>
        <v>72750</v>
      </c>
      <c r="AA201" s="1096">
        <f t="shared" si="186"/>
        <v>76500</v>
      </c>
      <c r="AB201" s="1096">
        <f t="shared" si="186"/>
        <v>80250</v>
      </c>
      <c r="AC201" s="1096">
        <f t="shared" si="186"/>
        <v>84000</v>
      </c>
      <c r="AD201" s="1096">
        <f t="shared" si="186"/>
        <v>87500</v>
      </c>
      <c r="AE201" s="1207">
        <f t="shared" si="186"/>
        <v>87500</v>
      </c>
      <c r="AF201" s="1207">
        <f t="shared" si="186"/>
        <v>87500</v>
      </c>
      <c r="AG201" s="1096">
        <f t="shared" si="186"/>
        <v>87500</v>
      </c>
      <c r="AH201" s="1096">
        <f t="shared" si="186"/>
        <v>87500</v>
      </c>
      <c r="AI201" s="1096">
        <f t="shared" si="186"/>
        <v>0</v>
      </c>
      <c r="AJ201" s="375"/>
      <c r="AK201" s="1023">
        <f t="shared" si="184"/>
        <v>-62990</v>
      </c>
      <c r="AL201" s="423"/>
      <c r="AM201" s="1040">
        <f t="shared" si="185"/>
        <v>-432597.68280000001</v>
      </c>
      <c r="AN201" s="382"/>
      <c r="AO201" s="675"/>
      <c r="AP201" s="39" t="s">
        <v>91</v>
      </c>
      <c r="AQ201" s="40">
        <f>SUM(E200:H200)</f>
        <v>60000</v>
      </c>
      <c r="AR201" s="41">
        <f>SUM(I200:O200)</f>
        <v>105000</v>
      </c>
      <c r="AS201" s="41">
        <f>SUM(P200:V200)</f>
        <v>66000</v>
      </c>
      <c r="AT201" s="41">
        <f>SUM(W200:AC200)</f>
        <v>105000</v>
      </c>
      <c r="AU201" s="41">
        <f>SUM(AD200:AI200)</f>
        <v>14000</v>
      </c>
      <c r="AV201" s="34">
        <f t="shared" ref="AV201:AV206" si="187">SUM(AQ201:AU201)</f>
        <v>350000</v>
      </c>
    </row>
    <row r="202" spans="1:48" ht="19.899999999999999" customHeight="1">
      <c r="A202" s="403"/>
      <c r="B202" s="393" t="s">
        <v>246</v>
      </c>
      <c r="C202" s="379">
        <v>60000</v>
      </c>
      <c r="D202" s="43" t="s">
        <v>93</v>
      </c>
      <c r="E202" s="1108">
        <v>16200</v>
      </c>
      <c r="F202" s="1108">
        <v>15120</v>
      </c>
      <c r="G202" s="1199">
        <v>14850</v>
      </c>
      <c r="H202" s="1108">
        <v>14850</v>
      </c>
      <c r="I202" s="1089">
        <v>15120</v>
      </c>
      <c r="J202" s="44">
        <v>15120</v>
      </c>
      <c r="K202" s="44">
        <v>15120</v>
      </c>
      <c r="L202" s="1089">
        <v>15120</v>
      </c>
      <c r="M202" s="1089">
        <v>3240</v>
      </c>
      <c r="N202" s="1089">
        <v>5400</v>
      </c>
      <c r="O202" s="1089">
        <v>9720</v>
      </c>
      <c r="P202" s="1089">
        <v>12960</v>
      </c>
      <c r="Q202" s="44">
        <v>12960</v>
      </c>
      <c r="R202" s="44">
        <v>12960</v>
      </c>
      <c r="S202" s="1089">
        <v>15120</v>
      </c>
      <c r="T202" s="1089">
        <v>15120</v>
      </c>
      <c r="U202" s="1089">
        <v>11880</v>
      </c>
      <c r="V202" s="1089">
        <v>14040</v>
      </c>
      <c r="W202" s="1089">
        <v>15120</v>
      </c>
      <c r="X202" s="44">
        <v>14040</v>
      </c>
      <c r="Y202" s="44">
        <v>15120</v>
      </c>
      <c r="Z202" s="1089">
        <v>2880</v>
      </c>
      <c r="AA202" s="1089">
        <v>4950</v>
      </c>
      <c r="AB202" s="1089"/>
      <c r="AC202" s="1089"/>
      <c r="AD202" s="1089"/>
      <c r="AE202" s="44"/>
      <c r="AF202" s="44"/>
      <c r="AG202" s="1089"/>
      <c r="AH202" s="1089"/>
      <c r="AI202" s="1089"/>
      <c r="AJ202" s="380">
        <f>SUM(E202:AI202)</f>
        <v>287010</v>
      </c>
      <c r="AK202" s="1024">
        <f t="shared" si="184"/>
        <v>10014</v>
      </c>
      <c r="AL202" s="424">
        <f>+AJ202*AN200</f>
        <v>1971104.3172000002</v>
      </c>
      <c r="AM202" s="1041">
        <f t="shared" si="185"/>
        <v>68773.348079999996</v>
      </c>
      <c r="AN202" s="382"/>
      <c r="AO202" s="632">
        <f>(AJ202+AJ204+AJ205+AJ206)*B204/1000</f>
        <v>801.02880000000005</v>
      </c>
      <c r="AP202" s="47" t="s">
        <v>94</v>
      </c>
      <c r="AQ202" s="48">
        <f>SUM(E202:H202)</f>
        <v>61020</v>
      </c>
      <c r="AR202" s="49">
        <f>SUM(I202:O202)</f>
        <v>78840</v>
      </c>
      <c r="AS202" s="49">
        <f>SUM(P202:V202)</f>
        <v>95040</v>
      </c>
      <c r="AT202" s="49">
        <f>SUM(W202:AC202)</f>
        <v>52110</v>
      </c>
      <c r="AU202" s="49">
        <f>SUM(AD202:AI202)</f>
        <v>0</v>
      </c>
      <c r="AV202" s="50">
        <f t="shared" si="187"/>
        <v>287010</v>
      </c>
    </row>
    <row r="203" spans="1:48" ht="19.899999999999999" customHeight="1">
      <c r="A203" s="403"/>
      <c r="B203" s="770" t="s">
        <v>247</v>
      </c>
      <c r="C203" s="89" t="s">
        <v>108</v>
      </c>
      <c r="D203" s="53" t="s">
        <v>96</v>
      </c>
      <c r="E203" s="1137">
        <f>+E202-E200</f>
        <v>1200</v>
      </c>
      <c r="F203" s="1097">
        <f t="shared" ref="F203:AJ203" si="188">+F202-F200</f>
        <v>120</v>
      </c>
      <c r="G203" s="1205">
        <f t="shared" si="188"/>
        <v>-150</v>
      </c>
      <c r="H203" s="1097">
        <f t="shared" si="188"/>
        <v>-150</v>
      </c>
      <c r="I203" s="1097">
        <f>+I202-I200</f>
        <v>120</v>
      </c>
      <c r="J203" s="1205">
        <f>+J202-J200</f>
        <v>120</v>
      </c>
      <c r="K203" s="1205">
        <f t="shared" si="188"/>
        <v>120</v>
      </c>
      <c r="L203" s="1097">
        <f t="shared" si="188"/>
        <v>120</v>
      </c>
      <c r="M203" s="1097">
        <f t="shared" si="188"/>
        <v>-11760</v>
      </c>
      <c r="N203" s="1097">
        <f t="shared" si="188"/>
        <v>-9600</v>
      </c>
      <c r="O203" s="1097">
        <f t="shared" si="188"/>
        <v>-5280</v>
      </c>
      <c r="P203" s="1097">
        <f t="shared" si="188"/>
        <v>-2040</v>
      </c>
      <c r="Q203" s="1205">
        <f t="shared" si="188"/>
        <v>-2040</v>
      </c>
      <c r="R203" s="1205">
        <f t="shared" si="188"/>
        <v>-2040</v>
      </c>
      <c r="S203" s="1097">
        <f t="shared" si="188"/>
        <v>15120</v>
      </c>
      <c r="T203" s="1097">
        <f t="shared" si="188"/>
        <v>15120</v>
      </c>
      <c r="U203" s="1097">
        <f t="shared" si="188"/>
        <v>5880</v>
      </c>
      <c r="V203" s="1097">
        <f t="shared" si="188"/>
        <v>-960</v>
      </c>
      <c r="W203" s="1097">
        <f t="shared" si="188"/>
        <v>120</v>
      </c>
      <c r="X203" s="1205">
        <f t="shared" si="188"/>
        <v>-960</v>
      </c>
      <c r="Y203" s="1205">
        <f t="shared" si="188"/>
        <v>120</v>
      </c>
      <c r="Z203" s="1097">
        <f t="shared" si="188"/>
        <v>-12120</v>
      </c>
      <c r="AA203" s="1097">
        <f t="shared" si="188"/>
        <v>-10050</v>
      </c>
      <c r="AB203" s="1097">
        <f t="shared" si="188"/>
        <v>-15000</v>
      </c>
      <c r="AC203" s="1097">
        <f t="shared" si="188"/>
        <v>-15000</v>
      </c>
      <c r="AD203" s="1097">
        <f t="shared" si="188"/>
        <v>-14000</v>
      </c>
      <c r="AE203" s="1205">
        <f t="shared" si="188"/>
        <v>0</v>
      </c>
      <c r="AF203" s="1205">
        <f t="shared" si="188"/>
        <v>0</v>
      </c>
      <c r="AG203" s="1097">
        <f t="shared" si="188"/>
        <v>0</v>
      </c>
      <c r="AH203" s="1097">
        <f t="shared" si="188"/>
        <v>0</v>
      </c>
      <c r="AI203" s="1097">
        <f t="shared" si="188"/>
        <v>0</v>
      </c>
      <c r="AJ203" s="381">
        <f t="shared" si="188"/>
        <v>-62990</v>
      </c>
      <c r="AK203" s="1024">
        <f t="shared" si="184"/>
        <v>4644</v>
      </c>
      <c r="AL203" s="425">
        <f>+AJ203*AN200</f>
        <v>-432597.68280000001</v>
      </c>
      <c r="AM203" s="1041">
        <f t="shared" si="185"/>
        <v>31893.69168</v>
      </c>
      <c r="AN203" s="382" t="s">
        <v>97</v>
      </c>
      <c r="AO203" s="622"/>
      <c r="AP203" s="39" t="s">
        <v>98</v>
      </c>
      <c r="AQ203" s="56">
        <f>AQ202-AQ201</f>
        <v>1020</v>
      </c>
      <c r="AR203" s="70">
        <f>AR202-AR201</f>
        <v>-26160</v>
      </c>
      <c r="AS203" s="70">
        <f>AS202-AS201</f>
        <v>29040</v>
      </c>
      <c r="AT203" s="70">
        <f>AT202-AT201</f>
        <v>-52890</v>
      </c>
      <c r="AU203" s="70">
        <f>AU202-AU201</f>
        <v>-14000</v>
      </c>
      <c r="AV203" s="57">
        <f t="shared" si="187"/>
        <v>-62990</v>
      </c>
    </row>
    <row r="204" spans="1:48" ht="19.899999999999999" customHeight="1">
      <c r="A204" s="403"/>
      <c r="B204" s="771">
        <v>2.64</v>
      </c>
      <c r="C204" s="383">
        <f>+C202*0.8</f>
        <v>48000</v>
      </c>
      <c r="D204" s="61" t="s">
        <v>101</v>
      </c>
      <c r="E204" s="1098">
        <v>40</v>
      </c>
      <c r="F204" s="1098">
        <v>160</v>
      </c>
      <c r="G204" s="1195">
        <f>80+280</f>
        <v>360</v>
      </c>
      <c r="H204" s="1098">
        <f>120+120</f>
        <v>240</v>
      </c>
      <c r="I204" s="1098">
        <v>210</v>
      </c>
      <c r="J204" s="1195">
        <v>100</v>
      </c>
      <c r="K204" s="1195">
        <v>80</v>
      </c>
      <c r="L204" s="1098">
        <v>80</v>
      </c>
      <c r="M204" s="1098">
        <f>480+360</f>
        <v>840</v>
      </c>
      <c r="N204" s="1098">
        <f>200+800</f>
        <v>1000</v>
      </c>
      <c r="O204" s="1098">
        <f>400+900</f>
        <v>1300</v>
      </c>
      <c r="P204" s="1098">
        <v>620</v>
      </c>
      <c r="Q204" s="1195">
        <v>580</v>
      </c>
      <c r="R204" s="1195">
        <v>580</v>
      </c>
      <c r="S204" s="1098">
        <v>240</v>
      </c>
      <c r="T204" s="1098">
        <v>60</v>
      </c>
      <c r="U204" s="1098">
        <f>80+480</f>
        <v>560</v>
      </c>
      <c r="V204" s="1098">
        <f>120+460</f>
        <v>580</v>
      </c>
      <c r="W204" s="1098">
        <v>80</v>
      </c>
      <c r="X204" s="1208">
        <v>120</v>
      </c>
      <c r="Y204" s="1208">
        <v>80</v>
      </c>
      <c r="Z204" s="1099">
        <f>560+824</f>
        <v>1384</v>
      </c>
      <c r="AA204" s="1099">
        <f>360+360</f>
        <v>720</v>
      </c>
      <c r="AB204" s="1099"/>
      <c r="AC204" s="1099"/>
      <c r="AD204" s="1099"/>
      <c r="AE204" s="1208"/>
      <c r="AF204" s="1208"/>
      <c r="AG204" s="1099"/>
      <c r="AH204" s="1099"/>
      <c r="AI204" s="1099"/>
      <c r="AJ204" s="384">
        <f>SUM(E204:AI204)</f>
        <v>10014</v>
      </c>
      <c r="AK204" s="1024">
        <f t="shared" si="184"/>
        <v>1752</v>
      </c>
      <c r="AL204" s="420">
        <f>+AJ204*AN200</f>
        <v>68773.348079999996</v>
      </c>
      <c r="AM204" s="1040">
        <f t="shared" si="185"/>
        <v>12032.245440000001</v>
      </c>
      <c r="AN204" s="404">
        <f>+AJ204/AJ202*100</f>
        <v>3.4890770356433571</v>
      </c>
      <c r="AO204" s="635">
        <f>AO202/AO200</f>
        <v>0.86691428571428575</v>
      </c>
      <c r="AP204" s="39" t="s">
        <v>102</v>
      </c>
      <c r="AQ204" s="56">
        <f>SUM(E204:H204)</f>
        <v>800</v>
      </c>
      <c r="AR204" s="70">
        <f>SUM(I204:O204)</f>
        <v>3610</v>
      </c>
      <c r="AS204" s="70">
        <f>SUM(P204:V204)</f>
        <v>3220</v>
      </c>
      <c r="AT204" s="70">
        <f>SUM(W204:AC204)</f>
        <v>2384</v>
      </c>
      <c r="AU204" s="70">
        <f>SUM(AD204:AI204)</f>
        <v>0</v>
      </c>
      <c r="AV204" s="57">
        <f t="shared" si="187"/>
        <v>10014</v>
      </c>
    </row>
    <row r="205" spans="1:48" ht="19.899999999999999" customHeight="1">
      <c r="A205" s="403"/>
      <c r="B205" s="334" t="s">
        <v>463</v>
      </c>
      <c r="C205" s="383"/>
      <c r="D205" s="67" t="s">
        <v>103</v>
      </c>
      <c r="E205" s="1100">
        <v>240</v>
      </c>
      <c r="F205" s="1100">
        <v>240</v>
      </c>
      <c r="G205" s="1196">
        <v>162</v>
      </c>
      <c r="H205" s="1100">
        <v>150</v>
      </c>
      <c r="I205" s="1100">
        <v>240</v>
      </c>
      <c r="J205" s="1196">
        <v>240</v>
      </c>
      <c r="K205" s="1196">
        <v>222</v>
      </c>
      <c r="L205" s="1100">
        <v>222</v>
      </c>
      <c r="M205" s="1100">
        <v>102</v>
      </c>
      <c r="N205" s="1100">
        <v>132</v>
      </c>
      <c r="O205" s="1100">
        <v>162</v>
      </c>
      <c r="P205" s="1100">
        <v>162</v>
      </c>
      <c r="Q205" s="1196">
        <v>222</v>
      </c>
      <c r="R205" s="1196">
        <v>240</v>
      </c>
      <c r="S205" s="1100">
        <v>240</v>
      </c>
      <c r="T205" s="1100">
        <v>240</v>
      </c>
      <c r="U205" s="1100">
        <v>240</v>
      </c>
      <c r="V205" s="1100">
        <v>240</v>
      </c>
      <c r="W205" s="1100">
        <v>222</v>
      </c>
      <c r="X205" s="1209">
        <v>330</v>
      </c>
      <c r="Y205" s="1209">
        <v>222</v>
      </c>
      <c r="Z205" s="1101">
        <v>114</v>
      </c>
      <c r="AA205" s="1101">
        <v>60</v>
      </c>
      <c r="AB205" s="1101"/>
      <c r="AC205" s="1101"/>
      <c r="AD205" s="1101"/>
      <c r="AE205" s="1209"/>
      <c r="AF205" s="1209"/>
      <c r="AG205" s="1101"/>
      <c r="AH205" s="1101"/>
      <c r="AI205" s="1101"/>
      <c r="AJ205" s="386">
        <f>SUM(E205:AI205)</f>
        <v>4644</v>
      </c>
      <c r="AK205" s="1024">
        <f t="shared" si="184"/>
        <v>0</v>
      </c>
      <c r="AL205" s="426">
        <f>+AJ205*AN200</f>
        <v>31893.69168</v>
      </c>
      <c r="AM205" s="1040">
        <f t="shared" si="185"/>
        <v>0</v>
      </c>
      <c r="AN205" s="382"/>
      <c r="AO205" s="622"/>
      <c r="AP205" s="39" t="s">
        <v>19</v>
      </c>
      <c r="AQ205" s="56">
        <f>AQ204*AN200</f>
        <v>5494.1760000000004</v>
      </c>
      <c r="AR205" s="56">
        <f>AR204*AN200</f>
        <v>24792.4692</v>
      </c>
      <c r="AS205" s="56">
        <f>AS204*AN200</f>
        <v>22114.058400000002</v>
      </c>
      <c r="AT205" s="56">
        <f>AT204*AN200</f>
        <v>16372.644480000001</v>
      </c>
      <c r="AU205" s="56">
        <f>AU204*AN200</f>
        <v>0</v>
      </c>
      <c r="AV205" s="57">
        <f t="shared" si="187"/>
        <v>68773.348079999996</v>
      </c>
    </row>
    <row r="206" spans="1:48" ht="19.899999999999999" customHeight="1">
      <c r="A206" s="403"/>
      <c r="B206" s="65"/>
      <c r="C206" s="387" t="s">
        <v>435</v>
      </c>
      <c r="D206" s="73" t="s">
        <v>105</v>
      </c>
      <c r="E206" s="1102">
        <v>64</v>
      </c>
      <c r="F206" s="1102">
        <v>80</v>
      </c>
      <c r="G206" s="1197">
        <v>88</v>
      </c>
      <c r="H206" s="1102">
        <v>88</v>
      </c>
      <c r="I206" s="1102">
        <v>88</v>
      </c>
      <c r="J206" s="1197">
        <v>96</v>
      </c>
      <c r="K206" s="1197">
        <v>96</v>
      </c>
      <c r="L206" s="1102">
        <v>80</v>
      </c>
      <c r="M206" s="1102">
        <v>24</v>
      </c>
      <c r="N206" s="1102">
        <v>72</v>
      </c>
      <c r="O206" s="1102">
        <v>80</v>
      </c>
      <c r="P206" s="1102">
        <v>96</v>
      </c>
      <c r="Q206" s="1197">
        <v>96</v>
      </c>
      <c r="R206" s="1197">
        <v>96</v>
      </c>
      <c r="S206" s="1102">
        <v>80</v>
      </c>
      <c r="T206" s="1102">
        <v>48</v>
      </c>
      <c r="U206" s="1102">
        <v>80</v>
      </c>
      <c r="V206" s="1102">
        <v>72</v>
      </c>
      <c r="W206" s="1102">
        <v>80</v>
      </c>
      <c r="X206" s="1210">
        <v>96</v>
      </c>
      <c r="Y206" s="1210">
        <v>96</v>
      </c>
      <c r="Z206" s="1103">
        <v>24</v>
      </c>
      <c r="AA206" s="1103">
        <v>32</v>
      </c>
      <c r="AB206" s="1103"/>
      <c r="AC206" s="1103"/>
      <c r="AD206" s="1103"/>
      <c r="AE206" s="1210"/>
      <c r="AF206" s="1210"/>
      <c r="AG206" s="1103"/>
      <c r="AH206" s="1103"/>
      <c r="AI206" s="1103"/>
      <c r="AJ206" s="388">
        <f>SUM(E206:AI206)</f>
        <v>1752</v>
      </c>
      <c r="AK206" s="1024">
        <f t="shared" si="184"/>
        <v>75855</v>
      </c>
      <c r="AL206" s="427">
        <f>+AJ206*AN200</f>
        <v>12032.245440000001</v>
      </c>
      <c r="AM206" s="1040">
        <f t="shared" si="185"/>
        <v>0</v>
      </c>
      <c r="AN206" s="382"/>
      <c r="AO206" s="622"/>
      <c r="AP206" s="47" t="s">
        <v>106</v>
      </c>
      <c r="AQ206" s="48">
        <f>AQ202*AN200</f>
        <v>419068.27439999999</v>
      </c>
      <c r="AR206" s="48">
        <f>AR202*AN200</f>
        <v>541451.04480000003</v>
      </c>
      <c r="AS206" s="48">
        <f>AS202*AN200</f>
        <v>652708.10880000005</v>
      </c>
      <c r="AT206" s="48">
        <f>AT202*AN200</f>
        <v>357876.88920000003</v>
      </c>
      <c r="AU206" s="48">
        <f>AU202*AN200</f>
        <v>0</v>
      </c>
      <c r="AV206" s="50">
        <f t="shared" si="187"/>
        <v>1971104.3172000002</v>
      </c>
    </row>
    <row r="207" spans="1:48" ht="19.899999999999999" customHeight="1">
      <c r="A207" s="403"/>
      <c r="B207" s="390"/>
      <c r="C207" s="379">
        <v>50000</v>
      </c>
      <c r="D207" s="78" t="s">
        <v>107</v>
      </c>
      <c r="E207" s="1137">
        <v>4</v>
      </c>
      <c r="F207" s="1097">
        <v>4</v>
      </c>
      <c r="G207" s="1205">
        <v>4</v>
      </c>
      <c r="H207" s="1097">
        <v>4</v>
      </c>
      <c r="I207" s="1097">
        <v>4</v>
      </c>
      <c r="J207" s="1205">
        <v>4</v>
      </c>
      <c r="K207" s="1205">
        <v>4</v>
      </c>
      <c r="L207" s="1097">
        <v>4</v>
      </c>
      <c r="M207" s="1097">
        <v>4</v>
      </c>
      <c r="N207" s="1097">
        <v>4</v>
      </c>
      <c r="O207" s="1097">
        <v>4</v>
      </c>
      <c r="P207" s="1097">
        <v>4</v>
      </c>
      <c r="Q207" s="1205">
        <v>4</v>
      </c>
      <c r="R207" s="1205">
        <v>4</v>
      </c>
      <c r="S207" s="1097">
        <v>4</v>
      </c>
      <c r="T207" s="1097">
        <v>4</v>
      </c>
      <c r="U207" s="1097">
        <v>4</v>
      </c>
      <c r="V207" s="1097">
        <v>4</v>
      </c>
      <c r="W207" s="1097">
        <v>4</v>
      </c>
      <c r="X207" s="1205">
        <v>4</v>
      </c>
      <c r="Y207" s="1205">
        <v>4</v>
      </c>
      <c r="Z207" s="1097">
        <v>4</v>
      </c>
      <c r="AA207" s="1097">
        <v>4</v>
      </c>
      <c r="AB207" s="1097">
        <v>4</v>
      </c>
      <c r="AC207" s="1097">
        <v>4</v>
      </c>
      <c r="AD207" s="1097">
        <v>4</v>
      </c>
      <c r="AE207" s="1205">
        <v>4</v>
      </c>
      <c r="AF207" s="1205">
        <v>4</v>
      </c>
      <c r="AG207" s="1097">
        <v>4</v>
      </c>
      <c r="AH207" s="1097">
        <v>4</v>
      </c>
      <c r="AI207" s="1097">
        <v>4</v>
      </c>
      <c r="AJ207" s="381"/>
      <c r="AK207" s="1024">
        <f t="shared" si="184"/>
        <v>0</v>
      </c>
      <c r="AL207" s="425"/>
      <c r="AM207" s="1041">
        <f t="shared" si="185"/>
        <v>0</v>
      </c>
      <c r="AN207" s="382"/>
      <c r="AO207" s="622"/>
      <c r="AP207" s="391"/>
      <c r="AQ207" s="391"/>
      <c r="AR207" s="4"/>
      <c r="AS207" s="4"/>
      <c r="AT207" s="392"/>
      <c r="AU207" s="4"/>
      <c r="AV207" s="4"/>
    </row>
    <row r="208" spans="1:48" ht="19.899999999999999" customHeight="1">
      <c r="A208" s="405"/>
      <c r="B208" s="390"/>
      <c r="C208" s="89" t="s">
        <v>108</v>
      </c>
      <c r="D208" s="81" t="s">
        <v>109</v>
      </c>
      <c r="E208" s="1125">
        <f>SUM(E202+E204+E205+E206)/E207</f>
        <v>4136</v>
      </c>
      <c r="F208" s="1125">
        <f>SUM(F202+F204+F205+F206)/F207</f>
        <v>3900</v>
      </c>
      <c r="G208" s="1233">
        <f t="shared" ref="G208:AG208" si="189">SUM(G202+G204+G205+G206)/G207</f>
        <v>3865</v>
      </c>
      <c r="H208" s="1125">
        <f t="shared" si="189"/>
        <v>3832</v>
      </c>
      <c r="I208" s="1125">
        <f t="shared" si="189"/>
        <v>3914.5</v>
      </c>
      <c r="J208" s="1233">
        <f t="shared" si="189"/>
        <v>3889</v>
      </c>
      <c r="K208" s="1233">
        <f t="shared" si="189"/>
        <v>3879.5</v>
      </c>
      <c r="L208" s="1125">
        <f t="shared" si="189"/>
        <v>3875.5</v>
      </c>
      <c r="M208" s="1125">
        <f t="shared" si="189"/>
        <v>1051.5</v>
      </c>
      <c r="N208" s="1125">
        <f t="shared" si="189"/>
        <v>1651</v>
      </c>
      <c r="O208" s="1125">
        <f t="shared" si="189"/>
        <v>2815.5</v>
      </c>
      <c r="P208" s="1125">
        <f t="shared" si="189"/>
        <v>3459.5</v>
      </c>
      <c r="Q208" s="1233">
        <f t="shared" si="189"/>
        <v>3464.5</v>
      </c>
      <c r="R208" s="1233">
        <f t="shared" si="189"/>
        <v>3469</v>
      </c>
      <c r="S208" s="1125">
        <f t="shared" si="189"/>
        <v>3920</v>
      </c>
      <c r="T208" s="1125">
        <f t="shared" si="189"/>
        <v>3867</v>
      </c>
      <c r="U208" s="1125">
        <f t="shared" si="189"/>
        <v>3190</v>
      </c>
      <c r="V208" s="1125">
        <f t="shared" si="189"/>
        <v>3733</v>
      </c>
      <c r="W208" s="1125">
        <f t="shared" si="189"/>
        <v>3875.5</v>
      </c>
      <c r="X208" s="1233">
        <f t="shared" si="189"/>
        <v>3646.5</v>
      </c>
      <c r="Y208" s="1233">
        <f t="shared" si="189"/>
        <v>3879.5</v>
      </c>
      <c r="Z208" s="1125">
        <f t="shared" si="189"/>
        <v>1100.5</v>
      </c>
      <c r="AA208" s="1125">
        <f t="shared" si="189"/>
        <v>1440.5</v>
      </c>
      <c r="AB208" s="1125">
        <f t="shared" si="189"/>
        <v>0</v>
      </c>
      <c r="AC208" s="1125">
        <f t="shared" si="189"/>
        <v>0</v>
      </c>
      <c r="AD208" s="1125">
        <f t="shared" si="189"/>
        <v>0</v>
      </c>
      <c r="AE208" s="1233">
        <f t="shared" si="189"/>
        <v>0</v>
      </c>
      <c r="AF208" s="1233">
        <f t="shared" si="189"/>
        <v>0</v>
      </c>
      <c r="AG208" s="1125">
        <f t="shared" si="189"/>
        <v>0</v>
      </c>
      <c r="AH208" s="1125">
        <f>SUM(AH202+AH204+AH205+AH206)/AH207</f>
        <v>0</v>
      </c>
      <c r="AI208" s="1125">
        <f>SUM(AI202+AI204+AI205+AI206)/AI207</f>
        <v>0</v>
      </c>
      <c r="AJ208" s="380">
        <f>SUM(E208:AI208)</f>
        <v>75855</v>
      </c>
      <c r="AK208" s="1025">
        <f t="shared" si="184"/>
        <v>0</v>
      </c>
      <c r="AL208" s="419"/>
      <c r="AM208" s="1040">
        <f t="shared" si="185"/>
        <v>0</v>
      </c>
      <c r="AN208" s="382"/>
      <c r="AO208" s="622"/>
      <c r="AP208" s="391"/>
      <c r="AQ208" s="391"/>
    </row>
    <row r="209" spans="1:48" ht="19.899999999999999" customHeight="1">
      <c r="A209" s="405"/>
      <c r="B209" s="390"/>
      <c r="C209" s="383">
        <f>+C207*0.8</f>
        <v>40000</v>
      </c>
      <c r="D209" s="85" t="s">
        <v>110</v>
      </c>
      <c r="E209" s="1366"/>
      <c r="F209" s="1126"/>
      <c r="G209" s="1263"/>
      <c r="H209" s="1172"/>
      <c r="I209" s="1174"/>
      <c r="J209" s="1281"/>
      <c r="K209" s="1235"/>
      <c r="L209" s="1126"/>
      <c r="M209" s="1126"/>
      <c r="N209" s="1174"/>
      <c r="O209" s="1173"/>
      <c r="P209" s="1173"/>
      <c r="Q209" s="1281"/>
      <c r="R209" s="1281"/>
      <c r="S209" s="1173"/>
      <c r="T209" s="1107"/>
      <c r="U209" s="1173"/>
      <c r="V209" s="1173"/>
      <c r="W209" s="1173"/>
      <c r="X209" s="1281"/>
      <c r="Y209" s="1281"/>
      <c r="Z209" s="1155" t="s">
        <v>534</v>
      </c>
      <c r="AA209" s="1173"/>
      <c r="AB209" s="1173"/>
      <c r="AC209" s="1173"/>
      <c r="AD209" s="1173"/>
      <c r="AE209" s="1281"/>
      <c r="AF209" s="1281"/>
      <c r="AG209" s="1173"/>
      <c r="AH209" s="1173"/>
      <c r="AI209" s="1173"/>
      <c r="AJ209" s="394"/>
      <c r="AK209" s="1025">
        <f t="shared" si="184"/>
        <v>0</v>
      </c>
      <c r="AL209" s="419"/>
      <c r="AM209" s="1040">
        <f t="shared" si="185"/>
        <v>0</v>
      </c>
      <c r="AN209" s="382"/>
      <c r="AO209" s="622"/>
      <c r="AP209" s="391"/>
      <c r="AQ209" s="391"/>
    </row>
    <row r="210" spans="1:48" ht="19.899999999999999" customHeight="1">
      <c r="A210" s="403"/>
      <c r="B210" s="390"/>
      <c r="C210" s="89"/>
      <c r="D210" s="88" t="s">
        <v>111</v>
      </c>
      <c r="E210" s="1156">
        <f>IF(E209="O/H",E208,15652+E208)</f>
        <v>19788</v>
      </c>
      <c r="F210" s="1157">
        <f>IF(F209="O/H",F208,+E210+F208)</f>
        <v>23688</v>
      </c>
      <c r="G210" s="1264">
        <f t="shared" ref="G210:AF210" si="190">IF(G209="O/H",G208,+F210+G208)</f>
        <v>27553</v>
      </c>
      <c r="H210" s="1157">
        <f t="shared" si="190"/>
        <v>31385</v>
      </c>
      <c r="I210" s="1157">
        <f t="shared" si="190"/>
        <v>35299.5</v>
      </c>
      <c r="J210" s="1264">
        <f t="shared" si="190"/>
        <v>39188.5</v>
      </c>
      <c r="K210" s="1264">
        <f t="shared" si="190"/>
        <v>43068</v>
      </c>
      <c r="L210" s="1157">
        <f t="shared" si="190"/>
        <v>46943.5</v>
      </c>
      <c r="M210" s="1157">
        <f t="shared" si="190"/>
        <v>47995</v>
      </c>
      <c r="N210" s="1157">
        <f t="shared" si="190"/>
        <v>49646</v>
      </c>
      <c r="O210" s="1157">
        <f t="shared" si="190"/>
        <v>52461.5</v>
      </c>
      <c r="P210" s="1157">
        <f t="shared" si="190"/>
        <v>55921</v>
      </c>
      <c r="Q210" s="1264">
        <f t="shared" si="190"/>
        <v>59385.5</v>
      </c>
      <c r="R210" s="1264">
        <f t="shared" si="190"/>
        <v>62854.5</v>
      </c>
      <c r="S210" s="1157">
        <f t="shared" si="190"/>
        <v>66774.5</v>
      </c>
      <c r="T210" s="1157">
        <f t="shared" si="190"/>
        <v>70641.5</v>
      </c>
      <c r="U210" s="1157">
        <f t="shared" si="190"/>
        <v>73831.5</v>
      </c>
      <c r="V210" s="1157">
        <f t="shared" si="190"/>
        <v>77564.5</v>
      </c>
      <c r="W210" s="1157">
        <f t="shared" si="190"/>
        <v>81440</v>
      </c>
      <c r="X210" s="1264">
        <f t="shared" si="190"/>
        <v>85086.5</v>
      </c>
      <c r="Y210" s="1264">
        <f t="shared" si="190"/>
        <v>88966</v>
      </c>
      <c r="Z210" s="1157">
        <f t="shared" si="190"/>
        <v>1100.5</v>
      </c>
      <c r="AA210" s="1157">
        <f t="shared" si="190"/>
        <v>2541</v>
      </c>
      <c r="AB210" s="1157">
        <f t="shared" si="190"/>
        <v>2541</v>
      </c>
      <c r="AC210" s="1157">
        <f t="shared" si="190"/>
        <v>2541</v>
      </c>
      <c r="AD210" s="1157">
        <f t="shared" si="190"/>
        <v>2541</v>
      </c>
      <c r="AE210" s="1264">
        <f t="shared" si="190"/>
        <v>2541</v>
      </c>
      <c r="AF210" s="1264">
        <f t="shared" si="190"/>
        <v>2541</v>
      </c>
      <c r="AG210" s="1157">
        <f t="shared" ref="AG210" si="191">IF(AG209="O/H",AG208,+AF210+AG208)</f>
        <v>2541</v>
      </c>
      <c r="AH210" s="1157">
        <f t="shared" ref="AH210" si="192">IF(AH209="O/H",AH208,+AG210+AH208)</f>
        <v>2541</v>
      </c>
      <c r="AI210" s="1157">
        <f t="shared" ref="AI210" si="193">IF(AI209="O/H",AI208,+AH210+AI208)</f>
        <v>2541</v>
      </c>
      <c r="AJ210" s="394"/>
      <c r="AK210" s="1025">
        <f t="shared" si="184"/>
        <v>0</v>
      </c>
      <c r="AL210" s="419"/>
      <c r="AM210" s="1040">
        <f t="shared" si="185"/>
        <v>0</v>
      </c>
      <c r="AN210" s="382"/>
      <c r="AO210" s="622"/>
      <c r="AP210" s="391"/>
      <c r="AQ210" s="391"/>
    </row>
    <row r="211" spans="1:48" ht="19.899999999999999" customHeight="1">
      <c r="A211" s="403"/>
      <c r="B211" s="59"/>
      <c r="C211" s="387"/>
      <c r="D211" s="395" t="s">
        <v>435</v>
      </c>
      <c r="E211" s="1365"/>
      <c r="F211" s="1104"/>
      <c r="G211" s="1228"/>
      <c r="H211" s="1176"/>
      <c r="I211" s="1107"/>
      <c r="J211" s="1228"/>
      <c r="K211" s="1273"/>
      <c r="L211" s="1104"/>
      <c r="M211" s="1104"/>
      <c r="N211" s="1177"/>
      <c r="O211" s="1104"/>
      <c r="P211" s="1177"/>
      <c r="Q211" s="1211"/>
      <c r="R211" s="1228"/>
      <c r="S211" s="1104"/>
      <c r="T211" s="1107"/>
      <c r="U211" s="1104"/>
      <c r="V211" s="1107"/>
      <c r="W211" s="1107"/>
      <c r="X211" s="1228"/>
      <c r="Y211" s="1211"/>
      <c r="Z211" s="1155" t="s">
        <v>534</v>
      </c>
      <c r="AA211" s="1104"/>
      <c r="AB211" s="1104"/>
      <c r="AC211" s="1104"/>
      <c r="AD211" s="1104"/>
      <c r="AE211" s="1211"/>
      <c r="AF211" s="1211"/>
      <c r="AG211" s="1104"/>
      <c r="AH211" s="1104"/>
      <c r="AI211" s="1104"/>
      <c r="AJ211" s="396"/>
      <c r="AK211" s="1024">
        <f t="shared" si="184"/>
        <v>0</v>
      </c>
      <c r="AL211" s="420"/>
      <c r="AM211" s="1040">
        <f t="shared" si="185"/>
        <v>0</v>
      </c>
      <c r="AN211" s="382"/>
      <c r="AO211" s="622"/>
      <c r="AP211" s="391"/>
      <c r="AQ211" s="391"/>
    </row>
    <row r="212" spans="1:48" ht="19.899999999999999" customHeight="1">
      <c r="A212" s="403"/>
      <c r="B212" s="781" t="s">
        <v>469</v>
      </c>
      <c r="C212" s="387" t="s">
        <v>104</v>
      </c>
      <c r="D212" s="88" t="s">
        <v>111</v>
      </c>
      <c r="E212" s="1156">
        <f>IF(E211="O/H",E208,15652+E208)</f>
        <v>19788</v>
      </c>
      <c r="F212" s="1157">
        <f>IF(F211="O/H",F208,+E212+F208)</f>
        <v>23688</v>
      </c>
      <c r="G212" s="1264">
        <f t="shared" ref="G212:AF212" si="194">IF(G211="O/H",G208,+F212+G208)</f>
        <v>27553</v>
      </c>
      <c r="H212" s="1157">
        <f t="shared" si="194"/>
        <v>31385</v>
      </c>
      <c r="I212" s="1157">
        <f t="shared" si="194"/>
        <v>35299.5</v>
      </c>
      <c r="J212" s="1264">
        <f t="shared" si="194"/>
        <v>39188.5</v>
      </c>
      <c r="K212" s="1264">
        <f t="shared" si="194"/>
        <v>43068</v>
      </c>
      <c r="L212" s="1157">
        <f t="shared" si="194"/>
        <v>46943.5</v>
      </c>
      <c r="M212" s="1157">
        <f t="shared" si="194"/>
        <v>47995</v>
      </c>
      <c r="N212" s="1157">
        <f t="shared" si="194"/>
        <v>49646</v>
      </c>
      <c r="O212" s="1157">
        <f t="shared" si="194"/>
        <v>52461.5</v>
      </c>
      <c r="P212" s="1157">
        <f t="shared" si="194"/>
        <v>55921</v>
      </c>
      <c r="Q212" s="1264">
        <f t="shared" si="194"/>
        <v>59385.5</v>
      </c>
      <c r="R212" s="1264">
        <f t="shared" si="194"/>
        <v>62854.5</v>
      </c>
      <c r="S212" s="1157">
        <f t="shared" si="194"/>
        <v>66774.5</v>
      </c>
      <c r="T212" s="1157">
        <f t="shared" si="194"/>
        <v>70641.5</v>
      </c>
      <c r="U212" s="1157">
        <f t="shared" si="194"/>
        <v>73831.5</v>
      </c>
      <c r="V212" s="1157">
        <f t="shared" si="194"/>
        <v>77564.5</v>
      </c>
      <c r="W212" s="1157">
        <f t="shared" si="194"/>
        <v>81440</v>
      </c>
      <c r="X212" s="1264">
        <f t="shared" si="194"/>
        <v>85086.5</v>
      </c>
      <c r="Y212" s="1264">
        <f t="shared" si="194"/>
        <v>88966</v>
      </c>
      <c r="Z212" s="1157">
        <f t="shared" si="194"/>
        <v>1100.5</v>
      </c>
      <c r="AA212" s="1157">
        <f t="shared" si="194"/>
        <v>2541</v>
      </c>
      <c r="AB212" s="1157">
        <f t="shared" si="194"/>
        <v>2541</v>
      </c>
      <c r="AC212" s="1157">
        <f t="shared" si="194"/>
        <v>2541</v>
      </c>
      <c r="AD212" s="1157">
        <f t="shared" si="194"/>
        <v>2541</v>
      </c>
      <c r="AE212" s="1264">
        <f t="shared" si="194"/>
        <v>2541</v>
      </c>
      <c r="AF212" s="1264">
        <f t="shared" si="194"/>
        <v>2541</v>
      </c>
      <c r="AG212" s="1157">
        <f t="shared" ref="AG212" si="195">IF(AG211="O/H",AG208,+AF212+AG208)</f>
        <v>2541</v>
      </c>
      <c r="AH212" s="1157">
        <f t="shared" ref="AH212" si="196">IF(AH211="O/H",AH208,+AG212+AH208)</f>
        <v>2541</v>
      </c>
      <c r="AI212" s="1157">
        <f t="shared" ref="AI212" si="197">IF(AI211="O/H",AI208,+AH212+AI208)</f>
        <v>2541</v>
      </c>
      <c r="AJ212" s="396"/>
      <c r="AK212" s="1024">
        <f t="shared" si="184"/>
        <v>0</v>
      </c>
      <c r="AL212" s="420"/>
      <c r="AM212" s="1040">
        <f t="shared" si="185"/>
        <v>0</v>
      </c>
      <c r="AN212" s="382"/>
      <c r="AO212" s="622"/>
      <c r="AP212" s="391"/>
      <c r="AQ212" s="391"/>
    </row>
    <row r="213" spans="1:48" s="23" customFormat="1" ht="20.45" customHeight="1">
      <c r="A213" s="312"/>
      <c r="B213" s="312"/>
      <c r="C213" s="379">
        <v>150000</v>
      </c>
      <c r="D213" s="795" t="s">
        <v>112</v>
      </c>
      <c r="E213" s="1117">
        <f>IF(AND(ISNUMBER(E202)),834283+E208)</f>
        <v>838419</v>
      </c>
      <c r="F213" s="1118">
        <f>IF(AND(ISNUMBER(F202)),E213+F208,"")</f>
        <v>842319</v>
      </c>
      <c r="G213" s="1216">
        <f>IF(AND(ISNUMBER(G202)),F213+G208,"")</f>
        <v>846184</v>
      </c>
      <c r="H213" s="1118">
        <f t="shared" ref="H213:AI213" si="198">IF(AND(ISNUMBER(H202)),G213+H208,"")</f>
        <v>850016</v>
      </c>
      <c r="I213" s="1118">
        <f t="shared" si="198"/>
        <v>853930.5</v>
      </c>
      <c r="J213" s="1216">
        <f t="shared" si="198"/>
        <v>857819.5</v>
      </c>
      <c r="K213" s="1216">
        <f t="shared" si="198"/>
        <v>861699</v>
      </c>
      <c r="L213" s="1118">
        <f t="shared" si="198"/>
        <v>865574.5</v>
      </c>
      <c r="M213" s="1118">
        <f t="shared" si="198"/>
        <v>866626</v>
      </c>
      <c r="N213" s="1118">
        <f t="shared" si="198"/>
        <v>868277</v>
      </c>
      <c r="O213" s="1118">
        <f t="shared" si="198"/>
        <v>871092.5</v>
      </c>
      <c r="P213" s="1118">
        <f t="shared" si="198"/>
        <v>874552</v>
      </c>
      <c r="Q213" s="1216">
        <f t="shared" si="198"/>
        <v>878016.5</v>
      </c>
      <c r="R213" s="1216">
        <f t="shared" si="198"/>
        <v>881485.5</v>
      </c>
      <c r="S213" s="1118">
        <f t="shared" si="198"/>
        <v>885405.5</v>
      </c>
      <c r="T213" s="1118">
        <f t="shared" si="198"/>
        <v>889272.5</v>
      </c>
      <c r="U213" s="1118">
        <f t="shared" si="198"/>
        <v>892462.5</v>
      </c>
      <c r="V213" s="1118">
        <f t="shared" si="198"/>
        <v>896195.5</v>
      </c>
      <c r="W213" s="1118">
        <f t="shared" si="198"/>
        <v>900071</v>
      </c>
      <c r="X213" s="1216">
        <f t="shared" si="198"/>
        <v>903717.5</v>
      </c>
      <c r="Y213" s="1216">
        <f t="shared" si="198"/>
        <v>907597</v>
      </c>
      <c r="Z213" s="1118">
        <f t="shared" si="198"/>
        <v>908697.5</v>
      </c>
      <c r="AA213" s="1118">
        <f t="shared" si="198"/>
        <v>910138</v>
      </c>
      <c r="AB213" s="1118" t="str">
        <f t="shared" si="198"/>
        <v/>
      </c>
      <c r="AC213" s="1118" t="str">
        <f t="shared" si="198"/>
        <v/>
      </c>
      <c r="AD213" s="1118" t="str">
        <f t="shared" si="198"/>
        <v/>
      </c>
      <c r="AE213" s="1216" t="str">
        <f t="shared" si="198"/>
        <v/>
      </c>
      <c r="AF213" s="1216" t="str">
        <f t="shared" si="198"/>
        <v/>
      </c>
      <c r="AG213" s="1118" t="str">
        <f t="shared" si="198"/>
        <v/>
      </c>
      <c r="AH213" s="1118" t="str">
        <f t="shared" si="198"/>
        <v/>
      </c>
      <c r="AI213" s="1118" t="str">
        <f t="shared" si="198"/>
        <v/>
      </c>
      <c r="AJ213" s="793"/>
      <c r="AK213" s="1026">
        <f t="shared" si="184"/>
        <v>0</v>
      </c>
      <c r="AL213" s="897"/>
      <c r="AM213" s="1042">
        <f t="shared" si="185"/>
        <v>0</v>
      </c>
      <c r="AN213" s="468"/>
      <c r="AO213" s="675"/>
      <c r="AP213" s="285"/>
      <c r="AQ213" s="285"/>
      <c r="AR213" s="285"/>
      <c r="AS213" s="285"/>
      <c r="AT213" s="286"/>
      <c r="AU213" s="285"/>
      <c r="AV213" s="287"/>
    </row>
    <row r="214" spans="1:48" ht="19.899999999999999" customHeight="1">
      <c r="A214" s="403"/>
      <c r="B214" s="390"/>
      <c r="C214" s="89" t="s">
        <v>108</v>
      </c>
      <c r="D214" s="90" t="s">
        <v>104</v>
      </c>
      <c r="E214" s="1365"/>
      <c r="F214" s="1104"/>
      <c r="G214" s="1211"/>
      <c r="H214" s="1176"/>
      <c r="I214" s="1107"/>
      <c r="J214" s="1228"/>
      <c r="K214" s="1273"/>
      <c r="L214" s="1104"/>
      <c r="M214" s="1104"/>
      <c r="N214" s="1177"/>
      <c r="O214" s="1104"/>
      <c r="P214" s="1177"/>
      <c r="Q214" s="1211"/>
      <c r="R214" s="1228"/>
      <c r="S214" s="1104"/>
      <c r="T214" s="1107"/>
      <c r="U214" s="1104"/>
      <c r="V214" s="1107"/>
      <c r="W214" s="1107"/>
      <c r="X214" s="1228"/>
      <c r="Y214" s="1211"/>
      <c r="Z214" s="1106"/>
      <c r="AA214" s="1104"/>
      <c r="AB214" s="1104"/>
      <c r="AC214" s="1104"/>
      <c r="AD214" s="1104"/>
      <c r="AE214" s="1211"/>
      <c r="AF214" s="1211"/>
      <c r="AG214" s="1104"/>
      <c r="AH214" s="1369"/>
      <c r="AI214" s="1369"/>
      <c r="AJ214" s="428"/>
      <c r="AK214" s="1034">
        <f t="shared" si="184"/>
        <v>0</v>
      </c>
      <c r="AL214" s="900"/>
      <c r="AM214" s="1040">
        <f t="shared" si="185"/>
        <v>0</v>
      </c>
      <c r="AN214" s="468"/>
      <c r="AO214" s="636"/>
      <c r="AP214" s="391"/>
      <c r="AQ214" s="391"/>
      <c r="AR214" s="4"/>
      <c r="AS214" s="4"/>
      <c r="AT214" s="392"/>
      <c r="AU214" s="4"/>
      <c r="AV214" s="4"/>
    </row>
    <row r="215" spans="1:48" ht="19.899999999999999" customHeight="1" thickBot="1">
      <c r="A215" s="403"/>
      <c r="B215" s="398"/>
      <c r="C215" s="407">
        <f>+C213*0.8</f>
        <v>120000</v>
      </c>
      <c r="D215" s="95" t="s">
        <v>111</v>
      </c>
      <c r="E215" s="1109">
        <f>IF(E214="O/H",E208,397544+E208)</f>
        <v>401680</v>
      </c>
      <c r="F215" s="1110">
        <f>IF(F214="O/H",F208,+E215+F208)</f>
        <v>405580</v>
      </c>
      <c r="G215" s="1212">
        <f t="shared" ref="G215:AG215" si="199">IF(G214="O/H",G208,+F215+G208)</f>
        <v>409445</v>
      </c>
      <c r="H215" s="1110">
        <f t="shared" si="199"/>
        <v>413277</v>
      </c>
      <c r="I215" s="1110">
        <f t="shared" si="199"/>
        <v>417191.5</v>
      </c>
      <c r="J215" s="1212">
        <f t="shared" si="199"/>
        <v>421080.5</v>
      </c>
      <c r="K215" s="1212">
        <f t="shared" si="199"/>
        <v>424960</v>
      </c>
      <c r="L215" s="1110">
        <f t="shared" si="199"/>
        <v>428835.5</v>
      </c>
      <c r="M215" s="1110">
        <f t="shared" si="199"/>
        <v>429887</v>
      </c>
      <c r="N215" s="1110">
        <f t="shared" si="199"/>
        <v>431538</v>
      </c>
      <c r="O215" s="1110">
        <f t="shared" si="199"/>
        <v>434353.5</v>
      </c>
      <c r="P215" s="1110">
        <f t="shared" si="199"/>
        <v>437813</v>
      </c>
      <c r="Q215" s="1212">
        <f t="shared" si="199"/>
        <v>441277.5</v>
      </c>
      <c r="R215" s="1212">
        <f t="shared" si="199"/>
        <v>444746.5</v>
      </c>
      <c r="S215" s="1110">
        <f t="shared" si="199"/>
        <v>448666.5</v>
      </c>
      <c r="T215" s="1110">
        <f t="shared" si="199"/>
        <v>452533.5</v>
      </c>
      <c r="U215" s="1110">
        <f t="shared" si="199"/>
        <v>455723.5</v>
      </c>
      <c r="V215" s="1110">
        <f t="shared" si="199"/>
        <v>459456.5</v>
      </c>
      <c r="W215" s="1110">
        <f t="shared" si="199"/>
        <v>463332</v>
      </c>
      <c r="X215" s="1212">
        <f t="shared" si="199"/>
        <v>466978.5</v>
      </c>
      <c r="Y215" s="1212">
        <f t="shared" si="199"/>
        <v>470858</v>
      </c>
      <c r="Z215" s="1110">
        <f t="shared" si="199"/>
        <v>471958.5</v>
      </c>
      <c r="AA215" s="1110">
        <f t="shared" si="199"/>
        <v>473399</v>
      </c>
      <c r="AB215" s="1110">
        <f t="shared" si="199"/>
        <v>473399</v>
      </c>
      <c r="AC215" s="1110">
        <f t="shared" si="199"/>
        <v>473399</v>
      </c>
      <c r="AD215" s="1110">
        <f t="shared" si="199"/>
        <v>473399</v>
      </c>
      <c r="AE215" s="1212">
        <f t="shared" si="199"/>
        <v>473399</v>
      </c>
      <c r="AF215" s="1212">
        <f t="shared" si="199"/>
        <v>473399</v>
      </c>
      <c r="AG215" s="1110">
        <f t="shared" si="199"/>
        <v>473399</v>
      </c>
      <c r="AH215" s="1110">
        <f t="shared" ref="AH215" si="200">IF(AH214="O/H",AH208,+AG215+AH208)</f>
        <v>473399</v>
      </c>
      <c r="AI215" s="1110">
        <f t="shared" ref="AI215" si="201">IF(AI214="O/H",AI208,+AH215+AI208)</f>
        <v>473399</v>
      </c>
      <c r="AJ215" s="399"/>
      <c r="AK215" s="1035">
        <f t="shared" si="184"/>
        <v>0</v>
      </c>
      <c r="AL215" s="419"/>
      <c r="AM215" s="1043">
        <f t="shared" si="185"/>
        <v>0</v>
      </c>
      <c r="AN215" s="382"/>
      <c r="AO215" s="625"/>
      <c r="AP215" s="391"/>
      <c r="AQ215" s="391"/>
    </row>
    <row r="216" spans="1:48" ht="19.5" hidden="1" customHeight="1" thickTop="1">
      <c r="A216" s="968" t="s">
        <v>596</v>
      </c>
      <c r="B216" s="393" t="s">
        <v>661</v>
      </c>
      <c r="C216" s="518" t="str">
        <f>Table37[[#This Row],[M/C No.]]</f>
        <v>R11(50ton)</v>
      </c>
      <c r="D216" s="28" t="s">
        <v>82</v>
      </c>
      <c r="E216" s="1124"/>
      <c r="F216" s="1124"/>
      <c r="G216" s="1242"/>
      <c r="H216" s="1124"/>
      <c r="I216" s="1124"/>
      <c r="J216" s="1242"/>
      <c r="K216" s="1242"/>
      <c r="L216" s="1124"/>
      <c r="M216" s="1124"/>
      <c r="N216" s="1124"/>
      <c r="O216" s="1124"/>
      <c r="P216" s="1124"/>
      <c r="Q216" s="1242"/>
      <c r="R216" s="1242"/>
      <c r="S216" s="1124"/>
      <c r="T216" s="1124"/>
      <c r="U216" s="1124"/>
      <c r="V216" s="1124"/>
      <c r="W216" s="1124"/>
      <c r="X216" s="1242"/>
      <c r="Y216" s="1242"/>
      <c r="Z216" s="1124"/>
      <c r="AA216" s="1124"/>
      <c r="AB216" s="1124"/>
      <c r="AC216" s="1124"/>
      <c r="AD216" s="1124"/>
      <c r="AE216" s="1242"/>
      <c r="AF216" s="1242"/>
      <c r="AG216" s="1124"/>
      <c r="AH216" s="1124"/>
      <c r="AI216" s="1124"/>
      <c r="AJ216" s="375">
        <f>SUM(E216:AI216)</f>
        <v>0</v>
      </c>
      <c r="AK216" s="1047">
        <f t="shared" si="184"/>
        <v>0</v>
      </c>
      <c r="AL216" s="422">
        <f>+AJ216*AN216</f>
        <v>0</v>
      </c>
      <c r="AM216" s="1046">
        <f t="shared" si="185"/>
        <v>0</v>
      </c>
      <c r="AN216" s="402">
        <v>7.0700399999999997</v>
      </c>
      <c r="AO216" s="622">
        <f>Table37[[#This Row],[Total]]*B220/1000</f>
        <v>0</v>
      </c>
      <c r="AP216" s="32" t="s">
        <v>461</v>
      </c>
      <c r="AQ216" s="33" t="s">
        <v>84</v>
      </c>
      <c r="AR216" s="33" t="s">
        <v>85</v>
      </c>
      <c r="AS216" s="33" t="s">
        <v>86</v>
      </c>
      <c r="AT216" s="33" t="s">
        <v>87</v>
      </c>
      <c r="AU216" s="33" t="s">
        <v>88</v>
      </c>
      <c r="AV216" s="34" t="s">
        <v>68</v>
      </c>
    </row>
    <row r="217" spans="1:48" ht="19.899999999999999" hidden="1" customHeight="1">
      <c r="A217" s="403"/>
      <c r="B217" s="393" t="s">
        <v>462</v>
      </c>
      <c r="C217" s="52" t="s">
        <v>95</v>
      </c>
      <c r="D217" s="37" t="s">
        <v>90</v>
      </c>
      <c r="E217" s="1323">
        <f>IF(E216="",0, +E216/E223)</f>
        <v>0</v>
      </c>
      <c r="F217" s="1096">
        <f t="shared" ref="F217" si="202">IF(F216="",0, E217+F216/F223)</f>
        <v>0</v>
      </c>
      <c r="G217" s="1207">
        <f t="shared" ref="G217" si="203">IF(G216="",0, F217+G216/G223)</f>
        <v>0</v>
      </c>
      <c r="H217" s="1096">
        <f t="shared" ref="H217" si="204">IF(H216="",0, G217+H216/H223)</f>
        <v>0</v>
      </c>
      <c r="I217" s="1096">
        <f t="shared" ref="I217" si="205">IF(I216="",0, H217+I216/I223)</f>
        <v>0</v>
      </c>
      <c r="J217" s="1207">
        <f t="shared" ref="J217" si="206">IF(J216="",0, I217+J216/J223)</f>
        <v>0</v>
      </c>
      <c r="K217" s="1207">
        <f t="shared" ref="K217" si="207">IF(K216="",0, J217+K216/K223)</f>
        <v>0</v>
      </c>
      <c r="L217" s="1096">
        <f t="shared" ref="L217" si="208">IF(L216="",0, K217+L216/L223)</f>
        <v>0</v>
      </c>
      <c r="M217" s="1096">
        <f t="shared" ref="M217" si="209">IF(M216="",0, L217+M216/M223)</f>
        <v>0</v>
      </c>
      <c r="N217" s="1096">
        <f t="shared" ref="N217" si="210">IF(N216="",0, M217+N216/N223)</f>
        <v>0</v>
      </c>
      <c r="O217" s="1096">
        <f t="shared" ref="O217" si="211">IF(O216="",0, N217+O216/O223)</f>
        <v>0</v>
      </c>
      <c r="P217" s="1096">
        <f t="shared" ref="P217" si="212">IF(P216="",0, O217+P216/P223)</f>
        <v>0</v>
      </c>
      <c r="Q217" s="1207">
        <f t="shared" ref="Q217" si="213">IF(Q216="",0, P217+Q216/Q223)</f>
        <v>0</v>
      </c>
      <c r="R217" s="1207">
        <f t="shared" ref="R217" si="214">IF(R216="",0, Q217+R216/R223)</f>
        <v>0</v>
      </c>
      <c r="S217" s="1096">
        <f t="shared" ref="S217" si="215">IF(S216="",0, R217+S216/S223)</f>
        <v>0</v>
      </c>
      <c r="T217" s="1096">
        <f t="shared" ref="T217" si="216">IF(T216="",0, S217+T216/T223)</f>
        <v>0</v>
      </c>
      <c r="U217" s="1096">
        <f t="shared" ref="U217" si="217">IF(U216="",0, T217+U216/U223)</f>
        <v>0</v>
      </c>
      <c r="V217" s="1096">
        <f t="shared" ref="V217" si="218">IF(V216="",0, U217+V216/V223)</f>
        <v>0</v>
      </c>
      <c r="W217" s="1096">
        <f t="shared" ref="W217" si="219">IF(W216="",0, V217+W216/W223)</f>
        <v>0</v>
      </c>
      <c r="X217" s="1207">
        <f t="shared" ref="X217" si="220">IF(X216="",0, W217+X216/X223)</f>
        <v>0</v>
      </c>
      <c r="Y217" s="1207">
        <f t="shared" ref="Y217" si="221">IF(Y216="",0, X217+Y216/Y223)</f>
        <v>0</v>
      </c>
      <c r="Z217" s="1096">
        <f t="shared" ref="Z217" si="222">IF(Z216="",0, Y217+Z216/Z223)</f>
        <v>0</v>
      </c>
      <c r="AA217" s="1096">
        <f t="shared" ref="AA217" si="223">IF(AA216="",0, Z217+AA216/AA223)</f>
        <v>0</v>
      </c>
      <c r="AB217" s="1096">
        <f t="shared" ref="AB217" si="224">IF(AB216="",0, AA217+AB216/AB223)</f>
        <v>0</v>
      </c>
      <c r="AC217" s="1096">
        <f t="shared" ref="AC217" si="225">IF(AC216="",0, AB217+AC216/AC223)</f>
        <v>0</v>
      </c>
      <c r="AD217" s="1096">
        <f t="shared" ref="AD217" si="226">IF(AD216="",0, AC217+AD216/AD223)</f>
        <v>0</v>
      </c>
      <c r="AE217" s="1207">
        <f t="shared" ref="AE217" si="227">IF(AE216="",0, AD217+AE216/AE223)</f>
        <v>0</v>
      </c>
      <c r="AF217" s="1207">
        <f t="shared" ref="AF217" si="228">IF(AF216="",0, AE217+AF216/AF223)</f>
        <v>0</v>
      </c>
      <c r="AG217" s="1096">
        <f t="shared" ref="AG217" si="229">IF(AG216="",0, AF217+AG216/AG223)</f>
        <v>0</v>
      </c>
      <c r="AH217" s="1096">
        <f t="shared" ref="AH217" si="230">IF(AH216="",0, AG217+AH216/AH223)</f>
        <v>0</v>
      </c>
      <c r="AI217" s="1096">
        <f t="shared" ref="AI217" si="231">IF(AI216="",0, AH217+AI216/AI223)</f>
        <v>0</v>
      </c>
      <c r="AJ217" s="375"/>
      <c r="AK217" s="1023">
        <f t="shared" si="184"/>
        <v>0</v>
      </c>
      <c r="AL217" s="423"/>
      <c r="AM217" s="1040">
        <f t="shared" si="185"/>
        <v>0</v>
      </c>
      <c r="AN217" s="382"/>
      <c r="AO217" s="675"/>
      <c r="AP217" s="39" t="s">
        <v>91</v>
      </c>
      <c r="AQ217" s="40">
        <f>SUM(E216:I216)</f>
        <v>0</v>
      </c>
      <c r="AR217" s="41">
        <f>SUM(J216:P216)</f>
        <v>0</v>
      </c>
      <c r="AS217" s="41">
        <f>SUM(Q216:W216)</f>
        <v>0</v>
      </c>
      <c r="AT217" s="41">
        <f>SUM(X216:AD216)</f>
        <v>0</v>
      </c>
      <c r="AU217" s="41">
        <f>SUM(AE216:AI216)</f>
        <v>0</v>
      </c>
      <c r="AV217" s="34">
        <f t="shared" ref="AV217:AV222" si="232">SUM(AQ217:AU217)</f>
        <v>0</v>
      </c>
    </row>
    <row r="218" spans="1:48" ht="19.899999999999999" hidden="1" customHeight="1">
      <c r="A218" s="403"/>
      <c r="B218" s="393" t="s">
        <v>246</v>
      </c>
      <c r="C218" s="379">
        <v>60000</v>
      </c>
      <c r="D218" s="43" t="s">
        <v>93</v>
      </c>
      <c r="E218" s="1325"/>
      <c r="F218" s="1089"/>
      <c r="G218" s="44"/>
      <c r="H218" s="1089"/>
      <c r="I218" s="1089"/>
      <c r="J218" s="44"/>
      <c r="K218" s="44"/>
      <c r="L218" s="1089"/>
      <c r="M218" s="1089"/>
      <c r="N218" s="1089"/>
      <c r="O218" s="1089"/>
      <c r="P218" s="1089"/>
      <c r="Q218" s="44"/>
      <c r="R218" s="44"/>
      <c r="S218" s="1089"/>
      <c r="T218" s="1089"/>
      <c r="U218" s="1089"/>
      <c r="V218" s="1089"/>
      <c r="W218" s="1089"/>
      <c r="X218" s="44"/>
      <c r="Y218" s="44"/>
      <c r="Z218" s="1089"/>
      <c r="AA218" s="1089"/>
      <c r="AB218" s="1089"/>
      <c r="AC218" s="1089"/>
      <c r="AD218" s="1089"/>
      <c r="AE218" s="44"/>
      <c r="AF218" s="44"/>
      <c r="AG218" s="1089"/>
      <c r="AH218" s="1089"/>
      <c r="AI218" s="1089"/>
      <c r="AJ218" s="380">
        <f>SUM(E218:AI218)</f>
        <v>0</v>
      </c>
      <c r="AK218" s="1024">
        <f t="shared" si="184"/>
        <v>0</v>
      </c>
      <c r="AL218" s="424">
        <f>+AJ218*AN216</f>
        <v>0</v>
      </c>
      <c r="AM218" s="1041">
        <f t="shared" si="185"/>
        <v>0</v>
      </c>
      <c r="AN218" s="382"/>
      <c r="AO218" s="632">
        <f>(AJ218+AJ220+AJ221+AJ222)*B220/1000</f>
        <v>0</v>
      </c>
      <c r="AP218" s="47" t="s">
        <v>94</v>
      </c>
      <c r="AQ218" s="48">
        <f>SUM(E218:I218)</f>
        <v>0</v>
      </c>
      <c r="AR218" s="49">
        <f>SUM(J218:P218)</f>
        <v>0</v>
      </c>
      <c r="AS218" s="49">
        <f>SUM(Q218:W218)</f>
        <v>0</v>
      </c>
      <c r="AT218" s="49">
        <f>SUM(X218:AD218)</f>
        <v>0</v>
      </c>
      <c r="AU218" s="49">
        <f>SUM(AE218:AI218)</f>
        <v>0</v>
      </c>
      <c r="AV218" s="50">
        <f t="shared" si="232"/>
        <v>0</v>
      </c>
    </row>
    <row r="219" spans="1:48" ht="19.899999999999999" hidden="1" customHeight="1">
      <c r="A219" s="403"/>
      <c r="B219" s="770" t="s">
        <v>247</v>
      </c>
      <c r="C219" s="89" t="s">
        <v>108</v>
      </c>
      <c r="D219" s="53" t="s">
        <v>96</v>
      </c>
      <c r="E219" s="1327">
        <f t="shared" ref="E219" si="233">+E218-E216</f>
        <v>0</v>
      </c>
      <c r="F219" s="1097">
        <f t="shared" ref="F219:AJ219" si="234">+F218-F216</f>
        <v>0</v>
      </c>
      <c r="G219" s="1205">
        <f t="shared" si="234"/>
        <v>0</v>
      </c>
      <c r="H219" s="1097">
        <f t="shared" si="234"/>
        <v>0</v>
      </c>
      <c r="I219" s="1097">
        <f t="shared" ref="I219:K219" si="235">+I218-I216</f>
        <v>0</v>
      </c>
      <c r="J219" s="1205">
        <f t="shared" si="235"/>
        <v>0</v>
      </c>
      <c r="K219" s="1205">
        <f t="shared" si="235"/>
        <v>0</v>
      </c>
      <c r="L219" s="1097">
        <f t="shared" si="234"/>
        <v>0</v>
      </c>
      <c r="M219" s="1097">
        <f t="shared" ref="M219:P219" si="236">+M218-M216</f>
        <v>0</v>
      </c>
      <c r="N219" s="1097">
        <f t="shared" si="236"/>
        <v>0</v>
      </c>
      <c r="O219" s="1097">
        <f t="shared" si="236"/>
        <v>0</v>
      </c>
      <c r="P219" s="1097">
        <f t="shared" si="236"/>
        <v>0</v>
      </c>
      <c r="Q219" s="1205">
        <f t="shared" si="234"/>
        <v>0</v>
      </c>
      <c r="R219" s="1205">
        <f t="shared" si="234"/>
        <v>0</v>
      </c>
      <c r="S219" s="1097">
        <f t="shared" si="234"/>
        <v>0</v>
      </c>
      <c r="T219" s="1097">
        <f t="shared" si="234"/>
        <v>0</v>
      </c>
      <c r="U219" s="1097">
        <f t="shared" si="234"/>
        <v>0</v>
      </c>
      <c r="V219" s="1097">
        <f t="shared" si="234"/>
        <v>0</v>
      </c>
      <c r="W219" s="1097">
        <f t="shared" si="234"/>
        <v>0</v>
      </c>
      <c r="X219" s="1205">
        <f t="shared" ref="X219:AB219" si="237">+X218-X216</f>
        <v>0</v>
      </c>
      <c r="Y219" s="1205">
        <f t="shared" si="237"/>
        <v>0</v>
      </c>
      <c r="Z219" s="1097">
        <f t="shared" si="237"/>
        <v>0</v>
      </c>
      <c r="AA219" s="1097">
        <f>+AA218-AA216</f>
        <v>0</v>
      </c>
      <c r="AB219" s="1097">
        <f t="shared" si="237"/>
        <v>0</v>
      </c>
      <c r="AC219" s="1097">
        <f t="shared" si="234"/>
        <v>0</v>
      </c>
      <c r="AD219" s="1097">
        <f t="shared" si="234"/>
        <v>0</v>
      </c>
      <c r="AE219" s="1205">
        <f t="shared" si="234"/>
        <v>0</v>
      </c>
      <c r="AF219" s="1205">
        <f t="shared" si="234"/>
        <v>0</v>
      </c>
      <c r="AG219" s="1097">
        <f t="shared" si="234"/>
        <v>0</v>
      </c>
      <c r="AH219" s="1097">
        <f t="shared" si="234"/>
        <v>0</v>
      </c>
      <c r="AI219" s="1097">
        <f t="shared" si="234"/>
        <v>0</v>
      </c>
      <c r="AJ219" s="381">
        <f t="shared" si="234"/>
        <v>0</v>
      </c>
      <c r="AK219" s="1024">
        <f t="shared" si="184"/>
        <v>0</v>
      </c>
      <c r="AL219" s="425">
        <f>+AJ219*AN216</f>
        <v>0</v>
      </c>
      <c r="AM219" s="1041">
        <f t="shared" si="185"/>
        <v>0</v>
      </c>
      <c r="AN219" s="382" t="s">
        <v>97</v>
      </c>
      <c r="AO219" s="622"/>
      <c r="AP219" s="39" t="s">
        <v>98</v>
      </c>
      <c r="AQ219" s="56">
        <f>AQ218-AQ217</f>
        <v>0</v>
      </c>
      <c r="AR219" s="70">
        <f>AR218-AR217</f>
        <v>0</v>
      </c>
      <c r="AS219" s="70">
        <f>AS218-AS217</f>
        <v>0</v>
      </c>
      <c r="AT219" s="70">
        <f>AT218-AT217</f>
        <v>0</v>
      </c>
      <c r="AU219" s="70">
        <f>AU218-AU217</f>
        <v>0</v>
      </c>
      <c r="AV219" s="57">
        <f t="shared" si="232"/>
        <v>0</v>
      </c>
    </row>
    <row r="220" spans="1:48" ht="19.899999999999999" hidden="1" customHeight="1">
      <c r="A220" s="403"/>
      <c r="B220" s="771">
        <v>2.64</v>
      </c>
      <c r="C220" s="383">
        <f>+C218*0.8</f>
        <v>48000</v>
      </c>
      <c r="D220" s="61" t="s">
        <v>101</v>
      </c>
      <c r="E220" s="1367"/>
      <c r="F220" s="1099"/>
      <c r="G220" s="1208"/>
      <c r="H220" s="1099"/>
      <c r="I220" s="1099"/>
      <c r="J220" s="1208"/>
      <c r="K220" s="1208"/>
      <c r="L220" s="1099"/>
      <c r="M220" s="1099"/>
      <c r="N220" s="1099"/>
      <c r="O220" s="1099"/>
      <c r="P220" s="1099"/>
      <c r="Q220" s="1208"/>
      <c r="R220" s="1208"/>
      <c r="S220" s="1099"/>
      <c r="T220" s="1099"/>
      <c r="U220" s="1099"/>
      <c r="V220" s="1099"/>
      <c r="W220" s="1099"/>
      <c r="X220" s="1208"/>
      <c r="Y220" s="1208"/>
      <c r="Z220" s="1099"/>
      <c r="AA220" s="1099"/>
      <c r="AB220" s="1099"/>
      <c r="AC220" s="1099"/>
      <c r="AD220" s="1099"/>
      <c r="AE220" s="1208"/>
      <c r="AF220" s="1208"/>
      <c r="AG220" s="1099"/>
      <c r="AH220" s="1099"/>
      <c r="AI220" s="1099"/>
      <c r="AJ220" s="384">
        <f>SUM(E220:AI220)</f>
        <v>0</v>
      </c>
      <c r="AK220" s="1024">
        <f t="shared" si="184"/>
        <v>0</v>
      </c>
      <c r="AL220" s="420">
        <f>+AJ220*AN216</f>
        <v>0</v>
      </c>
      <c r="AM220" s="1040">
        <f t="shared" si="185"/>
        <v>0</v>
      </c>
      <c r="AN220" s="404" t="e">
        <f>+AJ220/AJ218*100</f>
        <v>#DIV/0!</v>
      </c>
      <c r="AO220" s="635" t="e">
        <f>AO218/AO216</f>
        <v>#DIV/0!</v>
      </c>
      <c r="AP220" s="39" t="s">
        <v>102</v>
      </c>
      <c r="AQ220" s="56">
        <f>SUM(E220:I220)</f>
        <v>0</v>
      </c>
      <c r="AR220" s="70">
        <f>SUM(J220:P220)</f>
        <v>0</v>
      </c>
      <c r="AS220" s="70">
        <f>SUM(Q220:W220)</f>
        <v>0</v>
      </c>
      <c r="AT220" s="70">
        <f>SUM(X220:AD220)</f>
        <v>0</v>
      </c>
      <c r="AU220" s="70">
        <f>SUM(AE220:AI220)</f>
        <v>0</v>
      </c>
      <c r="AV220" s="57">
        <f t="shared" si="232"/>
        <v>0</v>
      </c>
    </row>
    <row r="221" spans="1:48" ht="19.899999999999999" hidden="1" customHeight="1">
      <c r="A221" s="403"/>
      <c r="B221" s="334" t="s">
        <v>463</v>
      </c>
      <c r="C221" s="383"/>
      <c r="D221" s="67" t="s">
        <v>103</v>
      </c>
      <c r="E221" s="1113"/>
      <c r="F221" s="1101"/>
      <c r="G221" s="1209"/>
      <c r="H221" s="1101"/>
      <c r="I221" s="1101"/>
      <c r="J221" s="1209"/>
      <c r="K221" s="1209"/>
      <c r="L221" s="1101"/>
      <c r="M221" s="1101"/>
      <c r="N221" s="1101"/>
      <c r="O221" s="1101"/>
      <c r="P221" s="1101"/>
      <c r="Q221" s="1209"/>
      <c r="R221" s="1209"/>
      <c r="S221" s="1101"/>
      <c r="T221" s="1101"/>
      <c r="U221" s="1101"/>
      <c r="V221" s="1101"/>
      <c r="W221" s="1101"/>
      <c r="X221" s="1209"/>
      <c r="Y221" s="1209"/>
      <c r="Z221" s="1101"/>
      <c r="AA221" s="1101"/>
      <c r="AB221" s="1101"/>
      <c r="AC221" s="1101"/>
      <c r="AD221" s="1101"/>
      <c r="AE221" s="1209"/>
      <c r="AF221" s="1209"/>
      <c r="AG221" s="1101"/>
      <c r="AH221" s="1101"/>
      <c r="AI221" s="1101"/>
      <c r="AJ221" s="386">
        <f>SUM(E221:AI221)</f>
        <v>0</v>
      </c>
      <c r="AK221" s="1024">
        <f t="shared" si="184"/>
        <v>0</v>
      </c>
      <c r="AL221" s="426">
        <f>+AJ221*AN216</f>
        <v>0</v>
      </c>
      <c r="AM221" s="1040">
        <f t="shared" si="185"/>
        <v>0</v>
      </c>
      <c r="AN221" s="382"/>
      <c r="AO221" s="622"/>
      <c r="AP221" s="39" t="s">
        <v>19</v>
      </c>
      <c r="AQ221" s="56">
        <f>AQ220*AN216</f>
        <v>0</v>
      </c>
      <c r="AR221" s="56">
        <f>AR220*AN216</f>
        <v>0</v>
      </c>
      <c r="AS221" s="56">
        <f>AS220*AN216</f>
        <v>0</v>
      </c>
      <c r="AT221" s="56">
        <f>AT220*AN216</f>
        <v>0</v>
      </c>
      <c r="AU221" s="56">
        <f>AU220*AN216</f>
        <v>0</v>
      </c>
      <c r="AV221" s="57">
        <f t="shared" si="232"/>
        <v>0</v>
      </c>
    </row>
    <row r="222" spans="1:48" ht="19.899999999999999" hidden="1" customHeight="1">
      <c r="A222" s="403"/>
      <c r="B222" s="65"/>
      <c r="C222" s="387" t="s">
        <v>435</v>
      </c>
      <c r="D222" s="73" t="s">
        <v>105</v>
      </c>
      <c r="E222" s="1115"/>
      <c r="F222" s="1103"/>
      <c r="G222" s="1210"/>
      <c r="H222" s="1103"/>
      <c r="I222" s="1103"/>
      <c r="J222" s="1210"/>
      <c r="K222" s="1210"/>
      <c r="L222" s="1103"/>
      <c r="M222" s="1103"/>
      <c r="N222" s="1103"/>
      <c r="O222" s="1103"/>
      <c r="P222" s="1103"/>
      <c r="Q222" s="1210"/>
      <c r="R222" s="1210"/>
      <c r="S222" s="1103"/>
      <c r="T222" s="1103"/>
      <c r="U222" s="1103"/>
      <c r="V222" s="1103"/>
      <c r="W222" s="1103"/>
      <c r="X222" s="1210"/>
      <c r="Y222" s="1210"/>
      <c r="Z222" s="1103"/>
      <c r="AA222" s="1103"/>
      <c r="AB222" s="1103"/>
      <c r="AC222" s="1103"/>
      <c r="AD222" s="1103"/>
      <c r="AE222" s="1210"/>
      <c r="AF222" s="1210"/>
      <c r="AG222" s="1103"/>
      <c r="AH222" s="1103"/>
      <c r="AI222" s="1103"/>
      <c r="AJ222" s="388">
        <f>SUM(E222:AI222)</f>
        <v>0</v>
      </c>
      <c r="AK222" s="1024">
        <f t="shared" si="184"/>
        <v>0</v>
      </c>
      <c r="AL222" s="427">
        <f>+AJ222*AN216</f>
        <v>0</v>
      </c>
      <c r="AM222" s="1040">
        <f t="shared" si="185"/>
        <v>0</v>
      </c>
      <c r="AN222" s="382"/>
      <c r="AO222" s="622"/>
      <c r="AP222" s="47" t="s">
        <v>106</v>
      </c>
      <c r="AQ222" s="48">
        <f>AQ218*AN216</f>
        <v>0</v>
      </c>
      <c r="AR222" s="48">
        <f>AR218*AN216</f>
        <v>0</v>
      </c>
      <c r="AS222" s="48">
        <f>AS218*AN216</f>
        <v>0</v>
      </c>
      <c r="AT222" s="48">
        <f>AT218*AN216</f>
        <v>0</v>
      </c>
      <c r="AU222" s="48">
        <f>AU218*AN216</f>
        <v>0</v>
      </c>
      <c r="AV222" s="50">
        <f t="shared" si="232"/>
        <v>0</v>
      </c>
    </row>
    <row r="223" spans="1:48" ht="19.899999999999999" hidden="1" customHeight="1">
      <c r="A223" s="403"/>
      <c r="B223" s="390"/>
      <c r="C223" s="379">
        <v>50000</v>
      </c>
      <c r="D223" s="78" t="s">
        <v>107</v>
      </c>
      <c r="E223" s="1137">
        <v>4</v>
      </c>
      <c r="F223" s="1097">
        <v>4</v>
      </c>
      <c r="G223" s="1205">
        <v>4</v>
      </c>
      <c r="H223" s="1097">
        <v>4</v>
      </c>
      <c r="I223" s="1097">
        <v>4</v>
      </c>
      <c r="J223" s="1205">
        <v>4</v>
      </c>
      <c r="K223" s="1205">
        <v>4</v>
      </c>
      <c r="L223" s="1097">
        <v>4</v>
      </c>
      <c r="M223" s="1097">
        <v>4</v>
      </c>
      <c r="N223" s="1097">
        <v>4</v>
      </c>
      <c r="O223" s="1097">
        <v>4</v>
      </c>
      <c r="P223" s="1097">
        <v>4</v>
      </c>
      <c r="Q223" s="1205">
        <v>4</v>
      </c>
      <c r="R223" s="1205">
        <v>4</v>
      </c>
      <c r="S223" s="1097">
        <v>4</v>
      </c>
      <c r="T223" s="1097">
        <v>4</v>
      </c>
      <c r="U223" s="1097">
        <v>4</v>
      </c>
      <c r="V223" s="1097">
        <v>4</v>
      </c>
      <c r="W223" s="1097">
        <v>4</v>
      </c>
      <c r="X223" s="1205">
        <v>4</v>
      </c>
      <c r="Y223" s="1205">
        <v>4</v>
      </c>
      <c r="Z223" s="1097">
        <v>4</v>
      </c>
      <c r="AA223" s="1097">
        <v>4</v>
      </c>
      <c r="AB223" s="1097">
        <v>4</v>
      </c>
      <c r="AC223" s="1097">
        <v>4</v>
      </c>
      <c r="AD223" s="1097">
        <v>4</v>
      </c>
      <c r="AE223" s="1205">
        <v>4</v>
      </c>
      <c r="AF223" s="1205">
        <v>4</v>
      </c>
      <c r="AG223" s="1097">
        <v>4</v>
      </c>
      <c r="AH223" s="1097">
        <v>4</v>
      </c>
      <c r="AI223" s="1097">
        <v>4</v>
      </c>
      <c r="AJ223" s="381"/>
      <c r="AK223" s="1024">
        <f t="shared" si="184"/>
        <v>0</v>
      </c>
      <c r="AL223" s="425"/>
      <c r="AM223" s="1041">
        <f t="shared" si="185"/>
        <v>0</v>
      </c>
      <c r="AN223" s="382"/>
      <c r="AO223" s="622"/>
      <c r="AP223" s="391"/>
      <c r="AQ223" s="391"/>
      <c r="AR223" s="4"/>
      <c r="AS223" s="4"/>
      <c r="AT223" s="392"/>
      <c r="AU223" s="4"/>
      <c r="AV223" s="4"/>
    </row>
    <row r="224" spans="1:48" ht="19.899999999999999" hidden="1" customHeight="1">
      <c r="A224" s="405"/>
      <c r="B224" s="390"/>
      <c r="C224" s="89" t="s">
        <v>108</v>
      </c>
      <c r="D224" s="81" t="s">
        <v>109</v>
      </c>
      <c r="E224" s="1125">
        <f>SUM(E218+E220+E221+E222)/E223</f>
        <v>0</v>
      </c>
      <c r="F224" s="1125">
        <f t="shared" ref="F224:AG224" si="238">SUM(F218+F220+F221+F222)/F223</f>
        <v>0</v>
      </c>
      <c r="G224" s="1233">
        <f t="shared" si="238"/>
        <v>0</v>
      </c>
      <c r="H224" s="1125">
        <f t="shared" si="238"/>
        <v>0</v>
      </c>
      <c r="I224" s="1125">
        <f t="shared" si="238"/>
        <v>0</v>
      </c>
      <c r="J224" s="1233">
        <f t="shared" si="238"/>
        <v>0</v>
      </c>
      <c r="K224" s="1233">
        <f t="shared" si="238"/>
        <v>0</v>
      </c>
      <c r="L224" s="1125">
        <f t="shared" si="238"/>
        <v>0</v>
      </c>
      <c r="M224" s="1125">
        <f t="shared" si="238"/>
        <v>0</v>
      </c>
      <c r="N224" s="1125">
        <f t="shared" si="238"/>
        <v>0</v>
      </c>
      <c r="O224" s="1125">
        <f t="shared" si="238"/>
        <v>0</v>
      </c>
      <c r="P224" s="1125">
        <f t="shared" si="238"/>
        <v>0</v>
      </c>
      <c r="Q224" s="1233">
        <f t="shared" si="238"/>
        <v>0</v>
      </c>
      <c r="R224" s="1233">
        <f t="shared" si="238"/>
        <v>0</v>
      </c>
      <c r="S224" s="1125">
        <f t="shared" si="238"/>
        <v>0</v>
      </c>
      <c r="T224" s="1125">
        <f t="shared" si="238"/>
        <v>0</v>
      </c>
      <c r="U224" s="1125">
        <f t="shared" si="238"/>
        <v>0</v>
      </c>
      <c r="V224" s="1125">
        <f t="shared" si="238"/>
        <v>0</v>
      </c>
      <c r="W224" s="1125">
        <f t="shared" si="238"/>
        <v>0</v>
      </c>
      <c r="X224" s="1233">
        <f t="shared" si="238"/>
        <v>0</v>
      </c>
      <c r="Y224" s="1233">
        <f t="shared" si="238"/>
        <v>0</v>
      </c>
      <c r="Z224" s="1125">
        <f t="shared" si="238"/>
        <v>0</v>
      </c>
      <c r="AA224" s="1125">
        <f t="shared" si="238"/>
        <v>0</v>
      </c>
      <c r="AB224" s="1125">
        <f t="shared" si="238"/>
        <v>0</v>
      </c>
      <c r="AC224" s="1125">
        <f t="shared" si="238"/>
        <v>0</v>
      </c>
      <c r="AD224" s="1125">
        <f t="shared" si="238"/>
        <v>0</v>
      </c>
      <c r="AE224" s="1233">
        <f t="shared" si="238"/>
        <v>0</v>
      </c>
      <c r="AF224" s="1233">
        <f t="shared" si="238"/>
        <v>0</v>
      </c>
      <c r="AG224" s="1125">
        <f t="shared" si="238"/>
        <v>0</v>
      </c>
      <c r="AH224" s="1125">
        <f>SUM(AH218+AH220+AH221+AH222)/AH223</f>
        <v>0</v>
      </c>
      <c r="AI224" s="1125">
        <f>SUM(AI218+AI220+AI221+AI222)/AI223</f>
        <v>0</v>
      </c>
      <c r="AJ224" s="380">
        <f>SUM(E224:AI224)</f>
        <v>0</v>
      </c>
      <c r="AK224" s="1025">
        <f t="shared" si="184"/>
        <v>0</v>
      </c>
      <c r="AL224" s="419"/>
      <c r="AM224" s="1040">
        <f t="shared" si="185"/>
        <v>0</v>
      </c>
      <c r="AN224" s="382"/>
      <c r="AO224" s="622"/>
      <c r="AP224" s="391"/>
      <c r="AQ224" s="391"/>
    </row>
    <row r="225" spans="1:48" ht="19.899999999999999" hidden="1" customHeight="1">
      <c r="A225" s="405"/>
      <c r="B225" s="390"/>
      <c r="C225" s="383">
        <f>+C223*0.8</f>
        <v>40000</v>
      </c>
      <c r="D225" s="85" t="s">
        <v>110</v>
      </c>
      <c r="E225" s="1366"/>
      <c r="F225" s="1126"/>
      <c r="G225" s="1263"/>
      <c r="H225" s="1172"/>
      <c r="I225" s="1174"/>
      <c r="J225" s="1281"/>
      <c r="K225" s="1235"/>
      <c r="L225" s="1126"/>
      <c r="M225" s="1126"/>
      <c r="N225" s="1174"/>
      <c r="O225" s="1173"/>
      <c r="P225" s="1173"/>
      <c r="Q225" s="1281"/>
      <c r="R225" s="1281"/>
      <c r="S225" s="1173"/>
      <c r="T225" s="1107"/>
      <c r="U225" s="1173"/>
      <c r="V225" s="1173"/>
      <c r="W225" s="1173"/>
      <c r="X225" s="1281"/>
      <c r="Y225" s="1281"/>
      <c r="Z225" s="1155"/>
      <c r="AA225" s="1173"/>
      <c r="AB225" s="1173"/>
      <c r="AC225" s="1173"/>
      <c r="AD225" s="1173"/>
      <c r="AE225" s="1281"/>
      <c r="AF225" s="1281"/>
      <c r="AG225" s="1173"/>
      <c r="AH225" s="1173"/>
      <c r="AI225" s="1173"/>
      <c r="AJ225" s="394"/>
      <c r="AK225" s="1025">
        <f t="shared" si="184"/>
        <v>0</v>
      </c>
      <c r="AL225" s="419"/>
      <c r="AM225" s="1040">
        <f t="shared" si="185"/>
        <v>0</v>
      </c>
      <c r="AN225" s="382"/>
      <c r="AO225" s="622"/>
      <c r="AP225" s="391"/>
      <c r="AQ225" s="391"/>
    </row>
    <row r="226" spans="1:48" ht="19.899999999999999" hidden="1" customHeight="1">
      <c r="A226" s="403"/>
      <c r="B226" s="390"/>
      <c r="C226" s="89"/>
      <c r="D226" s="88" t="s">
        <v>111</v>
      </c>
      <c r="E226" s="1156">
        <f>IF(E225="O/H",E224,0+E224)</f>
        <v>0</v>
      </c>
      <c r="F226" s="1156">
        <f t="shared" ref="F226:AI226" si="239">IF(F225="O/H",F224,0+F224)</f>
        <v>0</v>
      </c>
      <c r="G226" s="1227">
        <f t="shared" si="239"/>
        <v>0</v>
      </c>
      <c r="H226" s="1156">
        <f t="shared" si="239"/>
        <v>0</v>
      </c>
      <c r="I226" s="1156">
        <f t="shared" si="239"/>
        <v>0</v>
      </c>
      <c r="J226" s="1227">
        <f t="shared" si="239"/>
        <v>0</v>
      </c>
      <c r="K226" s="1227">
        <f t="shared" si="239"/>
        <v>0</v>
      </c>
      <c r="L226" s="1156">
        <f t="shared" si="239"/>
        <v>0</v>
      </c>
      <c r="M226" s="1156">
        <f t="shared" si="239"/>
        <v>0</v>
      </c>
      <c r="N226" s="1156">
        <f t="shared" si="239"/>
        <v>0</v>
      </c>
      <c r="O226" s="1156">
        <f t="shared" si="239"/>
        <v>0</v>
      </c>
      <c r="P226" s="1156">
        <f t="shared" si="239"/>
        <v>0</v>
      </c>
      <c r="Q226" s="1227">
        <f t="shared" si="239"/>
        <v>0</v>
      </c>
      <c r="R226" s="1227">
        <f t="shared" si="239"/>
        <v>0</v>
      </c>
      <c r="S226" s="1156">
        <f t="shared" si="239"/>
        <v>0</v>
      </c>
      <c r="T226" s="1156">
        <f t="shared" si="239"/>
        <v>0</v>
      </c>
      <c r="U226" s="1156">
        <f t="shared" si="239"/>
        <v>0</v>
      </c>
      <c r="V226" s="1156">
        <f t="shared" si="239"/>
        <v>0</v>
      </c>
      <c r="W226" s="1156">
        <f t="shared" si="239"/>
        <v>0</v>
      </c>
      <c r="X226" s="1227">
        <f t="shared" si="239"/>
        <v>0</v>
      </c>
      <c r="Y226" s="1227">
        <f t="shared" si="239"/>
        <v>0</v>
      </c>
      <c r="Z226" s="1156">
        <f t="shared" si="239"/>
        <v>0</v>
      </c>
      <c r="AA226" s="1156">
        <f t="shared" si="239"/>
        <v>0</v>
      </c>
      <c r="AB226" s="1156">
        <f t="shared" si="239"/>
        <v>0</v>
      </c>
      <c r="AC226" s="1156">
        <f t="shared" si="239"/>
        <v>0</v>
      </c>
      <c r="AD226" s="1156">
        <f t="shared" si="239"/>
        <v>0</v>
      </c>
      <c r="AE226" s="1227">
        <f t="shared" si="239"/>
        <v>0</v>
      </c>
      <c r="AF226" s="1227">
        <f t="shared" si="239"/>
        <v>0</v>
      </c>
      <c r="AG226" s="1156">
        <f t="shared" si="239"/>
        <v>0</v>
      </c>
      <c r="AH226" s="1156">
        <f t="shared" si="239"/>
        <v>0</v>
      </c>
      <c r="AI226" s="1156">
        <f t="shared" si="239"/>
        <v>0</v>
      </c>
      <c r="AJ226" s="394"/>
      <c r="AK226" s="1025">
        <f t="shared" si="184"/>
        <v>0</v>
      </c>
      <c r="AL226" s="419"/>
      <c r="AM226" s="1040">
        <f t="shared" si="185"/>
        <v>0</v>
      </c>
      <c r="AN226" s="382"/>
      <c r="AO226" s="622"/>
      <c r="AP226" s="391"/>
      <c r="AQ226" s="391"/>
    </row>
    <row r="227" spans="1:48" ht="19.899999999999999" hidden="1" customHeight="1">
      <c r="A227" s="403"/>
      <c r="B227" s="59"/>
      <c r="C227" s="387"/>
      <c r="D227" s="395" t="s">
        <v>435</v>
      </c>
      <c r="E227" s="1365"/>
      <c r="F227" s="1104"/>
      <c r="G227" s="1228"/>
      <c r="H227" s="1176"/>
      <c r="I227" s="1107"/>
      <c r="J227" s="1228"/>
      <c r="K227" s="1273"/>
      <c r="L227" s="1104"/>
      <c r="M227" s="1104"/>
      <c r="N227" s="1177"/>
      <c r="O227" s="1104"/>
      <c r="P227" s="1177"/>
      <c r="Q227" s="1211"/>
      <c r="R227" s="1211"/>
      <c r="S227" s="1104"/>
      <c r="T227" s="1107"/>
      <c r="U227" s="1104"/>
      <c r="V227" s="1107"/>
      <c r="W227" s="1107"/>
      <c r="X227" s="1228"/>
      <c r="Y227" s="1211"/>
      <c r="Z227" s="1155"/>
      <c r="AA227" s="1104"/>
      <c r="AB227" s="1104"/>
      <c r="AC227" s="1104"/>
      <c r="AD227" s="1104"/>
      <c r="AE227" s="1211"/>
      <c r="AF227" s="1211"/>
      <c r="AG227" s="1104"/>
      <c r="AH227" s="1104"/>
      <c r="AI227" s="1104"/>
      <c r="AJ227" s="396"/>
      <c r="AK227" s="1024">
        <f t="shared" si="184"/>
        <v>0</v>
      </c>
      <c r="AL227" s="420"/>
      <c r="AM227" s="1040">
        <f t="shared" si="185"/>
        <v>0</v>
      </c>
      <c r="AN227" s="382"/>
      <c r="AO227" s="622"/>
      <c r="AP227" s="391"/>
      <c r="AQ227" s="391"/>
    </row>
    <row r="228" spans="1:48" ht="19.899999999999999" hidden="1" customHeight="1">
      <c r="A228" s="403"/>
      <c r="B228" s="781" t="s">
        <v>471</v>
      </c>
      <c r="C228" s="387" t="s">
        <v>104</v>
      </c>
      <c r="D228" s="88" t="s">
        <v>111</v>
      </c>
      <c r="E228" s="1156">
        <f>IF(E227="O/H",E224,0+E224)</f>
        <v>0</v>
      </c>
      <c r="F228" s="1156">
        <f t="shared" ref="F228:AI228" si="240">IF(F227="O/H",F224,0+F224)</f>
        <v>0</v>
      </c>
      <c r="G228" s="1227">
        <f t="shared" si="240"/>
        <v>0</v>
      </c>
      <c r="H228" s="1156">
        <f t="shared" si="240"/>
        <v>0</v>
      </c>
      <c r="I228" s="1156">
        <f t="shared" si="240"/>
        <v>0</v>
      </c>
      <c r="J228" s="1227">
        <f t="shared" si="240"/>
        <v>0</v>
      </c>
      <c r="K228" s="1227">
        <f t="shared" si="240"/>
        <v>0</v>
      </c>
      <c r="L228" s="1156">
        <f t="shared" si="240"/>
        <v>0</v>
      </c>
      <c r="M228" s="1156">
        <f t="shared" si="240"/>
        <v>0</v>
      </c>
      <c r="N228" s="1156">
        <f t="shared" si="240"/>
        <v>0</v>
      </c>
      <c r="O228" s="1156">
        <f t="shared" si="240"/>
        <v>0</v>
      </c>
      <c r="P228" s="1156">
        <f t="shared" si="240"/>
        <v>0</v>
      </c>
      <c r="Q228" s="1227">
        <f t="shared" si="240"/>
        <v>0</v>
      </c>
      <c r="R228" s="1227">
        <f t="shared" si="240"/>
        <v>0</v>
      </c>
      <c r="S228" s="1156">
        <f t="shared" si="240"/>
        <v>0</v>
      </c>
      <c r="T228" s="1156">
        <f t="shared" si="240"/>
        <v>0</v>
      </c>
      <c r="U228" s="1156">
        <f t="shared" si="240"/>
        <v>0</v>
      </c>
      <c r="V228" s="1156">
        <f t="shared" si="240"/>
        <v>0</v>
      </c>
      <c r="W228" s="1156">
        <f t="shared" si="240"/>
        <v>0</v>
      </c>
      <c r="X228" s="1227">
        <f t="shared" si="240"/>
        <v>0</v>
      </c>
      <c r="Y228" s="1227">
        <f t="shared" si="240"/>
        <v>0</v>
      </c>
      <c r="Z228" s="1156">
        <f t="shared" si="240"/>
        <v>0</v>
      </c>
      <c r="AA228" s="1156">
        <f t="shared" si="240"/>
        <v>0</v>
      </c>
      <c r="AB228" s="1156">
        <f t="shared" si="240"/>
        <v>0</v>
      </c>
      <c r="AC228" s="1156">
        <f t="shared" si="240"/>
        <v>0</v>
      </c>
      <c r="AD228" s="1156">
        <f t="shared" si="240"/>
        <v>0</v>
      </c>
      <c r="AE228" s="1227">
        <f t="shared" si="240"/>
        <v>0</v>
      </c>
      <c r="AF228" s="1227">
        <f t="shared" si="240"/>
        <v>0</v>
      </c>
      <c r="AG228" s="1156">
        <f t="shared" si="240"/>
        <v>0</v>
      </c>
      <c r="AH228" s="1156">
        <f t="shared" si="240"/>
        <v>0</v>
      </c>
      <c r="AI228" s="1156">
        <f t="shared" si="240"/>
        <v>0</v>
      </c>
      <c r="AJ228" s="396"/>
      <c r="AK228" s="1024">
        <f t="shared" si="184"/>
        <v>0</v>
      </c>
      <c r="AL228" s="420"/>
      <c r="AM228" s="1040">
        <f t="shared" si="185"/>
        <v>0</v>
      </c>
      <c r="AN228" s="382"/>
      <c r="AO228" s="622"/>
      <c r="AP228" s="391"/>
      <c r="AQ228" s="391"/>
    </row>
    <row r="229" spans="1:48" s="23" customFormat="1" ht="20.45" hidden="1" customHeight="1">
      <c r="A229" s="312"/>
      <c r="B229" s="312"/>
      <c r="C229" s="379">
        <v>150000</v>
      </c>
      <c r="D229" s="795" t="s">
        <v>112</v>
      </c>
      <c r="E229" s="1108" t="b">
        <f>IF(AND(ISNUMBER(E218)),191905+E224)</f>
        <v>0</v>
      </c>
      <c r="F229" s="1089" t="str">
        <f>IF(AND(ISNUMBER(F218)),E229+F224,"")</f>
        <v/>
      </c>
      <c r="G229" s="44" t="str">
        <f>IF(AND(ISNUMBER(G218)),F229+G224,"")</f>
        <v/>
      </c>
      <c r="H229" s="1089" t="str">
        <f t="shared" ref="H229:AI229" si="241">IF(AND(ISNUMBER(H218)),G229+H224,"")</f>
        <v/>
      </c>
      <c r="I229" s="1089" t="str">
        <f t="shared" si="241"/>
        <v/>
      </c>
      <c r="J229" s="44" t="str">
        <f t="shared" si="241"/>
        <v/>
      </c>
      <c r="K229" s="44" t="str">
        <f t="shared" si="241"/>
        <v/>
      </c>
      <c r="L229" s="1089" t="str">
        <f t="shared" si="241"/>
        <v/>
      </c>
      <c r="M229" s="1089" t="str">
        <f t="shared" si="241"/>
        <v/>
      </c>
      <c r="N229" s="1089" t="str">
        <f t="shared" si="241"/>
        <v/>
      </c>
      <c r="O229" s="1089" t="str">
        <f t="shared" si="241"/>
        <v/>
      </c>
      <c r="P229" s="1089" t="str">
        <f t="shared" si="241"/>
        <v/>
      </c>
      <c r="Q229" s="44" t="str">
        <f t="shared" si="241"/>
        <v/>
      </c>
      <c r="R229" s="44" t="str">
        <f t="shared" si="241"/>
        <v/>
      </c>
      <c r="S229" s="1089" t="str">
        <f t="shared" si="241"/>
        <v/>
      </c>
      <c r="T229" s="1089" t="str">
        <f t="shared" si="241"/>
        <v/>
      </c>
      <c r="U229" s="1089" t="str">
        <f t="shared" si="241"/>
        <v/>
      </c>
      <c r="V229" s="1089" t="str">
        <f t="shared" si="241"/>
        <v/>
      </c>
      <c r="W229" s="1089" t="str">
        <f t="shared" si="241"/>
        <v/>
      </c>
      <c r="X229" s="44" t="str">
        <f t="shared" si="241"/>
        <v/>
      </c>
      <c r="Y229" s="44" t="str">
        <f t="shared" si="241"/>
        <v/>
      </c>
      <c r="Z229" s="1089" t="str">
        <f t="shared" si="241"/>
        <v/>
      </c>
      <c r="AA229" s="1089" t="str">
        <f t="shared" si="241"/>
        <v/>
      </c>
      <c r="AB229" s="1089" t="str">
        <f t="shared" si="241"/>
        <v/>
      </c>
      <c r="AC229" s="1089" t="str">
        <f t="shared" si="241"/>
        <v/>
      </c>
      <c r="AD229" s="1089" t="str">
        <f t="shared" si="241"/>
        <v/>
      </c>
      <c r="AE229" s="44" t="str">
        <f t="shared" si="241"/>
        <v/>
      </c>
      <c r="AF229" s="44" t="str">
        <f t="shared" si="241"/>
        <v/>
      </c>
      <c r="AG229" s="1089" t="str">
        <f t="shared" si="241"/>
        <v/>
      </c>
      <c r="AH229" s="1089" t="str">
        <f t="shared" si="241"/>
        <v/>
      </c>
      <c r="AI229" s="1089" t="str">
        <f t="shared" si="241"/>
        <v/>
      </c>
      <c r="AJ229" s="793"/>
      <c r="AK229" s="1026">
        <f t="shared" si="184"/>
        <v>0</v>
      </c>
      <c r="AL229" s="897"/>
      <c r="AM229" s="1042">
        <f t="shared" si="185"/>
        <v>0</v>
      </c>
      <c r="AN229" s="468"/>
      <c r="AO229" s="675"/>
      <c r="AP229" s="285"/>
      <c r="AQ229" s="285"/>
      <c r="AR229" s="285"/>
      <c r="AS229" s="285"/>
      <c r="AT229" s="286"/>
      <c r="AU229" s="285"/>
      <c r="AV229" s="287"/>
    </row>
    <row r="230" spans="1:48" ht="19.899999999999999" hidden="1" customHeight="1">
      <c r="A230" s="403"/>
      <c r="B230" s="390"/>
      <c r="C230" s="89" t="s">
        <v>108</v>
      </c>
      <c r="D230" s="90" t="s">
        <v>104</v>
      </c>
      <c r="E230" s="1365"/>
      <c r="F230" s="1104"/>
      <c r="G230" s="1211"/>
      <c r="H230" s="1176"/>
      <c r="I230" s="1107"/>
      <c r="J230" s="1228"/>
      <c r="K230" s="1273"/>
      <c r="L230" s="1104"/>
      <c r="M230" s="1104"/>
      <c r="N230" s="1177"/>
      <c r="O230" s="1104"/>
      <c r="P230" s="1177"/>
      <c r="Q230" s="1211"/>
      <c r="R230" s="1211"/>
      <c r="S230" s="1104"/>
      <c r="T230" s="1107"/>
      <c r="U230" s="1104"/>
      <c r="V230" s="1107"/>
      <c r="W230" s="1107"/>
      <c r="X230" s="1228"/>
      <c r="Y230" s="1211"/>
      <c r="Z230" s="1106"/>
      <c r="AA230" s="1104"/>
      <c r="AB230" s="1104"/>
      <c r="AC230" s="1104"/>
      <c r="AD230" s="1104"/>
      <c r="AE230" s="1211"/>
      <c r="AF230" s="1211"/>
      <c r="AG230" s="1104"/>
      <c r="AH230" s="1369"/>
      <c r="AI230" s="1369"/>
      <c r="AJ230" s="428"/>
      <c r="AK230" s="1034">
        <f t="shared" si="184"/>
        <v>240000</v>
      </c>
      <c r="AL230" s="900"/>
      <c r="AM230" s="1040">
        <f t="shared" si="185"/>
        <v>1291663.2000000002</v>
      </c>
      <c r="AN230" s="468"/>
      <c r="AO230" s="636"/>
      <c r="AP230" s="391"/>
      <c r="AQ230" s="391"/>
    </row>
    <row r="231" spans="1:48" ht="19.899999999999999" hidden="1" customHeight="1" thickBot="1">
      <c r="A231" s="403"/>
      <c r="B231" s="59"/>
      <c r="C231" s="407">
        <f>+C229*0.8</f>
        <v>120000</v>
      </c>
      <c r="D231" s="95" t="s">
        <v>111</v>
      </c>
      <c r="E231" s="1109">
        <f>IF(E230="O/H",E224,0+E224)</f>
        <v>0</v>
      </c>
      <c r="F231" s="1109">
        <f t="shared" ref="F231:AI231" si="242">IF(F230="O/H",F224,0+F224)</f>
        <v>0</v>
      </c>
      <c r="G231" s="1200">
        <f t="shared" si="242"/>
        <v>0</v>
      </c>
      <c r="H231" s="1109">
        <f t="shared" si="242"/>
        <v>0</v>
      </c>
      <c r="I231" s="1109">
        <f t="shared" si="242"/>
        <v>0</v>
      </c>
      <c r="J231" s="1200">
        <f t="shared" si="242"/>
        <v>0</v>
      </c>
      <c r="K231" s="1200">
        <f t="shared" si="242"/>
        <v>0</v>
      </c>
      <c r="L231" s="1109">
        <f t="shared" si="242"/>
        <v>0</v>
      </c>
      <c r="M231" s="1109">
        <f t="shared" si="242"/>
        <v>0</v>
      </c>
      <c r="N231" s="1109">
        <f t="shared" si="242"/>
        <v>0</v>
      </c>
      <c r="O231" s="1109">
        <f t="shared" si="242"/>
        <v>0</v>
      </c>
      <c r="P231" s="1109">
        <f t="shared" si="242"/>
        <v>0</v>
      </c>
      <c r="Q231" s="1200">
        <f t="shared" si="242"/>
        <v>0</v>
      </c>
      <c r="R231" s="1200">
        <f t="shared" si="242"/>
        <v>0</v>
      </c>
      <c r="S231" s="1109">
        <f t="shared" si="242"/>
        <v>0</v>
      </c>
      <c r="T231" s="1109">
        <f t="shared" si="242"/>
        <v>0</v>
      </c>
      <c r="U231" s="1109">
        <f t="shared" si="242"/>
        <v>0</v>
      </c>
      <c r="V231" s="1109">
        <f t="shared" si="242"/>
        <v>0</v>
      </c>
      <c r="W231" s="1109">
        <f t="shared" si="242"/>
        <v>0</v>
      </c>
      <c r="X231" s="1200">
        <f t="shared" si="242"/>
        <v>0</v>
      </c>
      <c r="Y231" s="1200">
        <f t="shared" si="242"/>
        <v>0</v>
      </c>
      <c r="Z231" s="1109">
        <f t="shared" si="242"/>
        <v>0</v>
      </c>
      <c r="AA231" s="1109">
        <f t="shared" si="242"/>
        <v>0</v>
      </c>
      <c r="AB231" s="1109">
        <f t="shared" si="242"/>
        <v>0</v>
      </c>
      <c r="AC231" s="1109">
        <f t="shared" si="242"/>
        <v>0</v>
      </c>
      <c r="AD231" s="1109">
        <f t="shared" si="242"/>
        <v>0</v>
      </c>
      <c r="AE231" s="1200">
        <f t="shared" si="242"/>
        <v>0</v>
      </c>
      <c r="AF231" s="1200">
        <f t="shared" si="242"/>
        <v>0</v>
      </c>
      <c r="AG231" s="1109">
        <f t="shared" si="242"/>
        <v>0</v>
      </c>
      <c r="AH231" s="1109">
        <f t="shared" si="242"/>
        <v>0</v>
      </c>
      <c r="AI231" s="1109">
        <f t="shared" si="242"/>
        <v>0</v>
      </c>
      <c r="AJ231" s="394"/>
      <c r="AK231" s="1025">
        <f t="shared" si="184"/>
        <v>0</v>
      </c>
      <c r="AL231" s="419"/>
      <c r="AM231" s="1043">
        <f t="shared" si="185"/>
        <v>0</v>
      </c>
      <c r="AN231" s="382"/>
      <c r="AO231" s="625"/>
      <c r="AP231" s="391"/>
      <c r="AQ231" s="391"/>
    </row>
    <row r="232" spans="1:48" ht="19.899999999999999" customHeight="1" thickTop="1">
      <c r="A232" s="968" t="s">
        <v>597</v>
      </c>
      <c r="B232" s="741" t="s">
        <v>668</v>
      </c>
      <c r="C232" s="518" t="str">
        <f>Table37[[#This Row],[M/C No.]]</f>
        <v>R12(18ton)</v>
      </c>
      <c r="D232" s="28" t="s">
        <v>82</v>
      </c>
      <c r="E232" s="1124">
        <v>15000</v>
      </c>
      <c r="F232" s="1124">
        <v>15000</v>
      </c>
      <c r="G232" s="1242">
        <v>15000</v>
      </c>
      <c r="H232" s="1124">
        <v>15000</v>
      </c>
      <c r="I232" s="1124">
        <v>15000</v>
      </c>
      <c r="J232" s="1242">
        <v>15000</v>
      </c>
      <c r="K232" s="1242">
        <v>15000</v>
      </c>
      <c r="L232" s="1124">
        <v>0</v>
      </c>
      <c r="M232" s="1124">
        <v>0</v>
      </c>
      <c r="N232" s="1124">
        <v>6000</v>
      </c>
      <c r="O232" s="1124">
        <v>15000</v>
      </c>
      <c r="P232" s="1124">
        <v>15000</v>
      </c>
      <c r="Q232" s="1242">
        <v>15000</v>
      </c>
      <c r="R232" s="1242">
        <v>15000</v>
      </c>
      <c r="S232" s="1124">
        <v>15000</v>
      </c>
      <c r="T232" s="1124">
        <v>15000</v>
      </c>
      <c r="U232" s="1124">
        <v>15000</v>
      </c>
      <c r="V232" s="1124">
        <v>15000</v>
      </c>
      <c r="W232" s="1124">
        <v>9000</v>
      </c>
      <c r="X232" s="1242">
        <v>0</v>
      </c>
      <c r="Y232" s="1242">
        <v>0</v>
      </c>
      <c r="Z232" s="1124">
        <v>0</v>
      </c>
      <c r="AA232" s="1124">
        <v>0</v>
      </c>
      <c r="AB232" s="1124">
        <v>0</v>
      </c>
      <c r="AC232" s="1124">
        <v>0</v>
      </c>
      <c r="AD232" s="1124">
        <v>0</v>
      </c>
      <c r="AE232" s="1242">
        <v>0</v>
      </c>
      <c r="AF232" s="1242">
        <v>0</v>
      </c>
      <c r="AG232" s="1124">
        <v>0</v>
      </c>
      <c r="AH232" s="1124">
        <v>0</v>
      </c>
      <c r="AI232" s="1124"/>
      <c r="AJ232" s="401">
        <f>SUM(E232:AI232)</f>
        <v>240000</v>
      </c>
      <c r="AK232" s="1048">
        <f t="shared" si="184"/>
        <v>99630</v>
      </c>
      <c r="AL232" s="422">
        <f>+AJ232*Table37[[#This Row],[Price/Pcs.]]</f>
        <v>1291663.2000000002</v>
      </c>
      <c r="AM232" s="1046">
        <f t="shared" si="185"/>
        <v>536201.68590000004</v>
      </c>
      <c r="AN232" s="402">
        <v>5.3819300000000005</v>
      </c>
      <c r="AO232" s="622">
        <f>Table37[[#This Row],[Total]]*B236/1000</f>
        <v>633.6</v>
      </c>
      <c r="AP232" s="32" t="s">
        <v>464</v>
      </c>
      <c r="AQ232" s="33" t="s">
        <v>84</v>
      </c>
      <c r="AR232" s="33" t="s">
        <v>85</v>
      </c>
      <c r="AS232" s="33" t="s">
        <v>86</v>
      </c>
      <c r="AT232" s="33" t="s">
        <v>87</v>
      </c>
      <c r="AU232" s="33" t="s">
        <v>88</v>
      </c>
      <c r="AV232" s="34" t="s">
        <v>68</v>
      </c>
    </row>
    <row r="233" spans="1:48" ht="19.899999999999999" customHeight="1">
      <c r="A233" s="403"/>
      <c r="B233" s="393" t="s">
        <v>439</v>
      </c>
      <c r="C233" s="52" t="s">
        <v>95</v>
      </c>
      <c r="D233" s="37" t="s">
        <v>90</v>
      </c>
      <c r="E233" s="1323">
        <f>IF(E232="",0,+ E232/E239)</f>
        <v>3750</v>
      </c>
      <c r="F233" s="1096">
        <f t="shared" ref="F233" si="243">IF(F232="",0, E233+F232/F239)</f>
        <v>7500</v>
      </c>
      <c r="G233" s="1207">
        <f t="shared" ref="G233" si="244">IF(G232="",0, F233+G232/G239)</f>
        <v>11250</v>
      </c>
      <c r="H233" s="1096">
        <f t="shared" ref="H233" si="245">IF(H232="",0, G233+H232/H239)</f>
        <v>15000</v>
      </c>
      <c r="I233" s="1096">
        <f t="shared" ref="I233" si="246">IF(I232="",0, H233+I232/I239)</f>
        <v>18750</v>
      </c>
      <c r="J233" s="1207">
        <f t="shared" ref="J233" si="247">IF(J232="",0, I233+J232/J239)</f>
        <v>22500</v>
      </c>
      <c r="K233" s="1207">
        <f t="shared" ref="K233" si="248">IF(K232="",0, J233+K232/K239)</f>
        <v>26250</v>
      </c>
      <c r="L233" s="1096">
        <f t="shared" ref="L233" si="249">IF(L232="",0, K233+L232/L239)</f>
        <v>26250</v>
      </c>
      <c r="M233" s="1096">
        <f t="shared" ref="M233" si="250">IF(M232="",0, L233+M232/M239)</f>
        <v>26250</v>
      </c>
      <c r="N233" s="1096">
        <f t="shared" ref="N233" si="251">IF(N232="",0, M233+N232/N239)</f>
        <v>27750</v>
      </c>
      <c r="O233" s="1096">
        <f t="shared" ref="O233" si="252">IF(O232="",0, N233+O232/O239)</f>
        <v>31500</v>
      </c>
      <c r="P233" s="1096">
        <f t="shared" ref="P233" si="253">IF(P232="",0, O233+P232/P239)</f>
        <v>35250</v>
      </c>
      <c r="Q233" s="1207">
        <f t="shared" ref="Q233" si="254">IF(Q232="",0, P233+Q232/Q239)</f>
        <v>39000</v>
      </c>
      <c r="R233" s="1207">
        <f t="shared" ref="R233" si="255">IF(R232="",0, Q233+R232/R239)</f>
        <v>42750</v>
      </c>
      <c r="S233" s="1096">
        <f t="shared" ref="S233" si="256">IF(S232="",0, R233+S232/S239)</f>
        <v>46500</v>
      </c>
      <c r="T233" s="1096">
        <f t="shared" ref="T233" si="257">IF(T232="",0, S233+T232/T239)</f>
        <v>50250</v>
      </c>
      <c r="U233" s="1096">
        <f t="shared" ref="U233" si="258">IF(U232="",0, T233+U232/U239)</f>
        <v>54000</v>
      </c>
      <c r="V233" s="1096">
        <f t="shared" ref="V233" si="259">IF(V232="",0, U233+V232/V239)</f>
        <v>57750</v>
      </c>
      <c r="W233" s="1096">
        <f t="shared" ref="W233" si="260">IF(W232="",0, V233+W232/W239)</f>
        <v>60000</v>
      </c>
      <c r="X233" s="1207">
        <f t="shared" ref="X233" si="261">IF(X232="",0, W233+X232/X239)</f>
        <v>60000</v>
      </c>
      <c r="Y233" s="1207">
        <f t="shared" ref="Y233" si="262">IF(Y232="",0, X233+Y232/Y239)</f>
        <v>60000</v>
      </c>
      <c r="Z233" s="1096">
        <f t="shared" ref="Z233" si="263">IF(Z232="",0, Y233+Z232/Z239)</f>
        <v>60000</v>
      </c>
      <c r="AA233" s="1096">
        <f t="shared" ref="AA233" si="264">IF(AA232="",0, Z233+AA232/AA239)</f>
        <v>60000</v>
      </c>
      <c r="AB233" s="1096">
        <f t="shared" ref="AB233" si="265">IF(AB232="",0, AA233+AB232/AB239)</f>
        <v>60000</v>
      </c>
      <c r="AC233" s="1096">
        <f t="shared" ref="AC233" si="266">IF(AC232="",0, AB233+AC232/AC239)</f>
        <v>60000</v>
      </c>
      <c r="AD233" s="1096">
        <f t="shared" ref="AD233" si="267">IF(AD232="",0, AC233+AD232/AD239)</f>
        <v>60000</v>
      </c>
      <c r="AE233" s="1207">
        <f t="shared" ref="AE233" si="268">IF(AE232="",0, AD233+AE232/AE239)</f>
        <v>60000</v>
      </c>
      <c r="AF233" s="1207">
        <f t="shared" ref="AF233" si="269">IF(AF232="",0, AE233+AF232/AF239)</f>
        <v>60000</v>
      </c>
      <c r="AG233" s="1096">
        <f t="shared" ref="AG233" si="270">IF(AG232="",0, AF233+AG232/AG239)</f>
        <v>60000</v>
      </c>
      <c r="AH233" s="1096">
        <f t="shared" ref="AH233" si="271">IF(AH232="",0, AG233+AH232/AH239)</f>
        <v>60000</v>
      </c>
      <c r="AI233" s="1096">
        <f t="shared" ref="AI233" si="272">IF(AI232="",0, AH233+AI232/AI239)</f>
        <v>0</v>
      </c>
      <c r="AJ233" s="375"/>
      <c r="AK233" s="1023">
        <f t="shared" si="184"/>
        <v>-140370</v>
      </c>
      <c r="AL233" s="423"/>
      <c r="AM233" s="1040">
        <f t="shared" si="185"/>
        <v>-755461.51410000003</v>
      </c>
      <c r="AN233" s="382"/>
      <c r="AO233" s="675"/>
      <c r="AP233" s="39" t="s">
        <v>91</v>
      </c>
      <c r="AQ233" s="40">
        <f>SUM(E232:H232)</f>
        <v>60000</v>
      </c>
      <c r="AR233" s="41">
        <f>SUM(I232:O232)</f>
        <v>66000</v>
      </c>
      <c r="AS233" s="41">
        <f>SUM(P232:V232)</f>
        <v>105000</v>
      </c>
      <c r="AT233" s="41">
        <f>SUM(W232:AC232)</f>
        <v>9000</v>
      </c>
      <c r="AU233" s="41">
        <f>SUM(AD232:AI232)</f>
        <v>0</v>
      </c>
      <c r="AV233" s="34">
        <f t="shared" ref="AV233:AV238" si="273">SUM(AQ233:AU233)</f>
        <v>240000</v>
      </c>
    </row>
    <row r="234" spans="1:48" ht="19.899999999999999" customHeight="1">
      <c r="A234" s="403"/>
      <c r="B234" s="393" t="s">
        <v>246</v>
      </c>
      <c r="C234" s="379">
        <v>30000</v>
      </c>
      <c r="D234" s="43" t="s">
        <v>93</v>
      </c>
      <c r="E234" s="1108">
        <v>14040</v>
      </c>
      <c r="F234" s="1089">
        <v>12690</v>
      </c>
      <c r="G234" s="44">
        <v>0</v>
      </c>
      <c r="H234" s="1089">
        <v>0</v>
      </c>
      <c r="I234" s="1108">
        <v>0</v>
      </c>
      <c r="J234" s="1199">
        <v>0</v>
      </c>
      <c r="K234" s="1199">
        <v>0</v>
      </c>
      <c r="L234" s="1108">
        <v>0</v>
      </c>
      <c r="M234" s="1089">
        <v>0</v>
      </c>
      <c r="N234" s="1089">
        <v>0</v>
      </c>
      <c r="O234" s="1089">
        <v>0</v>
      </c>
      <c r="P234" s="1089">
        <v>0</v>
      </c>
      <c r="Q234" s="44">
        <v>0</v>
      </c>
      <c r="R234" s="44">
        <v>0</v>
      </c>
      <c r="S234" s="1089">
        <v>0</v>
      </c>
      <c r="T234" s="1089">
        <v>3240</v>
      </c>
      <c r="U234" s="1089">
        <v>15120</v>
      </c>
      <c r="V234" s="1089">
        <v>12960</v>
      </c>
      <c r="W234" s="1089">
        <v>10800</v>
      </c>
      <c r="X234" s="44">
        <v>14040</v>
      </c>
      <c r="Y234" s="44">
        <v>12960</v>
      </c>
      <c r="Z234" s="1089">
        <v>3780</v>
      </c>
      <c r="AA234" s="1089">
        <v>0</v>
      </c>
      <c r="AB234" s="1089"/>
      <c r="AC234" s="1089"/>
      <c r="AD234" s="1089"/>
      <c r="AE234" s="44"/>
      <c r="AF234" s="44"/>
      <c r="AG234" s="1089"/>
      <c r="AH234" s="1089"/>
      <c r="AI234" s="1089"/>
      <c r="AJ234" s="380">
        <f>SUM(E234:AI234)</f>
        <v>99630</v>
      </c>
      <c r="AK234" s="1023">
        <f t="shared" si="184"/>
        <v>16120</v>
      </c>
      <c r="AL234" s="901">
        <f>+AJ234*AN232</f>
        <v>536201.68590000004</v>
      </c>
      <c r="AM234" s="1040">
        <f t="shared" si="185"/>
        <v>86756.71160000001</v>
      </c>
      <c r="AN234" s="382"/>
      <c r="AO234" s="632">
        <f>(AJ234+AJ236+AJ237+AJ238)*B236/1000</f>
        <v>312.33312000000001</v>
      </c>
      <c r="AP234" s="47" t="s">
        <v>94</v>
      </c>
      <c r="AQ234" s="48">
        <f>SUM(E234:H234)</f>
        <v>26730</v>
      </c>
      <c r="AR234" s="49">
        <f>SUM(I234:O234)</f>
        <v>0</v>
      </c>
      <c r="AS234" s="49">
        <f>SUM(P234:V234)</f>
        <v>31320</v>
      </c>
      <c r="AT234" s="49">
        <f>SUM(W234:AC234)</f>
        <v>41580</v>
      </c>
      <c r="AU234" s="49">
        <f>SUM(AD234:AI234)</f>
        <v>0</v>
      </c>
      <c r="AV234" s="50">
        <f t="shared" si="273"/>
        <v>99630</v>
      </c>
    </row>
    <row r="235" spans="1:48" ht="19.899999999999999" customHeight="1">
      <c r="A235" s="403"/>
      <c r="B235" s="748" t="s">
        <v>247</v>
      </c>
      <c r="C235" s="379" t="s">
        <v>108</v>
      </c>
      <c r="D235" s="53" t="s">
        <v>96</v>
      </c>
      <c r="E235" s="1137">
        <f>+E234-E232</f>
        <v>-960</v>
      </c>
      <c r="F235" s="1137">
        <f t="shared" ref="F235:AI235" si="274">+F234-F232</f>
        <v>-2310</v>
      </c>
      <c r="G235" s="1232">
        <f t="shared" si="274"/>
        <v>-15000</v>
      </c>
      <c r="H235" s="1137">
        <f t="shared" si="274"/>
        <v>-15000</v>
      </c>
      <c r="I235" s="1137">
        <f t="shared" si="274"/>
        <v>-15000</v>
      </c>
      <c r="J235" s="1232">
        <f t="shared" si="274"/>
        <v>-15000</v>
      </c>
      <c r="K235" s="1232">
        <f t="shared" si="274"/>
        <v>-15000</v>
      </c>
      <c r="L235" s="1137">
        <f t="shared" si="274"/>
        <v>0</v>
      </c>
      <c r="M235" s="1137">
        <f t="shared" si="274"/>
        <v>0</v>
      </c>
      <c r="N235" s="1137">
        <f t="shared" si="274"/>
        <v>-6000</v>
      </c>
      <c r="O235" s="1137">
        <f t="shared" si="274"/>
        <v>-15000</v>
      </c>
      <c r="P235" s="1137">
        <f t="shared" si="274"/>
        <v>-15000</v>
      </c>
      <c r="Q235" s="1232">
        <f t="shared" si="274"/>
        <v>-15000</v>
      </c>
      <c r="R235" s="1232">
        <f t="shared" si="274"/>
        <v>-15000</v>
      </c>
      <c r="S235" s="1137">
        <f t="shared" si="274"/>
        <v>-15000</v>
      </c>
      <c r="T235" s="1137">
        <f t="shared" si="274"/>
        <v>-11760</v>
      </c>
      <c r="U235" s="1137">
        <f t="shared" si="274"/>
        <v>120</v>
      </c>
      <c r="V235" s="1137">
        <f t="shared" si="274"/>
        <v>-2040</v>
      </c>
      <c r="W235" s="1137">
        <f t="shared" si="274"/>
        <v>1800</v>
      </c>
      <c r="X235" s="1232">
        <f t="shared" si="274"/>
        <v>14040</v>
      </c>
      <c r="Y235" s="1232">
        <f t="shared" si="274"/>
        <v>12960</v>
      </c>
      <c r="Z235" s="1137">
        <f t="shared" si="274"/>
        <v>3780</v>
      </c>
      <c r="AA235" s="1137">
        <f t="shared" si="274"/>
        <v>0</v>
      </c>
      <c r="AB235" s="1137">
        <f t="shared" si="274"/>
        <v>0</v>
      </c>
      <c r="AC235" s="1137">
        <f t="shared" si="274"/>
        <v>0</v>
      </c>
      <c r="AD235" s="1137">
        <f t="shared" si="274"/>
        <v>0</v>
      </c>
      <c r="AE235" s="1232">
        <f t="shared" si="274"/>
        <v>0</v>
      </c>
      <c r="AF235" s="1232">
        <f t="shared" si="274"/>
        <v>0</v>
      </c>
      <c r="AG235" s="1137">
        <f t="shared" si="274"/>
        <v>0</v>
      </c>
      <c r="AH235" s="1137">
        <f t="shared" si="274"/>
        <v>0</v>
      </c>
      <c r="AI235" s="1137">
        <f t="shared" si="274"/>
        <v>0</v>
      </c>
      <c r="AJ235" s="381">
        <f>+AJ234-AJ232</f>
        <v>-140370</v>
      </c>
      <c r="AK235" s="1024">
        <f t="shared" si="184"/>
        <v>1950</v>
      </c>
      <c r="AL235" s="425">
        <f>+AJ235*AN232</f>
        <v>-755461.51410000003</v>
      </c>
      <c r="AM235" s="1041">
        <f t="shared" si="185"/>
        <v>10494.763500000001</v>
      </c>
      <c r="AN235" s="382"/>
      <c r="AO235" s="622"/>
      <c r="AP235" s="39" t="s">
        <v>98</v>
      </c>
      <c r="AQ235" s="56">
        <f>AQ234-AQ233</f>
        <v>-33270</v>
      </c>
      <c r="AR235" s="70">
        <f>AR234-AR233</f>
        <v>-66000</v>
      </c>
      <c r="AS235" s="70">
        <f>AS234-AS233</f>
        <v>-73680</v>
      </c>
      <c r="AT235" s="70">
        <f>AT234-AT233</f>
        <v>32580</v>
      </c>
      <c r="AU235" s="70">
        <f>AU234-AU233</f>
        <v>0</v>
      </c>
      <c r="AV235" s="57">
        <f t="shared" si="273"/>
        <v>-140370</v>
      </c>
    </row>
    <row r="236" spans="1:48" ht="19.899999999999999" customHeight="1">
      <c r="A236" s="403"/>
      <c r="B236" s="749">
        <v>2.64</v>
      </c>
      <c r="C236" s="383">
        <f>+C234*0.8</f>
        <v>24000</v>
      </c>
      <c r="D236" s="61" t="s">
        <v>101</v>
      </c>
      <c r="E236" s="1098">
        <v>180</v>
      </c>
      <c r="F236" s="1099">
        <v>180</v>
      </c>
      <c r="G236" s="1208">
        <f>120+260</f>
        <v>380</v>
      </c>
      <c r="H236" s="1099">
        <f>440+780</f>
        <v>1220</v>
      </c>
      <c r="I236" s="1099">
        <f>120+200</f>
        <v>320</v>
      </c>
      <c r="J236" s="1208">
        <v>0</v>
      </c>
      <c r="K236" s="1208">
        <v>0</v>
      </c>
      <c r="L236" s="1099">
        <v>0</v>
      </c>
      <c r="M236" s="1099">
        <f>240+324</f>
        <v>564</v>
      </c>
      <c r="N236" s="1099">
        <f>240+424</f>
        <v>664</v>
      </c>
      <c r="O236" s="1099">
        <v>0</v>
      </c>
      <c r="P236" s="1099">
        <f>120+416</f>
        <v>536</v>
      </c>
      <c r="Q236" s="1208">
        <v>0</v>
      </c>
      <c r="R236" s="1208">
        <v>0</v>
      </c>
      <c r="S236" s="1099">
        <f>320+420</f>
        <v>740</v>
      </c>
      <c r="T236" s="1099">
        <f>320+220</f>
        <v>540</v>
      </c>
      <c r="U236" s="1099">
        <v>200</v>
      </c>
      <c r="V236" s="1099">
        <f>120+1040</f>
        <v>1160</v>
      </c>
      <c r="W236" s="1099">
        <f>200+880</f>
        <v>1080</v>
      </c>
      <c r="X236" s="1208">
        <v>320</v>
      </c>
      <c r="Y236" s="1208">
        <v>800</v>
      </c>
      <c r="Z236" s="1099">
        <f>240+796</f>
        <v>1036</v>
      </c>
      <c r="AA236" s="1099">
        <f>1560+4640</f>
        <v>6200</v>
      </c>
      <c r="AB236" s="1099"/>
      <c r="AC236" s="1099"/>
      <c r="AD236" s="1112"/>
      <c r="AE236" s="1208"/>
      <c r="AF236" s="1208"/>
      <c r="AG236" s="1099"/>
      <c r="AH236" s="1099"/>
      <c r="AI236" s="1099"/>
      <c r="AJ236" s="384">
        <f>SUM(E236:AI236)</f>
        <v>16120</v>
      </c>
      <c r="AK236" s="1024">
        <f t="shared" si="184"/>
        <v>608</v>
      </c>
      <c r="AL236" s="902">
        <f>+AJ236*AN232</f>
        <v>86756.71160000001</v>
      </c>
      <c r="AM236" s="1041">
        <f t="shared" si="185"/>
        <v>3272.2134400000004</v>
      </c>
      <c r="AN236" s="382" t="s">
        <v>97</v>
      </c>
      <c r="AO236" s="635">
        <f>AO234/AO232</f>
        <v>0.49295</v>
      </c>
      <c r="AP236" s="39" t="s">
        <v>102</v>
      </c>
      <c r="AQ236" s="56">
        <f>SUM(E236:H236)</f>
        <v>1960</v>
      </c>
      <c r="AR236" s="70">
        <f>SUM(I236:O236)</f>
        <v>1548</v>
      </c>
      <c r="AS236" s="70">
        <f>SUM(P236:V236)</f>
        <v>3176</v>
      </c>
      <c r="AT236" s="70">
        <f>SUM(W236:AC236)</f>
        <v>9436</v>
      </c>
      <c r="AU236" s="70">
        <f>SUM(AD236:AI236)</f>
        <v>0</v>
      </c>
      <c r="AV236" s="57">
        <f t="shared" si="273"/>
        <v>16120</v>
      </c>
    </row>
    <row r="237" spans="1:48" ht="19.899999999999999" customHeight="1">
      <c r="A237" s="403"/>
      <c r="B237" s="65"/>
      <c r="C237" s="432"/>
      <c r="D237" s="67" t="s">
        <v>103</v>
      </c>
      <c r="E237" s="1100">
        <v>240</v>
      </c>
      <c r="F237" s="1101">
        <v>240</v>
      </c>
      <c r="G237" s="1209">
        <v>0</v>
      </c>
      <c r="H237" s="1101">
        <v>0</v>
      </c>
      <c r="I237" s="1101">
        <v>0</v>
      </c>
      <c r="J237" s="1209">
        <v>0</v>
      </c>
      <c r="K237" s="1209">
        <v>0</v>
      </c>
      <c r="L237" s="1101">
        <v>0</v>
      </c>
      <c r="M237" s="1101">
        <v>0</v>
      </c>
      <c r="N237" s="1101">
        <v>0</v>
      </c>
      <c r="O237" s="1101">
        <v>0</v>
      </c>
      <c r="P237" s="1101">
        <v>0</v>
      </c>
      <c r="Q237" s="1209">
        <v>0</v>
      </c>
      <c r="R237" s="1209">
        <v>0</v>
      </c>
      <c r="S237" s="1101">
        <v>0</v>
      </c>
      <c r="T237" s="1101">
        <v>48</v>
      </c>
      <c r="U237" s="1101">
        <v>240</v>
      </c>
      <c r="V237" s="1101">
        <v>240</v>
      </c>
      <c r="W237" s="1101">
        <v>240</v>
      </c>
      <c r="X237" s="1209">
        <v>330</v>
      </c>
      <c r="Y237" s="1209">
        <v>222</v>
      </c>
      <c r="Z237" s="1101">
        <v>150</v>
      </c>
      <c r="AA237" s="1101">
        <v>0</v>
      </c>
      <c r="AB237" s="1101"/>
      <c r="AC237" s="1101"/>
      <c r="AD237" s="1101"/>
      <c r="AE237" s="1209"/>
      <c r="AF237" s="1209"/>
      <c r="AG237" s="1101"/>
      <c r="AH237" s="1101"/>
      <c r="AI237" s="1101"/>
      <c r="AJ237" s="386">
        <f>SUM(E237:AI237)</f>
        <v>1950</v>
      </c>
      <c r="AK237" s="1024">
        <f t="shared" si="184"/>
        <v>0</v>
      </c>
      <c r="AL237" s="903">
        <f>+AJ237*AN232</f>
        <v>10494.763500000001</v>
      </c>
      <c r="AM237" s="1040">
        <f t="shared" si="185"/>
        <v>0</v>
      </c>
      <c r="AN237" s="385">
        <f>+AJ237/AJ235</f>
        <v>-1.3891857234451806E-2</v>
      </c>
      <c r="AO237" s="626"/>
      <c r="AP237" s="39" t="s">
        <v>19</v>
      </c>
      <c r="AQ237" s="56">
        <f>AQ236*AN232</f>
        <v>10548.582800000002</v>
      </c>
      <c r="AR237" s="56">
        <f>AR236*AN232</f>
        <v>8331.227640000001</v>
      </c>
      <c r="AS237" s="56">
        <f>AS236*AN232</f>
        <v>17093.009680000003</v>
      </c>
      <c r="AT237" s="56">
        <f>AT236*AN232</f>
        <v>50783.891480000006</v>
      </c>
      <c r="AU237" s="56">
        <f>AU236*AN232</f>
        <v>0</v>
      </c>
      <c r="AV237" s="57">
        <f t="shared" si="273"/>
        <v>86756.71160000001</v>
      </c>
    </row>
    <row r="238" spans="1:48" ht="19.899999999999999" customHeight="1">
      <c r="A238" s="403"/>
      <c r="B238" s="334" t="s">
        <v>30</v>
      </c>
      <c r="C238" s="387" t="s">
        <v>435</v>
      </c>
      <c r="D238" s="73" t="s">
        <v>105</v>
      </c>
      <c r="E238" s="1102">
        <v>64</v>
      </c>
      <c r="F238" s="1103">
        <v>80</v>
      </c>
      <c r="G238" s="1210">
        <v>0</v>
      </c>
      <c r="H238" s="1103">
        <v>0</v>
      </c>
      <c r="I238" s="1103">
        <v>0</v>
      </c>
      <c r="J238" s="1210">
        <v>0</v>
      </c>
      <c r="K238" s="1210">
        <v>0</v>
      </c>
      <c r="L238" s="1103">
        <v>0</v>
      </c>
      <c r="M238" s="1103">
        <v>0</v>
      </c>
      <c r="N238" s="1103">
        <v>0</v>
      </c>
      <c r="O238" s="1103">
        <v>0</v>
      </c>
      <c r="P238" s="1103">
        <v>0</v>
      </c>
      <c r="Q238" s="1210">
        <v>0</v>
      </c>
      <c r="R238" s="1210">
        <v>0</v>
      </c>
      <c r="S238" s="1103">
        <v>0</v>
      </c>
      <c r="T238" s="1103">
        <v>24</v>
      </c>
      <c r="U238" s="1103">
        <v>80</v>
      </c>
      <c r="V238" s="1103">
        <v>80</v>
      </c>
      <c r="W238" s="1103">
        <v>72</v>
      </c>
      <c r="X238" s="1210">
        <v>96</v>
      </c>
      <c r="Y238" s="1210">
        <v>88</v>
      </c>
      <c r="Z238" s="1103">
        <v>24</v>
      </c>
      <c r="AA238" s="1103">
        <v>0</v>
      </c>
      <c r="AB238" s="1103"/>
      <c r="AC238" s="1103"/>
      <c r="AD238" s="1103"/>
      <c r="AE238" s="1210"/>
      <c r="AF238" s="1210"/>
      <c r="AG238" s="1103"/>
      <c r="AH238" s="1103"/>
      <c r="AI238" s="1103"/>
      <c r="AJ238" s="388">
        <f>SUM(E238:AI238)</f>
        <v>608</v>
      </c>
      <c r="AK238" s="1024">
        <f t="shared" si="184"/>
        <v>29577</v>
      </c>
      <c r="AL238" s="427">
        <f>+AJ238*AN232</f>
        <v>3272.2134400000004</v>
      </c>
      <c r="AM238" s="1040">
        <f t="shared" si="185"/>
        <v>0</v>
      </c>
      <c r="AN238" s="404"/>
      <c r="AO238" s="624"/>
      <c r="AP238" s="47" t="s">
        <v>106</v>
      </c>
      <c r="AQ238" s="48">
        <f>AQ234*AN232</f>
        <v>143858.98890000003</v>
      </c>
      <c r="AR238" s="48">
        <f>AR234*AN232</f>
        <v>0</v>
      </c>
      <c r="AS238" s="48">
        <f>AS234*AN232</f>
        <v>168562.04760000002</v>
      </c>
      <c r="AT238" s="48">
        <f>AT234*AN232</f>
        <v>223780.64940000002</v>
      </c>
      <c r="AU238" s="48">
        <f>AU234*AN232</f>
        <v>0</v>
      </c>
      <c r="AV238" s="50">
        <f t="shared" si="273"/>
        <v>536201.68590000004</v>
      </c>
    </row>
    <row r="239" spans="1:48" ht="19.899999999999999" customHeight="1">
      <c r="A239" s="403"/>
      <c r="B239" s="390"/>
      <c r="C239" s="379">
        <v>50000</v>
      </c>
      <c r="D239" s="78" t="s">
        <v>107</v>
      </c>
      <c r="E239" s="1137">
        <v>4</v>
      </c>
      <c r="F239" s="1097">
        <v>4</v>
      </c>
      <c r="G239" s="1205">
        <v>4</v>
      </c>
      <c r="H239" s="1097">
        <v>4</v>
      </c>
      <c r="I239" s="1097">
        <v>4</v>
      </c>
      <c r="J239" s="1205">
        <v>4</v>
      </c>
      <c r="K239" s="1205">
        <v>4</v>
      </c>
      <c r="L239" s="1097">
        <v>4</v>
      </c>
      <c r="M239" s="1097">
        <v>4</v>
      </c>
      <c r="N239" s="1097">
        <v>4</v>
      </c>
      <c r="O239" s="1097">
        <v>4</v>
      </c>
      <c r="P239" s="1097">
        <v>4</v>
      </c>
      <c r="Q239" s="1205">
        <v>4</v>
      </c>
      <c r="R239" s="1205">
        <v>4</v>
      </c>
      <c r="S239" s="1097">
        <v>4</v>
      </c>
      <c r="T239" s="1097">
        <v>4</v>
      </c>
      <c r="U239" s="1097">
        <v>4</v>
      </c>
      <c r="V239" s="1097">
        <v>4</v>
      </c>
      <c r="W239" s="1097">
        <v>4</v>
      </c>
      <c r="X239" s="1205">
        <v>4</v>
      </c>
      <c r="Y239" s="1205">
        <v>4</v>
      </c>
      <c r="Z239" s="1097">
        <v>4</v>
      </c>
      <c r="AA239" s="1097">
        <v>4</v>
      </c>
      <c r="AB239" s="1097">
        <v>4</v>
      </c>
      <c r="AC239" s="1097">
        <v>4</v>
      </c>
      <c r="AD239" s="1097">
        <v>4</v>
      </c>
      <c r="AE239" s="1205">
        <v>4</v>
      </c>
      <c r="AF239" s="1205">
        <v>4</v>
      </c>
      <c r="AG239" s="1097">
        <v>4</v>
      </c>
      <c r="AH239" s="1097">
        <v>4</v>
      </c>
      <c r="AI239" s="1097">
        <v>4</v>
      </c>
      <c r="AJ239" s="381"/>
      <c r="AK239" s="1024">
        <f t="shared" si="184"/>
        <v>0</v>
      </c>
      <c r="AL239" s="426"/>
      <c r="AM239" s="1040">
        <f t="shared" si="185"/>
        <v>0</v>
      </c>
      <c r="AN239" s="382"/>
      <c r="AO239" s="622"/>
      <c r="AP239" s="391"/>
      <c r="AQ239" s="391"/>
      <c r="AR239" s="4"/>
      <c r="AS239" s="4"/>
      <c r="AT239" s="392"/>
      <c r="AU239" s="4"/>
      <c r="AV239" s="4"/>
    </row>
    <row r="240" spans="1:48" ht="19.899999999999999" customHeight="1">
      <c r="A240" s="433"/>
      <c r="B240" s="390"/>
      <c r="C240" s="89" t="s">
        <v>108</v>
      </c>
      <c r="D240" s="81" t="s">
        <v>109</v>
      </c>
      <c r="E240" s="1125">
        <f>SUM(E234+E236+E237+E238)/E239</f>
        <v>3631</v>
      </c>
      <c r="F240" s="1125">
        <f t="shared" ref="F240:AI240" si="275">SUM(F234+F236+F237+F238)/F239</f>
        <v>3297.5</v>
      </c>
      <c r="G240" s="1233">
        <f t="shared" si="275"/>
        <v>95</v>
      </c>
      <c r="H240" s="1125">
        <f t="shared" si="275"/>
        <v>305</v>
      </c>
      <c r="I240" s="1125">
        <f t="shared" si="275"/>
        <v>80</v>
      </c>
      <c r="J240" s="1233">
        <f t="shared" si="275"/>
        <v>0</v>
      </c>
      <c r="K240" s="1233">
        <f t="shared" si="275"/>
        <v>0</v>
      </c>
      <c r="L240" s="1125">
        <f t="shared" si="275"/>
        <v>0</v>
      </c>
      <c r="M240" s="1125">
        <f t="shared" si="275"/>
        <v>141</v>
      </c>
      <c r="N240" s="1125">
        <f t="shared" si="275"/>
        <v>166</v>
      </c>
      <c r="O240" s="1125">
        <f t="shared" si="275"/>
        <v>0</v>
      </c>
      <c r="P240" s="1125">
        <f t="shared" si="275"/>
        <v>134</v>
      </c>
      <c r="Q240" s="1233">
        <f t="shared" si="275"/>
        <v>0</v>
      </c>
      <c r="R240" s="1233">
        <f t="shared" si="275"/>
        <v>0</v>
      </c>
      <c r="S240" s="1125">
        <f t="shared" si="275"/>
        <v>185</v>
      </c>
      <c r="T240" s="1125">
        <f t="shared" si="275"/>
        <v>963</v>
      </c>
      <c r="U240" s="1125">
        <f t="shared" si="275"/>
        <v>3910</v>
      </c>
      <c r="V240" s="1125">
        <f t="shared" si="275"/>
        <v>3610</v>
      </c>
      <c r="W240" s="1125">
        <f t="shared" si="275"/>
        <v>3048</v>
      </c>
      <c r="X240" s="1233">
        <f t="shared" si="275"/>
        <v>3696.5</v>
      </c>
      <c r="Y240" s="1233">
        <f t="shared" si="275"/>
        <v>3517.5</v>
      </c>
      <c r="Z240" s="1125">
        <f t="shared" si="275"/>
        <v>1247.5</v>
      </c>
      <c r="AA240" s="1125">
        <f t="shared" si="275"/>
        <v>1550</v>
      </c>
      <c r="AB240" s="1125">
        <f t="shared" si="275"/>
        <v>0</v>
      </c>
      <c r="AC240" s="1125">
        <f t="shared" si="275"/>
        <v>0</v>
      </c>
      <c r="AD240" s="1125">
        <f t="shared" si="275"/>
        <v>0</v>
      </c>
      <c r="AE240" s="1233">
        <f t="shared" si="275"/>
        <v>0</v>
      </c>
      <c r="AF240" s="1233">
        <f t="shared" si="275"/>
        <v>0</v>
      </c>
      <c r="AG240" s="1125">
        <f t="shared" si="275"/>
        <v>0</v>
      </c>
      <c r="AH240" s="1125">
        <f t="shared" si="275"/>
        <v>0</v>
      </c>
      <c r="AI240" s="1125">
        <f t="shared" si="275"/>
        <v>0</v>
      </c>
      <c r="AJ240" s="380">
        <f>SUM(E240:AI240)</f>
        <v>29577</v>
      </c>
      <c r="AK240" s="1025">
        <f t="shared" si="184"/>
        <v>0</v>
      </c>
      <c r="AL240" s="419"/>
      <c r="AM240" s="1040">
        <f t="shared" si="185"/>
        <v>0</v>
      </c>
      <c r="AN240" s="382"/>
      <c r="AO240" s="622"/>
      <c r="AP240" s="391"/>
      <c r="AQ240" s="391"/>
      <c r="AR240" s="4"/>
      <c r="AS240" s="4"/>
      <c r="AT240" s="392"/>
      <c r="AU240" s="4"/>
      <c r="AV240" s="4"/>
    </row>
    <row r="241" spans="1:48" ht="19.899999999999999" customHeight="1">
      <c r="A241" s="433"/>
      <c r="B241" s="390"/>
      <c r="C241" s="432">
        <f>+C239*0.8</f>
        <v>40000</v>
      </c>
      <c r="D241" s="85" t="s">
        <v>110</v>
      </c>
      <c r="E241" s="1370"/>
      <c r="F241" s="1180"/>
      <c r="G241" s="1269"/>
      <c r="H241" s="1180"/>
      <c r="I241" s="1180"/>
      <c r="J241" s="1283"/>
      <c r="K241" s="1269"/>
      <c r="L241" s="1180"/>
      <c r="M241" s="1180"/>
      <c r="N241" s="1182"/>
      <c r="O241" s="1230"/>
      <c r="P241" s="1183"/>
      <c r="Q241" s="1282"/>
      <c r="R241" s="1283"/>
      <c r="S241" s="1181"/>
      <c r="T241" s="1371"/>
      <c r="U241" s="1183"/>
      <c r="V241" s="1181"/>
      <c r="W241" s="1183"/>
      <c r="X241" s="1282"/>
      <c r="Y241" s="1283"/>
      <c r="Z241" s="1230" t="s">
        <v>534</v>
      </c>
      <c r="AA241" s="1183"/>
      <c r="AB241" s="1181"/>
      <c r="AC241" s="1183"/>
      <c r="AD241" s="1181"/>
      <c r="AE241" s="1282"/>
      <c r="AF241" s="1313"/>
      <c r="AG241" s="1182"/>
      <c r="AH241" s="1183"/>
      <c r="AI241" s="1183"/>
      <c r="AJ241" s="394"/>
      <c r="AK241" s="1025">
        <f t="shared" si="184"/>
        <v>0</v>
      </c>
      <c r="AL241" s="419"/>
      <c r="AM241" s="1040">
        <f t="shared" si="185"/>
        <v>0</v>
      </c>
      <c r="AN241" s="382"/>
      <c r="AO241" s="622"/>
      <c r="AP241" s="391"/>
      <c r="AQ241" s="391"/>
      <c r="AR241" s="4"/>
      <c r="AS241" s="4"/>
      <c r="AT241" s="392"/>
      <c r="AU241" s="4"/>
      <c r="AV241" s="4"/>
    </row>
    <row r="242" spans="1:48" ht="19.899999999999999" customHeight="1">
      <c r="A242" s="403"/>
      <c r="B242" s="390"/>
      <c r="C242" s="89"/>
      <c r="D242" s="88" t="s">
        <v>111</v>
      </c>
      <c r="E242" s="1156">
        <f>IF(E241="O/H",E240,10754+E240)</f>
        <v>14385</v>
      </c>
      <c r="F242" s="1157">
        <f>IF(F241="O/H",F240,+E242+F240)</f>
        <v>17682.5</v>
      </c>
      <c r="G242" s="1264">
        <f t="shared" ref="G242:AI242" si="276">IF(G241="O/H",G240,+F242+G240)</f>
        <v>17777.5</v>
      </c>
      <c r="H242" s="1157">
        <f t="shared" si="276"/>
        <v>18082.5</v>
      </c>
      <c r="I242" s="1157">
        <f t="shared" si="276"/>
        <v>18162.5</v>
      </c>
      <c r="J242" s="1264">
        <f t="shared" si="276"/>
        <v>18162.5</v>
      </c>
      <c r="K242" s="1264">
        <f t="shared" si="276"/>
        <v>18162.5</v>
      </c>
      <c r="L242" s="1157">
        <f t="shared" si="276"/>
        <v>18162.5</v>
      </c>
      <c r="M242" s="1157">
        <f t="shared" si="276"/>
        <v>18303.5</v>
      </c>
      <c r="N242" s="1157">
        <f t="shared" si="276"/>
        <v>18469.5</v>
      </c>
      <c r="O242" s="1157">
        <f t="shared" si="276"/>
        <v>18469.5</v>
      </c>
      <c r="P242" s="1157">
        <f t="shared" si="276"/>
        <v>18603.5</v>
      </c>
      <c r="Q242" s="1264">
        <f t="shared" si="276"/>
        <v>18603.5</v>
      </c>
      <c r="R242" s="1264">
        <f t="shared" si="276"/>
        <v>18603.5</v>
      </c>
      <c r="S242" s="1157">
        <f t="shared" si="276"/>
        <v>18788.5</v>
      </c>
      <c r="T242" s="1157">
        <f t="shared" si="276"/>
        <v>19751.5</v>
      </c>
      <c r="U242" s="1157">
        <f t="shared" si="276"/>
        <v>23661.5</v>
      </c>
      <c r="V242" s="1157">
        <f t="shared" si="276"/>
        <v>27271.5</v>
      </c>
      <c r="W242" s="1157">
        <f t="shared" si="276"/>
        <v>30319.5</v>
      </c>
      <c r="X242" s="1264">
        <f t="shared" si="276"/>
        <v>34016</v>
      </c>
      <c r="Y242" s="1264">
        <f t="shared" si="276"/>
        <v>37533.5</v>
      </c>
      <c r="Z242" s="1157">
        <f t="shared" si="276"/>
        <v>1247.5</v>
      </c>
      <c r="AA242" s="1157">
        <f t="shared" si="276"/>
        <v>2797.5</v>
      </c>
      <c r="AB242" s="1157">
        <f t="shared" si="276"/>
        <v>2797.5</v>
      </c>
      <c r="AC242" s="1157">
        <f t="shared" si="276"/>
        <v>2797.5</v>
      </c>
      <c r="AD242" s="1157">
        <f t="shared" si="276"/>
        <v>2797.5</v>
      </c>
      <c r="AE242" s="1264">
        <f t="shared" si="276"/>
        <v>2797.5</v>
      </c>
      <c r="AF242" s="1264">
        <f t="shared" si="276"/>
        <v>2797.5</v>
      </c>
      <c r="AG242" s="1157">
        <f t="shared" si="276"/>
        <v>2797.5</v>
      </c>
      <c r="AH242" s="1157">
        <f t="shared" si="276"/>
        <v>2797.5</v>
      </c>
      <c r="AI242" s="1157">
        <f t="shared" si="276"/>
        <v>2797.5</v>
      </c>
      <c r="AJ242" s="394"/>
      <c r="AK242" s="1025">
        <f t="shared" si="184"/>
        <v>0</v>
      </c>
      <c r="AL242" s="419"/>
      <c r="AM242" s="1040">
        <f t="shared" si="185"/>
        <v>0</v>
      </c>
      <c r="AN242" s="382"/>
      <c r="AO242" s="622"/>
      <c r="AP242" s="391"/>
      <c r="AQ242" s="391"/>
      <c r="AR242" s="4"/>
      <c r="AS242" s="4"/>
      <c r="AT242" s="392"/>
      <c r="AU242" s="4"/>
      <c r="AV242" s="4"/>
    </row>
    <row r="243" spans="1:48" ht="19.899999999999999" customHeight="1">
      <c r="A243" s="403"/>
      <c r="B243" s="59"/>
      <c r="C243" s="387"/>
      <c r="D243" s="395" t="s">
        <v>435</v>
      </c>
      <c r="E243" s="1338"/>
      <c r="F243" s="1089"/>
      <c r="G243" s="1253"/>
      <c r="H243" s="1106"/>
      <c r="I243" s="1106"/>
      <c r="J243" s="1253"/>
      <c r="K243" s="1253"/>
      <c r="L243" s="1106"/>
      <c r="M243" s="1089"/>
      <c r="N243" s="1106"/>
      <c r="O243" s="1089"/>
      <c r="P243" s="1106"/>
      <c r="Q243" s="44"/>
      <c r="R243" s="1253"/>
      <c r="S243" s="1106"/>
      <c r="T243" s="1106"/>
      <c r="U243" s="1089"/>
      <c r="V243" s="1106"/>
      <c r="W243" s="1106"/>
      <c r="X243" s="1253"/>
      <c r="Y243" s="1253"/>
      <c r="Z243" s="1155" t="s">
        <v>534</v>
      </c>
      <c r="AA243" s="1089"/>
      <c r="AB243" s="1106"/>
      <c r="AC243" s="1089"/>
      <c r="AD243" s="1106"/>
      <c r="AE243" s="44"/>
      <c r="AF243" s="44"/>
      <c r="AG243" s="1106"/>
      <c r="AH243" s="1089"/>
      <c r="AI243" s="1089"/>
      <c r="AJ243" s="396"/>
      <c r="AK243" s="1024">
        <f t="shared" si="184"/>
        <v>0</v>
      </c>
      <c r="AL243" s="420"/>
      <c r="AM243" s="1040">
        <f t="shared" si="185"/>
        <v>0</v>
      </c>
      <c r="AN243" s="382"/>
      <c r="AO243" s="622"/>
      <c r="AP243" s="391"/>
      <c r="AQ243" s="391"/>
      <c r="AR243" s="4"/>
      <c r="AS243" s="4"/>
      <c r="AT243" s="392"/>
      <c r="AU243" s="4"/>
      <c r="AV243" s="4"/>
    </row>
    <row r="244" spans="1:48" ht="19.899999999999999" customHeight="1">
      <c r="A244" s="403"/>
      <c r="B244" s="59"/>
      <c r="C244" s="387" t="s">
        <v>104</v>
      </c>
      <c r="D244" s="88" t="s">
        <v>111</v>
      </c>
      <c r="E244" s="1156">
        <f>IF(E243="O/H",E240,10754+E240)</f>
        <v>14385</v>
      </c>
      <c r="F244" s="1157">
        <f>IF(F243="O/H",F240,+E244+F240)</f>
        <v>17682.5</v>
      </c>
      <c r="G244" s="1264">
        <f t="shared" ref="G244:AI244" si="277">IF(G243="O/H",G240,+F244+G240)</f>
        <v>17777.5</v>
      </c>
      <c r="H244" s="1157">
        <f t="shared" si="277"/>
        <v>18082.5</v>
      </c>
      <c r="I244" s="1157">
        <f t="shared" si="277"/>
        <v>18162.5</v>
      </c>
      <c r="J244" s="1264">
        <f t="shared" si="277"/>
        <v>18162.5</v>
      </c>
      <c r="K244" s="1264">
        <f t="shared" si="277"/>
        <v>18162.5</v>
      </c>
      <c r="L244" s="1157">
        <f t="shared" si="277"/>
        <v>18162.5</v>
      </c>
      <c r="M244" s="1157">
        <f t="shared" si="277"/>
        <v>18303.5</v>
      </c>
      <c r="N244" s="1157">
        <f t="shared" si="277"/>
        <v>18469.5</v>
      </c>
      <c r="O244" s="1157">
        <f t="shared" si="277"/>
        <v>18469.5</v>
      </c>
      <c r="P244" s="1157">
        <f t="shared" si="277"/>
        <v>18603.5</v>
      </c>
      <c r="Q244" s="1264">
        <f t="shared" si="277"/>
        <v>18603.5</v>
      </c>
      <c r="R244" s="1264">
        <f t="shared" si="277"/>
        <v>18603.5</v>
      </c>
      <c r="S244" s="1157">
        <f t="shared" si="277"/>
        <v>18788.5</v>
      </c>
      <c r="T244" s="1157">
        <f t="shared" si="277"/>
        <v>19751.5</v>
      </c>
      <c r="U244" s="1157">
        <f t="shared" si="277"/>
        <v>23661.5</v>
      </c>
      <c r="V244" s="1157">
        <f t="shared" si="277"/>
        <v>27271.5</v>
      </c>
      <c r="W244" s="1157">
        <f t="shared" si="277"/>
        <v>30319.5</v>
      </c>
      <c r="X244" s="1264">
        <f t="shared" si="277"/>
        <v>34016</v>
      </c>
      <c r="Y244" s="1264">
        <f t="shared" si="277"/>
        <v>37533.5</v>
      </c>
      <c r="Z244" s="1157">
        <f t="shared" si="277"/>
        <v>1247.5</v>
      </c>
      <c r="AA244" s="1157">
        <f t="shared" si="277"/>
        <v>2797.5</v>
      </c>
      <c r="AB244" s="1157">
        <f t="shared" si="277"/>
        <v>2797.5</v>
      </c>
      <c r="AC244" s="1157">
        <f t="shared" si="277"/>
        <v>2797.5</v>
      </c>
      <c r="AD244" s="1157">
        <f t="shared" si="277"/>
        <v>2797.5</v>
      </c>
      <c r="AE244" s="1264">
        <f t="shared" si="277"/>
        <v>2797.5</v>
      </c>
      <c r="AF244" s="1264">
        <f t="shared" si="277"/>
        <v>2797.5</v>
      </c>
      <c r="AG244" s="1157">
        <f t="shared" si="277"/>
        <v>2797.5</v>
      </c>
      <c r="AH244" s="1157">
        <f t="shared" si="277"/>
        <v>2797.5</v>
      </c>
      <c r="AI244" s="1157">
        <f t="shared" si="277"/>
        <v>2797.5</v>
      </c>
      <c r="AJ244" s="396"/>
      <c r="AK244" s="1024">
        <f t="shared" si="184"/>
        <v>0</v>
      </c>
      <c r="AL244" s="420"/>
      <c r="AM244" s="1040">
        <f t="shared" si="185"/>
        <v>0</v>
      </c>
      <c r="AN244" s="382"/>
      <c r="AO244" s="622"/>
      <c r="AP244" s="391"/>
      <c r="AQ244" s="391"/>
    </row>
    <row r="245" spans="1:48" s="23" customFormat="1" ht="20.45" customHeight="1">
      <c r="A245" s="312"/>
      <c r="B245" s="312"/>
      <c r="C245" s="379">
        <v>150000</v>
      </c>
      <c r="D245" s="795" t="s">
        <v>112</v>
      </c>
      <c r="E245" s="1117">
        <f>IF(AND(ISNUMBER(E234)),2172927+E240)</f>
        <v>2176558</v>
      </c>
      <c r="F245" s="1118">
        <f>IF(AND(ISNUMBER(F234)),E245+F240,"")</f>
        <v>2179855.5</v>
      </c>
      <c r="G245" s="1216">
        <f>IF(AND(ISNUMBER(G234)),F245+G240,"")</f>
        <v>2179950.5</v>
      </c>
      <c r="H245" s="1118">
        <f t="shared" ref="H245:AI245" si="278">IF(AND(ISNUMBER(H234)),G245+H240,"")</f>
        <v>2180255.5</v>
      </c>
      <c r="I245" s="1118">
        <f t="shared" si="278"/>
        <v>2180335.5</v>
      </c>
      <c r="J245" s="1216">
        <f t="shared" si="278"/>
        <v>2180335.5</v>
      </c>
      <c r="K245" s="1216">
        <f t="shared" si="278"/>
        <v>2180335.5</v>
      </c>
      <c r="L245" s="1118">
        <f t="shared" si="278"/>
        <v>2180335.5</v>
      </c>
      <c r="M245" s="1118">
        <f t="shared" si="278"/>
        <v>2180476.5</v>
      </c>
      <c r="N245" s="1118">
        <f t="shared" si="278"/>
        <v>2180642.5</v>
      </c>
      <c r="O245" s="1118">
        <f>IF(AND(ISNUMBER(O234)),N245+O240,"")</f>
        <v>2180642.5</v>
      </c>
      <c r="P245" s="1118">
        <f t="shared" si="278"/>
        <v>2180776.5</v>
      </c>
      <c r="Q245" s="1216">
        <f t="shared" si="278"/>
        <v>2180776.5</v>
      </c>
      <c r="R245" s="1216">
        <f t="shared" si="278"/>
        <v>2180776.5</v>
      </c>
      <c r="S245" s="1118">
        <f t="shared" si="278"/>
        <v>2180961.5</v>
      </c>
      <c r="T245" s="1118">
        <f t="shared" si="278"/>
        <v>2181924.5</v>
      </c>
      <c r="U245" s="1118">
        <f t="shared" si="278"/>
        <v>2185834.5</v>
      </c>
      <c r="V245" s="1118">
        <f t="shared" si="278"/>
        <v>2189444.5</v>
      </c>
      <c r="W245" s="1118">
        <f t="shared" si="278"/>
        <v>2192492.5</v>
      </c>
      <c r="X245" s="1216">
        <f t="shared" si="278"/>
        <v>2196189</v>
      </c>
      <c r="Y245" s="1216">
        <f t="shared" si="278"/>
        <v>2199706.5</v>
      </c>
      <c r="Z245" s="1118">
        <f t="shared" si="278"/>
        <v>2200954</v>
      </c>
      <c r="AA245" s="1118">
        <f t="shared" si="278"/>
        <v>2202504</v>
      </c>
      <c r="AB245" s="1118" t="str">
        <f t="shared" si="278"/>
        <v/>
      </c>
      <c r="AC245" s="1118" t="str">
        <f t="shared" si="278"/>
        <v/>
      </c>
      <c r="AD245" s="1118" t="str">
        <f t="shared" si="278"/>
        <v/>
      </c>
      <c r="AE245" s="1216" t="str">
        <f t="shared" si="278"/>
        <v/>
      </c>
      <c r="AF245" s="1216" t="str">
        <f t="shared" si="278"/>
        <v/>
      </c>
      <c r="AG245" s="1118" t="str">
        <f t="shared" si="278"/>
        <v/>
      </c>
      <c r="AH245" s="1118" t="str">
        <f t="shared" si="278"/>
        <v/>
      </c>
      <c r="AI245" s="1089" t="str">
        <f t="shared" si="278"/>
        <v/>
      </c>
      <c r="AJ245" s="793"/>
      <c r="AK245" s="1026">
        <f t="shared" si="184"/>
        <v>0</v>
      </c>
      <c r="AL245" s="897"/>
      <c r="AM245" s="1042">
        <f t="shared" si="185"/>
        <v>0</v>
      </c>
      <c r="AN245" s="468"/>
      <c r="AO245" s="675"/>
      <c r="AP245" s="285"/>
      <c r="AQ245" s="285"/>
      <c r="AR245" s="285"/>
      <c r="AS245" s="285"/>
      <c r="AT245" s="286"/>
      <c r="AU245" s="285"/>
      <c r="AV245" s="287"/>
    </row>
    <row r="246" spans="1:48" ht="19.899999999999999" customHeight="1">
      <c r="A246" s="403"/>
      <c r="B246" s="393" t="s">
        <v>440</v>
      </c>
      <c r="C246" s="89" t="s">
        <v>108</v>
      </c>
      <c r="D246" s="90" t="s">
        <v>104</v>
      </c>
      <c r="E246" s="1365"/>
      <c r="F246" s="1107"/>
      <c r="G246" s="1228"/>
      <c r="H246" s="1144"/>
      <c r="I246" s="1107"/>
      <c r="J246" s="1228"/>
      <c r="K246" s="1273"/>
      <c r="L246" s="1107"/>
      <c r="M246" s="1107"/>
      <c r="N246" s="1177"/>
      <c r="O246" s="1107"/>
      <c r="P246" s="1177"/>
      <c r="Q246" s="1228"/>
      <c r="R246" s="1228"/>
      <c r="S246" s="1107"/>
      <c r="T246" s="1107"/>
      <c r="U246" s="1107"/>
      <c r="V246" s="1107"/>
      <c r="W246" s="1107"/>
      <c r="X246" s="1228"/>
      <c r="Y246" s="1228"/>
      <c r="Z246" s="1106"/>
      <c r="AA246" s="1107"/>
      <c r="AB246" s="1107"/>
      <c r="AC246" s="1107"/>
      <c r="AD246" s="1107"/>
      <c r="AE246" s="1228"/>
      <c r="AF246" s="1228"/>
      <c r="AG246" s="1107"/>
      <c r="AH246" s="1107"/>
      <c r="AI246" s="1107"/>
      <c r="AJ246" s="396"/>
      <c r="AK246" s="1024">
        <f t="shared" si="184"/>
        <v>280000</v>
      </c>
      <c r="AL246" s="420"/>
      <c r="AM246" s="1040">
        <f t="shared" si="185"/>
        <v>1064870.8</v>
      </c>
      <c r="AN246" s="382"/>
      <c r="AO246" s="622"/>
      <c r="AP246" s="391"/>
      <c r="AQ246" s="391"/>
      <c r="AR246" s="4"/>
      <c r="AS246" s="4"/>
      <c r="AT246" s="392"/>
      <c r="AU246" s="4"/>
      <c r="AV246" s="4"/>
    </row>
    <row r="247" spans="1:48" ht="19.899999999999999" customHeight="1" thickBot="1">
      <c r="A247" s="406"/>
      <c r="B247" s="398"/>
      <c r="C247" s="434">
        <f>+C245*0.8</f>
        <v>120000</v>
      </c>
      <c r="D247" s="95" t="s">
        <v>111</v>
      </c>
      <c r="E247" s="1109">
        <f>IF(E246="O/H",E240,203854+E240)</f>
        <v>207485</v>
      </c>
      <c r="F247" s="1110">
        <f t="shared" ref="F247:AI247" si="279">IF(F246="O/H",F240,+E247+F240)</f>
        <v>210782.5</v>
      </c>
      <c r="G247" s="1212">
        <f t="shared" si="279"/>
        <v>210877.5</v>
      </c>
      <c r="H247" s="1110">
        <f t="shared" si="279"/>
        <v>211182.5</v>
      </c>
      <c r="I247" s="1110">
        <f t="shared" si="279"/>
        <v>211262.5</v>
      </c>
      <c r="J247" s="1212">
        <f t="shared" si="279"/>
        <v>211262.5</v>
      </c>
      <c r="K247" s="1212">
        <f t="shared" si="279"/>
        <v>211262.5</v>
      </c>
      <c r="L247" s="1110">
        <f t="shared" si="279"/>
        <v>211262.5</v>
      </c>
      <c r="M247" s="1110">
        <f t="shared" si="279"/>
        <v>211403.5</v>
      </c>
      <c r="N247" s="1110">
        <f t="shared" si="279"/>
        <v>211569.5</v>
      </c>
      <c r="O247" s="1110">
        <f t="shared" si="279"/>
        <v>211569.5</v>
      </c>
      <c r="P247" s="1110">
        <f t="shared" si="279"/>
        <v>211703.5</v>
      </c>
      <c r="Q247" s="1212">
        <f t="shared" si="279"/>
        <v>211703.5</v>
      </c>
      <c r="R247" s="1212">
        <f t="shared" si="279"/>
        <v>211703.5</v>
      </c>
      <c r="S247" s="1110">
        <f t="shared" si="279"/>
        <v>211888.5</v>
      </c>
      <c r="T247" s="1110">
        <f t="shared" si="279"/>
        <v>212851.5</v>
      </c>
      <c r="U247" s="1110">
        <f t="shared" si="279"/>
        <v>216761.5</v>
      </c>
      <c r="V247" s="1110">
        <f t="shared" si="279"/>
        <v>220371.5</v>
      </c>
      <c r="W247" s="1110">
        <f t="shared" si="279"/>
        <v>223419.5</v>
      </c>
      <c r="X247" s="1212">
        <f t="shared" si="279"/>
        <v>227116</v>
      </c>
      <c r="Y247" s="1212">
        <f t="shared" si="279"/>
        <v>230633.5</v>
      </c>
      <c r="Z247" s="1110">
        <f t="shared" si="279"/>
        <v>231881</v>
      </c>
      <c r="AA247" s="1110">
        <f t="shared" si="279"/>
        <v>233431</v>
      </c>
      <c r="AB247" s="1110">
        <f t="shared" si="279"/>
        <v>233431</v>
      </c>
      <c r="AC247" s="1110">
        <f t="shared" si="279"/>
        <v>233431</v>
      </c>
      <c r="AD247" s="1110">
        <f t="shared" si="279"/>
        <v>233431</v>
      </c>
      <c r="AE247" s="1212">
        <f t="shared" si="279"/>
        <v>233431</v>
      </c>
      <c r="AF247" s="1212">
        <f t="shared" si="279"/>
        <v>233431</v>
      </c>
      <c r="AG247" s="1110">
        <f t="shared" si="279"/>
        <v>233431</v>
      </c>
      <c r="AH247" s="1110">
        <f t="shared" si="279"/>
        <v>233431</v>
      </c>
      <c r="AI247" s="1110">
        <f t="shared" si="279"/>
        <v>233431</v>
      </c>
      <c r="AJ247" s="399"/>
      <c r="AK247" s="1027">
        <f t="shared" si="184"/>
        <v>0</v>
      </c>
      <c r="AL247" s="421"/>
      <c r="AM247" s="1043">
        <f t="shared" si="185"/>
        <v>0</v>
      </c>
      <c r="AN247" s="894"/>
      <c r="AO247" s="625"/>
      <c r="AP247" s="391"/>
      <c r="AQ247" s="391"/>
    </row>
    <row r="248" spans="1:48" ht="19.899999999999999" customHeight="1" thickTop="1">
      <c r="A248" s="968" t="s">
        <v>598</v>
      </c>
      <c r="B248" s="411" t="s">
        <v>631</v>
      </c>
      <c r="C248" s="518" t="str">
        <f>Table37[[#This Row],[M/C No.]]</f>
        <v>R13(75*75ton)</v>
      </c>
      <c r="D248" s="28" t="s">
        <v>82</v>
      </c>
      <c r="E248" s="1111">
        <v>16000</v>
      </c>
      <c r="F248" s="1111">
        <v>16000</v>
      </c>
      <c r="G248" s="1201">
        <v>16000</v>
      </c>
      <c r="H248" s="1111">
        <v>16000</v>
      </c>
      <c r="I248" s="1111">
        <v>16000</v>
      </c>
      <c r="J248" s="1201">
        <v>16000</v>
      </c>
      <c r="K248" s="1201">
        <v>16000</v>
      </c>
      <c r="L248" s="1111">
        <v>16000</v>
      </c>
      <c r="M248" s="1111">
        <v>16000</v>
      </c>
      <c r="N248" s="1111">
        <v>16000</v>
      </c>
      <c r="O248" s="1111">
        <v>16000</v>
      </c>
      <c r="P248" s="1111">
        <v>16000</v>
      </c>
      <c r="Q248" s="1201">
        <v>16000</v>
      </c>
      <c r="R248" s="1201">
        <v>16000</v>
      </c>
      <c r="S248" s="1111">
        <v>16000</v>
      </c>
      <c r="T248" s="1111">
        <v>16000</v>
      </c>
      <c r="U248" s="1111">
        <v>16000</v>
      </c>
      <c r="V248" s="1111">
        <v>8000</v>
      </c>
      <c r="W248" s="1111">
        <v>0</v>
      </c>
      <c r="X248" s="1201">
        <v>0</v>
      </c>
      <c r="Y248" s="1201">
        <v>0</v>
      </c>
      <c r="Z248" s="1111">
        <v>0</v>
      </c>
      <c r="AA248" s="1111">
        <v>0</v>
      </c>
      <c r="AB248" s="1111">
        <v>0</v>
      </c>
      <c r="AC248" s="1111">
        <v>0</v>
      </c>
      <c r="AD248" s="1111">
        <v>0</v>
      </c>
      <c r="AE248" s="1201">
        <v>0</v>
      </c>
      <c r="AF248" s="1201">
        <v>0</v>
      </c>
      <c r="AG248" s="1111">
        <v>0</v>
      </c>
      <c r="AH248" s="1111">
        <v>0</v>
      </c>
      <c r="AI248" s="1111"/>
      <c r="AJ248" s="375">
        <f>SUM(E248:AI248)</f>
        <v>280000</v>
      </c>
      <c r="AK248" s="1047">
        <f t="shared" si="184"/>
        <v>133434</v>
      </c>
      <c r="AL248" s="422">
        <f>+AJ248*AN248</f>
        <v>1064870.8</v>
      </c>
      <c r="AM248" s="1046">
        <f t="shared" si="185"/>
        <v>507464.17974000005</v>
      </c>
      <c r="AN248" s="402">
        <v>3.8031100000000002</v>
      </c>
      <c r="AO248" s="622" t="s">
        <v>429</v>
      </c>
      <c r="AP248" s="32" t="s">
        <v>465</v>
      </c>
      <c r="AQ248" s="33" t="s">
        <v>84</v>
      </c>
      <c r="AR248" s="33" t="s">
        <v>85</v>
      </c>
      <c r="AS248" s="33" t="s">
        <v>86</v>
      </c>
      <c r="AT248" s="33" t="s">
        <v>87</v>
      </c>
      <c r="AU248" s="33" t="s">
        <v>88</v>
      </c>
      <c r="AV248" s="34" t="s">
        <v>68</v>
      </c>
    </row>
    <row r="249" spans="1:48" ht="19.899999999999999" customHeight="1">
      <c r="A249" s="403"/>
      <c r="B249" s="411" t="s">
        <v>466</v>
      </c>
      <c r="C249" s="1251">
        <v>67500</v>
      </c>
      <c r="D249" s="37" t="s">
        <v>90</v>
      </c>
      <c r="E249" s="1323">
        <f>IF(E248="",0,+ E248/E255)</f>
        <v>2000</v>
      </c>
      <c r="F249" s="1096">
        <f t="shared" ref="F249:AI249" si="280">IF(F248="",0, E249+F248/F255)</f>
        <v>4000</v>
      </c>
      <c r="G249" s="1207">
        <f t="shared" si="280"/>
        <v>6000</v>
      </c>
      <c r="H249" s="1096">
        <f t="shared" si="280"/>
        <v>8000</v>
      </c>
      <c r="I249" s="1096">
        <f t="shared" si="280"/>
        <v>10000</v>
      </c>
      <c r="J249" s="1207">
        <f t="shared" si="280"/>
        <v>12000</v>
      </c>
      <c r="K249" s="1207">
        <f t="shared" si="280"/>
        <v>14000</v>
      </c>
      <c r="L249" s="1096">
        <f t="shared" si="280"/>
        <v>16000</v>
      </c>
      <c r="M249" s="1096">
        <f t="shared" si="280"/>
        <v>18000</v>
      </c>
      <c r="N249" s="1096">
        <f t="shared" si="280"/>
        <v>20000</v>
      </c>
      <c r="O249" s="1096">
        <f t="shared" si="280"/>
        <v>22000</v>
      </c>
      <c r="P249" s="1096">
        <f t="shared" si="280"/>
        <v>24000</v>
      </c>
      <c r="Q249" s="1207">
        <f t="shared" si="280"/>
        <v>26000</v>
      </c>
      <c r="R249" s="1207">
        <f t="shared" si="280"/>
        <v>28000</v>
      </c>
      <c r="S249" s="1096">
        <f t="shared" si="280"/>
        <v>30000</v>
      </c>
      <c r="T249" s="1096">
        <f t="shared" si="280"/>
        <v>32000</v>
      </c>
      <c r="U249" s="1096">
        <f t="shared" si="280"/>
        <v>34000</v>
      </c>
      <c r="V249" s="1096">
        <f t="shared" si="280"/>
        <v>35000</v>
      </c>
      <c r="W249" s="1096">
        <f t="shared" si="280"/>
        <v>35000</v>
      </c>
      <c r="X249" s="1207">
        <f t="shared" si="280"/>
        <v>35000</v>
      </c>
      <c r="Y249" s="1207">
        <f t="shared" si="280"/>
        <v>35000</v>
      </c>
      <c r="Z249" s="1096">
        <f t="shared" si="280"/>
        <v>35000</v>
      </c>
      <c r="AA249" s="1096">
        <f t="shared" si="280"/>
        <v>35000</v>
      </c>
      <c r="AB249" s="1096">
        <f t="shared" si="280"/>
        <v>35000</v>
      </c>
      <c r="AC249" s="1096">
        <f t="shared" si="280"/>
        <v>35000</v>
      </c>
      <c r="AD249" s="1096">
        <f t="shared" si="280"/>
        <v>35000</v>
      </c>
      <c r="AE249" s="1207">
        <f t="shared" si="280"/>
        <v>35000</v>
      </c>
      <c r="AF249" s="1207">
        <f t="shared" si="280"/>
        <v>35000</v>
      </c>
      <c r="AG249" s="1096">
        <f t="shared" si="280"/>
        <v>35000</v>
      </c>
      <c r="AH249" s="1096">
        <f t="shared" si="280"/>
        <v>35000</v>
      </c>
      <c r="AI249" s="1096">
        <f t="shared" si="280"/>
        <v>0</v>
      </c>
      <c r="AJ249" s="375"/>
      <c r="AK249" s="1023">
        <f t="shared" si="184"/>
        <v>-146566</v>
      </c>
      <c r="AL249" s="423"/>
      <c r="AM249" s="1040">
        <f t="shared" si="185"/>
        <v>-557406.62026</v>
      </c>
      <c r="AN249" s="382"/>
      <c r="AO249" s="622">
        <f>AJ248*B252/1000</f>
        <v>187.04</v>
      </c>
      <c r="AP249" s="39" t="s">
        <v>91</v>
      </c>
      <c r="AQ249" s="40">
        <f>SUM(E248:H248)</f>
        <v>64000</v>
      </c>
      <c r="AR249" s="41">
        <f>SUM(I248:O248)</f>
        <v>112000</v>
      </c>
      <c r="AS249" s="41">
        <f>SUM(P248:V248)</f>
        <v>104000</v>
      </c>
      <c r="AT249" s="41">
        <f>SUM(W248:AC248)</f>
        <v>0</v>
      </c>
      <c r="AU249" s="41">
        <f>SUM(AD248:AI248)</f>
        <v>0</v>
      </c>
      <c r="AV249" s="34">
        <f t="shared" ref="AV249:AV254" si="281">SUM(AQ249:AU249)</f>
        <v>280000</v>
      </c>
    </row>
    <row r="250" spans="1:48" ht="19.899999999999999" customHeight="1">
      <c r="A250" s="403"/>
      <c r="B250" s="393" t="s">
        <v>272</v>
      </c>
      <c r="C250" s="656" t="s">
        <v>108</v>
      </c>
      <c r="D250" s="43" t="s">
        <v>93</v>
      </c>
      <c r="E250" s="1108">
        <v>15822</v>
      </c>
      <c r="F250" s="1089">
        <v>16200</v>
      </c>
      <c r="G250" s="44">
        <v>16200</v>
      </c>
      <c r="H250" s="1089">
        <v>4212</v>
      </c>
      <c r="I250" s="1089">
        <v>0</v>
      </c>
      <c r="J250" s="44">
        <v>0</v>
      </c>
      <c r="K250" s="44">
        <v>0</v>
      </c>
      <c r="L250" s="1089">
        <v>0</v>
      </c>
      <c r="M250" s="1089">
        <v>0</v>
      </c>
      <c r="N250" s="1089">
        <v>0</v>
      </c>
      <c r="O250" s="1089">
        <v>0</v>
      </c>
      <c r="P250" s="1089">
        <v>0</v>
      </c>
      <c r="Q250" s="44">
        <v>0</v>
      </c>
      <c r="R250" s="44">
        <v>0</v>
      </c>
      <c r="S250" s="1089">
        <v>0</v>
      </c>
      <c r="T250" s="1089">
        <v>0</v>
      </c>
      <c r="U250" s="1089">
        <v>3240</v>
      </c>
      <c r="V250" s="1089">
        <v>5832</v>
      </c>
      <c r="W250" s="1089">
        <v>14904</v>
      </c>
      <c r="X250" s="44">
        <v>14256</v>
      </c>
      <c r="Y250" s="44">
        <v>12312</v>
      </c>
      <c r="Z250" s="1089">
        <v>14904</v>
      </c>
      <c r="AA250" s="1089">
        <v>15552</v>
      </c>
      <c r="AB250" s="1089"/>
      <c r="AC250" s="1089"/>
      <c r="AD250" s="1089"/>
      <c r="AE250" s="44"/>
      <c r="AF250" s="44"/>
      <c r="AG250" s="1089"/>
      <c r="AH250" s="1089"/>
      <c r="AI250" s="1089"/>
      <c r="AJ250" s="380">
        <f>SUM(E250:AI250)</f>
        <v>133434</v>
      </c>
      <c r="AK250" s="1024">
        <f t="shared" si="184"/>
        <v>6016</v>
      </c>
      <c r="AL250" s="424">
        <f>+AJ250*AN248</f>
        <v>507464.17974000005</v>
      </c>
      <c r="AM250" s="1041">
        <f t="shared" si="185"/>
        <v>22879.509760000001</v>
      </c>
      <c r="AN250" s="382"/>
      <c r="AO250" s="632">
        <f>(AJ250+AJ252+AJ253+AJ254)*B252/1000</f>
        <v>95.437160000000006</v>
      </c>
      <c r="AP250" s="47" t="s">
        <v>94</v>
      </c>
      <c r="AQ250" s="48">
        <f>SUM(E250:H250)</f>
        <v>52434</v>
      </c>
      <c r="AR250" s="49">
        <f>SUM(I250:O250)</f>
        <v>0</v>
      </c>
      <c r="AS250" s="49">
        <f>SUM(P250:V250)</f>
        <v>9072</v>
      </c>
      <c r="AT250" s="49">
        <f>SUM(W250:AC250)</f>
        <v>71928</v>
      </c>
      <c r="AU250" s="49">
        <f>SUM(AD250:AI250)</f>
        <v>0</v>
      </c>
      <c r="AV250" s="50">
        <f t="shared" si="281"/>
        <v>133434</v>
      </c>
    </row>
    <row r="251" spans="1:48" ht="19.899999999999999" customHeight="1">
      <c r="A251" s="403"/>
      <c r="B251" s="767" t="s">
        <v>432</v>
      </c>
      <c r="C251" s="1252">
        <f>+C249*0.8</f>
        <v>54000</v>
      </c>
      <c r="D251" s="53" t="s">
        <v>96</v>
      </c>
      <c r="E251" s="1137">
        <f t="shared" ref="E251:AI251" si="282">+E250-E248</f>
        <v>-178</v>
      </c>
      <c r="F251" s="1097">
        <f t="shared" si="282"/>
        <v>200</v>
      </c>
      <c r="G251" s="1205">
        <f t="shared" si="282"/>
        <v>200</v>
      </c>
      <c r="H251" s="1097">
        <f t="shared" si="282"/>
        <v>-11788</v>
      </c>
      <c r="I251" s="1097">
        <f>+I250-I248</f>
        <v>-16000</v>
      </c>
      <c r="J251" s="1205">
        <f>+J250-J248</f>
        <v>-16000</v>
      </c>
      <c r="K251" s="1205">
        <f t="shared" si="282"/>
        <v>-16000</v>
      </c>
      <c r="L251" s="1097">
        <f t="shared" si="282"/>
        <v>-16000</v>
      </c>
      <c r="M251" s="1097">
        <f t="shared" si="282"/>
        <v>-16000</v>
      </c>
      <c r="N251" s="1097">
        <f t="shared" si="282"/>
        <v>-16000</v>
      </c>
      <c r="O251" s="1097">
        <f t="shared" si="282"/>
        <v>-16000</v>
      </c>
      <c r="P251" s="1097">
        <f t="shared" si="282"/>
        <v>-16000</v>
      </c>
      <c r="Q251" s="1205">
        <f t="shared" si="282"/>
        <v>-16000</v>
      </c>
      <c r="R251" s="1205">
        <f t="shared" si="282"/>
        <v>-16000</v>
      </c>
      <c r="S251" s="1097">
        <f t="shared" si="282"/>
        <v>-16000</v>
      </c>
      <c r="T251" s="1097">
        <f t="shared" si="282"/>
        <v>-16000</v>
      </c>
      <c r="U251" s="1097">
        <f t="shared" si="282"/>
        <v>-12760</v>
      </c>
      <c r="V251" s="1097">
        <f t="shared" si="282"/>
        <v>-2168</v>
      </c>
      <c r="W251" s="1097">
        <f t="shared" si="282"/>
        <v>14904</v>
      </c>
      <c r="X251" s="1205">
        <f t="shared" si="282"/>
        <v>14256</v>
      </c>
      <c r="Y251" s="1205">
        <f t="shared" si="282"/>
        <v>12312</v>
      </c>
      <c r="Z251" s="1097">
        <f t="shared" si="282"/>
        <v>14904</v>
      </c>
      <c r="AA251" s="1097">
        <f t="shared" si="282"/>
        <v>15552</v>
      </c>
      <c r="AB251" s="1097">
        <f t="shared" si="282"/>
        <v>0</v>
      </c>
      <c r="AC251" s="1097">
        <f t="shared" si="282"/>
        <v>0</v>
      </c>
      <c r="AD251" s="1097">
        <f t="shared" si="282"/>
        <v>0</v>
      </c>
      <c r="AE251" s="1205">
        <f t="shared" si="282"/>
        <v>0</v>
      </c>
      <c r="AF251" s="1205">
        <f t="shared" si="282"/>
        <v>0</v>
      </c>
      <c r="AG251" s="1097">
        <f t="shared" si="282"/>
        <v>0</v>
      </c>
      <c r="AH251" s="1097">
        <f t="shared" si="282"/>
        <v>0</v>
      </c>
      <c r="AI251" s="1097">
        <f t="shared" si="282"/>
        <v>0</v>
      </c>
      <c r="AJ251" s="381">
        <f t="shared" ref="AJ251" si="283">+AJ250-AJ248</f>
        <v>-146566</v>
      </c>
      <c r="AK251" s="1024">
        <f t="shared" si="184"/>
        <v>1890</v>
      </c>
      <c r="AL251" s="425">
        <f>+AJ251*AN248</f>
        <v>-557406.62026</v>
      </c>
      <c r="AM251" s="1041">
        <f t="shared" si="185"/>
        <v>7187.8779000000004</v>
      </c>
      <c r="AN251" s="382" t="s">
        <v>97</v>
      </c>
      <c r="AO251" s="622" t="s">
        <v>433</v>
      </c>
      <c r="AP251" s="39" t="s">
        <v>98</v>
      </c>
      <c r="AQ251" s="56">
        <f>AQ250-AQ249</f>
        <v>-11566</v>
      </c>
      <c r="AR251" s="70">
        <f>AR250-AR249</f>
        <v>-112000</v>
      </c>
      <c r="AS251" s="70">
        <f>AS250-AS249</f>
        <v>-94928</v>
      </c>
      <c r="AT251" s="70">
        <f>AT250-AT249</f>
        <v>71928</v>
      </c>
      <c r="AU251" s="70">
        <f>AU250-AU249</f>
        <v>0</v>
      </c>
      <c r="AV251" s="57">
        <f t="shared" si="281"/>
        <v>-146566</v>
      </c>
    </row>
    <row r="252" spans="1:48" ht="19.899999999999999" customHeight="1">
      <c r="A252" s="403"/>
      <c r="B252" s="768">
        <v>0.66800000000000004</v>
      </c>
      <c r="C252" s="431" t="s">
        <v>95</v>
      </c>
      <c r="D252" s="61" t="s">
        <v>101</v>
      </c>
      <c r="E252" s="1098">
        <v>228</v>
      </c>
      <c r="F252" s="1099">
        <v>0</v>
      </c>
      <c r="G252" s="1208">
        <v>0</v>
      </c>
      <c r="H252" s="1099">
        <v>0</v>
      </c>
      <c r="I252" s="1099">
        <v>0</v>
      </c>
      <c r="J252" s="1208">
        <v>0</v>
      </c>
      <c r="K252" s="1208">
        <v>0</v>
      </c>
      <c r="L252" s="1099">
        <v>0</v>
      </c>
      <c r="M252" s="1099">
        <v>0</v>
      </c>
      <c r="N252" s="1099">
        <v>0</v>
      </c>
      <c r="O252" s="1099">
        <v>0</v>
      </c>
      <c r="P252" s="1099">
        <v>0</v>
      </c>
      <c r="Q252" s="1208">
        <v>0</v>
      </c>
      <c r="R252" s="1208">
        <v>0</v>
      </c>
      <c r="S252" s="1099">
        <v>480</v>
      </c>
      <c r="T252" s="1099">
        <v>2540</v>
      </c>
      <c r="U252" s="1099">
        <v>956</v>
      </c>
      <c r="V252" s="1099">
        <v>320</v>
      </c>
      <c r="W252" s="1099">
        <v>352</v>
      </c>
      <c r="X252" s="1384">
        <v>220</v>
      </c>
      <c r="Y252" s="1208">
        <v>720</v>
      </c>
      <c r="Z252" s="1099">
        <v>200</v>
      </c>
      <c r="AA252" s="1099">
        <v>0</v>
      </c>
      <c r="AB252" s="1099"/>
      <c r="AC252" s="1099"/>
      <c r="AD252" s="1099"/>
      <c r="AE252" s="1208"/>
      <c r="AF252" s="1208"/>
      <c r="AG252" s="1099"/>
      <c r="AH252" s="1099"/>
      <c r="AI252" s="1099"/>
      <c r="AJ252" s="384">
        <f>SUM(E252:AI252)</f>
        <v>6016</v>
      </c>
      <c r="AK252" s="1024">
        <f t="shared" si="184"/>
        <v>1530</v>
      </c>
      <c r="AL252" s="420">
        <f>+AJ252*AN248</f>
        <v>22879.509760000001</v>
      </c>
      <c r="AM252" s="1040">
        <f t="shared" si="185"/>
        <v>5818.7583000000004</v>
      </c>
      <c r="AN252" s="404">
        <f>+AJ252/AJ250*100</f>
        <v>4.5085960100124405</v>
      </c>
      <c r="AO252" s="622">
        <f>AJ248*B254/1000</f>
        <v>419.63600000000002</v>
      </c>
      <c r="AP252" s="39" t="s">
        <v>102</v>
      </c>
      <c r="AQ252" s="56">
        <f>SUM(E252:H252)</f>
        <v>228</v>
      </c>
      <c r="AR252" s="70">
        <f>SUM(I252:O252)</f>
        <v>0</v>
      </c>
      <c r="AS252" s="70">
        <f>SUM(P252:V252)</f>
        <v>4296</v>
      </c>
      <c r="AT252" s="70">
        <f>SUM(W252:AC252)</f>
        <v>1492</v>
      </c>
      <c r="AU252" s="70">
        <f>SUM(AD252:AI252)</f>
        <v>0</v>
      </c>
      <c r="AV252" s="57">
        <f t="shared" si="281"/>
        <v>6016</v>
      </c>
    </row>
    <row r="253" spans="1:48" ht="19.899999999999999" customHeight="1">
      <c r="A253" s="403"/>
      <c r="B253" s="767" t="s">
        <v>434</v>
      </c>
      <c r="C253" s="60" t="s">
        <v>409</v>
      </c>
      <c r="D253" s="67" t="s">
        <v>103</v>
      </c>
      <c r="E253" s="1100">
        <v>216</v>
      </c>
      <c r="F253" s="1101">
        <v>216</v>
      </c>
      <c r="G253" s="1209">
        <v>216</v>
      </c>
      <c r="H253" s="1101">
        <v>36</v>
      </c>
      <c r="I253" s="1101">
        <v>0</v>
      </c>
      <c r="J253" s="1209">
        <v>0</v>
      </c>
      <c r="K253" s="1209">
        <v>0</v>
      </c>
      <c r="L253" s="1101">
        <v>0</v>
      </c>
      <c r="M253" s="1101">
        <v>0</v>
      </c>
      <c r="N253" s="1101">
        <v>0</v>
      </c>
      <c r="O253" s="1101">
        <v>0</v>
      </c>
      <c r="P253" s="1101">
        <v>0</v>
      </c>
      <c r="Q253" s="1209">
        <v>0</v>
      </c>
      <c r="R253" s="1209">
        <v>0</v>
      </c>
      <c r="S253" s="1101">
        <v>0</v>
      </c>
      <c r="T253" s="1101">
        <v>0</v>
      </c>
      <c r="U253" s="1101">
        <v>54</v>
      </c>
      <c r="V253" s="1101">
        <v>108</v>
      </c>
      <c r="W253" s="1101">
        <v>216</v>
      </c>
      <c r="X253" s="1209">
        <v>216</v>
      </c>
      <c r="Y253" s="1209">
        <v>144</v>
      </c>
      <c r="Z253" s="1101">
        <v>216</v>
      </c>
      <c r="AA253" s="1101">
        <v>252</v>
      </c>
      <c r="AB253" s="1101"/>
      <c r="AC253" s="1101"/>
      <c r="AD253" s="1101"/>
      <c r="AE253" s="1209"/>
      <c r="AF253" s="1209"/>
      <c r="AG253" s="1101"/>
      <c r="AH253" s="1101"/>
      <c r="AI253" s="1101"/>
      <c r="AJ253" s="386">
        <f>SUM(E253:AI253)</f>
        <v>1890</v>
      </c>
      <c r="AK253" s="1024">
        <f t="shared" si="184"/>
        <v>0</v>
      </c>
      <c r="AL253" s="426">
        <f>+AJ253*AN248</f>
        <v>7187.8779000000004</v>
      </c>
      <c r="AM253" s="1040">
        <f t="shared" si="185"/>
        <v>0</v>
      </c>
      <c r="AN253" s="382"/>
      <c r="AO253" s="632">
        <f>(AJ250+AJ252+AJ253+AJ254)*B254/1000</f>
        <v>214.119269</v>
      </c>
      <c r="AP253" s="39" t="s">
        <v>19</v>
      </c>
      <c r="AQ253" s="56">
        <f>AQ252*AN248</f>
        <v>867.10908000000006</v>
      </c>
      <c r="AR253" s="56">
        <f>AR252*AN248</f>
        <v>0</v>
      </c>
      <c r="AS253" s="56">
        <f>AS252*AN248</f>
        <v>16338.16056</v>
      </c>
      <c r="AT253" s="56">
        <f>AT252*AN248</f>
        <v>5674.2401200000004</v>
      </c>
      <c r="AU253" s="56">
        <f>AU252*AN248</f>
        <v>0</v>
      </c>
      <c r="AV253" s="57">
        <f t="shared" si="281"/>
        <v>22879.509760000001</v>
      </c>
    </row>
    <row r="254" spans="1:48" ht="19.899999999999999" customHeight="1">
      <c r="A254" s="403"/>
      <c r="B254" s="772">
        <v>1.4986999999999999</v>
      </c>
      <c r="C254" s="387"/>
      <c r="D254" s="73" t="s">
        <v>105</v>
      </c>
      <c r="E254" s="1102">
        <v>144</v>
      </c>
      <c r="F254" s="1103">
        <v>180</v>
      </c>
      <c r="G254" s="1210">
        <v>216</v>
      </c>
      <c r="H254" s="1103">
        <v>54</v>
      </c>
      <c r="I254" s="1103">
        <v>0</v>
      </c>
      <c r="J254" s="1210">
        <v>0</v>
      </c>
      <c r="K254" s="1210">
        <v>0</v>
      </c>
      <c r="L254" s="1103">
        <v>0</v>
      </c>
      <c r="M254" s="1103">
        <v>0</v>
      </c>
      <c r="N254" s="1103">
        <v>0</v>
      </c>
      <c r="O254" s="1103">
        <v>0</v>
      </c>
      <c r="P254" s="1103">
        <v>0</v>
      </c>
      <c r="Q254" s="1210">
        <v>0</v>
      </c>
      <c r="R254" s="1210">
        <v>0</v>
      </c>
      <c r="S254" s="1103">
        <v>0</v>
      </c>
      <c r="T254" s="1103">
        <v>0</v>
      </c>
      <c r="U254" s="1103">
        <v>72</v>
      </c>
      <c r="V254" s="1103">
        <v>72</v>
      </c>
      <c r="W254" s="1103">
        <v>180</v>
      </c>
      <c r="X254" s="1210">
        <v>216</v>
      </c>
      <c r="Y254" s="1210">
        <v>144</v>
      </c>
      <c r="Z254" s="1103">
        <v>72</v>
      </c>
      <c r="AA254" s="1103">
        <v>180</v>
      </c>
      <c r="AB254" s="1103"/>
      <c r="AC254" s="1103"/>
      <c r="AD254" s="1103"/>
      <c r="AE254" s="1210"/>
      <c r="AF254" s="1210"/>
      <c r="AG254" s="1103"/>
      <c r="AH254" s="1103"/>
      <c r="AI254" s="1103"/>
      <c r="AJ254" s="388">
        <f>SUM(E254:AI254)</f>
        <v>1530</v>
      </c>
      <c r="AK254" s="1024">
        <f t="shared" si="184"/>
        <v>17858.75</v>
      </c>
      <c r="AL254" s="427">
        <f>+AJ254*AN248</f>
        <v>5818.7583000000004</v>
      </c>
      <c r="AM254" s="1040">
        <f t="shared" si="185"/>
        <v>0</v>
      </c>
      <c r="AN254" s="382"/>
      <c r="AO254" s="622"/>
      <c r="AP254" s="47" t="s">
        <v>106</v>
      </c>
      <c r="AQ254" s="48">
        <f>AQ250*AN248</f>
        <v>199412.26974000002</v>
      </c>
      <c r="AR254" s="48">
        <f>AR250*AN248</f>
        <v>0</v>
      </c>
      <c r="AS254" s="48">
        <f>AS250*AN248</f>
        <v>34501.813920000001</v>
      </c>
      <c r="AT254" s="48">
        <f>AT250*AN248</f>
        <v>273550.09607999999</v>
      </c>
      <c r="AU254" s="48">
        <f>AU250*AN248</f>
        <v>0</v>
      </c>
      <c r="AV254" s="50">
        <f t="shared" si="281"/>
        <v>507464.17973999999</v>
      </c>
    </row>
    <row r="255" spans="1:48" ht="19.899999999999999" customHeight="1">
      <c r="A255" s="403"/>
      <c r="B255" s="334" t="s">
        <v>30</v>
      </c>
      <c r="C255" s="387" t="s">
        <v>435</v>
      </c>
      <c r="D255" s="78" t="s">
        <v>107</v>
      </c>
      <c r="E255" s="1137">
        <v>8</v>
      </c>
      <c r="F255" s="1097">
        <v>8</v>
      </c>
      <c r="G255" s="1205">
        <v>8</v>
      </c>
      <c r="H255" s="1097">
        <v>8</v>
      </c>
      <c r="I255" s="1097">
        <v>8</v>
      </c>
      <c r="J255" s="1205">
        <v>8</v>
      </c>
      <c r="K255" s="1205">
        <v>8</v>
      </c>
      <c r="L255" s="1097">
        <v>8</v>
      </c>
      <c r="M255" s="1097">
        <v>8</v>
      </c>
      <c r="N255" s="1097">
        <v>8</v>
      </c>
      <c r="O255" s="1097">
        <v>8</v>
      </c>
      <c r="P255" s="1097">
        <v>8</v>
      </c>
      <c r="Q255" s="1205">
        <v>8</v>
      </c>
      <c r="R255" s="1205">
        <v>8</v>
      </c>
      <c r="S255" s="1097">
        <v>8</v>
      </c>
      <c r="T255" s="1097">
        <v>8</v>
      </c>
      <c r="U255" s="1097">
        <v>8</v>
      </c>
      <c r="V255" s="1097">
        <v>8</v>
      </c>
      <c r="W255" s="1097">
        <v>8</v>
      </c>
      <c r="X255" s="1205">
        <v>8</v>
      </c>
      <c r="Y255" s="1205">
        <v>8</v>
      </c>
      <c r="Z255" s="1097">
        <v>8</v>
      </c>
      <c r="AA255" s="1097">
        <v>8</v>
      </c>
      <c r="AB255" s="1097">
        <v>8</v>
      </c>
      <c r="AC255" s="1097">
        <v>8</v>
      </c>
      <c r="AD255" s="1097">
        <v>8</v>
      </c>
      <c r="AE255" s="1205">
        <v>8</v>
      </c>
      <c r="AF255" s="1205">
        <v>8</v>
      </c>
      <c r="AG255" s="1097">
        <v>8</v>
      </c>
      <c r="AH255" s="1097">
        <v>8</v>
      </c>
      <c r="AI255" s="1097">
        <v>8</v>
      </c>
      <c r="AJ255" s="381"/>
      <c r="AK255" s="1024">
        <f t="shared" si="184"/>
        <v>0</v>
      </c>
      <c r="AL255" s="425"/>
      <c r="AM255" s="1041">
        <f t="shared" si="185"/>
        <v>0</v>
      </c>
      <c r="AN255" s="382"/>
      <c r="AO255" s="622"/>
      <c r="AP255" s="391"/>
      <c r="AQ255" s="391"/>
      <c r="AR255" s="4"/>
      <c r="AS255" s="4"/>
      <c r="AT255" s="392"/>
      <c r="AU255" s="4"/>
      <c r="AV255" s="4"/>
    </row>
    <row r="256" spans="1:48" ht="19.899999999999999" customHeight="1">
      <c r="A256" s="389"/>
      <c r="B256" s="334" t="s">
        <v>436</v>
      </c>
      <c r="C256" s="379">
        <v>50000</v>
      </c>
      <c r="D256" s="81" t="s">
        <v>109</v>
      </c>
      <c r="E256" s="1125">
        <f>SUM(E250+E252+E253+E254)/E255</f>
        <v>2051.25</v>
      </c>
      <c r="F256" s="1126">
        <f>SUM(F250+F252+F253+F254)/F255</f>
        <v>2074.5</v>
      </c>
      <c r="G256" s="1235">
        <f t="shared" ref="G256:AI256" si="284">SUM(G250+G252+G253+G254)/G255</f>
        <v>2079</v>
      </c>
      <c r="H256" s="1126">
        <f t="shared" si="284"/>
        <v>537.75</v>
      </c>
      <c r="I256" s="1126">
        <f t="shared" si="284"/>
        <v>0</v>
      </c>
      <c r="J256" s="1235">
        <f t="shared" si="284"/>
        <v>0</v>
      </c>
      <c r="K256" s="1235">
        <f t="shared" si="284"/>
        <v>0</v>
      </c>
      <c r="L256" s="1126">
        <f t="shared" si="284"/>
        <v>0</v>
      </c>
      <c r="M256" s="1126">
        <f t="shared" si="284"/>
        <v>0</v>
      </c>
      <c r="N256" s="1126">
        <f t="shared" si="284"/>
        <v>0</v>
      </c>
      <c r="O256" s="1126">
        <f t="shared" si="284"/>
        <v>0</v>
      </c>
      <c r="P256" s="1126">
        <f t="shared" si="284"/>
        <v>0</v>
      </c>
      <c r="Q256" s="1235">
        <f t="shared" si="284"/>
        <v>0</v>
      </c>
      <c r="R256" s="1235">
        <f t="shared" si="284"/>
        <v>0</v>
      </c>
      <c r="S256" s="1126">
        <f t="shared" si="284"/>
        <v>60</v>
      </c>
      <c r="T256" s="1126">
        <f t="shared" si="284"/>
        <v>317.5</v>
      </c>
      <c r="U256" s="1126">
        <f t="shared" si="284"/>
        <v>540.25</v>
      </c>
      <c r="V256" s="1126">
        <f t="shared" si="284"/>
        <v>791.5</v>
      </c>
      <c r="W256" s="1126">
        <f t="shared" si="284"/>
        <v>1956.5</v>
      </c>
      <c r="X256" s="1235">
        <f t="shared" si="284"/>
        <v>1863.5</v>
      </c>
      <c r="Y256" s="1235">
        <f t="shared" si="284"/>
        <v>1665</v>
      </c>
      <c r="Z256" s="1126">
        <f t="shared" si="284"/>
        <v>1924</v>
      </c>
      <c r="AA256" s="1126">
        <f t="shared" si="284"/>
        <v>1998</v>
      </c>
      <c r="AB256" s="1126">
        <f t="shared" si="284"/>
        <v>0</v>
      </c>
      <c r="AC256" s="1126">
        <f t="shared" si="284"/>
        <v>0</v>
      </c>
      <c r="AD256" s="1126">
        <f t="shared" si="284"/>
        <v>0</v>
      </c>
      <c r="AE256" s="1235">
        <f t="shared" si="284"/>
        <v>0</v>
      </c>
      <c r="AF256" s="1235">
        <f t="shared" si="284"/>
        <v>0</v>
      </c>
      <c r="AG256" s="1126">
        <f t="shared" si="284"/>
        <v>0</v>
      </c>
      <c r="AH256" s="1126">
        <f t="shared" si="284"/>
        <v>0</v>
      </c>
      <c r="AI256" s="1126">
        <f t="shared" si="284"/>
        <v>0</v>
      </c>
      <c r="AJ256" s="380">
        <f>SUM(E256:AI256)</f>
        <v>17858.75</v>
      </c>
      <c r="AK256" s="1025">
        <f t="shared" si="184"/>
        <v>0</v>
      </c>
      <c r="AL256" s="419"/>
      <c r="AM256" s="1040">
        <f t="shared" si="185"/>
        <v>0</v>
      </c>
      <c r="AN256" s="382"/>
      <c r="AO256" s="622"/>
      <c r="AP256" s="391"/>
      <c r="AQ256" s="391"/>
      <c r="AR256" s="4"/>
      <c r="AS256" s="4"/>
      <c r="AT256" s="392"/>
      <c r="AU256" s="4"/>
      <c r="AV256" s="4"/>
    </row>
    <row r="257" spans="1:48" ht="19.899999999999999" customHeight="1">
      <c r="A257" s="403"/>
      <c r="B257" s="390"/>
      <c r="C257" s="89" t="s">
        <v>108</v>
      </c>
      <c r="D257" s="85" t="s">
        <v>110</v>
      </c>
      <c r="E257" s="1178"/>
      <c r="F257" s="1179"/>
      <c r="G257" s="1267"/>
      <c r="H257" s="1175" t="s">
        <v>534</v>
      </c>
      <c r="I257" s="1179"/>
      <c r="J257" s="1267"/>
      <c r="K257" s="1270"/>
      <c r="L257" s="1179"/>
      <c r="M257" s="1179"/>
      <c r="N257" s="1175"/>
      <c r="O257" s="1178"/>
      <c r="P257" s="1178"/>
      <c r="Q257" s="1267"/>
      <c r="R257" s="1284"/>
      <c r="S257" s="1175"/>
      <c r="T257" s="1144"/>
      <c r="U257" s="1175"/>
      <c r="V257" s="1175"/>
      <c r="W257" s="1175"/>
      <c r="X257" s="1267"/>
      <c r="Y257" s="1267"/>
      <c r="Z257" s="1175"/>
      <c r="AA257" s="1175"/>
      <c r="AB257" s="1175"/>
      <c r="AC257" s="1175"/>
      <c r="AD257" s="1175"/>
      <c r="AE257" s="1267"/>
      <c r="AF257" s="1267"/>
      <c r="AG257" s="1175"/>
      <c r="AH257" s="1175"/>
      <c r="AI257" s="1175"/>
      <c r="AJ257" s="394"/>
      <c r="AK257" s="1025">
        <f t="shared" si="184"/>
        <v>0</v>
      </c>
      <c r="AL257" s="419"/>
      <c r="AM257" s="1040">
        <f t="shared" si="185"/>
        <v>0</v>
      </c>
      <c r="AN257" s="382"/>
      <c r="AO257" s="622"/>
      <c r="AP257" s="391"/>
      <c r="AQ257" s="391"/>
      <c r="AR257" s="4"/>
      <c r="AS257" s="4"/>
      <c r="AT257" s="392"/>
      <c r="AU257" s="4"/>
      <c r="AV257" s="4"/>
    </row>
    <row r="258" spans="1:48" ht="19.899999999999999" customHeight="1">
      <c r="A258" s="403"/>
      <c r="B258" s="390"/>
      <c r="C258" s="383">
        <f>+C256*0.8</f>
        <v>40000</v>
      </c>
      <c r="D258" s="88" t="s">
        <v>111</v>
      </c>
      <c r="E258" s="1156">
        <f>IF(E257="O/H",E256,25105+E256)</f>
        <v>27156.25</v>
      </c>
      <c r="F258" s="1157">
        <f>IF(F257="O/H",F256,+E258+F256)</f>
        <v>29230.75</v>
      </c>
      <c r="G258" s="1264">
        <f t="shared" ref="G258:AI258" si="285">IF(G257="O/H",G256,+F258+G256)</f>
        <v>31309.75</v>
      </c>
      <c r="H258" s="1157">
        <f t="shared" si="285"/>
        <v>537.75</v>
      </c>
      <c r="I258" s="1157">
        <f t="shared" si="285"/>
        <v>537.75</v>
      </c>
      <c r="J258" s="1264">
        <f t="shared" si="285"/>
        <v>537.75</v>
      </c>
      <c r="K258" s="1264">
        <f t="shared" si="285"/>
        <v>537.75</v>
      </c>
      <c r="L258" s="1157">
        <f t="shared" si="285"/>
        <v>537.75</v>
      </c>
      <c r="M258" s="1157">
        <f t="shared" si="285"/>
        <v>537.75</v>
      </c>
      <c r="N258" s="1157">
        <f t="shared" si="285"/>
        <v>537.75</v>
      </c>
      <c r="O258" s="1157">
        <f t="shared" si="285"/>
        <v>537.75</v>
      </c>
      <c r="P258" s="1157">
        <f t="shared" si="285"/>
        <v>537.75</v>
      </c>
      <c r="Q258" s="1264">
        <f t="shared" si="285"/>
        <v>537.75</v>
      </c>
      <c r="R258" s="1264">
        <f t="shared" si="285"/>
        <v>537.75</v>
      </c>
      <c r="S258" s="1157">
        <f t="shared" si="285"/>
        <v>597.75</v>
      </c>
      <c r="T258" s="1157">
        <f t="shared" si="285"/>
        <v>915.25</v>
      </c>
      <c r="U258" s="1157">
        <f t="shared" si="285"/>
        <v>1455.5</v>
      </c>
      <c r="V258" s="1157">
        <f t="shared" si="285"/>
        <v>2247</v>
      </c>
      <c r="W258" s="1157">
        <f t="shared" si="285"/>
        <v>4203.5</v>
      </c>
      <c r="X258" s="1264">
        <f t="shared" si="285"/>
        <v>6067</v>
      </c>
      <c r="Y258" s="1264">
        <f t="shared" si="285"/>
        <v>7732</v>
      </c>
      <c r="Z258" s="1157">
        <f t="shared" si="285"/>
        <v>9656</v>
      </c>
      <c r="AA258" s="1157">
        <f t="shared" si="285"/>
        <v>11654</v>
      </c>
      <c r="AB258" s="1157">
        <f t="shared" si="285"/>
        <v>11654</v>
      </c>
      <c r="AC258" s="1157">
        <f t="shared" si="285"/>
        <v>11654</v>
      </c>
      <c r="AD258" s="1157">
        <f t="shared" si="285"/>
        <v>11654</v>
      </c>
      <c r="AE258" s="1264">
        <f t="shared" si="285"/>
        <v>11654</v>
      </c>
      <c r="AF258" s="1264">
        <f t="shared" si="285"/>
        <v>11654</v>
      </c>
      <c r="AG258" s="1157">
        <f t="shared" si="285"/>
        <v>11654</v>
      </c>
      <c r="AH258" s="1157">
        <f t="shared" si="285"/>
        <v>11654</v>
      </c>
      <c r="AI258" s="1157">
        <f t="shared" si="285"/>
        <v>11654</v>
      </c>
      <c r="AJ258" s="394"/>
      <c r="AK258" s="1025">
        <f t="shared" si="184"/>
        <v>0</v>
      </c>
      <c r="AL258" s="419"/>
      <c r="AM258" s="1040">
        <f t="shared" si="185"/>
        <v>0</v>
      </c>
      <c r="AN258" s="382"/>
      <c r="AO258" s="622"/>
      <c r="AP258" s="391"/>
      <c r="AQ258" s="391"/>
      <c r="AR258" s="4"/>
      <c r="AS258" s="4"/>
      <c r="AT258" s="392"/>
      <c r="AU258" s="4"/>
      <c r="AV258" s="4"/>
    </row>
    <row r="259" spans="1:48" ht="19.899999999999999" customHeight="1">
      <c r="A259" s="403"/>
      <c r="B259" s="59"/>
      <c r="C259" s="387"/>
      <c r="D259" s="395" t="s">
        <v>435</v>
      </c>
      <c r="E259" s="1144"/>
      <c r="F259" s="1144"/>
      <c r="G259" s="1271"/>
      <c r="H259" s="1144" t="s">
        <v>534</v>
      </c>
      <c r="I259" s="1144"/>
      <c r="J259" s="1271"/>
      <c r="K259" s="1271"/>
      <c r="L259" s="1144"/>
      <c r="M259" s="1144"/>
      <c r="N259" s="1144"/>
      <c r="O259" s="1144"/>
      <c r="P259" s="1144"/>
      <c r="Q259" s="1271"/>
      <c r="R259" s="1271"/>
      <c r="S259" s="1144"/>
      <c r="T259" s="1144"/>
      <c r="U259" s="1144"/>
      <c r="V259" s="1144"/>
      <c r="W259" s="1144"/>
      <c r="X259" s="1271"/>
      <c r="Y259" s="1271"/>
      <c r="Z259" s="1175"/>
      <c r="AA259" s="1144"/>
      <c r="AB259" s="1144"/>
      <c r="AC259" s="1144"/>
      <c r="AD259" s="1144"/>
      <c r="AE259" s="1271"/>
      <c r="AF259" s="1271"/>
      <c r="AG259" s="1144"/>
      <c r="AH259" s="1144"/>
      <c r="AI259" s="1144"/>
      <c r="AJ259" s="396"/>
      <c r="AK259" s="1024">
        <f t="shared" si="184"/>
        <v>0</v>
      </c>
      <c r="AL259" s="420"/>
      <c r="AM259" s="1040">
        <f t="shared" si="185"/>
        <v>0</v>
      </c>
      <c r="AN259" s="382"/>
      <c r="AO259" s="622"/>
      <c r="AP259" s="391"/>
      <c r="AQ259" s="391"/>
    </row>
    <row r="260" spans="1:48" ht="19.899999999999999" customHeight="1">
      <c r="A260" s="403"/>
      <c r="B260" s="59"/>
      <c r="C260" s="387" t="s">
        <v>104</v>
      </c>
      <c r="D260" s="88" t="s">
        <v>111</v>
      </c>
      <c r="E260" s="1156">
        <f>IF(E259="O/H",E256,25105+E256)</f>
        <v>27156.25</v>
      </c>
      <c r="F260" s="1157">
        <f>IF(F259="O/H",F256,+E260+F256)</f>
        <v>29230.75</v>
      </c>
      <c r="G260" s="1264">
        <f t="shared" ref="G260:AI260" si="286">IF(G259="O/H",G256,+F260+G256)</f>
        <v>31309.75</v>
      </c>
      <c r="H260" s="1157">
        <f t="shared" si="286"/>
        <v>537.75</v>
      </c>
      <c r="I260" s="1157">
        <f t="shared" si="286"/>
        <v>537.75</v>
      </c>
      <c r="J260" s="1264">
        <f t="shared" si="286"/>
        <v>537.75</v>
      </c>
      <c r="K260" s="1264">
        <f t="shared" si="286"/>
        <v>537.75</v>
      </c>
      <c r="L260" s="1157">
        <f t="shared" si="286"/>
        <v>537.75</v>
      </c>
      <c r="M260" s="1157">
        <f t="shared" si="286"/>
        <v>537.75</v>
      </c>
      <c r="N260" s="1157">
        <f t="shared" si="286"/>
        <v>537.75</v>
      </c>
      <c r="O260" s="1157">
        <f t="shared" si="286"/>
        <v>537.75</v>
      </c>
      <c r="P260" s="1157">
        <f t="shared" si="286"/>
        <v>537.75</v>
      </c>
      <c r="Q260" s="1264">
        <f t="shared" si="286"/>
        <v>537.75</v>
      </c>
      <c r="R260" s="1264">
        <f t="shared" si="286"/>
        <v>537.75</v>
      </c>
      <c r="S260" s="1157">
        <f t="shared" si="286"/>
        <v>597.75</v>
      </c>
      <c r="T260" s="1157">
        <f t="shared" si="286"/>
        <v>915.25</v>
      </c>
      <c r="U260" s="1157">
        <f t="shared" si="286"/>
        <v>1455.5</v>
      </c>
      <c r="V260" s="1157">
        <f t="shared" si="286"/>
        <v>2247</v>
      </c>
      <c r="W260" s="1157">
        <f t="shared" si="286"/>
        <v>4203.5</v>
      </c>
      <c r="X260" s="1264">
        <f t="shared" si="286"/>
        <v>6067</v>
      </c>
      <c r="Y260" s="1264">
        <f t="shared" si="286"/>
        <v>7732</v>
      </c>
      <c r="Z260" s="1157">
        <f t="shared" si="286"/>
        <v>9656</v>
      </c>
      <c r="AA260" s="1157">
        <f t="shared" si="286"/>
        <v>11654</v>
      </c>
      <c r="AB260" s="1157">
        <f t="shared" si="286"/>
        <v>11654</v>
      </c>
      <c r="AC260" s="1157">
        <f t="shared" si="286"/>
        <v>11654</v>
      </c>
      <c r="AD260" s="1157">
        <f t="shared" si="286"/>
        <v>11654</v>
      </c>
      <c r="AE260" s="1264">
        <f t="shared" si="286"/>
        <v>11654</v>
      </c>
      <c r="AF260" s="1264">
        <f t="shared" si="286"/>
        <v>11654</v>
      </c>
      <c r="AG260" s="1157">
        <f t="shared" si="286"/>
        <v>11654</v>
      </c>
      <c r="AH260" s="1157">
        <f t="shared" si="286"/>
        <v>11654</v>
      </c>
      <c r="AI260" s="1157">
        <f t="shared" si="286"/>
        <v>11654</v>
      </c>
      <c r="AJ260" s="396"/>
      <c r="AK260" s="1024">
        <f t="shared" si="184"/>
        <v>0</v>
      </c>
      <c r="AL260" s="420"/>
      <c r="AM260" s="1040">
        <f t="shared" si="185"/>
        <v>0</v>
      </c>
      <c r="AN260" s="382"/>
      <c r="AO260" s="622"/>
      <c r="AP260" s="391"/>
      <c r="AQ260" s="391"/>
    </row>
    <row r="261" spans="1:48" s="23" customFormat="1" ht="20.45" customHeight="1">
      <c r="A261" s="312"/>
      <c r="B261" s="312"/>
      <c r="C261" s="379">
        <v>150000</v>
      </c>
      <c r="D261" s="795" t="s">
        <v>112</v>
      </c>
      <c r="E261" s="1117">
        <f>IF(AND(ISNUMBER(E250)),765446+E256)</f>
        <v>767497.25</v>
      </c>
      <c r="F261" s="1118">
        <f>IF(AND(ISNUMBER(F250)),E261+F256,"")</f>
        <v>769571.75</v>
      </c>
      <c r="G261" s="1216">
        <f>IF(AND(ISNUMBER(G250)),F261+G256,"")</f>
        <v>771650.75</v>
      </c>
      <c r="H261" s="1118">
        <f t="shared" ref="H261:AI261" si="287">IF(AND(ISNUMBER(H250)),G261+H256,"")</f>
        <v>772188.5</v>
      </c>
      <c r="I261" s="1118">
        <f t="shared" si="287"/>
        <v>772188.5</v>
      </c>
      <c r="J261" s="1216">
        <f t="shared" si="287"/>
        <v>772188.5</v>
      </c>
      <c r="K261" s="1216">
        <f t="shared" si="287"/>
        <v>772188.5</v>
      </c>
      <c r="L261" s="1118">
        <f t="shared" si="287"/>
        <v>772188.5</v>
      </c>
      <c r="M261" s="1118">
        <f t="shared" si="287"/>
        <v>772188.5</v>
      </c>
      <c r="N261" s="1118">
        <f t="shared" si="287"/>
        <v>772188.5</v>
      </c>
      <c r="O261" s="1118">
        <f t="shared" si="287"/>
        <v>772188.5</v>
      </c>
      <c r="P261" s="1118">
        <f t="shared" si="287"/>
        <v>772188.5</v>
      </c>
      <c r="Q261" s="1216">
        <f t="shared" si="287"/>
        <v>772188.5</v>
      </c>
      <c r="R261" s="1216">
        <f t="shared" si="287"/>
        <v>772188.5</v>
      </c>
      <c r="S261" s="1118">
        <f t="shared" si="287"/>
        <v>772248.5</v>
      </c>
      <c r="T261" s="1118">
        <f t="shared" si="287"/>
        <v>772566</v>
      </c>
      <c r="U261" s="1118">
        <f t="shared" si="287"/>
        <v>773106.25</v>
      </c>
      <c r="V261" s="1118">
        <f t="shared" si="287"/>
        <v>773897.75</v>
      </c>
      <c r="W261" s="1118">
        <f t="shared" si="287"/>
        <v>775854.25</v>
      </c>
      <c r="X261" s="1216">
        <f t="shared" si="287"/>
        <v>777717.75</v>
      </c>
      <c r="Y261" s="1216">
        <f t="shared" si="287"/>
        <v>779382.75</v>
      </c>
      <c r="Z261" s="1118">
        <f t="shared" si="287"/>
        <v>781306.75</v>
      </c>
      <c r="AA261" s="1118">
        <f t="shared" si="287"/>
        <v>783304.75</v>
      </c>
      <c r="AB261" s="1118" t="str">
        <f t="shared" si="287"/>
        <v/>
      </c>
      <c r="AC261" s="1118" t="str">
        <f t="shared" si="287"/>
        <v/>
      </c>
      <c r="AD261" s="1118" t="str">
        <f t="shared" si="287"/>
        <v/>
      </c>
      <c r="AE261" s="1216" t="str">
        <f t="shared" si="287"/>
        <v/>
      </c>
      <c r="AF261" s="1216" t="str">
        <f t="shared" si="287"/>
        <v/>
      </c>
      <c r="AG261" s="1118" t="str">
        <f t="shared" si="287"/>
        <v/>
      </c>
      <c r="AH261" s="1118" t="str">
        <f t="shared" si="287"/>
        <v/>
      </c>
      <c r="AI261" s="1089" t="str">
        <f t="shared" si="287"/>
        <v/>
      </c>
      <c r="AJ261" s="793"/>
      <c r="AK261" s="1026">
        <f t="shared" si="184"/>
        <v>0</v>
      </c>
      <c r="AL261" s="897"/>
      <c r="AM261" s="1042">
        <f t="shared" si="185"/>
        <v>0</v>
      </c>
      <c r="AN261" s="468"/>
      <c r="AO261" s="675"/>
      <c r="AP261" s="285"/>
      <c r="AQ261" s="285"/>
      <c r="AR261" s="285"/>
      <c r="AS261" s="285"/>
      <c r="AT261" s="286"/>
      <c r="AU261" s="285"/>
      <c r="AV261" s="287"/>
    </row>
    <row r="262" spans="1:48" ht="19.899999999999999" customHeight="1">
      <c r="A262" s="403"/>
      <c r="B262" s="393" t="s">
        <v>467</v>
      </c>
      <c r="C262" s="89" t="s">
        <v>108</v>
      </c>
      <c r="D262" s="90" t="s">
        <v>104</v>
      </c>
      <c r="E262" s="1372"/>
      <c r="F262" s="1141"/>
      <c r="G262" s="1271"/>
      <c r="H262" s="1144"/>
      <c r="I262" s="1141" t="s">
        <v>534</v>
      </c>
      <c r="J262" s="1272"/>
      <c r="K262" s="1271"/>
      <c r="L262" s="1141"/>
      <c r="M262" s="1141"/>
      <c r="N262" s="1144"/>
      <c r="O262" s="1141"/>
      <c r="P262" s="1144"/>
      <c r="Q262" s="1272"/>
      <c r="R262" s="1271"/>
      <c r="S262" s="1141"/>
      <c r="T262" s="1144"/>
      <c r="U262" s="1144"/>
      <c r="V262" s="1141"/>
      <c r="W262" s="1141"/>
      <c r="X262" s="1271"/>
      <c r="Y262" s="1272"/>
      <c r="Z262" s="1141"/>
      <c r="AA262" s="1141"/>
      <c r="AB262" s="1141"/>
      <c r="AC262" s="1141"/>
      <c r="AD262" s="1141"/>
      <c r="AE262" s="1272"/>
      <c r="AF262" s="1272"/>
      <c r="AG262" s="1141"/>
      <c r="AH262" s="1141"/>
      <c r="AI262" s="1141"/>
      <c r="AJ262" s="396"/>
      <c r="AK262" s="1024">
        <f t="shared" si="184"/>
        <v>250000</v>
      </c>
      <c r="AL262" s="420"/>
      <c r="AM262" s="1040">
        <f t="shared" si="185"/>
        <v>1716930</v>
      </c>
      <c r="AN262" s="382"/>
      <c r="AO262" s="622"/>
      <c r="AP262" s="391"/>
      <c r="AQ262" s="391"/>
    </row>
    <row r="263" spans="1:48" ht="19.899999999999999" customHeight="1" thickBot="1">
      <c r="A263" s="406"/>
      <c r="B263" s="398"/>
      <c r="C263" s="407">
        <f>+C261*0.8</f>
        <v>120000</v>
      </c>
      <c r="D263" s="95" t="s">
        <v>111</v>
      </c>
      <c r="E263" s="1109">
        <f>IF(E262="O/H",E256,148708+E256)</f>
        <v>150759.25</v>
      </c>
      <c r="F263" s="1110">
        <f>IF(F262="O/H",F256,+E263+F256)</f>
        <v>152833.75</v>
      </c>
      <c r="G263" s="1212">
        <f t="shared" ref="G263:AF263" si="288">IF(G262="O/H",G256,+F263+G256)</f>
        <v>154912.75</v>
      </c>
      <c r="H263" s="1110">
        <f t="shared" si="288"/>
        <v>155450.5</v>
      </c>
      <c r="I263" s="1110">
        <f t="shared" si="288"/>
        <v>0</v>
      </c>
      <c r="J263" s="1212">
        <f t="shared" si="288"/>
        <v>0</v>
      </c>
      <c r="K263" s="1212">
        <f t="shared" si="288"/>
        <v>0</v>
      </c>
      <c r="L263" s="1110">
        <f t="shared" si="288"/>
        <v>0</v>
      </c>
      <c r="M263" s="1110">
        <f t="shared" si="288"/>
        <v>0</v>
      </c>
      <c r="N263" s="1110">
        <f t="shared" si="288"/>
        <v>0</v>
      </c>
      <c r="O263" s="1110">
        <f t="shared" si="288"/>
        <v>0</v>
      </c>
      <c r="P263" s="1110">
        <f t="shared" si="288"/>
        <v>0</v>
      </c>
      <c r="Q263" s="1212">
        <f t="shared" si="288"/>
        <v>0</v>
      </c>
      <c r="R263" s="1212">
        <f t="shared" si="288"/>
        <v>0</v>
      </c>
      <c r="S263" s="1110">
        <f t="shared" si="288"/>
        <v>60</v>
      </c>
      <c r="T263" s="1110">
        <f t="shared" si="288"/>
        <v>377.5</v>
      </c>
      <c r="U263" s="1110">
        <f t="shared" si="288"/>
        <v>917.75</v>
      </c>
      <c r="V263" s="1110">
        <f t="shared" si="288"/>
        <v>1709.25</v>
      </c>
      <c r="W263" s="1110">
        <f t="shared" si="288"/>
        <v>3665.75</v>
      </c>
      <c r="X263" s="1212">
        <f t="shared" si="288"/>
        <v>5529.25</v>
      </c>
      <c r="Y263" s="1212">
        <f t="shared" si="288"/>
        <v>7194.25</v>
      </c>
      <c r="Z263" s="1110">
        <f t="shared" si="288"/>
        <v>9118.25</v>
      </c>
      <c r="AA263" s="1110">
        <f t="shared" si="288"/>
        <v>11116.25</v>
      </c>
      <c r="AB263" s="1110">
        <f t="shared" si="288"/>
        <v>11116.25</v>
      </c>
      <c r="AC263" s="1110">
        <f t="shared" si="288"/>
        <v>11116.25</v>
      </c>
      <c r="AD263" s="1110">
        <f t="shared" si="288"/>
        <v>11116.25</v>
      </c>
      <c r="AE263" s="1212">
        <f t="shared" si="288"/>
        <v>11116.25</v>
      </c>
      <c r="AF263" s="1212">
        <f t="shared" si="288"/>
        <v>11116.25</v>
      </c>
      <c r="AG263" s="1110">
        <f t="shared" ref="AG263" si="289">IF(AG262="O/H",AG256,+AF263+AG256)</f>
        <v>11116.25</v>
      </c>
      <c r="AH263" s="1110">
        <f t="shared" ref="AH263:AI263" si="290">IF(AH262="O/H",AH256,+AG263+AH256)</f>
        <v>11116.25</v>
      </c>
      <c r="AI263" s="1110">
        <f t="shared" si="290"/>
        <v>11116.25</v>
      </c>
      <c r="AJ263" s="399"/>
      <c r="AK263" s="1027">
        <f t="shared" ref="AK263:AK326" si="291">AJ265</f>
        <v>0</v>
      </c>
      <c r="AL263" s="421"/>
      <c r="AM263" s="1043">
        <f t="shared" ref="AM263:AM326" si="292">AL265</f>
        <v>0</v>
      </c>
      <c r="AN263" s="894"/>
      <c r="AO263" s="625"/>
      <c r="AP263" s="391"/>
      <c r="AQ263" s="391"/>
    </row>
    <row r="264" spans="1:48" ht="19.899999999999999" customHeight="1" thickTop="1">
      <c r="A264" s="968" t="s">
        <v>599</v>
      </c>
      <c r="B264" s="411" t="s">
        <v>632</v>
      </c>
      <c r="C264" s="518" t="str">
        <f>Table37[[#This Row],[M/C No.]]</f>
        <v>R14(50ton)</v>
      </c>
      <c r="D264" s="28" t="s">
        <v>82</v>
      </c>
      <c r="E264" s="1124">
        <v>15000</v>
      </c>
      <c r="F264" s="1124">
        <v>15000</v>
      </c>
      <c r="G264" s="1242">
        <v>15000</v>
      </c>
      <c r="H264" s="1124">
        <v>15000</v>
      </c>
      <c r="I264" s="1124">
        <v>15000</v>
      </c>
      <c r="J264" s="1242">
        <v>15000</v>
      </c>
      <c r="K264" s="1242">
        <v>15000</v>
      </c>
      <c r="L264" s="1124">
        <v>15000</v>
      </c>
      <c r="M264" s="1124">
        <v>15000</v>
      </c>
      <c r="N264" s="1124">
        <v>15000</v>
      </c>
      <c r="O264" s="1124">
        <v>15000</v>
      </c>
      <c r="P264" s="1124">
        <v>15000</v>
      </c>
      <c r="Q264" s="1242">
        <v>15000</v>
      </c>
      <c r="R264" s="1242">
        <v>15000</v>
      </c>
      <c r="S264" s="1124">
        <v>15000</v>
      </c>
      <c r="T264" s="1124">
        <v>15000</v>
      </c>
      <c r="U264" s="1124">
        <v>10000</v>
      </c>
      <c r="V264" s="1124">
        <v>0</v>
      </c>
      <c r="W264" s="1124">
        <v>0</v>
      </c>
      <c r="X264" s="1242">
        <v>0</v>
      </c>
      <c r="Y264" s="1242">
        <v>0</v>
      </c>
      <c r="Z264" s="1124">
        <v>0</v>
      </c>
      <c r="AA264" s="1124">
        <v>0</v>
      </c>
      <c r="AB264" s="1124">
        <v>0</v>
      </c>
      <c r="AC264" s="1124">
        <v>0</v>
      </c>
      <c r="AD264" s="1124">
        <v>0</v>
      </c>
      <c r="AE264" s="1242">
        <v>0</v>
      </c>
      <c r="AF264" s="1242">
        <v>0</v>
      </c>
      <c r="AG264" s="1124">
        <v>0</v>
      </c>
      <c r="AH264" s="1124">
        <v>0</v>
      </c>
      <c r="AI264" s="1124"/>
      <c r="AJ264" s="375">
        <f>SUM(E264:AI264)</f>
        <v>250000</v>
      </c>
      <c r="AK264" s="1047">
        <f t="shared" si="291"/>
        <v>56898</v>
      </c>
      <c r="AL264" s="422">
        <f>+AJ264*AN264</f>
        <v>1716930</v>
      </c>
      <c r="AM264" s="1046">
        <f t="shared" si="292"/>
        <v>390759.53256000002</v>
      </c>
      <c r="AN264" s="402">
        <v>6.8677200000000003</v>
      </c>
      <c r="AO264" s="622">
        <f>Table37[[#This Row],[Total]]*B268/1000</f>
        <v>657.5</v>
      </c>
      <c r="AP264" s="32" t="s">
        <v>468</v>
      </c>
      <c r="AQ264" s="33" t="s">
        <v>84</v>
      </c>
      <c r="AR264" s="33" t="s">
        <v>85</v>
      </c>
      <c r="AS264" s="33" t="s">
        <v>86</v>
      </c>
      <c r="AT264" s="33" t="s">
        <v>87</v>
      </c>
      <c r="AU264" s="33" t="s">
        <v>88</v>
      </c>
      <c r="AV264" s="34" t="s">
        <v>68</v>
      </c>
    </row>
    <row r="265" spans="1:48" ht="19.899999999999999" customHeight="1">
      <c r="A265" s="403"/>
      <c r="B265" s="393" t="s">
        <v>462</v>
      </c>
      <c r="C265" s="431" t="s">
        <v>110</v>
      </c>
      <c r="D265" s="37" t="s">
        <v>90</v>
      </c>
      <c r="E265" s="1323">
        <f>IF(E264="",0, +E264/E271)</f>
        <v>3750</v>
      </c>
      <c r="F265" s="1096">
        <f t="shared" ref="F265:AD265" si="293">IF(F264="",0, E265+F264/F271)</f>
        <v>7500</v>
      </c>
      <c r="G265" s="1207">
        <f t="shared" si="293"/>
        <v>11250</v>
      </c>
      <c r="H265" s="1096">
        <f t="shared" si="293"/>
        <v>15000</v>
      </c>
      <c r="I265" s="1096">
        <f t="shared" si="293"/>
        <v>18750</v>
      </c>
      <c r="J265" s="1207">
        <f t="shared" si="293"/>
        <v>22500</v>
      </c>
      <c r="K265" s="1207">
        <f t="shared" si="293"/>
        <v>26250</v>
      </c>
      <c r="L265" s="1096">
        <f t="shared" si="293"/>
        <v>30000</v>
      </c>
      <c r="M265" s="1096">
        <f t="shared" si="293"/>
        <v>33750</v>
      </c>
      <c r="N265" s="1096">
        <f t="shared" si="293"/>
        <v>37500</v>
      </c>
      <c r="O265" s="1096">
        <f t="shared" si="293"/>
        <v>41250</v>
      </c>
      <c r="P265" s="1096">
        <f t="shared" si="293"/>
        <v>45000</v>
      </c>
      <c r="Q265" s="1207">
        <f t="shared" si="293"/>
        <v>48750</v>
      </c>
      <c r="R265" s="1207">
        <v>0</v>
      </c>
      <c r="S265" s="1096">
        <v>0</v>
      </c>
      <c r="T265" s="1096">
        <v>0</v>
      </c>
      <c r="U265" s="1096">
        <f t="shared" si="293"/>
        <v>2500</v>
      </c>
      <c r="V265" s="1096">
        <f t="shared" si="293"/>
        <v>2500</v>
      </c>
      <c r="W265" s="1096">
        <f t="shared" si="293"/>
        <v>2500</v>
      </c>
      <c r="X265" s="1207">
        <f t="shared" si="293"/>
        <v>2500</v>
      </c>
      <c r="Y265" s="1207">
        <f t="shared" si="293"/>
        <v>2500</v>
      </c>
      <c r="Z265" s="1096">
        <f t="shared" si="293"/>
        <v>2500</v>
      </c>
      <c r="AA265" s="1096">
        <f t="shared" si="293"/>
        <v>2500</v>
      </c>
      <c r="AB265" s="1096">
        <f t="shared" si="293"/>
        <v>2500</v>
      </c>
      <c r="AC265" s="1096">
        <f t="shared" si="293"/>
        <v>2500</v>
      </c>
      <c r="AD265" s="1096">
        <f t="shared" si="293"/>
        <v>2500</v>
      </c>
      <c r="AE265" s="1207">
        <f>IF(AE264="",0, AD265+AE264/AE271)</f>
        <v>2500</v>
      </c>
      <c r="AF265" s="1207">
        <f>IF(AF264="",0, AE265+AF264/AF271)</f>
        <v>2500</v>
      </c>
      <c r="AG265" s="1096">
        <f>IF(AG264="",0, AF265+AG264/AG271)</f>
        <v>2500</v>
      </c>
      <c r="AH265" s="1096">
        <f>IF(AH264="",0, AG265+AH264/AH271)</f>
        <v>2500</v>
      </c>
      <c r="AI265" s="1096">
        <f>IF(AI264="",0, AH265+AI264/AI271)</f>
        <v>0</v>
      </c>
      <c r="AJ265" s="375"/>
      <c r="AK265" s="1023">
        <f t="shared" si="291"/>
        <v>-193102</v>
      </c>
      <c r="AL265" s="423"/>
      <c r="AM265" s="1040">
        <f t="shared" si="292"/>
        <v>-1326170.46744</v>
      </c>
      <c r="AN265" s="382"/>
      <c r="AO265" s="675"/>
      <c r="AP265" s="39" t="s">
        <v>91</v>
      </c>
      <c r="AQ265" s="40">
        <f>SUM(E264:H264)</f>
        <v>60000</v>
      </c>
      <c r="AR265" s="41">
        <f>SUM(I264:O264)</f>
        <v>105000</v>
      </c>
      <c r="AS265" s="41">
        <f>SUM(P264:V264)</f>
        <v>85000</v>
      </c>
      <c r="AT265" s="41">
        <f>SUM(W264:AC264)</f>
        <v>0</v>
      </c>
      <c r="AU265" s="41">
        <f>SUM(AD264:AI264)</f>
        <v>0</v>
      </c>
      <c r="AV265" s="34">
        <f t="shared" ref="AV265:AV270" si="294">SUM(AQ265:AU265)</f>
        <v>250000</v>
      </c>
    </row>
    <row r="266" spans="1:48" ht="19.899999999999999" customHeight="1">
      <c r="A266" s="403"/>
      <c r="B266" s="393" t="s">
        <v>246</v>
      </c>
      <c r="C266" s="379">
        <v>60000</v>
      </c>
      <c r="D266" s="43" t="s">
        <v>93</v>
      </c>
      <c r="E266" s="1108">
        <v>0</v>
      </c>
      <c r="F266" s="1089">
        <v>0</v>
      </c>
      <c r="G266" s="44">
        <v>0</v>
      </c>
      <c r="H266" s="1089">
        <v>0</v>
      </c>
      <c r="I266" s="1089">
        <v>0</v>
      </c>
      <c r="J266" s="44">
        <v>0</v>
      </c>
      <c r="K266" s="44">
        <v>0</v>
      </c>
      <c r="L266" s="1089">
        <v>0</v>
      </c>
      <c r="M266" s="1089">
        <v>0</v>
      </c>
      <c r="N266" s="1089">
        <v>5400</v>
      </c>
      <c r="O266" s="1089">
        <v>12960</v>
      </c>
      <c r="P266" s="1089">
        <v>12960</v>
      </c>
      <c r="Q266" s="44">
        <v>9450</v>
      </c>
      <c r="R266" s="44">
        <v>0</v>
      </c>
      <c r="S266" s="1089">
        <v>0</v>
      </c>
      <c r="T266" s="1089">
        <v>0</v>
      </c>
      <c r="U266" s="1089">
        <v>0</v>
      </c>
      <c r="V266" s="1089">
        <v>11808</v>
      </c>
      <c r="W266" s="1089">
        <v>4320</v>
      </c>
      <c r="X266" s="44">
        <v>0</v>
      </c>
      <c r="Y266" s="44">
        <v>0</v>
      </c>
      <c r="Z266" s="1089">
        <v>0</v>
      </c>
      <c r="AA266" s="1089">
        <v>0</v>
      </c>
      <c r="AB266" s="1089"/>
      <c r="AC266" s="1089"/>
      <c r="AD266" s="1089"/>
      <c r="AE266" s="44"/>
      <c r="AF266" s="44"/>
      <c r="AG266" s="1089"/>
      <c r="AH266" s="1089"/>
      <c r="AI266" s="1089"/>
      <c r="AJ266" s="380">
        <f>SUM(E266:AI266)</f>
        <v>56898</v>
      </c>
      <c r="AK266" s="1024">
        <f t="shared" si="291"/>
        <v>9242</v>
      </c>
      <c r="AL266" s="424">
        <f>+AJ266*AN264</f>
        <v>390759.53256000002</v>
      </c>
      <c r="AM266" s="1041">
        <f t="shared" si="292"/>
        <v>63471.468240000002</v>
      </c>
      <c r="AN266" s="382"/>
      <c r="AO266" s="632">
        <f>(AJ266+AJ268+AJ269+AJ270)*B268/1000</f>
        <v>177.47239999999999</v>
      </c>
      <c r="AP266" s="47" t="s">
        <v>94</v>
      </c>
      <c r="AQ266" s="48">
        <f>SUM(E266:H266)</f>
        <v>0</v>
      </c>
      <c r="AR266" s="49">
        <f>SUM(I266:O266)</f>
        <v>18360</v>
      </c>
      <c r="AS266" s="49">
        <f>SUM(P266:V266)</f>
        <v>34218</v>
      </c>
      <c r="AT266" s="49">
        <f>SUM(W266:AC266)</f>
        <v>4320</v>
      </c>
      <c r="AU266" s="49">
        <f>SUM(AD266:AI266)</f>
        <v>0</v>
      </c>
      <c r="AV266" s="50">
        <f t="shared" si="294"/>
        <v>56898</v>
      </c>
    </row>
    <row r="267" spans="1:48" ht="19.899999999999999" customHeight="1">
      <c r="A267" s="403"/>
      <c r="B267" s="748" t="s">
        <v>247</v>
      </c>
      <c r="C267" s="89" t="s">
        <v>108</v>
      </c>
      <c r="D267" s="53" t="s">
        <v>96</v>
      </c>
      <c r="E267" s="1137">
        <f t="shared" ref="E267:AJ267" si="295">+E266-E264</f>
        <v>-15000</v>
      </c>
      <c r="F267" s="1097">
        <f t="shared" si="295"/>
        <v>-15000</v>
      </c>
      <c r="G267" s="1205">
        <f t="shared" si="295"/>
        <v>-15000</v>
      </c>
      <c r="H267" s="1097">
        <f t="shared" si="295"/>
        <v>-15000</v>
      </c>
      <c r="I267" s="1097">
        <f>+I266-I264</f>
        <v>-15000</v>
      </c>
      <c r="J267" s="1205">
        <f t="shared" si="295"/>
        <v>-15000</v>
      </c>
      <c r="K267" s="1205">
        <f t="shared" si="295"/>
        <v>-15000</v>
      </c>
      <c r="L267" s="1097">
        <f t="shared" si="295"/>
        <v>-15000</v>
      </c>
      <c r="M267" s="1097">
        <f t="shared" si="295"/>
        <v>-15000</v>
      </c>
      <c r="N267" s="1097">
        <f t="shared" si="295"/>
        <v>-9600</v>
      </c>
      <c r="O267" s="1097">
        <f t="shared" si="295"/>
        <v>-2040</v>
      </c>
      <c r="P267" s="1097">
        <f t="shared" si="295"/>
        <v>-2040</v>
      </c>
      <c r="Q267" s="1205">
        <f t="shared" si="295"/>
        <v>-5550</v>
      </c>
      <c r="R267" s="1205">
        <f t="shared" si="295"/>
        <v>-15000</v>
      </c>
      <c r="S267" s="1097">
        <f t="shared" si="295"/>
        <v>-15000</v>
      </c>
      <c r="T267" s="1097">
        <f t="shared" si="295"/>
        <v>-15000</v>
      </c>
      <c r="U267" s="1097">
        <f t="shared" si="295"/>
        <v>-10000</v>
      </c>
      <c r="V267" s="1097">
        <f t="shared" si="295"/>
        <v>11808</v>
      </c>
      <c r="W267" s="1097">
        <f t="shared" si="295"/>
        <v>4320</v>
      </c>
      <c r="X267" s="1205">
        <f t="shared" si="295"/>
        <v>0</v>
      </c>
      <c r="Y267" s="1205">
        <f>+Y266-Y264</f>
        <v>0</v>
      </c>
      <c r="Z267" s="1097">
        <f>+Z266-Z264</f>
        <v>0</v>
      </c>
      <c r="AA267" s="1097">
        <f t="shared" si="295"/>
        <v>0</v>
      </c>
      <c r="AB267" s="1097">
        <f t="shared" si="295"/>
        <v>0</v>
      </c>
      <c r="AC267" s="1097">
        <f t="shared" si="295"/>
        <v>0</v>
      </c>
      <c r="AD267" s="1097">
        <f t="shared" si="295"/>
        <v>0</v>
      </c>
      <c r="AE267" s="1205">
        <f>+AE266-AE264</f>
        <v>0</v>
      </c>
      <c r="AF267" s="1205">
        <f>+AF266-AF264</f>
        <v>0</v>
      </c>
      <c r="AG267" s="1097">
        <f>+AG266-AG264</f>
        <v>0</v>
      </c>
      <c r="AH267" s="1097">
        <f>+AH266-AH264</f>
        <v>0</v>
      </c>
      <c r="AI267" s="1097">
        <f>+AI266-AI264</f>
        <v>0</v>
      </c>
      <c r="AJ267" s="381">
        <f t="shared" si="295"/>
        <v>-193102</v>
      </c>
      <c r="AK267" s="1024">
        <f t="shared" si="291"/>
        <v>924</v>
      </c>
      <c r="AL267" s="425">
        <f>+AJ267*AN264</f>
        <v>-1326170.46744</v>
      </c>
      <c r="AM267" s="1041">
        <f t="shared" si="292"/>
        <v>6345.7732800000003</v>
      </c>
      <c r="AN267" s="382" t="s">
        <v>97</v>
      </c>
      <c r="AO267" s="622"/>
      <c r="AP267" s="39" t="s">
        <v>98</v>
      </c>
      <c r="AQ267" s="56">
        <f>AQ266-AQ265</f>
        <v>-60000</v>
      </c>
      <c r="AR267" s="70">
        <f>AR266-AR265</f>
        <v>-86640</v>
      </c>
      <c r="AS267" s="70">
        <f>AS266-AS265</f>
        <v>-50782</v>
      </c>
      <c r="AT267" s="70">
        <f>AT266-AT265</f>
        <v>4320</v>
      </c>
      <c r="AU267" s="70">
        <f>AU266-AU265</f>
        <v>0</v>
      </c>
      <c r="AV267" s="57">
        <f t="shared" si="294"/>
        <v>-193102</v>
      </c>
    </row>
    <row r="268" spans="1:48" ht="19.899999999999999" customHeight="1">
      <c r="A268" s="403"/>
      <c r="B268" s="749">
        <v>2.63</v>
      </c>
      <c r="C268" s="432">
        <f>+C266*0.8</f>
        <v>48000</v>
      </c>
      <c r="D268" s="61" t="s">
        <v>101</v>
      </c>
      <c r="E268" s="1098">
        <f>120+204</f>
        <v>324</v>
      </c>
      <c r="F268" s="1099">
        <v>360</v>
      </c>
      <c r="G268" s="1208">
        <v>0</v>
      </c>
      <c r="H268" s="1099">
        <f>320+540</f>
        <v>860</v>
      </c>
      <c r="I268" s="1099">
        <v>0</v>
      </c>
      <c r="J268" s="1208">
        <v>0</v>
      </c>
      <c r="K268" s="1208">
        <v>0</v>
      </c>
      <c r="L268" s="1099">
        <f>120+180</f>
        <v>300</v>
      </c>
      <c r="M268" s="1099">
        <f>200+456</f>
        <v>656</v>
      </c>
      <c r="N268" s="1099">
        <f>320+720</f>
        <v>1040</v>
      </c>
      <c r="O268" s="1099">
        <v>440</v>
      </c>
      <c r="P268" s="1099">
        <v>360</v>
      </c>
      <c r="Q268" s="1208">
        <f>120+560</f>
        <v>680</v>
      </c>
      <c r="R268" s="1208">
        <v>0</v>
      </c>
      <c r="S268" s="1099">
        <f>120+232</f>
        <v>352</v>
      </c>
      <c r="T268" s="1099">
        <f>120+260</f>
        <v>380</v>
      </c>
      <c r="U268" s="1099">
        <f>320+542</f>
        <v>862</v>
      </c>
      <c r="V268" s="1099">
        <f>120+80</f>
        <v>200</v>
      </c>
      <c r="W268" s="1099">
        <v>120</v>
      </c>
      <c r="X268" s="1208">
        <v>0</v>
      </c>
      <c r="Y268" s="1208">
        <v>0</v>
      </c>
      <c r="Z268" s="1099">
        <f>500+976</f>
        <v>1476</v>
      </c>
      <c r="AA268" s="1099">
        <f>200+632</f>
        <v>832</v>
      </c>
      <c r="AB268" s="1099"/>
      <c r="AC268" s="1099"/>
      <c r="AD268" s="1099"/>
      <c r="AE268" s="1208"/>
      <c r="AF268" s="1208"/>
      <c r="AG268" s="1099"/>
      <c r="AH268" s="1099"/>
      <c r="AI268" s="1099"/>
      <c r="AJ268" s="384">
        <f>SUM(E268:AI268)</f>
        <v>9242</v>
      </c>
      <c r="AK268" s="1024">
        <f t="shared" si="291"/>
        <v>416</v>
      </c>
      <c r="AL268" s="420">
        <f>+AJ268*AN264</f>
        <v>63471.468240000002</v>
      </c>
      <c r="AM268" s="1040">
        <f t="shared" si="292"/>
        <v>2856.9715200000001</v>
      </c>
      <c r="AN268" s="404">
        <f>+AJ268/AJ266*100</f>
        <v>16.24310169074484</v>
      </c>
      <c r="AO268" s="635">
        <f>AO266/AO264</f>
        <v>0.26991999999999999</v>
      </c>
      <c r="AP268" s="39" t="s">
        <v>102</v>
      </c>
      <c r="AQ268" s="56">
        <f>SUM(E268:H268)</f>
        <v>1544</v>
      </c>
      <c r="AR268" s="70">
        <f>SUM(I268:O268)</f>
        <v>2436</v>
      </c>
      <c r="AS268" s="70">
        <f>SUM(P268:V268)</f>
        <v>2834</v>
      </c>
      <c r="AT268" s="70">
        <f>SUM(W268:AC268)</f>
        <v>2428</v>
      </c>
      <c r="AU268" s="70">
        <f>SUM(AD268:AI268)</f>
        <v>0</v>
      </c>
      <c r="AV268" s="57">
        <f t="shared" si="294"/>
        <v>9242</v>
      </c>
    </row>
    <row r="269" spans="1:48" ht="19.899999999999999" customHeight="1">
      <c r="A269" s="403"/>
      <c r="B269" s="65"/>
      <c r="C269" s="432"/>
      <c r="D269" s="67" t="s">
        <v>103</v>
      </c>
      <c r="E269" s="1100">
        <v>0</v>
      </c>
      <c r="F269" s="1101">
        <v>0</v>
      </c>
      <c r="G269" s="1209">
        <v>0</v>
      </c>
      <c r="H269" s="1101">
        <v>0</v>
      </c>
      <c r="I269" s="1101">
        <v>0</v>
      </c>
      <c r="J269" s="1209">
        <v>0</v>
      </c>
      <c r="K269" s="1214">
        <v>0</v>
      </c>
      <c r="L269" s="1114">
        <v>0</v>
      </c>
      <c r="M269" s="1114">
        <v>0</v>
      </c>
      <c r="N269" s="1114">
        <v>48</v>
      </c>
      <c r="O269" s="1114">
        <v>162</v>
      </c>
      <c r="P269" s="1114">
        <v>162</v>
      </c>
      <c r="Q269" s="1214">
        <v>198</v>
      </c>
      <c r="R269" s="1214">
        <v>0</v>
      </c>
      <c r="S269" s="1114">
        <v>0</v>
      </c>
      <c r="T269" s="1114">
        <v>0</v>
      </c>
      <c r="U269" s="1114">
        <v>0</v>
      </c>
      <c r="V269" s="1114">
        <v>240</v>
      </c>
      <c r="W269" s="1114">
        <v>114</v>
      </c>
      <c r="X269" s="1214">
        <v>0</v>
      </c>
      <c r="Y269" s="1214">
        <v>0</v>
      </c>
      <c r="Z269" s="1114">
        <v>0</v>
      </c>
      <c r="AA269" s="1114">
        <v>0</v>
      </c>
      <c r="AB269" s="1114"/>
      <c r="AC269" s="1114"/>
      <c r="AD269" s="1114"/>
      <c r="AE269" s="1214"/>
      <c r="AF269" s="1214"/>
      <c r="AG269" s="1114"/>
      <c r="AH269" s="1114"/>
      <c r="AI269" s="1114"/>
      <c r="AJ269" s="386">
        <f>SUM(E269:AI269)</f>
        <v>924</v>
      </c>
      <c r="AK269" s="1024">
        <f t="shared" si="291"/>
        <v>0</v>
      </c>
      <c r="AL269" s="426">
        <f>+AJ269*AN264</f>
        <v>6345.7732800000003</v>
      </c>
      <c r="AM269" s="1040">
        <f t="shared" si="292"/>
        <v>0</v>
      </c>
      <c r="AN269" s="382"/>
      <c r="AO269" s="622"/>
      <c r="AP269" s="39" t="s">
        <v>19</v>
      </c>
      <c r="AQ269" s="56">
        <f>AQ268*AN264</f>
        <v>10603.759680000001</v>
      </c>
      <c r="AR269" s="56">
        <f>AR268*AN264</f>
        <v>16729.765920000002</v>
      </c>
      <c r="AS269" s="56">
        <f>AS268*AN264</f>
        <v>19463.118480000001</v>
      </c>
      <c r="AT269" s="56">
        <f>AT268*AN264</f>
        <v>16674.82416</v>
      </c>
      <c r="AU269" s="56">
        <f>AU268*AN264</f>
        <v>0</v>
      </c>
      <c r="AV269" s="57">
        <f t="shared" si="294"/>
        <v>63471.468240000002</v>
      </c>
    </row>
    <row r="270" spans="1:48" ht="19.899999999999999" customHeight="1">
      <c r="A270" s="403"/>
      <c r="B270" s="65"/>
      <c r="C270" s="387" t="s">
        <v>435</v>
      </c>
      <c r="D270" s="73" t="s">
        <v>105</v>
      </c>
      <c r="E270" s="1102">
        <v>0</v>
      </c>
      <c r="F270" s="1103">
        <v>0</v>
      </c>
      <c r="G270" s="1210">
        <v>0</v>
      </c>
      <c r="H270" s="1103">
        <v>0</v>
      </c>
      <c r="I270" s="1103">
        <v>0</v>
      </c>
      <c r="J270" s="1210">
        <v>0</v>
      </c>
      <c r="K270" s="1383">
        <v>0</v>
      </c>
      <c r="L270" s="1116">
        <v>0</v>
      </c>
      <c r="M270" s="1116">
        <v>0</v>
      </c>
      <c r="N270" s="1116">
        <v>48</v>
      </c>
      <c r="O270" s="1116">
        <v>96</v>
      </c>
      <c r="P270" s="1116">
        <v>96</v>
      </c>
      <c r="Q270" s="1215">
        <v>72</v>
      </c>
      <c r="R270" s="1215">
        <v>0</v>
      </c>
      <c r="S270" s="1116">
        <v>0</v>
      </c>
      <c r="T270" s="1116">
        <v>0</v>
      </c>
      <c r="U270" s="1116">
        <v>0</v>
      </c>
      <c r="V270" s="1116">
        <v>72</v>
      </c>
      <c r="W270" s="1116">
        <v>32</v>
      </c>
      <c r="X270" s="1215">
        <v>0</v>
      </c>
      <c r="Y270" s="1215">
        <v>0</v>
      </c>
      <c r="Z270" s="1116">
        <v>0</v>
      </c>
      <c r="AA270" s="1116">
        <v>0</v>
      </c>
      <c r="AB270" s="1116"/>
      <c r="AC270" s="1116"/>
      <c r="AD270" s="1116"/>
      <c r="AE270" s="1215"/>
      <c r="AF270" s="1215"/>
      <c r="AG270" s="1116"/>
      <c r="AH270" s="1116"/>
      <c r="AI270" s="1103"/>
      <c r="AJ270" s="388">
        <f>SUM(E270:AI270)</f>
        <v>416</v>
      </c>
      <c r="AK270" s="1024">
        <f t="shared" si="291"/>
        <v>16870</v>
      </c>
      <c r="AL270" s="427">
        <f>+AJ270*AN264</f>
        <v>2856.9715200000001</v>
      </c>
      <c r="AM270" s="1040">
        <f t="shared" si="292"/>
        <v>0</v>
      </c>
      <c r="AN270" s="382"/>
      <c r="AO270" s="622"/>
      <c r="AP270" s="47" t="s">
        <v>106</v>
      </c>
      <c r="AQ270" s="48">
        <f>AQ266*AN264</f>
        <v>0</v>
      </c>
      <c r="AR270" s="48">
        <f>AR266*AN264</f>
        <v>126091.3392</v>
      </c>
      <c r="AS270" s="48">
        <f>AS266*AN264</f>
        <v>234999.64296</v>
      </c>
      <c r="AT270" s="48">
        <f>AT266*AN264</f>
        <v>29668.5504</v>
      </c>
      <c r="AU270" s="48">
        <f>AU266*AN264</f>
        <v>0</v>
      </c>
      <c r="AV270" s="50">
        <f t="shared" si="294"/>
        <v>390759.53256000002</v>
      </c>
    </row>
    <row r="271" spans="1:48" ht="19.899999999999999" customHeight="1">
      <c r="A271" s="403"/>
      <c r="B271" s="390"/>
      <c r="C271" s="379">
        <v>50000</v>
      </c>
      <c r="D271" s="78" t="s">
        <v>107</v>
      </c>
      <c r="E271" s="1137">
        <v>4</v>
      </c>
      <c r="F271" s="1097">
        <v>4</v>
      </c>
      <c r="G271" s="1205">
        <v>4</v>
      </c>
      <c r="H271" s="1097">
        <v>4</v>
      </c>
      <c r="I271" s="1097">
        <v>4</v>
      </c>
      <c r="J271" s="1205">
        <v>4</v>
      </c>
      <c r="K271" s="1205">
        <v>4</v>
      </c>
      <c r="L271" s="1097">
        <v>4</v>
      </c>
      <c r="M271" s="1097">
        <v>4</v>
      </c>
      <c r="N271" s="1097">
        <v>4</v>
      </c>
      <c r="O271" s="1097">
        <v>4</v>
      </c>
      <c r="P271" s="1097">
        <v>4</v>
      </c>
      <c r="Q271" s="1205">
        <v>4</v>
      </c>
      <c r="R271" s="1205">
        <v>4</v>
      </c>
      <c r="S271" s="1162">
        <v>4</v>
      </c>
      <c r="T271" s="1097">
        <v>4</v>
      </c>
      <c r="U271" s="1097">
        <v>4</v>
      </c>
      <c r="V271" s="1097">
        <v>4</v>
      </c>
      <c r="W271" s="1097">
        <v>4</v>
      </c>
      <c r="X271" s="1205">
        <v>4</v>
      </c>
      <c r="Y271" s="1205">
        <v>4</v>
      </c>
      <c r="Z271" s="1097">
        <v>4</v>
      </c>
      <c r="AA271" s="1097">
        <v>4</v>
      </c>
      <c r="AB271" s="1097">
        <v>4</v>
      </c>
      <c r="AC271" s="1097">
        <v>4</v>
      </c>
      <c r="AD271" s="1097">
        <v>4</v>
      </c>
      <c r="AE271" s="1205">
        <v>4</v>
      </c>
      <c r="AF271" s="1205">
        <v>4</v>
      </c>
      <c r="AG271" s="1097">
        <v>4</v>
      </c>
      <c r="AH271" s="1097">
        <v>4</v>
      </c>
      <c r="AI271" s="1097">
        <v>4</v>
      </c>
      <c r="AJ271" s="381"/>
      <c r="AK271" s="1024">
        <f t="shared" si="291"/>
        <v>0</v>
      </c>
      <c r="AL271" s="425"/>
      <c r="AM271" s="1041">
        <f t="shared" si="292"/>
        <v>0</v>
      </c>
      <c r="AN271" s="382"/>
      <c r="AO271" s="622"/>
      <c r="AP271" s="391"/>
      <c r="AQ271" s="391"/>
      <c r="AR271" s="4"/>
      <c r="AS271" s="4"/>
      <c r="AT271" s="392"/>
      <c r="AU271" s="4"/>
      <c r="AV271" s="4"/>
    </row>
    <row r="272" spans="1:48" ht="19.899999999999999" customHeight="1">
      <c r="A272" s="403"/>
      <c r="B272" s="390"/>
      <c r="C272" s="89" t="s">
        <v>108</v>
      </c>
      <c r="D272" s="81" t="s">
        <v>109</v>
      </c>
      <c r="E272" s="1125">
        <f>SUM(E266+E268+E269+E270)/E271</f>
        <v>81</v>
      </c>
      <c r="F272" s="1125">
        <f t="shared" ref="F272:AI272" si="296">SUM(F266+F268+F269+F270)/F271</f>
        <v>90</v>
      </c>
      <c r="G272" s="1233">
        <f t="shared" si="296"/>
        <v>0</v>
      </c>
      <c r="H272" s="1125">
        <f t="shared" si="296"/>
        <v>215</v>
      </c>
      <c r="I272" s="1125">
        <f t="shared" si="296"/>
        <v>0</v>
      </c>
      <c r="J272" s="1233">
        <f t="shared" si="296"/>
        <v>0</v>
      </c>
      <c r="K272" s="1233">
        <f t="shared" si="296"/>
        <v>0</v>
      </c>
      <c r="L272" s="1125">
        <f>SUM(L266+L268+L269+L270)/L271</f>
        <v>75</v>
      </c>
      <c r="M272" s="1125">
        <f t="shared" si="296"/>
        <v>164</v>
      </c>
      <c r="N272" s="1125">
        <f t="shared" si="296"/>
        <v>1634</v>
      </c>
      <c r="O272" s="1125">
        <f t="shared" si="296"/>
        <v>3414.5</v>
      </c>
      <c r="P272" s="1125">
        <f t="shared" si="296"/>
        <v>3394.5</v>
      </c>
      <c r="Q272" s="1233">
        <f t="shared" si="296"/>
        <v>2600</v>
      </c>
      <c r="R272" s="1233">
        <f t="shared" si="296"/>
        <v>0</v>
      </c>
      <c r="S272" s="1125">
        <f t="shared" si="296"/>
        <v>88</v>
      </c>
      <c r="T272" s="1125">
        <f t="shared" si="296"/>
        <v>95</v>
      </c>
      <c r="U272" s="1125">
        <f t="shared" si="296"/>
        <v>215.5</v>
      </c>
      <c r="V272" s="1125">
        <f t="shared" si="296"/>
        <v>3080</v>
      </c>
      <c r="W272" s="1125">
        <f t="shared" si="296"/>
        <v>1146.5</v>
      </c>
      <c r="X272" s="1233">
        <f t="shared" si="296"/>
        <v>0</v>
      </c>
      <c r="Y272" s="1233">
        <f t="shared" si="296"/>
        <v>0</v>
      </c>
      <c r="Z272" s="1125">
        <f t="shared" si="296"/>
        <v>369</v>
      </c>
      <c r="AA272" s="1125">
        <f t="shared" si="296"/>
        <v>208</v>
      </c>
      <c r="AB272" s="1125">
        <f t="shared" si="296"/>
        <v>0</v>
      </c>
      <c r="AC272" s="1125">
        <f t="shared" si="296"/>
        <v>0</v>
      </c>
      <c r="AD272" s="1125">
        <f t="shared" si="296"/>
        <v>0</v>
      </c>
      <c r="AE272" s="1233">
        <f t="shared" si="296"/>
        <v>0</v>
      </c>
      <c r="AF272" s="1233">
        <f t="shared" si="296"/>
        <v>0</v>
      </c>
      <c r="AG272" s="1125">
        <f t="shared" si="296"/>
        <v>0</v>
      </c>
      <c r="AH272" s="1125">
        <f t="shared" si="296"/>
        <v>0</v>
      </c>
      <c r="AI272" s="1125">
        <f t="shared" si="296"/>
        <v>0</v>
      </c>
      <c r="AJ272" s="380">
        <f>SUM(E272:AI272)</f>
        <v>16870</v>
      </c>
      <c r="AK272" s="1025">
        <f t="shared" si="291"/>
        <v>0</v>
      </c>
      <c r="AL272" s="419"/>
      <c r="AM272" s="1040">
        <f t="shared" si="292"/>
        <v>0</v>
      </c>
      <c r="AN272" s="382"/>
      <c r="AO272" s="622"/>
      <c r="AP272" s="391"/>
      <c r="AQ272" s="391"/>
      <c r="AR272" s="4"/>
      <c r="AS272" s="4"/>
      <c r="AT272" s="392"/>
      <c r="AU272" s="4"/>
      <c r="AV272" s="4"/>
    </row>
    <row r="273" spans="1:48" ht="19.899999999999999" customHeight="1">
      <c r="A273" s="405"/>
      <c r="B273" s="390"/>
      <c r="C273" s="432">
        <f>+C271*0.8</f>
        <v>40000</v>
      </c>
      <c r="D273" s="85" t="s">
        <v>110</v>
      </c>
      <c r="E273" s="1172"/>
      <c r="F273" s="1172"/>
      <c r="G273" s="1263"/>
      <c r="H273" s="1172"/>
      <c r="I273" s="1172"/>
      <c r="J273" s="1281"/>
      <c r="K273" s="1263"/>
      <c r="L273" s="1172"/>
      <c r="M273" s="1172"/>
      <c r="N273" s="1174"/>
      <c r="O273" s="1173"/>
      <c r="P273" s="1173"/>
      <c r="Q273" s="1281"/>
      <c r="R273" s="1281"/>
      <c r="S273" s="1173"/>
      <c r="T273" s="1107"/>
      <c r="U273" s="1175"/>
      <c r="V273" s="1173"/>
      <c r="W273" s="1173"/>
      <c r="X273" s="1281"/>
      <c r="Y273" s="1267"/>
      <c r="Z273" s="1155"/>
      <c r="AA273" s="1173"/>
      <c r="AB273" s="1173"/>
      <c r="AC273" s="1173"/>
      <c r="AD273" s="1173"/>
      <c r="AE273" s="1268"/>
      <c r="AF273" s="1267"/>
      <c r="AG273" s="1173"/>
      <c r="AH273" s="1173"/>
      <c r="AI273" s="1173"/>
      <c r="AJ273" s="394"/>
      <c r="AK273" s="1025">
        <f t="shared" si="291"/>
        <v>0</v>
      </c>
      <c r="AL273" s="419"/>
      <c r="AM273" s="1040">
        <f t="shared" si="292"/>
        <v>0</v>
      </c>
      <c r="AN273" s="382"/>
      <c r="AO273" s="622"/>
      <c r="AP273" s="391"/>
      <c r="AQ273" s="391"/>
      <c r="AR273" s="4"/>
      <c r="AS273" s="4"/>
      <c r="AT273" s="392"/>
      <c r="AU273" s="4"/>
      <c r="AV273" s="4"/>
    </row>
    <row r="274" spans="1:48" ht="19.899999999999999" customHeight="1">
      <c r="A274" s="403"/>
      <c r="B274" s="390"/>
      <c r="C274" s="89"/>
      <c r="D274" s="88" t="s">
        <v>111</v>
      </c>
      <c r="E274" s="1156">
        <f>IF(E273="O/H",E272,28856+E272)</f>
        <v>28937</v>
      </c>
      <c r="F274" s="1157">
        <f>IF(F273="O/H",F272,+E274+F272)</f>
        <v>29027</v>
      </c>
      <c r="G274" s="1264">
        <f t="shared" ref="G274:AI274" si="297">IF(G273="O/H",G272,+F274+G272)</f>
        <v>29027</v>
      </c>
      <c r="H274" s="1157">
        <f t="shared" si="297"/>
        <v>29242</v>
      </c>
      <c r="I274" s="1157">
        <f t="shared" si="297"/>
        <v>29242</v>
      </c>
      <c r="J274" s="1264">
        <f t="shared" si="297"/>
        <v>29242</v>
      </c>
      <c r="K274" s="1264">
        <f t="shared" si="297"/>
        <v>29242</v>
      </c>
      <c r="L274" s="1157">
        <f t="shared" si="297"/>
        <v>29317</v>
      </c>
      <c r="M274" s="1157">
        <f t="shared" si="297"/>
        <v>29481</v>
      </c>
      <c r="N274" s="1157">
        <f t="shared" si="297"/>
        <v>31115</v>
      </c>
      <c r="O274" s="1157">
        <f t="shared" si="297"/>
        <v>34529.5</v>
      </c>
      <c r="P274" s="1157">
        <f t="shared" si="297"/>
        <v>37924</v>
      </c>
      <c r="Q274" s="1264">
        <f t="shared" si="297"/>
        <v>40524</v>
      </c>
      <c r="R274" s="1264">
        <f t="shared" si="297"/>
        <v>40524</v>
      </c>
      <c r="S274" s="1157">
        <f t="shared" si="297"/>
        <v>40612</v>
      </c>
      <c r="T274" s="1157">
        <f t="shared" si="297"/>
        <v>40707</v>
      </c>
      <c r="U274" s="1157">
        <f t="shared" si="297"/>
        <v>40922.5</v>
      </c>
      <c r="V274" s="1157">
        <f t="shared" si="297"/>
        <v>44002.5</v>
      </c>
      <c r="W274" s="1157">
        <f t="shared" si="297"/>
        <v>45149</v>
      </c>
      <c r="X274" s="1264">
        <f t="shared" si="297"/>
        <v>45149</v>
      </c>
      <c r="Y274" s="1264">
        <f t="shared" si="297"/>
        <v>45149</v>
      </c>
      <c r="Z274" s="1157">
        <f t="shared" si="297"/>
        <v>45518</v>
      </c>
      <c r="AA274" s="1157">
        <f>IF(AA273="O/H",AA272,+Z274+AA272)</f>
        <v>45726</v>
      </c>
      <c r="AB274" s="1157">
        <f t="shared" si="297"/>
        <v>45726</v>
      </c>
      <c r="AC274" s="1157">
        <f t="shared" si="297"/>
        <v>45726</v>
      </c>
      <c r="AD274" s="1157">
        <f t="shared" si="297"/>
        <v>45726</v>
      </c>
      <c r="AE274" s="1264">
        <f t="shared" si="297"/>
        <v>45726</v>
      </c>
      <c r="AF274" s="1264">
        <f t="shared" si="297"/>
        <v>45726</v>
      </c>
      <c r="AG274" s="1157">
        <f t="shared" si="297"/>
        <v>45726</v>
      </c>
      <c r="AH274" s="1157">
        <f t="shared" si="297"/>
        <v>45726</v>
      </c>
      <c r="AI274" s="1157">
        <f t="shared" si="297"/>
        <v>45726</v>
      </c>
      <c r="AJ274" s="394"/>
      <c r="AK274" s="1025">
        <f t="shared" si="291"/>
        <v>0</v>
      </c>
      <c r="AL274" s="419"/>
      <c r="AM274" s="1040">
        <f t="shared" si="292"/>
        <v>0</v>
      </c>
      <c r="AN274" s="382"/>
      <c r="AO274" s="622"/>
      <c r="AP274" s="391"/>
      <c r="AQ274" s="391"/>
      <c r="AR274" s="4"/>
      <c r="AS274" s="4"/>
      <c r="AT274" s="392"/>
      <c r="AU274" s="4"/>
      <c r="AV274" s="4"/>
    </row>
    <row r="275" spans="1:48" ht="19.899999999999999" customHeight="1">
      <c r="A275" s="403"/>
      <c r="B275" s="59"/>
      <c r="C275" s="387"/>
      <c r="D275" s="395" t="s">
        <v>435</v>
      </c>
      <c r="E275" s="1172"/>
      <c r="F275" s="1172"/>
      <c r="G275" s="1228"/>
      <c r="H275" s="1106"/>
      <c r="I275" s="1107"/>
      <c r="J275" s="1228"/>
      <c r="K275" s="1273"/>
      <c r="L275" s="1107"/>
      <c r="M275" s="1107"/>
      <c r="N275" s="1177"/>
      <c r="O275" s="1107"/>
      <c r="P275" s="1177"/>
      <c r="Q275" s="1228"/>
      <c r="R275" s="1228"/>
      <c r="S275" s="1107"/>
      <c r="T275" s="1107"/>
      <c r="U275" s="1107"/>
      <c r="V275" s="1107"/>
      <c r="W275" s="1107"/>
      <c r="X275" s="1228"/>
      <c r="Y275" s="1228"/>
      <c r="Z275" s="1155"/>
      <c r="AA275" s="1107"/>
      <c r="AB275" s="1107"/>
      <c r="AC275" s="1107"/>
      <c r="AD275" s="1107"/>
      <c r="AE275" s="1228"/>
      <c r="AF275" s="1228"/>
      <c r="AG275" s="1107"/>
      <c r="AH275" s="1107"/>
      <c r="AI275" s="1107"/>
      <c r="AJ275" s="396"/>
      <c r="AK275" s="1024">
        <f t="shared" si="291"/>
        <v>0</v>
      </c>
      <c r="AL275" s="420"/>
      <c r="AM275" s="1040">
        <f t="shared" si="292"/>
        <v>0</v>
      </c>
      <c r="AN275" s="382"/>
      <c r="AO275" s="622"/>
      <c r="AP275" s="391"/>
      <c r="AQ275" s="391"/>
    </row>
    <row r="276" spans="1:48" ht="19.899999999999999" customHeight="1">
      <c r="A276" s="403"/>
      <c r="B276" s="59"/>
      <c r="C276" s="387" t="s">
        <v>104</v>
      </c>
      <c r="D276" s="88" t="s">
        <v>111</v>
      </c>
      <c r="E276" s="1156">
        <f>IF(E275="O/H",E272,28856+E272)</f>
        <v>28937</v>
      </c>
      <c r="F276" s="1157">
        <f>IF(F275="O/H",F272,+E276+F272)</f>
        <v>29027</v>
      </c>
      <c r="G276" s="1264">
        <f t="shared" ref="G276:AI276" si="298">IF(G275="O/H",G272,+F276+G272)</f>
        <v>29027</v>
      </c>
      <c r="H276" s="1157">
        <f t="shared" si="298"/>
        <v>29242</v>
      </c>
      <c r="I276" s="1157">
        <f t="shared" si="298"/>
        <v>29242</v>
      </c>
      <c r="J276" s="1264">
        <f t="shared" si="298"/>
        <v>29242</v>
      </c>
      <c r="K276" s="1264">
        <f t="shared" si="298"/>
        <v>29242</v>
      </c>
      <c r="L276" s="1157">
        <f t="shared" si="298"/>
        <v>29317</v>
      </c>
      <c r="M276" s="1157">
        <f t="shared" si="298"/>
        <v>29481</v>
      </c>
      <c r="N276" s="1157">
        <f t="shared" si="298"/>
        <v>31115</v>
      </c>
      <c r="O276" s="1157">
        <f t="shared" si="298"/>
        <v>34529.5</v>
      </c>
      <c r="P276" s="1157">
        <f t="shared" si="298"/>
        <v>37924</v>
      </c>
      <c r="Q276" s="1264">
        <f t="shared" si="298"/>
        <v>40524</v>
      </c>
      <c r="R276" s="1264">
        <f t="shared" si="298"/>
        <v>40524</v>
      </c>
      <c r="S276" s="1157">
        <f t="shared" si="298"/>
        <v>40612</v>
      </c>
      <c r="T276" s="1157">
        <f t="shared" si="298"/>
        <v>40707</v>
      </c>
      <c r="U276" s="1157">
        <f t="shared" si="298"/>
        <v>40922.5</v>
      </c>
      <c r="V276" s="1157">
        <f t="shared" si="298"/>
        <v>44002.5</v>
      </c>
      <c r="W276" s="1157">
        <f t="shared" si="298"/>
        <v>45149</v>
      </c>
      <c r="X276" s="1264">
        <f t="shared" si="298"/>
        <v>45149</v>
      </c>
      <c r="Y276" s="1264">
        <f t="shared" si="298"/>
        <v>45149</v>
      </c>
      <c r="Z276" s="1157">
        <f t="shared" si="298"/>
        <v>45518</v>
      </c>
      <c r="AA276" s="1157">
        <f t="shared" si="298"/>
        <v>45726</v>
      </c>
      <c r="AB276" s="1157">
        <f t="shared" si="298"/>
        <v>45726</v>
      </c>
      <c r="AC276" s="1157">
        <f t="shared" si="298"/>
        <v>45726</v>
      </c>
      <c r="AD276" s="1157">
        <f t="shared" si="298"/>
        <v>45726</v>
      </c>
      <c r="AE276" s="1264">
        <f t="shared" si="298"/>
        <v>45726</v>
      </c>
      <c r="AF276" s="1264">
        <f t="shared" si="298"/>
        <v>45726</v>
      </c>
      <c r="AG276" s="1157">
        <f t="shared" si="298"/>
        <v>45726</v>
      </c>
      <c r="AH276" s="1157">
        <f t="shared" si="298"/>
        <v>45726</v>
      </c>
      <c r="AI276" s="1157">
        <f t="shared" si="298"/>
        <v>45726</v>
      </c>
      <c r="AJ276" s="394"/>
      <c r="AK276" s="1025">
        <f t="shared" si="291"/>
        <v>0</v>
      </c>
      <c r="AL276" s="419"/>
      <c r="AM276" s="1040">
        <f t="shared" si="292"/>
        <v>0</v>
      </c>
      <c r="AN276" s="382"/>
      <c r="AO276" s="622"/>
      <c r="AP276" s="391"/>
      <c r="AQ276" s="391"/>
    </row>
    <row r="277" spans="1:48" s="23" customFormat="1" ht="20.45" customHeight="1">
      <c r="A277" s="312"/>
      <c r="B277" s="312"/>
      <c r="C277" s="379">
        <v>150000</v>
      </c>
      <c r="D277" s="795" t="s">
        <v>112</v>
      </c>
      <c r="E277" s="1117">
        <f>IF(AND(ISNUMBER(E266)),1123483+E272)</f>
        <v>1123564</v>
      </c>
      <c r="F277" s="1118">
        <f>IF(AND(ISNUMBER(F266)),E277+F272,"")</f>
        <v>1123654</v>
      </c>
      <c r="G277" s="1216">
        <f>IF(AND(ISNUMBER(G266)),F277+G272,"")</f>
        <v>1123654</v>
      </c>
      <c r="H277" s="1118">
        <f t="shared" ref="H277:AI277" si="299">IF(AND(ISNUMBER(H266)),G277+H272,"")</f>
        <v>1123869</v>
      </c>
      <c r="I277" s="1118">
        <f t="shared" si="299"/>
        <v>1123869</v>
      </c>
      <c r="J277" s="1216">
        <f t="shared" si="299"/>
        <v>1123869</v>
      </c>
      <c r="K277" s="1216">
        <f t="shared" si="299"/>
        <v>1123869</v>
      </c>
      <c r="L277" s="1118">
        <f t="shared" si="299"/>
        <v>1123944</v>
      </c>
      <c r="M277" s="1118">
        <f t="shared" si="299"/>
        <v>1124108</v>
      </c>
      <c r="N277" s="1118">
        <f t="shared" si="299"/>
        <v>1125742</v>
      </c>
      <c r="O277" s="1118">
        <f t="shared" si="299"/>
        <v>1129156.5</v>
      </c>
      <c r="P277" s="1118">
        <f t="shared" si="299"/>
        <v>1132551</v>
      </c>
      <c r="Q277" s="1216">
        <f t="shared" si="299"/>
        <v>1135151</v>
      </c>
      <c r="R277" s="1216">
        <f t="shared" si="299"/>
        <v>1135151</v>
      </c>
      <c r="S277" s="1118">
        <f t="shared" si="299"/>
        <v>1135239</v>
      </c>
      <c r="T277" s="1118">
        <f t="shared" si="299"/>
        <v>1135334</v>
      </c>
      <c r="U277" s="1118">
        <f t="shared" si="299"/>
        <v>1135549.5</v>
      </c>
      <c r="V277" s="1118">
        <f t="shared" si="299"/>
        <v>1138629.5</v>
      </c>
      <c r="W277" s="1118">
        <f t="shared" si="299"/>
        <v>1139776</v>
      </c>
      <c r="X277" s="1216">
        <f t="shared" si="299"/>
        <v>1139776</v>
      </c>
      <c r="Y277" s="1216">
        <f t="shared" si="299"/>
        <v>1139776</v>
      </c>
      <c r="Z277" s="1118">
        <f t="shared" si="299"/>
        <v>1140145</v>
      </c>
      <c r="AA277" s="1118">
        <f t="shared" si="299"/>
        <v>1140353</v>
      </c>
      <c r="AB277" s="1118" t="str">
        <f t="shared" si="299"/>
        <v/>
      </c>
      <c r="AC277" s="1118" t="str">
        <f t="shared" si="299"/>
        <v/>
      </c>
      <c r="AD277" s="1118" t="str">
        <f t="shared" si="299"/>
        <v/>
      </c>
      <c r="AE277" s="1216" t="str">
        <f t="shared" si="299"/>
        <v/>
      </c>
      <c r="AF277" s="1216" t="str">
        <f t="shared" si="299"/>
        <v/>
      </c>
      <c r="AG277" s="1118" t="str">
        <f t="shared" si="299"/>
        <v/>
      </c>
      <c r="AH277" s="1118" t="str">
        <f t="shared" si="299"/>
        <v/>
      </c>
      <c r="AI277" s="1089" t="str">
        <f t="shared" si="299"/>
        <v/>
      </c>
      <c r="AJ277" s="793"/>
      <c r="AK277" s="1026">
        <f t="shared" si="291"/>
        <v>0</v>
      </c>
      <c r="AL277" s="897"/>
      <c r="AM277" s="1042">
        <f t="shared" si="292"/>
        <v>0</v>
      </c>
      <c r="AN277" s="468"/>
      <c r="AO277" s="675"/>
      <c r="AP277" s="285"/>
      <c r="AQ277" s="285"/>
      <c r="AR277" s="285"/>
      <c r="AS277" s="285"/>
      <c r="AT277" s="286"/>
      <c r="AU277" s="285"/>
      <c r="AV277" s="287"/>
    </row>
    <row r="278" spans="1:48" ht="19.899999999999999" customHeight="1">
      <c r="A278" s="403"/>
      <c r="B278" s="393" t="s">
        <v>469</v>
      </c>
      <c r="C278" s="89" t="s">
        <v>108</v>
      </c>
      <c r="D278" s="90" t="s">
        <v>104</v>
      </c>
      <c r="E278" s="1365"/>
      <c r="F278" s="1104"/>
      <c r="G278" s="1211"/>
      <c r="H278" s="1106"/>
      <c r="I278" s="1104"/>
      <c r="J278" s="1211"/>
      <c r="K278" s="1273"/>
      <c r="L278" s="1104"/>
      <c r="M278" s="1104"/>
      <c r="N278" s="1177"/>
      <c r="O278" s="1104"/>
      <c r="P278" s="1177"/>
      <c r="Q278" s="1211"/>
      <c r="R278" s="1211"/>
      <c r="S278" s="1104"/>
      <c r="T278" s="1107"/>
      <c r="U278" s="1107"/>
      <c r="V278" s="1104"/>
      <c r="W278" s="1104"/>
      <c r="X278" s="1228"/>
      <c r="Y278" s="1211"/>
      <c r="Z278" s="1106"/>
      <c r="AA278" s="1104"/>
      <c r="AB278" s="1104"/>
      <c r="AC278" s="1104"/>
      <c r="AD278" s="1104"/>
      <c r="AE278" s="1211"/>
      <c r="AF278" s="1211"/>
      <c r="AG278" s="1104"/>
      <c r="AH278" s="1104"/>
      <c r="AI278" s="1104"/>
      <c r="AJ278" s="396"/>
      <c r="AK278" s="1024">
        <f t="shared" si="291"/>
        <v>0</v>
      </c>
      <c r="AL278" s="420"/>
      <c r="AM278" s="1040">
        <f t="shared" si="292"/>
        <v>0</v>
      </c>
      <c r="AN278" s="382"/>
      <c r="AO278" s="622"/>
      <c r="AP278" s="391"/>
      <c r="AQ278" s="391"/>
    </row>
    <row r="279" spans="1:48" ht="19.899999999999999" customHeight="1" thickBot="1">
      <c r="A279" s="406"/>
      <c r="B279" s="398"/>
      <c r="C279" s="434">
        <f>+C277*0.8</f>
        <v>120000</v>
      </c>
      <c r="D279" s="95" t="s">
        <v>111</v>
      </c>
      <c r="E279" s="1110">
        <f>IF(E278="O/H",E272,28404+E272)</f>
        <v>28485</v>
      </c>
      <c r="F279" s="1110">
        <f>IF(F278="O/H",F272,+E279+F272)</f>
        <v>28575</v>
      </c>
      <c r="G279" s="1212">
        <f t="shared" ref="G279:AI279" si="300">IF(G278="O/H",G272,+F279+G272)</f>
        <v>28575</v>
      </c>
      <c r="H279" s="1110">
        <f t="shared" si="300"/>
        <v>28790</v>
      </c>
      <c r="I279" s="1110">
        <f t="shared" si="300"/>
        <v>28790</v>
      </c>
      <c r="J279" s="1212">
        <f t="shared" si="300"/>
        <v>28790</v>
      </c>
      <c r="K279" s="1212">
        <f t="shared" si="300"/>
        <v>28790</v>
      </c>
      <c r="L279" s="1110">
        <f t="shared" si="300"/>
        <v>28865</v>
      </c>
      <c r="M279" s="1110">
        <f t="shared" si="300"/>
        <v>29029</v>
      </c>
      <c r="N279" s="1110">
        <f t="shared" si="300"/>
        <v>30663</v>
      </c>
      <c r="O279" s="1110">
        <f t="shared" si="300"/>
        <v>34077.5</v>
      </c>
      <c r="P279" s="1110">
        <f t="shared" si="300"/>
        <v>37472</v>
      </c>
      <c r="Q279" s="1212">
        <f t="shared" si="300"/>
        <v>40072</v>
      </c>
      <c r="R279" s="1212">
        <f t="shared" si="300"/>
        <v>40072</v>
      </c>
      <c r="S279" s="1110">
        <f t="shared" si="300"/>
        <v>40160</v>
      </c>
      <c r="T279" s="1110">
        <f t="shared" si="300"/>
        <v>40255</v>
      </c>
      <c r="U279" s="1110">
        <f t="shared" si="300"/>
        <v>40470.5</v>
      </c>
      <c r="V279" s="1110">
        <f t="shared" si="300"/>
        <v>43550.5</v>
      </c>
      <c r="W279" s="1110">
        <f t="shared" si="300"/>
        <v>44697</v>
      </c>
      <c r="X279" s="1212">
        <f t="shared" si="300"/>
        <v>44697</v>
      </c>
      <c r="Y279" s="1212">
        <f t="shared" si="300"/>
        <v>44697</v>
      </c>
      <c r="Z279" s="1110">
        <f t="shared" si="300"/>
        <v>45066</v>
      </c>
      <c r="AA279" s="1110">
        <f t="shared" si="300"/>
        <v>45274</v>
      </c>
      <c r="AB279" s="1110">
        <f t="shared" si="300"/>
        <v>45274</v>
      </c>
      <c r="AC279" s="1110">
        <f t="shared" si="300"/>
        <v>45274</v>
      </c>
      <c r="AD279" s="1110">
        <f t="shared" si="300"/>
        <v>45274</v>
      </c>
      <c r="AE279" s="1212">
        <f t="shared" si="300"/>
        <v>45274</v>
      </c>
      <c r="AF279" s="1212">
        <f t="shared" si="300"/>
        <v>45274</v>
      </c>
      <c r="AG279" s="1110">
        <f t="shared" si="300"/>
        <v>45274</v>
      </c>
      <c r="AH279" s="1110">
        <f t="shared" si="300"/>
        <v>45274</v>
      </c>
      <c r="AI279" s="1110">
        <f t="shared" si="300"/>
        <v>45274</v>
      </c>
      <c r="AJ279" s="399"/>
      <c r="AK279" s="1027">
        <f t="shared" si="291"/>
        <v>0</v>
      </c>
      <c r="AL279" s="421"/>
      <c r="AM279" s="1043">
        <f t="shared" si="292"/>
        <v>0</v>
      </c>
      <c r="AN279" s="894"/>
      <c r="AO279" s="625"/>
      <c r="AP279" s="391"/>
      <c r="AQ279" s="391"/>
    </row>
    <row r="280" spans="1:48" ht="19.899999999999999" hidden="1" customHeight="1" thickTop="1">
      <c r="A280" s="968" t="s">
        <v>599</v>
      </c>
      <c r="B280" s="411" t="s">
        <v>647</v>
      </c>
      <c r="C280" s="400" t="str">
        <f>Table37[[#This Row],[M/C No.]]</f>
        <v>R14(50ton)</v>
      </c>
      <c r="D280" s="28" t="s">
        <v>82</v>
      </c>
      <c r="E280" s="1124"/>
      <c r="F280" s="1124"/>
      <c r="G280" s="1242"/>
      <c r="H280" s="1124"/>
      <c r="I280" s="1124"/>
      <c r="J280" s="1242"/>
      <c r="K280" s="1242"/>
      <c r="L280" s="1124"/>
      <c r="M280" s="1124"/>
      <c r="N280" s="1124"/>
      <c r="O280" s="1124"/>
      <c r="P280" s="1124"/>
      <c r="Q280" s="1242"/>
      <c r="R280" s="1242"/>
      <c r="S280" s="1124"/>
      <c r="T280" s="1124"/>
      <c r="U280" s="1124"/>
      <c r="V280" s="1124"/>
      <c r="W280" s="1124"/>
      <c r="X280" s="1242"/>
      <c r="Y280" s="1242"/>
      <c r="Z280" s="1124"/>
      <c r="AA280" s="1124"/>
      <c r="AB280" s="1124"/>
      <c r="AC280" s="1124"/>
      <c r="AD280" s="1124"/>
      <c r="AE280" s="1242"/>
      <c r="AF280" s="1242"/>
      <c r="AG280" s="1124"/>
      <c r="AH280" s="1124"/>
      <c r="AI280" s="1124"/>
      <c r="AJ280" s="375">
        <f>SUM(E280:AI280)</f>
        <v>0</v>
      </c>
      <c r="AK280" s="1047">
        <f t="shared" si="291"/>
        <v>0</v>
      </c>
      <c r="AL280" s="422">
        <f>+AJ280*AN280</f>
        <v>0</v>
      </c>
      <c r="AM280" s="1046">
        <f t="shared" si="292"/>
        <v>0</v>
      </c>
      <c r="AN280" s="402">
        <v>7.0700399999999997</v>
      </c>
      <c r="AO280" s="622">
        <f>Table37[[#This Row],[Total]]*B284/1000</f>
        <v>0</v>
      </c>
      <c r="AP280" s="32" t="s">
        <v>468</v>
      </c>
      <c r="AQ280" s="33" t="s">
        <v>84</v>
      </c>
      <c r="AR280" s="33" t="s">
        <v>85</v>
      </c>
      <c r="AS280" s="33" t="s">
        <v>86</v>
      </c>
      <c r="AT280" s="33" t="s">
        <v>87</v>
      </c>
      <c r="AU280" s="33" t="s">
        <v>88</v>
      </c>
      <c r="AV280" s="34" t="s">
        <v>68</v>
      </c>
    </row>
    <row r="281" spans="1:48" ht="19.899999999999999" hidden="1" customHeight="1">
      <c r="A281" s="403"/>
      <c r="B281" s="393" t="s">
        <v>470</v>
      </c>
      <c r="C281" s="52" t="s">
        <v>95</v>
      </c>
      <c r="D281" s="37" t="s">
        <v>90</v>
      </c>
      <c r="E281" s="1323">
        <f>IF(E280="",0, +E280/E287)</f>
        <v>0</v>
      </c>
      <c r="F281" s="1096">
        <f t="shared" ref="F281:Q281" si="301">IF(F280="",0, E281+F280/F287)</f>
        <v>0</v>
      </c>
      <c r="G281" s="1207">
        <f t="shared" si="301"/>
        <v>0</v>
      </c>
      <c r="H281" s="1096">
        <f t="shared" si="301"/>
        <v>0</v>
      </c>
      <c r="I281" s="1096">
        <f t="shared" si="301"/>
        <v>0</v>
      </c>
      <c r="J281" s="1207">
        <f t="shared" si="301"/>
        <v>0</v>
      </c>
      <c r="K281" s="1207">
        <f t="shared" si="301"/>
        <v>0</v>
      </c>
      <c r="L281" s="1096">
        <f t="shared" si="301"/>
        <v>0</v>
      </c>
      <c r="M281" s="1096">
        <f t="shared" si="301"/>
        <v>0</v>
      </c>
      <c r="N281" s="1096">
        <f t="shared" si="301"/>
        <v>0</v>
      </c>
      <c r="O281" s="1096">
        <f t="shared" si="301"/>
        <v>0</v>
      </c>
      <c r="P281" s="1096">
        <f t="shared" si="301"/>
        <v>0</v>
      </c>
      <c r="Q281" s="1207">
        <f t="shared" si="301"/>
        <v>0</v>
      </c>
      <c r="R281" s="1207">
        <v>0</v>
      </c>
      <c r="S281" s="1096">
        <v>0</v>
      </c>
      <c r="T281" s="1096">
        <v>0</v>
      </c>
      <c r="U281" s="1096">
        <f t="shared" ref="U281:Z281" si="302">IF(U280="",0, T281+U280/U287)</f>
        <v>0</v>
      </c>
      <c r="V281" s="1096">
        <f t="shared" si="302"/>
        <v>0</v>
      </c>
      <c r="W281" s="1096">
        <f t="shared" si="302"/>
        <v>0</v>
      </c>
      <c r="X281" s="1207">
        <f t="shared" si="302"/>
        <v>0</v>
      </c>
      <c r="Y281" s="1207">
        <f t="shared" si="302"/>
        <v>0</v>
      </c>
      <c r="Z281" s="1096">
        <f t="shared" si="302"/>
        <v>0</v>
      </c>
      <c r="AA281" s="1096">
        <f t="shared" ref="AA281:AI281" si="303">IF(AA280="",0, Z281+AA280/AA287)</f>
        <v>0</v>
      </c>
      <c r="AB281" s="1096">
        <f t="shared" si="303"/>
        <v>0</v>
      </c>
      <c r="AC281" s="1096">
        <f t="shared" si="303"/>
        <v>0</v>
      </c>
      <c r="AD281" s="1096">
        <f t="shared" si="303"/>
        <v>0</v>
      </c>
      <c r="AE281" s="1207">
        <f t="shared" si="303"/>
        <v>0</v>
      </c>
      <c r="AF281" s="1207">
        <f t="shared" si="303"/>
        <v>0</v>
      </c>
      <c r="AG281" s="1096">
        <f t="shared" si="303"/>
        <v>0</v>
      </c>
      <c r="AH281" s="1096">
        <f t="shared" si="303"/>
        <v>0</v>
      </c>
      <c r="AI281" s="1096">
        <f t="shared" si="303"/>
        <v>0</v>
      </c>
      <c r="AJ281" s="375"/>
      <c r="AK281" s="1023">
        <f t="shared" si="291"/>
        <v>0</v>
      </c>
      <c r="AL281" s="423"/>
      <c r="AM281" s="1040">
        <f t="shared" si="292"/>
        <v>0</v>
      </c>
      <c r="AN281" s="382"/>
      <c r="AO281" s="675"/>
      <c r="AP281" s="39" t="s">
        <v>91</v>
      </c>
      <c r="AQ281" s="40">
        <f>SUM(E280:I280)</f>
        <v>0</v>
      </c>
      <c r="AR281" s="41">
        <f>SUM(J280:P280)</f>
        <v>0</v>
      </c>
      <c r="AS281" s="41">
        <f>SUM(Q280:W280)</f>
        <v>0</v>
      </c>
      <c r="AT281" s="41">
        <f>SUM(X280:AD280)</f>
        <v>0</v>
      </c>
      <c r="AU281" s="41">
        <f>SUM(AE280:AI280)</f>
        <v>0</v>
      </c>
      <c r="AV281" s="34">
        <f t="shared" ref="AV281:AV286" si="304">SUM(AQ281:AU281)</f>
        <v>0</v>
      </c>
    </row>
    <row r="282" spans="1:48" ht="19.899999999999999" hidden="1" customHeight="1">
      <c r="A282" s="403"/>
      <c r="B282" s="393" t="s">
        <v>246</v>
      </c>
      <c r="C282" s="379">
        <v>70000</v>
      </c>
      <c r="D282" s="43" t="s">
        <v>93</v>
      </c>
      <c r="E282" s="1108"/>
      <c r="F282" s="1089"/>
      <c r="G282" s="44"/>
      <c r="H282" s="1089"/>
      <c r="I282" s="1089"/>
      <c r="J282" s="44"/>
      <c r="K282" s="44"/>
      <c r="L282" s="1089"/>
      <c r="M282" s="1089"/>
      <c r="N282" s="1089"/>
      <c r="O282" s="1089"/>
      <c r="P282" s="1089"/>
      <c r="Q282" s="44"/>
      <c r="R282" s="44"/>
      <c r="S282" s="1089"/>
      <c r="T282" s="1089"/>
      <c r="U282" s="1089"/>
      <c r="V282" s="1089"/>
      <c r="W282" s="1089"/>
      <c r="X282" s="44"/>
      <c r="Y282" s="44"/>
      <c r="Z282" s="1089"/>
      <c r="AA282" s="1089"/>
      <c r="AB282" s="1089"/>
      <c r="AC282" s="1089"/>
      <c r="AD282" s="1089"/>
      <c r="AE282" s="44"/>
      <c r="AF282" s="44"/>
      <c r="AG282" s="1089"/>
      <c r="AH282" s="1089"/>
      <c r="AI282" s="1089"/>
      <c r="AJ282" s="380">
        <f>SUM(E282:AI282)</f>
        <v>0</v>
      </c>
      <c r="AK282" s="1024">
        <f t="shared" si="291"/>
        <v>0</v>
      </c>
      <c r="AL282" s="424">
        <f>+AJ282*AN280</f>
        <v>0</v>
      </c>
      <c r="AM282" s="1041">
        <f t="shared" si="292"/>
        <v>0</v>
      </c>
      <c r="AN282" s="382"/>
      <c r="AO282" s="632">
        <f>(AJ282+AJ284+AJ285+AJ286)*B284/1000</f>
        <v>0</v>
      </c>
      <c r="AP282" s="47" t="s">
        <v>94</v>
      </c>
      <c r="AQ282" s="48">
        <f>SUM(E282:I282)</f>
        <v>0</v>
      </c>
      <c r="AR282" s="49">
        <f>SUM(J282:P282)</f>
        <v>0</v>
      </c>
      <c r="AS282" s="49">
        <f>SUM(Q282:W282)</f>
        <v>0</v>
      </c>
      <c r="AT282" s="49">
        <f>SUM(X282:AD282)</f>
        <v>0</v>
      </c>
      <c r="AU282" s="49">
        <f>SUM(AE282:AI282)</f>
        <v>0</v>
      </c>
      <c r="AV282" s="50">
        <f t="shared" si="304"/>
        <v>0</v>
      </c>
    </row>
    <row r="283" spans="1:48" ht="19.899999999999999" hidden="1" customHeight="1">
      <c r="A283" s="403"/>
      <c r="B283" s="767" t="s">
        <v>247</v>
      </c>
      <c r="C283" s="89" t="s">
        <v>108</v>
      </c>
      <c r="D283" s="53" t="s">
        <v>96</v>
      </c>
      <c r="E283" s="1137">
        <f t="shared" ref="E283:W283" si="305">+E282-E280</f>
        <v>0</v>
      </c>
      <c r="F283" s="1097">
        <f t="shared" si="305"/>
        <v>0</v>
      </c>
      <c r="G283" s="1205">
        <f t="shared" si="305"/>
        <v>0</v>
      </c>
      <c r="H283" s="1097">
        <f t="shared" si="305"/>
        <v>0</v>
      </c>
      <c r="I283" s="1097">
        <f t="shared" si="305"/>
        <v>0</v>
      </c>
      <c r="J283" s="1205">
        <f t="shared" si="305"/>
        <v>0</v>
      </c>
      <c r="K283" s="1205">
        <f t="shared" ref="K283" si="306">+K282-K280</f>
        <v>0</v>
      </c>
      <c r="L283" s="1097">
        <f t="shared" si="305"/>
        <v>0</v>
      </c>
      <c r="M283" s="1097">
        <f t="shared" si="305"/>
        <v>0</v>
      </c>
      <c r="N283" s="1097">
        <f t="shared" si="305"/>
        <v>0</v>
      </c>
      <c r="O283" s="1097">
        <f t="shared" si="305"/>
        <v>0</v>
      </c>
      <c r="P283" s="1097">
        <f t="shared" si="305"/>
        <v>0</v>
      </c>
      <c r="Q283" s="1205">
        <f t="shared" si="305"/>
        <v>0</v>
      </c>
      <c r="R283" s="1205">
        <f t="shared" si="305"/>
        <v>0</v>
      </c>
      <c r="S283" s="1097">
        <f t="shared" si="305"/>
        <v>0</v>
      </c>
      <c r="T283" s="1097">
        <f t="shared" si="305"/>
        <v>0</v>
      </c>
      <c r="U283" s="1097">
        <f t="shared" si="305"/>
        <v>0</v>
      </c>
      <c r="V283" s="1097">
        <f t="shared" si="305"/>
        <v>0</v>
      </c>
      <c r="W283" s="1097">
        <f t="shared" si="305"/>
        <v>0</v>
      </c>
      <c r="X283" s="1205">
        <f>+X282-X280</f>
        <v>0</v>
      </c>
      <c r="Y283" s="1205">
        <f>+Y282-Y280</f>
        <v>0</v>
      </c>
      <c r="Z283" s="1097">
        <f>+Z282-Z280</f>
        <v>0</v>
      </c>
      <c r="AA283" s="1097">
        <f t="shared" ref="AA283:AJ283" si="307">+AA282-AA280</f>
        <v>0</v>
      </c>
      <c r="AB283" s="1097">
        <f t="shared" si="307"/>
        <v>0</v>
      </c>
      <c r="AC283" s="1097">
        <f t="shared" si="307"/>
        <v>0</v>
      </c>
      <c r="AD283" s="1097">
        <f t="shared" si="307"/>
        <v>0</v>
      </c>
      <c r="AE283" s="1205">
        <f t="shared" si="307"/>
        <v>0</v>
      </c>
      <c r="AF283" s="1205">
        <f t="shared" si="307"/>
        <v>0</v>
      </c>
      <c r="AG283" s="1097">
        <f t="shared" si="307"/>
        <v>0</v>
      </c>
      <c r="AH283" s="1097">
        <f t="shared" si="307"/>
        <v>0</v>
      </c>
      <c r="AI283" s="1097">
        <f t="shared" si="307"/>
        <v>0</v>
      </c>
      <c r="AJ283" s="381">
        <f t="shared" si="307"/>
        <v>0</v>
      </c>
      <c r="AK283" s="1024">
        <f t="shared" si="291"/>
        <v>0</v>
      </c>
      <c r="AL283" s="425">
        <f>+AJ283*AN280</f>
        <v>0</v>
      </c>
      <c r="AM283" s="1041">
        <f t="shared" si="292"/>
        <v>0</v>
      </c>
      <c r="AN283" s="382" t="s">
        <v>97</v>
      </c>
      <c r="AO283" s="622"/>
      <c r="AP283" s="39" t="s">
        <v>98</v>
      </c>
      <c r="AQ283" s="56">
        <f>AQ282-AQ281</f>
        <v>0</v>
      </c>
      <c r="AR283" s="70">
        <f>AR282-AR281</f>
        <v>0</v>
      </c>
      <c r="AS283" s="70">
        <f>AS282-AS281</f>
        <v>0</v>
      </c>
      <c r="AT283" s="70">
        <f>AT282-AT281</f>
        <v>0</v>
      </c>
      <c r="AU283" s="70">
        <f>AU282-AU281</f>
        <v>0</v>
      </c>
      <c r="AV283" s="57">
        <f t="shared" si="304"/>
        <v>0</v>
      </c>
    </row>
    <row r="284" spans="1:48" ht="19.899999999999999" hidden="1" customHeight="1">
      <c r="A284" s="403"/>
      <c r="B284" s="769">
        <v>2.63</v>
      </c>
      <c r="C284" s="89" t="s">
        <v>108</v>
      </c>
      <c r="D284" s="61" t="s">
        <v>101</v>
      </c>
      <c r="E284" s="1098"/>
      <c r="F284" s="1099"/>
      <c r="G284" s="1208"/>
      <c r="H284" s="1099"/>
      <c r="I284" s="1099"/>
      <c r="J284" s="1208"/>
      <c r="K284" s="1208"/>
      <c r="L284" s="1099"/>
      <c r="M284" s="1099"/>
      <c r="N284" s="1099"/>
      <c r="O284" s="1099"/>
      <c r="P284" s="1099"/>
      <c r="Q284" s="1208"/>
      <c r="R284" s="1208"/>
      <c r="S284" s="1099"/>
      <c r="T284" s="1099"/>
      <c r="U284" s="1099"/>
      <c r="V284" s="1099"/>
      <c r="W284" s="1099"/>
      <c r="X284" s="1208"/>
      <c r="Y284" s="1208"/>
      <c r="Z284" s="1099"/>
      <c r="AA284" s="1099"/>
      <c r="AB284" s="1099"/>
      <c r="AC284" s="1099"/>
      <c r="AD284" s="1099"/>
      <c r="AE284" s="1208"/>
      <c r="AF284" s="1208"/>
      <c r="AG284" s="1099"/>
      <c r="AH284" s="1099"/>
      <c r="AI284" s="1099"/>
      <c r="AJ284" s="384">
        <f>SUM(E284:AI284)</f>
        <v>0</v>
      </c>
      <c r="AK284" s="1024">
        <f t="shared" si="291"/>
        <v>0</v>
      </c>
      <c r="AL284" s="420">
        <f>+AJ284*AN280</f>
        <v>0</v>
      </c>
      <c r="AM284" s="1040">
        <f t="shared" si="292"/>
        <v>0</v>
      </c>
      <c r="AN284" s="404" t="e">
        <f>+AJ284/AJ282*100</f>
        <v>#DIV/0!</v>
      </c>
      <c r="AO284" s="635" t="e">
        <f>AO282/AO280</f>
        <v>#DIV/0!</v>
      </c>
      <c r="AP284" s="39" t="s">
        <v>102</v>
      </c>
      <c r="AQ284" s="56">
        <f>SUM(E284:I284)</f>
        <v>0</v>
      </c>
      <c r="AR284" s="70">
        <f>SUM(J284:P284)</f>
        <v>0</v>
      </c>
      <c r="AS284" s="70">
        <f>SUM(Q284:W284)</f>
        <v>0</v>
      </c>
      <c r="AT284" s="70">
        <f>SUM(X284:AD284)</f>
        <v>0</v>
      </c>
      <c r="AU284" s="70">
        <f>SUM(AE284:AI284)</f>
        <v>0</v>
      </c>
      <c r="AV284" s="57">
        <f t="shared" si="304"/>
        <v>0</v>
      </c>
    </row>
    <row r="285" spans="1:48" ht="19.899999999999999" hidden="1" customHeight="1">
      <c r="A285" s="403"/>
      <c r="B285" s="334" t="s">
        <v>463</v>
      </c>
      <c r="C285" s="432"/>
      <c r="D285" s="67" t="s">
        <v>103</v>
      </c>
      <c r="E285" s="1100"/>
      <c r="F285" s="1101"/>
      <c r="G285" s="1209"/>
      <c r="H285" s="1101"/>
      <c r="I285" s="1101"/>
      <c r="J285" s="1209"/>
      <c r="K285" s="1209"/>
      <c r="L285" s="1101"/>
      <c r="M285" s="1101"/>
      <c r="N285" s="1101"/>
      <c r="O285" s="1101"/>
      <c r="P285" s="1101"/>
      <c r="Q285" s="1209"/>
      <c r="R285" s="1209"/>
      <c r="S285" s="1101"/>
      <c r="T285" s="1101"/>
      <c r="U285" s="1101"/>
      <c r="V285" s="1101"/>
      <c r="W285" s="1101"/>
      <c r="X285" s="1209"/>
      <c r="Y285" s="1209"/>
      <c r="Z285" s="1101"/>
      <c r="AA285" s="1101"/>
      <c r="AB285" s="1101"/>
      <c r="AC285" s="1101"/>
      <c r="AD285" s="1101"/>
      <c r="AE285" s="1209"/>
      <c r="AF285" s="1209"/>
      <c r="AG285" s="1101"/>
      <c r="AH285" s="1101"/>
      <c r="AI285" s="1101"/>
      <c r="AJ285" s="386">
        <f>SUM(E285:AI285)</f>
        <v>0</v>
      </c>
      <c r="AK285" s="1024">
        <f t="shared" si="291"/>
        <v>0</v>
      </c>
      <c r="AL285" s="426">
        <f>+AJ285*AN280</f>
        <v>0</v>
      </c>
      <c r="AM285" s="1040">
        <f t="shared" si="292"/>
        <v>0</v>
      </c>
      <c r="AN285" s="382"/>
      <c r="AO285" s="622"/>
      <c r="AP285" s="39" t="s">
        <v>19</v>
      </c>
      <c r="AQ285" s="56">
        <f>AQ284*AN280</f>
        <v>0</v>
      </c>
      <c r="AR285" s="56">
        <f>AR284*AN280</f>
        <v>0</v>
      </c>
      <c r="AS285" s="56">
        <f>AS284*AN280</f>
        <v>0</v>
      </c>
      <c r="AT285" s="56">
        <f>AT284*AN280</f>
        <v>0</v>
      </c>
      <c r="AU285" s="56">
        <f>AU284*AN280</f>
        <v>0</v>
      </c>
      <c r="AV285" s="57">
        <f t="shared" si="304"/>
        <v>0</v>
      </c>
    </row>
    <row r="286" spans="1:48" ht="19.899999999999999" hidden="1" customHeight="1">
      <c r="A286" s="403"/>
      <c r="B286" s="65"/>
      <c r="C286" s="387" t="s">
        <v>435</v>
      </c>
      <c r="D286" s="73" t="s">
        <v>105</v>
      </c>
      <c r="E286" s="1102"/>
      <c r="F286" s="1103"/>
      <c r="G286" s="1210"/>
      <c r="H286" s="1103"/>
      <c r="I286" s="1103"/>
      <c r="J286" s="1210"/>
      <c r="K286" s="1210"/>
      <c r="L286" s="1103"/>
      <c r="M286" s="1103"/>
      <c r="N286" s="1103"/>
      <c r="O286" s="1103"/>
      <c r="P286" s="1103"/>
      <c r="Q286" s="1210"/>
      <c r="R286" s="1210"/>
      <c r="S286" s="1103"/>
      <c r="T286" s="1103"/>
      <c r="U286" s="1103"/>
      <c r="V286" s="1103"/>
      <c r="W286" s="1103"/>
      <c r="X286" s="1210"/>
      <c r="Y286" s="1210"/>
      <c r="Z286" s="1103"/>
      <c r="AA286" s="1103"/>
      <c r="AB286" s="1103"/>
      <c r="AC286" s="1103"/>
      <c r="AD286" s="1103"/>
      <c r="AE286" s="1210"/>
      <c r="AF286" s="1210"/>
      <c r="AG286" s="1103"/>
      <c r="AH286" s="1103"/>
      <c r="AI286" s="1103"/>
      <c r="AJ286" s="388">
        <f>SUM(E286:AI286)</f>
        <v>0</v>
      </c>
      <c r="AK286" s="1024">
        <f t="shared" si="291"/>
        <v>0</v>
      </c>
      <c r="AL286" s="427">
        <f>+AJ286*AN280</f>
        <v>0</v>
      </c>
      <c r="AM286" s="1040">
        <f t="shared" si="292"/>
        <v>0</v>
      </c>
      <c r="AN286" s="382"/>
      <c r="AO286" s="622"/>
      <c r="AP286" s="47" t="s">
        <v>106</v>
      </c>
      <c r="AQ286" s="48">
        <f>AQ282*AN280</f>
        <v>0</v>
      </c>
      <c r="AR286" s="48">
        <f>AR282*AN280</f>
        <v>0</v>
      </c>
      <c r="AS286" s="48">
        <f>AS282*AN280</f>
        <v>0</v>
      </c>
      <c r="AT286" s="48">
        <f>AT282*AN280</f>
        <v>0</v>
      </c>
      <c r="AU286" s="48">
        <f>AU282*AN280</f>
        <v>0</v>
      </c>
      <c r="AV286" s="50">
        <f t="shared" si="304"/>
        <v>0</v>
      </c>
    </row>
    <row r="287" spans="1:48" ht="19.899999999999999" hidden="1" customHeight="1">
      <c r="A287" s="403"/>
      <c r="B287" s="390"/>
      <c r="C287" s="379">
        <v>50000</v>
      </c>
      <c r="D287" s="78" t="s">
        <v>107</v>
      </c>
      <c r="E287" s="1137">
        <v>4</v>
      </c>
      <c r="F287" s="1097">
        <v>4</v>
      </c>
      <c r="G287" s="1205">
        <v>4</v>
      </c>
      <c r="H287" s="1097">
        <v>4</v>
      </c>
      <c r="I287" s="1097">
        <v>4</v>
      </c>
      <c r="J287" s="1205">
        <v>4</v>
      </c>
      <c r="K287" s="1205">
        <v>4</v>
      </c>
      <c r="L287" s="1097">
        <v>4</v>
      </c>
      <c r="M287" s="1097">
        <v>4</v>
      </c>
      <c r="N287" s="1097">
        <v>4</v>
      </c>
      <c r="O287" s="1097">
        <v>4</v>
      </c>
      <c r="P287" s="1097">
        <v>4</v>
      </c>
      <c r="Q287" s="1205">
        <v>4</v>
      </c>
      <c r="R287" s="1205">
        <v>4</v>
      </c>
      <c r="S287" s="1097">
        <v>4</v>
      </c>
      <c r="T287" s="1097">
        <v>4</v>
      </c>
      <c r="U287" s="1097">
        <v>4</v>
      </c>
      <c r="V287" s="1097">
        <v>4</v>
      </c>
      <c r="W287" s="1097">
        <v>4</v>
      </c>
      <c r="X287" s="1205">
        <v>4</v>
      </c>
      <c r="Y287" s="1205">
        <v>4</v>
      </c>
      <c r="Z287" s="1097">
        <v>4</v>
      </c>
      <c r="AA287" s="1097">
        <v>4</v>
      </c>
      <c r="AB287" s="1097">
        <v>4</v>
      </c>
      <c r="AC287" s="1097">
        <v>4</v>
      </c>
      <c r="AD287" s="1097">
        <v>4</v>
      </c>
      <c r="AE287" s="1205">
        <v>4</v>
      </c>
      <c r="AF287" s="1205">
        <v>4</v>
      </c>
      <c r="AG287" s="1097">
        <v>4</v>
      </c>
      <c r="AH287" s="1097">
        <v>4</v>
      </c>
      <c r="AI287" s="1097">
        <v>4</v>
      </c>
      <c r="AJ287" s="381"/>
      <c r="AK287" s="1024">
        <f t="shared" si="291"/>
        <v>0</v>
      </c>
      <c r="AL287" s="425"/>
      <c r="AM287" s="1041">
        <f t="shared" si="292"/>
        <v>0</v>
      </c>
      <c r="AN287" s="382"/>
      <c r="AO287" s="622"/>
      <c r="AP287" s="391"/>
      <c r="AQ287" s="391"/>
      <c r="AR287" s="4"/>
      <c r="AS287" s="4"/>
      <c r="AT287" s="392"/>
      <c r="AU287" s="4"/>
      <c r="AV287" s="4"/>
    </row>
    <row r="288" spans="1:48" ht="19.899999999999999" hidden="1" customHeight="1">
      <c r="A288" s="403"/>
      <c r="B288" s="390"/>
      <c r="C288" s="89" t="s">
        <v>108</v>
      </c>
      <c r="D288" s="81" t="s">
        <v>109</v>
      </c>
      <c r="E288" s="1125">
        <f>SUM(E282+E284+E285+E286)/E287</f>
        <v>0</v>
      </c>
      <c r="F288" s="1125">
        <f t="shared" ref="F288:T288" si="308">SUM(F282+F284+F285+F286)/F287</f>
        <v>0</v>
      </c>
      <c r="G288" s="1233">
        <f t="shared" si="308"/>
        <v>0</v>
      </c>
      <c r="H288" s="1125">
        <f t="shared" si="308"/>
        <v>0</v>
      </c>
      <c r="I288" s="1125">
        <f t="shared" si="308"/>
        <v>0</v>
      </c>
      <c r="J288" s="1233">
        <f t="shared" si="308"/>
        <v>0</v>
      </c>
      <c r="K288" s="1233">
        <f t="shared" si="308"/>
        <v>0</v>
      </c>
      <c r="L288" s="1125">
        <f t="shared" si="308"/>
        <v>0</v>
      </c>
      <c r="M288" s="1125">
        <f t="shared" si="308"/>
        <v>0</v>
      </c>
      <c r="N288" s="1125">
        <f t="shared" si="308"/>
        <v>0</v>
      </c>
      <c r="O288" s="1125">
        <f t="shared" si="308"/>
        <v>0</v>
      </c>
      <c r="P288" s="1125">
        <f t="shared" si="308"/>
        <v>0</v>
      </c>
      <c r="Q288" s="1233">
        <f t="shared" si="308"/>
        <v>0</v>
      </c>
      <c r="R288" s="1233">
        <f t="shared" si="308"/>
        <v>0</v>
      </c>
      <c r="S288" s="1125">
        <f t="shared" si="308"/>
        <v>0</v>
      </c>
      <c r="T288" s="1125">
        <f t="shared" si="308"/>
        <v>0</v>
      </c>
      <c r="U288" s="1125">
        <f t="shared" ref="U288:AI288" si="309">SUM(U282+U284+U285+U286)/U287</f>
        <v>0</v>
      </c>
      <c r="V288" s="1125">
        <f t="shared" si="309"/>
        <v>0</v>
      </c>
      <c r="W288" s="1125">
        <f t="shared" si="309"/>
        <v>0</v>
      </c>
      <c r="X288" s="1233">
        <f t="shared" si="309"/>
        <v>0</v>
      </c>
      <c r="Y288" s="1233">
        <f t="shared" si="309"/>
        <v>0</v>
      </c>
      <c r="Z288" s="1125">
        <f t="shared" si="309"/>
        <v>0</v>
      </c>
      <c r="AA288" s="1125">
        <f t="shared" si="309"/>
        <v>0</v>
      </c>
      <c r="AB288" s="1125">
        <f t="shared" si="309"/>
        <v>0</v>
      </c>
      <c r="AC288" s="1125">
        <f t="shared" si="309"/>
        <v>0</v>
      </c>
      <c r="AD288" s="1125">
        <f t="shared" si="309"/>
        <v>0</v>
      </c>
      <c r="AE288" s="1233">
        <f t="shared" si="309"/>
        <v>0</v>
      </c>
      <c r="AF288" s="1233">
        <f t="shared" si="309"/>
        <v>0</v>
      </c>
      <c r="AG288" s="1125">
        <f t="shared" si="309"/>
        <v>0</v>
      </c>
      <c r="AH288" s="1125">
        <f t="shared" si="309"/>
        <v>0</v>
      </c>
      <c r="AI288" s="1125">
        <f t="shared" si="309"/>
        <v>0</v>
      </c>
      <c r="AJ288" s="380">
        <f>SUM(E288:AI288)</f>
        <v>0</v>
      </c>
      <c r="AK288" s="1025">
        <f t="shared" si="291"/>
        <v>0</v>
      </c>
      <c r="AL288" s="419"/>
      <c r="AM288" s="1040">
        <f t="shared" si="292"/>
        <v>0</v>
      </c>
      <c r="AN288" s="382"/>
      <c r="AO288" s="622"/>
      <c r="AP288" s="391"/>
      <c r="AQ288" s="391"/>
      <c r="AR288" s="4"/>
      <c r="AS288" s="4"/>
      <c r="AT288" s="392"/>
      <c r="AU288" s="4"/>
      <c r="AV288" s="4"/>
    </row>
    <row r="289" spans="1:48" ht="19.899999999999999" hidden="1" customHeight="1">
      <c r="A289" s="405"/>
      <c r="B289" s="390"/>
      <c r="C289" s="432">
        <f>+C287*0.8</f>
        <v>40000</v>
      </c>
      <c r="D289" s="85" t="s">
        <v>110</v>
      </c>
      <c r="E289" s="1126"/>
      <c r="F289" s="1126"/>
      <c r="G289" s="1235"/>
      <c r="H289" s="1172"/>
      <c r="I289" s="1126"/>
      <c r="J289" s="1281"/>
      <c r="K289" s="1235"/>
      <c r="L289" s="1126"/>
      <c r="M289" s="1126"/>
      <c r="N289" s="1174"/>
      <c r="O289" s="1173"/>
      <c r="P289" s="1173"/>
      <c r="Q289" s="1281"/>
      <c r="R289" s="1281"/>
      <c r="S289" s="1173"/>
      <c r="T289" s="1107"/>
      <c r="U289" s="1173"/>
      <c r="V289" s="1173"/>
      <c r="W289" s="1173"/>
      <c r="X289" s="1281"/>
      <c r="Y289" s="1281"/>
      <c r="Z289" s="1155"/>
      <c r="AA289" s="1173"/>
      <c r="AB289" s="1173"/>
      <c r="AC289" s="1173"/>
      <c r="AD289" s="1173"/>
      <c r="AE289" s="1281"/>
      <c r="AF289" s="1281"/>
      <c r="AG289" s="1173"/>
      <c r="AH289" s="1173"/>
      <c r="AI289" s="1173"/>
      <c r="AJ289" s="394"/>
      <c r="AK289" s="1025">
        <f t="shared" si="291"/>
        <v>0</v>
      </c>
      <c r="AL289" s="419"/>
      <c r="AM289" s="1040">
        <f t="shared" si="292"/>
        <v>0</v>
      </c>
      <c r="AN289" s="382"/>
      <c r="AO289" s="622"/>
      <c r="AP289" s="391"/>
      <c r="AQ289" s="391"/>
      <c r="AR289" s="4"/>
      <c r="AS289" s="4"/>
      <c r="AT289" s="392"/>
      <c r="AU289" s="4"/>
      <c r="AV289" s="4"/>
    </row>
    <row r="290" spans="1:48" ht="19.899999999999999" hidden="1" customHeight="1">
      <c r="A290" s="403"/>
      <c r="B290" s="390"/>
      <c r="C290" s="89"/>
      <c r="D290" s="88" t="s">
        <v>111</v>
      </c>
      <c r="E290" s="1156">
        <f>IF(E289="O/H",E288,0+E288)</f>
        <v>0</v>
      </c>
      <c r="F290" s="1156">
        <f t="shared" ref="F290:AI290" si="310">IF(F289="O/H",F288,0+F288)</f>
        <v>0</v>
      </c>
      <c r="G290" s="1227">
        <f t="shared" si="310"/>
        <v>0</v>
      </c>
      <c r="H290" s="1156">
        <f t="shared" si="310"/>
        <v>0</v>
      </c>
      <c r="I290" s="1156">
        <f t="shared" si="310"/>
        <v>0</v>
      </c>
      <c r="J290" s="1227">
        <f t="shared" si="310"/>
        <v>0</v>
      </c>
      <c r="K290" s="1227">
        <f t="shared" si="310"/>
        <v>0</v>
      </c>
      <c r="L290" s="1156">
        <f t="shared" si="310"/>
        <v>0</v>
      </c>
      <c r="M290" s="1156">
        <f t="shared" si="310"/>
        <v>0</v>
      </c>
      <c r="N290" s="1156">
        <f t="shared" si="310"/>
        <v>0</v>
      </c>
      <c r="O290" s="1156">
        <f t="shared" si="310"/>
        <v>0</v>
      </c>
      <c r="P290" s="1156">
        <f t="shared" si="310"/>
        <v>0</v>
      </c>
      <c r="Q290" s="1227">
        <f t="shared" si="310"/>
        <v>0</v>
      </c>
      <c r="R290" s="1227">
        <f t="shared" si="310"/>
        <v>0</v>
      </c>
      <c r="S290" s="1156">
        <f t="shared" si="310"/>
        <v>0</v>
      </c>
      <c r="T290" s="1156">
        <f t="shared" si="310"/>
        <v>0</v>
      </c>
      <c r="U290" s="1156">
        <f t="shared" si="310"/>
        <v>0</v>
      </c>
      <c r="V290" s="1156">
        <f t="shared" si="310"/>
        <v>0</v>
      </c>
      <c r="W290" s="1156">
        <f t="shared" si="310"/>
        <v>0</v>
      </c>
      <c r="X290" s="1227">
        <f t="shared" si="310"/>
        <v>0</v>
      </c>
      <c r="Y290" s="1227">
        <f t="shared" si="310"/>
        <v>0</v>
      </c>
      <c r="Z290" s="1156">
        <f t="shared" si="310"/>
        <v>0</v>
      </c>
      <c r="AA290" s="1156">
        <f t="shared" si="310"/>
        <v>0</v>
      </c>
      <c r="AB290" s="1156">
        <f t="shared" si="310"/>
        <v>0</v>
      </c>
      <c r="AC290" s="1156">
        <f t="shared" si="310"/>
        <v>0</v>
      </c>
      <c r="AD290" s="1156">
        <f t="shared" si="310"/>
        <v>0</v>
      </c>
      <c r="AE290" s="1227">
        <f t="shared" si="310"/>
        <v>0</v>
      </c>
      <c r="AF290" s="1227">
        <f t="shared" si="310"/>
        <v>0</v>
      </c>
      <c r="AG290" s="1156">
        <f t="shared" si="310"/>
        <v>0</v>
      </c>
      <c r="AH290" s="1156">
        <f t="shared" si="310"/>
        <v>0</v>
      </c>
      <c r="AI290" s="1156">
        <f t="shared" si="310"/>
        <v>0</v>
      </c>
      <c r="AJ290" s="394"/>
      <c r="AK290" s="1025">
        <f t="shared" si="291"/>
        <v>0</v>
      </c>
      <c r="AL290" s="419"/>
      <c r="AM290" s="1040">
        <f t="shared" si="292"/>
        <v>0</v>
      </c>
      <c r="AN290" s="382"/>
      <c r="AO290" s="622"/>
      <c r="AP290" s="391"/>
      <c r="AQ290" s="391"/>
      <c r="AR290" s="4"/>
      <c r="AS290" s="4"/>
      <c r="AT290" s="392"/>
      <c r="AU290" s="4"/>
      <c r="AV290" s="4"/>
    </row>
    <row r="291" spans="1:48" ht="19.899999999999999" hidden="1" customHeight="1">
      <c r="A291" s="403"/>
      <c r="B291" s="59"/>
      <c r="C291" s="387"/>
      <c r="D291" s="395" t="s">
        <v>435</v>
      </c>
      <c r="E291" s="1126"/>
      <c r="F291" s="1126"/>
      <c r="G291" s="1211"/>
      <c r="H291" s="1176"/>
      <c r="I291" s="1104"/>
      <c r="J291" s="1211"/>
      <c r="K291" s="1273"/>
      <c r="L291" s="1104"/>
      <c r="M291" s="1104"/>
      <c r="N291" s="1177"/>
      <c r="O291" s="1107"/>
      <c r="P291" s="1177"/>
      <c r="Q291" s="1211"/>
      <c r="R291" s="1211"/>
      <c r="S291" s="1104"/>
      <c r="T291" s="1107"/>
      <c r="U291" s="1104"/>
      <c r="V291" s="1104"/>
      <c r="W291" s="1104"/>
      <c r="X291" s="1228"/>
      <c r="Y291" s="1228"/>
      <c r="Z291" s="1155"/>
      <c r="AA291" s="1104"/>
      <c r="AB291" s="1104"/>
      <c r="AC291" s="1104"/>
      <c r="AD291" s="1104"/>
      <c r="AE291" s="1211"/>
      <c r="AF291" s="1211"/>
      <c r="AG291" s="1104"/>
      <c r="AH291" s="1104"/>
      <c r="AI291" s="1104"/>
      <c r="AJ291" s="396"/>
      <c r="AK291" s="1024">
        <f t="shared" si="291"/>
        <v>0</v>
      </c>
      <c r="AL291" s="420"/>
      <c r="AM291" s="1040">
        <f t="shared" si="292"/>
        <v>0</v>
      </c>
      <c r="AN291" s="382"/>
      <c r="AO291" s="622"/>
      <c r="AP291" s="391"/>
      <c r="AQ291" s="391"/>
    </row>
    <row r="292" spans="1:48" ht="19.899999999999999" hidden="1" customHeight="1">
      <c r="A292" s="403"/>
      <c r="B292" s="59"/>
      <c r="C292" s="387" t="s">
        <v>104</v>
      </c>
      <c r="D292" s="88" t="s">
        <v>111</v>
      </c>
      <c r="E292" s="1156">
        <f>IF(E291="O/H",E288,0+E288)</f>
        <v>0</v>
      </c>
      <c r="F292" s="1156">
        <f t="shared" ref="F292:AI292" si="311">IF(F291="O/H",F288,0+F288)</f>
        <v>0</v>
      </c>
      <c r="G292" s="1227">
        <f t="shared" si="311"/>
        <v>0</v>
      </c>
      <c r="H292" s="1156">
        <f t="shared" si="311"/>
        <v>0</v>
      </c>
      <c r="I292" s="1156">
        <f t="shared" si="311"/>
        <v>0</v>
      </c>
      <c r="J292" s="1227">
        <f t="shared" si="311"/>
        <v>0</v>
      </c>
      <c r="K292" s="1227">
        <f t="shared" si="311"/>
        <v>0</v>
      </c>
      <c r="L292" s="1156">
        <f t="shared" si="311"/>
        <v>0</v>
      </c>
      <c r="M292" s="1156">
        <f t="shared" si="311"/>
        <v>0</v>
      </c>
      <c r="N292" s="1156">
        <f t="shared" si="311"/>
        <v>0</v>
      </c>
      <c r="O292" s="1156">
        <f t="shared" si="311"/>
        <v>0</v>
      </c>
      <c r="P292" s="1156">
        <f t="shared" si="311"/>
        <v>0</v>
      </c>
      <c r="Q292" s="1227">
        <f t="shared" si="311"/>
        <v>0</v>
      </c>
      <c r="R292" s="1227">
        <f t="shared" si="311"/>
        <v>0</v>
      </c>
      <c r="S292" s="1156">
        <f t="shared" si="311"/>
        <v>0</v>
      </c>
      <c r="T292" s="1156">
        <f t="shared" si="311"/>
        <v>0</v>
      </c>
      <c r="U292" s="1156">
        <f t="shared" si="311"/>
        <v>0</v>
      </c>
      <c r="V292" s="1156">
        <f t="shared" si="311"/>
        <v>0</v>
      </c>
      <c r="W292" s="1156">
        <f t="shared" si="311"/>
        <v>0</v>
      </c>
      <c r="X292" s="1227">
        <f t="shared" si="311"/>
        <v>0</v>
      </c>
      <c r="Y292" s="1227">
        <f t="shared" si="311"/>
        <v>0</v>
      </c>
      <c r="Z292" s="1156">
        <f t="shared" si="311"/>
        <v>0</v>
      </c>
      <c r="AA292" s="1156">
        <f t="shared" si="311"/>
        <v>0</v>
      </c>
      <c r="AB292" s="1156">
        <f t="shared" si="311"/>
        <v>0</v>
      </c>
      <c r="AC292" s="1156">
        <f t="shared" si="311"/>
        <v>0</v>
      </c>
      <c r="AD292" s="1156">
        <f t="shared" si="311"/>
        <v>0</v>
      </c>
      <c r="AE292" s="1227">
        <f t="shared" si="311"/>
        <v>0</v>
      </c>
      <c r="AF292" s="1227">
        <f t="shared" si="311"/>
        <v>0</v>
      </c>
      <c r="AG292" s="1156">
        <f t="shared" si="311"/>
        <v>0</v>
      </c>
      <c r="AH292" s="1156">
        <f t="shared" si="311"/>
        <v>0</v>
      </c>
      <c r="AI292" s="1156">
        <f t="shared" si="311"/>
        <v>0</v>
      </c>
      <c r="AJ292" s="394"/>
      <c r="AK292" s="1025">
        <f t="shared" si="291"/>
        <v>0</v>
      </c>
      <c r="AL292" s="419"/>
      <c r="AM292" s="1040">
        <f t="shared" si="292"/>
        <v>0</v>
      </c>
      <c r="AN292" s="382"/>
      <c r="AO292" s="622"/>
      <c r="AP292" s="391"/>
      <c r="AQ292" s="391"/>
    </row>
    <row r="293" spans="1:48" s="23" customFormat="1" ht="20.45" hidden="1" customHeight="1">
      <c r="A293" s="312"/>
      <c r="B293" s="312"/>
      <c r="C293" s="379">
        <v>150000</v>
      </c>
      <c r="D293" s="795" t="s">
        <v>112</v>
      </c>
      <c r="E293" s="1117" t="b">
        <f>IF(AND(ISNUMBER(E282)),599460+E288)</f>
        <v>0</v>
      </c>
      <c r="F293" s="1118" t="str">
        <f>IF(AND(ISNUMBER(F282)),E293+F288,"")</f>
        <v/>
      </c>
      <c r="G293" s="1216" t="str">
        <f>IF(AND(ISNUMBER(G282)),F293+G288,"")</f>
        <v/>
      </c>
      <c r="H293" s="1118" t="str">
        <f t="shared" ref="H293:AI293" si="312">IF(AND(ISNUMBER(H282)),G293+H288,"")</f>
        <v/>
      </c>
      <c r="I293" s="1118" t="str">
        <f t="shared" si="312"/>
        <v/>
      </c>
      <c r="J293" s="1216" t="str">
        <f t="shared" si="312"/>
        <v/>
      </c>
      <c r="K293" s="1216" t="str">
        <f t="shared" si="312"/>
        <v/>
      </c>
      <c r="L293" s="1118" t="str">
        <f t="shared" si="312"/>
        <v/>
      </c>
      <c r="M293" s="1118" t="str">
        <f t="shared" si="312"/>
        <v/>
      </c>
      <c r="N293" s="1118" t="str">
        <f t="shared" si="312"/>
        <v/>
      </c>
      <c r="O293" s="1118" t="str">
        <f t="shared" si="312"/>
        <v/>
      </c>
      <c r="P293" s="1118" t="str">
        <f t="shared" si="312"/>
        <v/>
      </c>
      <c r="Q293" s="1216" t="str">
        <f t="shared" si="312"/>
        <v/>
      </c>
      <c r="R293" s="1216" t="str">
        <f t="shared" si="312"/>
        <v/>
      </c>
      <c r="S293" s="1118" t="str">
        <f t="shared" si="312"/>
        <v/>
      </c>
      <c r="T293" s="1118" t="str">
        <f t="shared" si="312"/>
        <v/>
      </c>
      <c r="U293" s="1118" t="str">
        <f t="shared" si="312"/>
        <v/>
      </c>
      <c r="V293" s="1118" t="str">
        <f t="shared" si="312"/>
        <v/>
      </c>
      <c r="W293" s="1118" t="str">
        <f t="shared" si="312"/>
        <v/>
      </c>
      <c r="X293" s="1216" t="str">
        <f t="shared" si="312"/>
        <v/>
      </c>
      <c r="Y293" s="1216" t="str">
        <f t="shared" si="312"/>
        <v/>
      </c>
      <c r="Z293" s="1118" t="str">
        <f t="shared" si="312"/>
        <v/>
      </c>
      <c r="AA293" s="1118" t="str">
        <f t="shared" si="312"/>
        <v/>
      </c>
      <c r="AB293" s="1118" t="str">
        <f t="shared" si="312"/>
        <v/>
      </c>
      <c r="AC293" s="1118" t="str">
        <f t="shared" si="312"/>
        <v/>
      </c>
      <c r="AD293" s="1118" t="str">
        <f t="shared" si="312"/>
        <v/>
      </c>
      <c r="AE293" s="1216" t="str">
        <f t="shared" si="312"/>
        <v/>
      </c>
      <c r="AF293" s="1216" t="str">
        <f t="shared" si="312"/>
        <v/>
      </c>
      <c r="AG293" s="1118" t="str">
        <f t="shared" si="312"/>
        <v/>
      </c>
      <c r="AH293" s="1118" t="str">
        <f t="shared" si="312"/>
        <v/>
      </c>
      <c r="AI293" s="1118" t="str">
        <f t="shared" si="312"/>
        <v/>
      </c>
      <c r="AJ293" s="793"/>
      <c r="AK293" s="1026">
        <f t="shared" si="291"/>
        <v>0</v>
      </c>
      <c r="AL293" s="897"/>
      <c r="AM293" s="1042">
        <f t="shared" si="292"/>
        <v>0</v>
      </c>
      <c r="AN293" s="468"/>
      <c r="AO293" s="675"/>
      <c r="AP293" s="285"/>
      <c r="AQ293" s="285"/>
      <c r="AR293" s="285"/>
      <c r="AS293" s="285"/>
      <c r="AT293" s="286"/>
      <c r="AU293" s="285"/>
      <c r="AV293" s="287"/>
    </row>
    <row r="294" spans="1:48" ht="19.5" hidden="1" customHeight="1">
      <c r="A294" s="403"/>
      <c r="B294" s="393" t="s">
        <v>471</v>
      </c>
      <c r="C294" s="89" t="s">
        <v>108</v>
      </c>
      <c r="D294" s="90" t="s">
        <v>104</v>
      </c>
      <c r="E294" s="1365"/>
      <c r="F294" s="1104"/>
      <c r="G294" s="1211"/>
      <c r="H294" s="1176"/>
      <c r="I294" s="1104"/>
      <c r="J294" s="1211"/>
      <c r="K294" s="1273"/>
      <c r="L294" s="1104"/>
      <c r="M294" s="1104"/>
      <c r="N294" s="1177"/>
      <c r="O294" s="1104"/>
      <c r="P294" s="1177"/>
      <c r="Q294" s="1211"/>
      <c r="R294" s="1211"/>
      <c r="S294" s="1104"/>
      <c r="T294" s="1107"/>
      <c r="U294" s="1104"/>
      <c r="V294" s="1104"/>
      <c r="W294" s="1104"/>
      <c r="X294" s="1228"/>
      <c r="Y294" s="1211"/>
      <c r="Z294" s="1106"/>
      <c r="AA294" s="1104"/>
      <c r="AB294" s="1104"/>
      <c r="AC294" s="1104"/>
      <c r="AD294" s="1104"/>
      <c r="AE294" s="1211"/>
      <c r="AF294" s="1211"/>
      <c r="AG294" s="1104"/>
      <c r="AH294" s="1104"/>
      <c r="AI294" s="1104"/>
      <c r="AJ294" s="396"/>
      <c r="AK294" s="1024">
        <f t="shared" si="291"/>
        <v>0</v>
      </c>
      <c r="AL294" s="420"/>
      <c r="AM294" s="1040">
        <f t="shared" si="292"/>
        <v>0</v>
      </c>
      <c r="AN294" s="382"/>
      <c r="AO294" s="622"/>
      <c r="AP294" s="391"/>
      <c r="AQ294" s="391"/>
    </row>
    <row r="295" spans="1:48" ht="19.899999999999999" hidden="1" customHeight="1" thickBot="1">
      <c r="A295" s="406"/>
      <c r="B295" s="398"/>
      <c r="C295" s="434">
        <f>C293*0.8</f>
        <v>120000</v>
      </c>
      <c r="D295" s="95" t="s">
        <v>111</v>
      </c>
      <c r="E295" s="1110">
        <f>IF(E294="O/H",E288,0+E288)</f>
        <v>0</v>
      </c>
      <c r="F295" s="1110">
        <f t="shared" ref="F295:AI295" si="313">IF(F294="O/H",F288,0+F288)</f>
        <v>0</v>
      </c>
      <c r="G295" s="1212">
        <f t="shared" si="313"/>
        <v>0</v>
      </c>
      <c r="H295" s="1110">
        <f t="shared" si="313"/>
        <v>0</v>
      </c>
      <c r="I295" s="1110">
        <f t="shared" si="313"/>
        <v>0</v>
      </c>
      <c r="J295" s="1212">
        <f t="shared" si="313"/>
        <v>0</v>
      </c>
      <c r="K295" s="1212">
        <f t="shared" si="313"/>
        <v>0</v>
      </c>
      <c r="L295" s="1110">
        <f t="shared" si="313"/>
        <v>0</v>
      </c>
      <c r="M295" s="1110">
        <f t="shared" si="313"/>
        <v>0</v>
      </c>
      <c r="N295" s="1110">
        <f t="shared" si="313"/>
        <v>0</v>
      </c>
      <c r="O295" s="1110">
        <f t="shared" si="313"/>
        <v>0</v>
      </c>
      <c r="P295" s="1110">
        <f t="shared" si="313"/>
        <v>0</v>
      </c>
      <c r="Q295" s="1212">
        <f t="shared" si="313"/>
        <v>0</v>
      </c>
      <c r="R295" s="1212">
        <f t="shared" si="313"/>
        <v>0</v>
      </c>
      <c r="S295" s="1110">
        <f t="shared" si="313"/>
        <v>0</v>
      </c>
      <c r="T295" s="1110">
        <f t="shared" si="313"/>
        <v>0</v>
      </c>
      <c r="U295" s="1110">
        <f t="shared" si="313"/>
        <v>0</v>
      </c>
      <c r="V295" s="1110">
        <f t="shared" si="313"/>
        <v>0</v>
      </c>
      <c r="W295" s="1110">
        <f t="shared" si="313"/>
        <v>0</v>
      </c>
      <c r="X295" s="1212">
        <f t="shared" si="313"/>
        <v>0</v>
      </c>
      <c r="Y295" s="1212">
        <f t="shared" si="313"/>
        <v>0</v>
      </c>
      <c r="Z295" s="1110">
        <f t="shared" si="313"/>
        <v>0</v>
      </c>
      <c r="AA295" s="1110">
        <f t="shared" si="313"/>
        <v>0</v>
      </c>
      <c r="AB295" s="1110">
        <f t="shared" si="313"/>
        <v>0</v>
      </c>
      <c r="AC295" s="1110">
        <f t="shared" si="313"/>
        <v>0</v>
      </c>
      <c r="AD295" s="1110">
        <f t="shared" si="313"/>
        <v>0</v>
      </c>
      <c r="AE295" s="1212">
        <f t="shared" si="313"/>
        <v>0</v>
      </c>
      <c r="AF295" s="1212">
        <f t="shared" si="313"/>
        <v>0</v>
      </c>
      <c r="AG295" s="1110">
        <f t="shared" si="313"/>
        <v>0</v>
      </c>
      <c r="AH295" s="1110">
        <f t="shared" si="313"/>
        <v>0</v>
      </c>
      <c r="AI295" s="1110">
        <f t="shared" si="313"/>
        <v>0</v>
      </c>
      <c r="AJ295" s="399"/>
      <c r="AK295" s="1027">
        <f t="shared" si="291"/>
        <v>0</v>
      </c>
      <c r="AL295" s="421"/>
      <c r="AM295" s="1043">
        <f t="shared" si="292"/>
        <v>0</v>
      </c>
      <c r="AN295" s="894"/>
      <c r="AO295" s="625"/>
      <c r="AP295" s="391"/>
      <c r="AQ295" s="391"/>
    </row>
    <row r="296" spans="1:48" ht="19.899999999999999" hidden="1" customHeight="1" thickTop="1">
      <c r="A296" s="968" t="s">
        <v>599</v>
      </c>
      <c r="B296" s="411" t="s">
        <v>646</v>
      </c>
      <c r="C296" s="400" t="str">
        <f>Table37[[#This Row],[M/C No.]]</f>
        <v>R14(50ton)</v>
      </c>
      <c r="D296" s="28" t="s">
        <v>82</v>
      </c>
      <c r="E296" s="1124"/>
      <c r="F296" s="1124"/>
      <c r="G296" s="1242"/>
      <c r="H296" s="1124"/>
      <c r="I296" s="1124"/>
      <c r="J296" s="1242"/>
      <c r="K296" s="1242"/>
      <c r="L296" s="1124"/>
      <c r="M296" s="1124"/>
      <c r="N296" s="1124"/>
      <c r="O296" s="1124"/>
      <c r="P296" s="1124"/>
      <c r="Q296" s="1242"/>
      <c r="R296" s="1242"/>
      <c r="S296" s="1124"/>
      <c r="T296" s="1124"/>
      <c r="U296" s="1124"/>
      <c r="V296" s="1124"/>
      <c r="W296" s="1124"/>
      <c r="X296" s="1242"/>
      <c r="Y296" s="1242"/>
      <c r="Z296" s="1124"/>
      <c r="AA296" s="1124"/>
      <c r="AB296" s="1124"/>
      <c r="AC296" s="1124"/>
      <c r="AD296" s="1124"/>
      <c r="AE296" s="1242"/>
      <c r="AF296" s="1242"/>
      <c r="AG296" s="1124"/>
      <c r="AH296" s="1124"/>
      <c r="AI296" s="1124"/>
      <c r="AJ296" s="375">
        <f>SUM(E296:AI296)</f>
        <v>0</v>
      </c>
      <c r="AK296" s="1047">
        <f t="shared" si="291"/>
        <v>0</v>
      </c>
      <c r="AL296" s="422">
        <f>+AJ296*AN296</f>
        <v>0</v>
      </c>
      <c r="AM296" s="1046">
        <f t="shared" si="292"/>
        <v>0</v>
      </c>
      <c r="AN296" s="402">
        <v>7.0584199999999999</v>
      </c>
      <c r="AO296" s="622">
        <f>Table37[[#This Row],[Total]]*B300/1000</f>
        <v>0</v>
      </c>
      <c r="AP296" s="32" t="s">
        <v>468</v>
      </c>
      <c r="AQ296" s="33" t="s">
        <v>84</v>
      </c>
      <c r="AR296" s="33" t="s">
        <v>85</v>
      </c>
      <c r="AS296" s="33" t="s">
        <v>86</v>
      </c>
      <c r="AT296" s="33" t="s">
        <v>87</v>
      </c>
      <c r="AU296" s="33" t="s">
        <v>88</v>
      </c>
      <c r="AV296" s="34" t="s">
        <v>68</v>
      </c>
    </row>
    <row r="297" spans="1:48" ht="19.899999999999999" hidden="1" customHeight="1">
      <c r="A297" s="403"/>
      <c r="B297" s="393" t="s">
        <v>472</v>
      </c>
      <c r="C297" s="431" t="s">
        <v>110</v>
      </c>
      <c r="D297" s="37" t="s">
        <v>90</v>
      </c>
      <c r="E297" s="1323">
        <f>IF(E296="",0, +E296/E303)</f>
        <v>0</v>
      </c>
      <c r="F297" s="1096">
        <f t="shared" ref="F297:Q297" si="314">IF(F296="",0, E297+F296/F303)</f>
        <v>0</v>
      </c>
      <c r="G297" s="1207">
        <f t="shared" si="314"/>
        <v>0</v>
      </c>
      <c r="H297" s="1096">
        <f t="shared" si="314"/>
        <v>0</v>
      </c>
      <c r="I297" s="1096">
        <f t="shared" si="314"/>
        <v>0</v>
      </c>
      <c r="J297" s="1207">
        <f t="shared" si="314"/>
        <v>0</v>
      </c>
      <c r="K297" s="1207">
        <f t="shared" si="314"/>
        <v>0</v>
      </c>
      <c r="L297" s="1096">
        <f t="shared" si="314"/>
        <v>0</v>
      </c>
      <c r="M297" s="1096">
        <f t="shared" si="314"/>
        <v>0</v>
      </c>
      <c r="N297" s="1096">
        <f t="shared" si="314"/>
        <v>0</v>
      </c>
      <c r="O297" s="1096">
        <f t="shared" si="314"/>
        <v>0</v>
      </c>
      <c r="P297" s="1096">
        <f t="shared" si="314"/>
        <v>0</v>
      </c>
      <c r="Q297" s="1207">
        <f t="shared" si="314"/>
        <v>0</v>
      </c>
      <c r="R297" s="1207">
        <v>0</v>
      </c>
      <c r="S297" s="1096">
        <v>0</v>
      </c>
      <c r="T297" s="1096">
        <v>0</v>
      </c>
      <c r="U297" s="1096">
        <f t="shared" ref="U297:AI297" si="315">IF(U296="",0, T297+U296/U303)</f>
        <v>0</v>
      </c>
      <c r="V297" s="1096">
        <f t="shared" si="315"/>
        <v>0</v>
      </c>
      <c r="W297" s="1096">
        <f t="shared" si="315"/>
        <v>0</v>
      </c>
      <c r="X297" s="1207">
        <f t="shared" si="315"/>
        <v>0</v>
      </c>
      <c r="Y297" s="1207">
        <f t="shared" si="315"/>
        <v>0</v>
      </c>
      <c r="Z297" s="1096">
        <f t="shared" si="315"/>
        <v>0</v>
      </c>
      <c r="AA297" s="1096">
        <f t="shared" si="315"/>
        <v>0</v>
      </c>
      <c r="AB297" s="1096">
        <f t="shared" si="315"/>
        <v>0</v>
      </c>
      <c r="AC297" s="1096">
        <f t="shared" si="315"/>
        <v>0</v>
      </c>
      <c r="AD297" s="1096">
        <f t="shared" si="315"/>
        <v>0</v>
      </c>
      <c r="AE297" s="1207">
        <f t="shared" si="315"/>
        <v>0</v>
      </c>
      <c r="AF297" s="1207">
        <f t="shared" si="315"/>
        <v>0</v>
      </c>
      <c r="AG297" s="1096">
        <f t="shared" si="315"/>
        <v>0</v>
      </c>
      <c r="AH297" s="1096">
        <f t="shared" si="315"/>
        <v>0</v>
      </c>
      <c r="AI297" s="1096">
        <f t="shared" si="315"/>
        <v>0</v>
      </c>
      <c r="AJ297" s="375"/>
      <c r="AK297" s="1023">
        <f t="shared" si="291"/>
        <v>0</v>
      </c>
      <c r="AL297" s="423"/>
      <c r="AM297" s="1040">
        <f t="shared" si="292"/>
        <v>0</v>
      </c>
      <c r="AN297" s="382"/>
      <c r="AO297" s="675"/>
      <c r="AP297" s="39" t="s">
        <v>91</v>
      </c>
      <c r="AQ297" s="40">
        <f>SUM(E296:I296)</f>
        <v>0</v>
      </c>
      <c r="AR297" s="41">
        <f>SUM(J296:P296)</f>
        <v>0</v>
      </c>
      <c r="AS297" s="41">
        <f>SUM(Q296:W296)</f>
        <v>0</v>
      </c>
      <c r="AT297" s="41">
        <f>SUM(X296:AD296)</f>
        <v>0</v>
      </c>
      <c r="AU297" s="41">
        <f>SUM(AE296:AI296)</f>
        <v>0</v>
      </c>
      <c r="AV297" s="34">
        <f t="shared" ref="AV297:AV302" si="316">SUM(AQ297:AU297)</f>
        <v>0</v>
      </c>
    </row>
    <row r="298" spans="1:48" ht="19.899999999999999" hidden="1" customHeight="1">
      <c r="A298" s="403"/>
      <c r="B298" s="393" t="s">
        <v>246</v>
      </c>
      <c r="C298" s="379">
        <v>70000</v>
      </c>
      <c r="D298" s="43" t="s">
        <v>93</v>
      </c>
      <c r="E298" s="1108"/>
      <c r="F298" s="1089"/>
      <c r="G298" s="44"/>
      <c r="H298" s="1089"/>
      <c r="I298" s="1089"/>
      <c r="J298" s="44"/>
      <c r="K298" s="44"/>
      <c r="L298" s="1089"/>
      <c r="M298" s="1089"/>
      <c r="N298" s="1089"/>
      <c r="O298" s="1089"/>
      <c r="P298" s="1089"/>
      <c r="Q298" s="44"/>
      <c r="R298" s="44"/>
      <c r="S298" s="1089"/>
      <c r="T298" s="1089"/>
      <c r="U298" s="1089"/>
      <c r="V298" s="1089"/>
      <c r="W298" s="1089"/>
      <c r="X298" s="44"/>
      <c r="Y298" s="44"/>
      <c r="Z298" s="1089"/>
      <c r="AA298" s="1089"/>
      <c r="AB298" s="1089"/>
      <c r="AC298" s="1089"/>
      <c r="AD298" s="1089"/>
      <c r="AE298" s="44"/>
      <c r="AF298" s="44"/>
      <c r="AG298" s="1089"/>
      <c r="AH298" s="1089"/>
      <c r="AI298" s="1089"/>
      <c r="AJ298" s="380">
        <f>SUM(E298:AI298)</f>
        <v>0</v>
      </c>
      <c r="AK298" s="1024">
        <f t="shared" si="291"/>
        <v>0</v>
      </c>
      <c r="AL298" s="424">
        <f>+AJ298*AN296</f>
        <v>0</v>
      </c>
      <c r="AM298" s="1041">
        <f t="shared" si="292"/>
        <v>0</v>
      </c>
      <c r="AN298" s="382"/>
      <c r="AO298" s="632">
        <f>(AJ298+AJ300+AJ301+AJ302)*B300/1000</f>
        <v>0</v>
      </c>
      <c r="AP298" s="47" t="s">
        <v>94</v>
      </c>
      <c r="AQ298" s="48">
        <f>SUM(E298:I298)</f>
        <v>0</v>
      </c>
      <c r="AR298" s="49">
        <f>SUM(J298:P298)</f>
        <v>0</v>
      </c>
      <c r="AS298" s="49">
        <f>SUM(Q298:W298)</f>
        <v>0</v>
      </c>
      <c r="AT298" s="49">
        <f>SUM(X298:AD298)</f>
        <v>0</v>
      </c>
      <c r="AU298" s="49">
        <f>SUM(AE298:AI298)</f>
        <v>0</v>
      </c>
      <c r="AV298" s="50">
        <f t="shared" si="316"/>
        <v>0</v>
      </c>
    </row>
    <row r="299" spans="1:48" ht="19.899999999999999" hidden="1" customHeight="1">
      <c r="A299" s="403"/>
      <c r="B299" s="638" t="s">
        <v>247</v>
      </c>
      <c r="C299" s="89" t="s">
        <v>108</v>
      </c>
      <c r="D299" s="53" t="s">
        <v>96</v>
      </c>
      <c r="E299" s="1137">
        <f t="shared" ref="E299:X299" si="317">+E298-E296</f>
        <v>0</v>
      </c>
      <c r="F299" s="1097">
        <f t="shared" si="317"/>
        <v>0</v>
      </c>
      <c r="G299" s="1205">
        <f t="shared" si="317"/>
        <v>0</v>
      </c>
      <c r="H299" s="1097">
        <f t="shared" si="317"/>
        <v>0</v>
      </c>
      <c r="I299" s="1097">
        <f t="shared" si="317"/>
        <v>0</v>
      </c>
      <c r="J299" s="1205">
        <f t="shared" si="317"/>
        <v>0</v>
      </c>
      <c r="K299" s="1205">
        <f t="shared" si="317"/>
        <v>0</v>
      </c>
      <c r="L299" s="1097">
        <f t="shared" si="317"/>
        <v>0</v>
      </c>
      <c r="M299" s="1097">
        <f t="shared" si="317"/>
        <v>0</v>
      </c>
      <c r="N299" s="1097">
        <f t="shared" si="317"/>
        <v>0</v>
      </c>
      <c r="O299" s="1097">
        <f t="shared" si="317"/>
        <v>0</v>
      </c>
      <c r="P299" s="1097">
        <f t="shared" si="317"/>
        <v>0</v>
      </c>
      <c r="Q299" s="1205">
        <f t="shared" si="317"/>
        <v>0</v>
      </c>
      <c r="R299" s="1205">
        <f t="shared" si="317"/>
        <v>0</v>
      </c>
      <c r="S299" s="1097">
        <f t="shared" si="317"/>
        <v>0</v>
      </c>
      <c r="T299" s="1097">
        <f t="shared" si="317"/>
        <v>0</v>
      </c>
      <c r="U299" s="1097">
        <f t="shared" si="317"/>
        <v>0</v>
      </c>
      <c r="V299" s="1097">
        <f t="shared" si="317"/>
        <v>0</v>
      </c>
      <c r="W299" s="1097">
        <f t="shared" si="317"/>
        <v>0</v>
      </c>
      <c r="X299" s="1205">
        <f t="shared" si="317"/>
        <v>0</v>
      </c>
      <c r="Y299" s="1205">
        <f>+Y298-Y296</f>
        <v>0</v>
      </c>
      <c r="Z299" s="1097">
        <f>+Z298-Z296</f>
        <v>0</v>
      </c>
      <c r="AA299" s="1097">
        <f t="shared" ref="AA299:AJ299" si="318">+AA298-AA296</f>
        <v>0</v>
      </c>
      <c r="AB299" s="1097">
        <f t="shared" si="318"/>
        <v>0</v>
      </c>
      <c r="AC299" s="1097">
        <f t="shared" si="318"/>
        <v>0</v>
      </c>
      <c r="AD299" s="1097">
        <f t="shared" si="318"/>
        <v>0</v>
      </c>
      <c r="AE299" s="1205">
        <f t="shared" si="318"/>
        <v>0</v>
      </c>
      <c r="AF299" s="1205">
        <f t="shared" si="318"/>
        <v>0</v>
      </c>
      <c r="AG299" s="1097">
        <f t="shared" si="318"/>
        <v>0</v>
      </c>
      <c r="AH299" s="1097">
        <f t="shared" si="318"/>
        <v>0</v>
      </c>
      <c r="AI299" s="1097">
        <f t="shared" si="318"/>
        <v>0</v>
      </c>
      <c r="AJ299" s="381">
        <f t="shared" si="318"/>
        <v>0</v>
      </c>
      <c r="AK299" s="1024">
        <f t="shared" si="291"/>
        <v>0</v>
      </c>
      <c r="AL299" s="425">
        <f>+AJ299*AN296</f>
        <v>0</v>
      </c>
      <c r="AM299" s="1041">
        <f t="shared" si="292"/>
        <v>0</v>
      </c>
      <c r="AN299" s="382" t="s">
        <v>97</v>
      </c>
      <c r="AO299" s="622"/>
      <c r="AP299" s="39" t="s">
        <v>98</v>
      </c>
      <c r="AQ299" s="56">
        <f>AQ298-AQ297</f>
        <v>0</v>
      </c>
      <c r="AR299" s="70">
        <f>AR298-AR297</f>
        <v>0</v>
      </c>
      <c r="AS299" s="70">
        <f>AS298-AS297</f>
        <v>0</v>
      </c>
      <c r="AT299" s="70">
        <f>AT298-AT297</f>
        <v>0</v>
      </c>
      <c r="AU299" s="70">
        <f>AU298-AU297</f>
        <v>0</v>
      </c>
      <c r="AV299" s="57">
        <f t="shared" si="316"/>
        <v>0</v>
      </c>
    </row>
    <row r="300" spans="1:48" ht="19.899999999999999" hidden="1" customHeight="1">
      <c r="A300" s="403"/>
      <c r="B300" s="747">
        <v>2.63</v>
      </c>
      <c r="C300" s="432">
        <f>+C298*0.8</f>
        <v>56000</v>
      </c>
      <c r="D300" s="61" t="s">
        <v>101</v>
      </c>
      <c r="E300" s="1098"/>
      <c r="F300" s="1099"/>
      <c r="G300" s="1208"/>
      <c r="H300" s="1099"/>
      <c r="I300" s="1099"/>
      <c r="J300" s="1208"/>
      <c r="K300" s="1208"/>
      <c r="L300" s="1099"/>
      <c r="M300" s="1099"/>
      <c r="N300" s="1099"/>
      <c r="O300" s="1099"/>
      <c r="P300" s="1099"/>
      <c r="Q300" s="1208"/>
      <c r="R300" s="1208"/>
      <c r="S300" s="1099"/>
      <c r="T300" s="1099"/>
      <c r="U300" s="1099"/>
      <c r="V300" s="1099"/>
      <c r="W300" s="1099"/>
      <c r="X300" s="1208"/>
      <c r="Y300" s="1208"/>
      <c r="Z300" s="1099"/>
      <c r="AA300" s="1099"/>
      <c r="AB300" s="1099"/>
      <c r="AC300" s="1099"/>
      <c r="AD300" s="1099"/>
      <c r="AE300" s="1208"/>
      <c r="AF300" s="1208"/>
      <c r="AG300" s="1099"/>
      <c r="AH300" s="1099"/>
      <c r="AI300" s="1099"/>
      <c r="AJ300" s="384">
        <f>SUM(E300:AI300)</f>
        <v>0</v>
      </c>
      <c r="AK300" s="1024">
        <f t="shared" si="291"/>
        <v>0</v>
      </c>
      <c r="AL300" s="420">
        <f>+AJ300*AN296</f>
        <v>0</v>
      </c>
      <c r="AM300" s="1040">
        <f t="shared" si="292"/>
        <v>0</v>
      </c>
      <c r="AN300" s="404" t="e">
        <f>+AJ300/AJ298*100</f>
        <v>#DIV/0!</v>
      </c>
      <c r="AO300" s="635" t="e">
        <f>AO298/AO296</f>
        <v>#DIV/0!</v>
      </c>
      <c r="AP300" s="39" t="s">
        <v>102</v>
      </c>
      <c r="AQ300" s="56">
        <f>SUM(E300:I300)</f>
        <v>0</v>
      </c>
      <c r="AR300" s="70">
        <f>SUM(J300:P300)</f>
        <v>0</v>
      </c>
      <c r="AS300" s="70">
        <f>SUM(Q300:W300)</f>
        <v>0</v>
      </c>
      <c r="AT300" s="70">
        <f>SUM(X300:AD300)</f>
        <v>0</v>
      </c>
      <c r="AU300" s="70">
        <f>SUM(AE300:AI300)</f>
        <v>0</v>
      </c>
      <c r="AV300" s="57">
        <f t="shared" si="316"/>
        <v>0</v>
      </c>
    </row>
    <row r="301" spans="1:48" ht="19.899999999999999" hidden="1" customHeight="1">
      <c r="A301" s="403"/>
      <c r="B301" s="65"/>
      <c r="C301" s="432"/>
      <c r="D301" s="67" t="s">
        <v>103</v>
      </c>
      <c r="E301" s="1100"/>
      <c r="F301" s="1101"/>
      <c r="G301" s="1209"/>
      <c r="H301" s="1101"/>
      <c r="I301" s="1101"/>
      <c r="J301" s="1209"/>
      <c r="K301" s="1209"/>
      <c r="L301" s="1101"/>
      <c r="M301" s="1101"/>
      <c r="N301" s="1101"/>
      <c r="O301" s="1101"/>
      <c r="P301" s="1101"/>
      <c r="Q301" s="1209"/>
      <c r="R301" s="1209"/>
      <c r="S301" s="1101"/>
      <c r="T301" s="1101"/>
      <c r="U301" s="1101"/>
      <c r="V301" s="1101"/>
      <c r="W301" s="1101"/>
      <c r="X301" s="1209"/>
      <c r="Y301" s="1209"/>
      <c r="Z301" s="1101"/>
      <c r="AA301" s="1101"/>
      <c r="AB301" s="1101"/>
      <c r="AC301" s="1101"/>
      <c r="AD301" s="1101"/>
      <c r="AE301" s="1209"/>
      <c r="AF301" s="1209"/>
      <c r="AG301" s="1101"/>
      <c r="AH301" s="1101"/>
      <c r="AI301" s="1101"/>
      <c r="AJ301" s="386">
        <f>SUM(E301:AI301)</f>
        <v>0</v>
      </c>
      <c r="AK301" s="1024">
        <f t="shared" si="291"/>
        <v>0</v>
      </c>
      <c r="AL301" s="426">
        <f>+AJ301*AN296</f>
        <v>0</v>
      </c>
      <c r="AM301" s="1040">
        <f t="shared" si="292"/>
        <v>0</v>
      </c>
      <c r="AN301" s="382"/>
      <c r="AO301" s="622"/>
      <c r="AP301" s="39" t="s">
        <v>19</v>
      </c>
      <c r="AQ301" s="56">
        <f>AQ300*AN296</f>
        <v>0</v>
      </c>
      <c r="AR301" s="56">
        <f>AR300*AN296</f>
        <v>0</v>
      </c>
      <c r="AS301" s="56">
        <f>AS300*AN296</f>
        <v>0</v>
      </c>
      <c r="AT301" s="56">
        <f>AT300*AN296</f>
        <v>0</v>
      </c>
      <c r="AU301" s="56">
        <f>AU300*AN296</f>
        <v>0</v>
      </c>
      <c r="AV301" s="57">
        <f t="shared" si="316"/>
        <v>0</v>
      </c>
    </row>
    <row r="302" spans="1:48" ht="19.899999999999999" hidden="1" customHeight="1">
      <c r="A302" s="403"/>
      <c r="B302" s="65"/>
      <c r="C302" s="387" t="s">
        <v>435</v>
      </c>
      <c r="D302" s="73" t="s">
        <v>105</v>
      </c>
      <c r="E302" s="1102"/>
      <c r="F302" s="1103"/>
      <c r="G302" s="1210"/>
      <c r="H302" s="1103"/>
      <c r="I302" s="1103"/>
      <c r="J302" s="1210"/>
      <c r="K302" s="1210"/>
      <c r="L302" s="1103"/>
      <c r="M302" s="1103"/>
      <c r="N302" s="1103"/>
      <c r="O302" s="1103"/>
      <c r="P302" s="1103"/>
      <c r="Q302" s="1210"/>
      <c r="R302" s="1210"/>
      <c r="S302" s="1097"/>
      <c r="T302" s="1103"/>
      <c r="U302" s="1103"/>
      <c r="V302" s="1103"/>
      <c r="W302" s="1103"/>
      <c r="X302" s="1210"/>
      <c r="Y302" s="1210"/>
      <c r="Z302" s="1103"/>
      <c r="AA302" s="1103"/>
      <c r="AB302" s="1103"/>
      <c r="AC302" s="1103"/>
      <c r="AD302" s="1103"/>
      <c r="AE302" s="1210"/>
      <c r="AF302" s="1210"/>
      <c r="AG302" s="1103"/>
      <c r="AH302" s="1103"/>
      <c r="AI302" s="1103"/>
      <c r="AJ302" s="388">
        <f>SUM(E302:AI302)</f>
        <v>0</v>
      </c>
      <c r="AK302" s="1024">
        <f t="shared" si="291"/>
        <v>0</v>
      </c>
      <c r="AL302" s="427">
        <f>+AJ302*AN296</f>
        <v>0</v>
      </c>
      <c r="AM302" s="1040">
        <f t="shared" si="292"/>
        <v>0</v>
      </c>
      <c r="AN302" s="382"/>
      <c r="AO302" s="622"/>
      <c r="AP302" s="47" t="s">
        <v>106</v>
      </c>
      <c r="AQ302" s="48">
        <f>AQ298*AN296</f>
        <v>0</v>
      </c>
      <c r="AR302" s="48">
        <f>AR298*AN296</f>
        <v>0</v>
      </c>
      <c r="AS302" s="48">
        <f>AS298*AN296</f>
        <v>0</v>
      </c>
      <c r="AT302" s="48">
        <f>AT298*AN296</f>
        <v>0</v>
      </c>
      <c r="AU302" s="48">
        <f>AU298*AN296</f>
        <v>0</v>
      </c>
      <c r="AV302" s="50">
        <f t="shared" si="316"/>
        <v>0</v>
      </c>
    </row>
    <row r="303" spans="1:48" ht="19.899999999999999" hidden="1" customHeight="1">
      <c r="A303" s="403"/>
      <c r="B303" s="390"/>
      <c r="C303" s="379">
        <v>50000</v>
      </c>
      <c r="D303" s="78" t="s">
        <v>107</v>
      </c>
      <c r="E303" s="1137">
        <v>4</v>
      </c>
      <c r="F303" s="1097">
        <v>4</v>
      </c>
      <c r="G303" s="1205">
        <v>4</v>
      </c>
      <c r="H303" s="1097">
        <v>4</v>
      </c>
      <c r="I303" s="1097">
        <v>4</v>
      </c>
      <c r="J303" s="1205">
        <v>4</v>
      </c>
      <c r="K303" s="1205">
        <v>4</v>
      </c>
      <c r="L303" s="1097">
        <v>4</v>
      </c>
      <c r="M303" s="1097">
        <v>4</v>
      </c>
      <c r="N303" s="1097">
        <v>4</v>
      </c>
      <c r="O303" s="1097">
        <v>4</v>
      </c>
      <c r="P303" s="1097">
        <v>4</v>
      </c>
      <c r="Q303" s="1205">
        <v>4</v>
      </c>
      <c r="R303" s="1205">
        <v>4</v>
      </c>
      <c r="S303" s="1162">
        <v>4</v>
      </c>
      <c r="T303" s="1097">
        <v>4</v>
      </c>
      <c r="U303" s="1097">
        <v>4</v>
      </c>
      <c r="V303" s="1097">
        <v>4</v>
      </c>
      <c r="W303" s="1097">
        <v>4</v>
      </c>
      <c r="X303" s="1205">
        <v>4</v>
      </c>
      <c r="Y303" s="1205">
        <v>4</v>
      </c>
      <c r="Z303" s="1097">
        <v>4</v>
      </c>
      <c r="AA303" s="1097">
        <v>4</v>
      </c>
      <c r="AB303" s="1097">
        <v>4</v>
      </c>
      <c r="AC303" s="1097">
        <v>4</v>
      </c>
      <c r="AD303" s="1097">
        <v>4</v>
      </c>
      <c r="AE303" s="1205">
        <v>4</v>
      </c>
      <c r="AF303" s="1205">
        <v>4</v>
      </c>
      <c r="AG303" s="1097">
        <v>4</v>
      </c>
      <c r="AH303" s="1097">
        <v>4</v>
      </c>
      <c r="AI303" s="1097">
        <v>4</v>
      </c>
      <c r="AJ303" s="381"/>
      <c r="AK303" s="1024">
        <f t="shared" si="291"/>
        <v>0</v>
      </c>
      <c r="AL303" s="425"/>
      <c r="AM303" s="1041">
        <f t="shared" si="292"/>
        <v>0</v>
      </c>
      <c r="AN303" s="382"/>
      <c r="AO303" s="622"/>
      <c r="AP303" s="391"/>
      <c r="AQ303" s="391"/>
      <c r="AR303" s="4"/>
      <c r="AS303" s="4"/>
      <c r="AT303" s="392"/>
      <c r="AU303" s="4"/>
      <c r="AV303" s="4"/>
    </row>
    <row r="304" spans="1:48" ht="19.899999999999999" hidden="1" customHeight="1">
      <c r="A304" s="405"/>
      <c r="B304" s="390"/>
      <c r="C304" s="89" t="s">
        <v>108</v>
      </c>
      <c r="D304" s="81" t="s">
        <v>109</v>
      </c>
      <c r="E304" s="1156">
        <f>SUM(E298+E300+E301+E302)/E303</f>
        <v>0</v>
      </c>
      <c r="F304" s="1156">
        <f t="shared" ref="F304:AI304" si="319">SUM(F298+F300+F301+F302)/F303</f>
        <v>0</v>
      </c>
      <c r="G304" s="1227">
        <f t="shared" si="319"/>
        <v>0</v>
      </c>
      <c r="H304" s="1156">
        <f t="shared" si="319"/>
        <v>0</v>
      </c>
      <c r="I304" s="1156">
        <f t="shared" si="319"/>
        <v>0</v>
      </c>
      <c r="J304" s="1227">
        <f t="shared" si="319"/>
        <v>0</v>
      </c>
      <c r="K304" s="1227">
        <f t="shared" si="319"/>
        <v>0</v>
      </c>
      <c r="L304" s="1156">
        <f t="shared" si="319"/>
        <v>0</v>
      </c>
      <c r="M304" s="1156">
        <f t="shared" si="319"/>
        <v>0</v>
      </c>
      <c r="N304" s="1156">
        <f t="shared" si="319"/>
        <v>0</v>
      </c>
      <c r="O304" s="1156">
        <f t="shared" si="319"/>
        <v>0</v>
      </c>
      <c r="P304" s="1156">
        <f t="shared" si="319"/>
        <v>0</v>
      </c>
      <c r="Q304" s="1227">
        <f t="shared" si="319"/>
        <v>0</v>
      </c>
      <c r="R304" s="1227">
        <f t="shared" si="319"/>
        <v>0</v>
      </c>
      <c r="S304" s="1156">
        <f t="shared" si="319"/>
        <v>0</v>
      </c>
      <c r="T304" s="1156">
        <f t="shared" si="319"/>
        <v>0</v>
      </c>
      <c r="U304" s="1156">
        <f t="shared" si="319"/>
        <v>0</v>
      </c>
      <c r="V304" s="1156">
        <f t="shared" si="319"/>
        <v>0</v>
      </c>
      <c r="W304" s="1156">
        <f t="shared" si="319"/>
        <v>0</v>
      </c>
      <c r="X304" s="1227">
        <f t="shared" si="319"/>
        <v>0</v>
      </c>
      <c r="Y304" s="1227">
        <f t="shared" si="319"/>
        <v>0</v>
      </c>
      <c r="Z304" s="1156">
        <f t="shared" si="319"/>
        <v>0</v>
      </c>
      <c r="AA304" s="1156">
        <f t="shared" si="319"/>
        <v>0</v>
      </c>
      <c r="AB304" s="1156">
        <f t="shared" si="319"/>
        <v>0</v>
      </c>
      <c r="AC304" s="1156">
        <f t="shared" si="319"/>
        <v>0</v>
      </c>
      <c r="AD304" s="1156">
        <f t="shared" si="319"/>
        <v>0</v>
      </c>
      <c r="AE304" s="1227">
        <f t="shared" si="319"/>
        <v>0</v>
      </c>
      <c r="AF304" s="1227">
        <f t="shared" si="319"/>
        <v>0</v>
      </c>
      <c r="AG304" s="1156">
        <f t="shared" si="319"/>
        <v>0</v>
      </c>
      <c r="AH304" s="1156">
        <f t="shared" si="319"/>
        <v>0</v>
      </c>
      <c r="AI304" s="1156">
        <f t="shared" si="319"/>
        <v>0</v>
      </c>
      <c r="AJ304" s="380">
        <f>SUM(E304:AI304)</f>
        <v>0</v>
      </c>
      <c r="AK304" s="1025">
        <f t="shared" si="291"/>
        <v>0</v>
      </c>
      <c r="AL304" s="419"/>
      <c r="AM304" s="1040">
        <f t="shared" si="292"/>
        <v>0</v>
      </c>
      <c r="AN304" s="382"/>
      <c r="AO304" s="622"/>
      <c r="AP304" s="391"/>
      <c r="AQ304" s="391"/>
      <c r="AR304" s="4"/>
      <c r="AS304" s="4"/>
      <c r="AT304" s="392"/>
      <c r="AU304" s="4"/>
      <c r="AV304" s="4"/>
    </row>
    <row r="305" spans="1:57" ht="19.899999999999999" hidden="1" customHeight="1">
      <c r="A305" s="405"/>
      <c r="B305" s="390"/>
      <c r="C305" s="432">
        <f>+C303*0.8</f>
        <v>40000</v>
      </c>
      <c r="D305" s="85" t="s">
        <v>110</v>
      </c>
      <c r="E305" s="1179"/>
      <c r="F305" s="1179"/>
      <c r="G305" s="1270"/>
      <c r="H305" s="1175"/>
      <c r="I305" s="1179"/>
      <c r="J305" s="1267"/>
      <c r="K305" s="1270"/>
      <c r="L305" s="1179"/>
      <c r="M305" s="1179"/>
      <c r="N305" s="1175"/>
      <c r="O305" s="1175"/>
      <c r="P305" s="1175"/>
      <c r="Q305" s="1267"/>
      <c r="R305" s="1267"/>
      <c r="S305" s="1175"/>
      <c r="T305" s="1144"/>
      <c r="U305" s="1175"/>
      <c r="V305" s="1175"/>
      <c r="W305" s="1175"/>
      <c r="X305" s="1267"/>
      <c r="Y305" s="1267"/>
      <c r="Z305" s="1175"/>
      <c r="AA305" s="1175"/>
      <c r="AB305" s="1175"/>
      <c r="AC305" s="1175"/>
      <c r="AD305" s="1175"/>
      <c r="AE305" s="1267"/>
      <c r="AF305" s="1267"/>
      <c r="AG305" s="1173"/>
      <c r="AH305" s="1173"/>
      <c r="AI305" s="1173"/>
      <c r="AJ305" s="394"/>
      <c r="AK305" s="1025">
        <f>AJ307</f>
        <v>0</v>
      </c>
      <c r="AL305" s="419"/>
      <c r="AM305" s="1040">
        <f>AL307</f>
        <v>0</v>
      </c>
      <c r="AN305" s="382"/>
      <c r="AO305" s="622"/>
      <c r="AP305" s="391"/>
      <c r="AQ305" s="391"/>
      <c r="AR305" s="4"/>
      <c r="AS305" s="4"/>
      <c r="AT305" s="392"/>
      <c r="AU305" s="4"/>
      <c r="AV305" s="4"/>
    </row>
    <row r="306" spans="1:57" ht="19.899999999999999" hidden="1" customHeight="1">
      <c r="A306" s="403"/>
      <c r="B306" s="390"/>
      <c r="C306" s="89"/>
      <c r="D306" s="88" t="s">
        <v>111</v>
      </c>
      <c r="E306" s="1156">
        <f>IF(E305="O/H",E304,0+E304)</f>
        <v>0</v>
      </c>
      <c r="F306" s="1156">
        <f>IF(F305="O/H",F304,+E306+F304)</f>
        <v>0</v>
      </c>
      <c r="G306" s="1227">
        <f t="shared" ref="G306:AF306" si="320">IF(G305="O/H",G304,+F306+G304)</f>
        <v>0</v>
      </c>
      <c r="H306" s="1156">
        <f t="shared" si="320"/>
        <v>0</v>
      </c>
      <c r="I306" s="1156">
        <f t="shared" si="320"/>
        <v>0</v>
      </c>
      <c r="J306" s="1227">
        <f t="shared" si="320"/>
        <v>0</v>
      </c>
      <c r="K306" s="1227">
        <f t="shared" si="320"/>
        <v>0</v>
      </c>
      <c r="L306" s="1156">
        <f t="shared" si="320"/>
        <v>0</v>
      </c>
      <c r="M306" s="1156">
        <f t="shared" si="320"/>
        <v>0</v>
      </c>
      <c r="N306" s="1156">
        <f t="shared" si="320"/>
        <v>0</v>
      </c>
      <c r="O306" s="1156">
        <f t="shared" si="320"/>
        <v>0</v>
      </c>
      <c r="P306" s="1156">
        <f t="shared" si="320"/>
        <v>0</v>
      </c>
      <c r="Q306" s="1227">
        <f t="shared" si="320"/>
        <v>0</v>
      </c>
      <c r="R306" s="1227">
        <f t="shared" si="320"/>
        <v>0</v>
      </c>
      <c r="S306" s="1156">
        <f t="shared" si="320"/>
        <v>0</v>
      </c>
      <c r="T306" s="1156">
        <f t="shared" si="320"/>
        <v>0</v>
      </c>
      <c r="U306" s="1156">
        <f t="shared" si="320"/>
        <v>0</v>
      </c>
      <c r="V306" s="1156">
        <f t="shared" si="320"/>
        <v>0</v>
      </c>
      <c r="W306" s="1156">
        <f t="shared" si="320"/>
        <v>0</v>
      </c>
      <c r="X306" s="1227">
        <f t="shared" si="320"/>
        <v>0</v>
      </c>
      <c r="Y306" s="1227">
        <f t="shared" si="320"/>
        <v>0</v>
      </c>
      <c r="Z306" s="1156">
        <f t="shared" si="320"/>
        <v>0</v>
      </c>
      <c r="AA306" s="1156">
        <f t="shared" si="320"/>
        <v>0</v>
      </c>
      <c r="AB306" s="1156">
        <f t="shared" si="320"/>
        <v>0</v>
      </c>
      <c r="AC306" s="1156">
        <f t="shared" si="320"/>
        <v>0</v>
      </c>
      <c r="AD306" s="1156">
        <f t="shared" si="320"/>
        <v>0</v>
      </c>
      <c r="AE306" s="1227">
        <f t="shared" si="320"/>
        <v>0</v>
      </c>
      <c r="AF306" s="1227">
        <f t="shared" si="320"/>
        <v>0</v>
      </c>
      <c r="AG306" s="1156">
        <f t="shared" ref="AG306:AI306" si="321">IF(AG305="O/H",AG304,0+AG304)</f>
        <v>0</v>
      </c>
      <c r="AH306" s="1156">
        <f t="shared" si="321"/>
        <v>0</v>
      </c>
      <c r="AI306" s="1156">
        <f t="shared" si="321"/>
        <v>0</v>
      </c>
      <c r="AJ306" s="394"/>
      <c r="AK306" s="1025">
        <f>AJ308</f>
        <v>0</v>
      </c>
      <c r="AL306" s="419"/>
      <c r="AM306" s="1040">
        <f>AL308</f>
        <v>0</v>
      </c>
      <c r="AN306" s="382"/>
      <c r="AO306" s="622"/>
      <c r="AP306" s="391"/>
      <c r="AQ306" s="391"/>
      <c r="AR306" s="4"/>
      <c r="AS306" s="4"/>
      <c r="AT306" s="392"/>
      <c r="AU306" s="4"/>
      <c r="AV306" s="4"/>
    </row>
    <row r="307" spans="1:57" ht="19.899999999999999" hidden="1" customHeight="1">
      <c r="A307" s="403"/>
      <c r="B307" s="59"/>
      <c r="C307" s="387"/>
      <c r="D307" s="395" t="s">
        <v>435</v>
      </c>
      <c r="E307" s="1126"/>
      <c r="F307" s="1126"/>
      <c r="G307" s="1211"/>
      <c r="H307" s="1176"/>
      <c r="I307" s="1104"/>
      <c r="J307" s="1211"/>
      <c r="K307" s="1273"/>
      <c r="L307" s="1104"/>
      <c r="M307" s="1104"/>
      <c r="N307" s="1177"/>
      <c r="O307" s="1107"/>
      <c r="P307" s="1177"/>
      <c r="Q307" s="1211"/>
      <c r="R307" s="1211"/>
      <c r="S307" s="1104"/>
      <c r="T307" s="1107"/>
      <c r="U307" s="1104"/>
      <c r="V307" s="1104"/>
      <c r="W307" s="1104"/>
      <c r="X307" s="1228"/>
      <c r="Y307" s="1211"/>
      <c r="Z307" s="1155"/>
      <c r="AA307" s="1104"/>
      <c r="AB307" s="1104"/>
      <c r="AC307" s="1104"/>
      <c r="AD307" s="1104"/>
      <c r="AE307" s="1211"/>
      <c r="AF307" s="1211"/>
      <c r="AG307" s="1104"/>
      <c r="AH307" s="1104"/>
      <c r="AI307" s="1104"/>
      <c r="AJ307" s="396"/>
      <c r="AK307" s="1024">
        <f t="shared" si="291"/>
        <v>0</v>
      </c>
      <c r="AL307" s="420"/>
      <c r="AM307" s="1040">
        <f t="shared" si="292"/>
        <v>0</v>
      </c>
      <c r="AN307" s="382"/>
      <c r="AO307" s="622"/>
      <c r="AP307" s="391"/>
      <c r="AQ307" s="391"/>
    </row>
    <row r="308" spans="1:57" s="23" customFormat="1" ht="20.45" hidden="1" customHeight="1">
      <c r="A308" s="403"/>
      <c r="B308" s="59"/>
      <c r="C308" s="387" t="s">
        <v>104</v>
      </c>
      <c r="D308" s="88" t="s">
        <v>111</v>
      </c>
      <c r="E308" s="1156">
        <f>IF(E307="O/H",E304,0+E304)</f>
        <v>0</v>
      </c>
      <c r="F308" s="1156">
        <f t="shared" ref="F308:AF308" si="322">IF(F307="O/H",F304,+E308+F304)</f>
        <v>0</v>
      </c>
      <c r="G308" s="1227">
        <f t="shared" si="322"/>
        <v>0</v>
      </c>
      <c r="H308" s="1156">
        <f t="shared" si="322"/>
        <v>0</v>
      </c>
      <c r="I308" s="1156">
        <f t="shared" si="322"/>
        <v>0</v>
      </c>
      <c r="J308" s="1227">
        <f t="shared" si="322"/>
        <v>0</v>
      </c>
      <c r="K308" s="1227">
        <f t="shared" si="322"/>
        <v>0</v>
      </c>
      <c r="L308" s="1156">
        <f t="shared" si="322"/>
        <v>0</v>
      </c>
      <c r="M308" s="1156">
        <f t="shared" si="322"/>
        <v>0</v>
      </c>
      <c r="N308" s="1156">
        <f t="shared" si="322"/>
        <v>0</v>
      </c>
      <c r="O308" s="1156">
        <f t="shared" si="322"/>
        <v>0</v>
      </c>
      <c r="P308" s="1156">
        <f t="shared" si="322"/>
        <v>0</v>
      </c>
      <c r="Q308" s="1227">
        <f t="shared" si="322"/>
        <v>0</v>
      </c>
      <c r="R308" s="1227">
        <f t="shared" si="322"/>
        <v>0</v>
      </c>
      <c r="S308" s="1156">
        <f t="shared" si="322"/>
        <v>0</v>
      </c>
      <c r="T308" s="1156">
        <f t="shared" si="322"/>
        <v>0</v>
      </c>
      <c r="U308" s="1156">
        <f t="shared" si="322"/>
        <v>0</v>
      </c>
      <c r="V308" s="1156">
        <f t="shared" si="322"/>
        <v>0</v>
      </c>
      <c r="W308" s="1156">
        <f t="shared" si="322"/>
        <v>0</v>
      </c>
      <c r="X308" s="1227">
        <f t="shared" si="322"/>
        <v>0</v>
      </c>
      <c r="Y308" s="1227">
        <f t="shared" si="322"/>
        <v>0</v>
      </c>
      <c r="Z308" s="1156">
        <f t="shared" si="322"/>
        <v>0</v>
      </c>
      <c r="AA308" s="1156">
        <f t="shared" si="322"/>
        <v>0</v>
      </c>
      <c r="AB308" s="1156">
        <f t="shared" si="322"/>
        <v>0</v>
      </c>
      <c r="AC308" s="1156">
        <f t="shared" si="322"/>
        <v>0</v>
      </c>
      <c r="AD308" s="1156">
        <f t="shared" si="322"/>
        <v>0</v>
      </c>
      <c r="AE308" s="1227">
        <f t="shared" si="322"/>
        <v>0</v>
      </c>
      <c r="AF308" s="1227">
        <f t="shared" si="322"/>
        <v>0</v>
      </c>
      <c r="AG308" s="1156">
        <f>IF(AG307="O/H",AG304,0+AG304)</f>
        <v>0</v>
      </c>
      <c r="AH308" s="1156">
        <f>IF(AH307="O/H",AH304,0+AH304)</f>
        <v>0</v>
      </c>
      <c r="AI308" s="1156">
        <f>IF(AI307="O/H",AI304,0+AI304)</f>
        <v>0</v>
      </c>
      <c r="AJ308" s="394"/>
      <c r="AK308" s="1025">
        <f t="shared" si="291"/>
        <v>0</v>
      </c>
      <c r="AL308" s="419"/>
      <c r="AM308" s="1040">
        <f t="shared" si="292"/>
        <v>0</v>
      </c>
      <c r="AN308" s="382"/>
      <c r="AO308" s="622"/>
      <c r="AP308" s="285"/>
      <c r="AQ308" s="285"/>
      <c r="AR308" s="285"/>
      <c r="AS308" s="285"/>
      <c r="AT308" s="286"/>
      <c r="AU308" s="285"/>
      <c r="AV308" s="287"/>
    </row>
    <row r="309" spans="1:57" ht="19.899999999999999" hidden="1" customHeight="1">
      <c r="A309" s="312"/>
      <c r="B309" s="312"/>
      <c r="C309" s="379">
        <v>150000</v>
      </c>
      <c r="D309" s="795" t="s">
        <v>112</v>
      </c>
      <c r="E309" s="1117" t="b">
        <f>IF(AND(ISNUMBER(E298)),1045818+E304)</f>
        <v>0</v>
      </c>
      <c r="F309" s="1118" t="str">
        <f t="shared" ref="F309:AI309" si="323">IF(AND(ISNUMBER(F298)),E309+F304,"")</f>
        <v/>
      </c>
      <c r="G309" s="1216" t="str">
        <f t="shared" si="323"/>
        <v/>
      </c>
      <c r="H309" s="1118" t="str">
        <f t="shared" si="323"/>
        <v/>
      </c>
      <c r="I309" s="1118" t="str">
        <f t="shared" si="323"/>
        <v/>
      </c>
      <c r="J309" s="1216" t="str">
        <f t="shared" si="323"/>
        <v/>
      </c>
      <c r="K309" s="1216" t="str">
        <f t="shared" si="323"/>
        <v/>
      </c>
      <c r="L309" s="1118" t="str">
        <f t="shared" si="323"/>
        <v/>
      </c>
      <c r="M309" s="1118" t="str">
        <f t="shared" si="323"/>
        <v/>
      </c>
      <c r="N309" s="1118" t="str">
        <f t="shared" si="323"/>
        <v/>
      </c>
      <c r="O309" s="1118" t="str">
        <f t="shared" si="323"/>
        <v/>
      </c>
      <c r="P309" s="1118" t="str">
        <f t="shared" si="323"/>
        <v/>
      </c>
      <c r="Q309" s="1216" t="str">
        <f t="shared" si="323"/>
        <v/>
      </c>
      <c r="R309" s="1216" t="str">
        <f t="shared" si="323"/>
        <v/>
      </c>
      <c r="S309" s="1118" t="str">
        <f t="shared" si="323"/>
        <v/>
      </c>
      <c r="T309" s="1118" t="str">
        <f t="shared" si="323"/>
        <v/>
      </c>
      <c r="U309" s="1118" t="str">
        <f t="shared" si="323"/>
        <v/>
      </c>
      <c r="V309" s="1118" t="str">
        <f t="shared" si="323"/>
        <v/>
      </c>
      <c r="W309" s="1118" t="str">
        <f t="shared" si="323"/>
        <v/>
      </c>
      <c r="X309" s="1216" t="str">
        <f t="shared" si="323"/>
        <v/>
      </c>
      <c r="Y309" s="1216" t="str">
        <f t="shared" si="323"/>
        <v/>
      </c>
      <c r="Z309" s="1118" t="str">
        <f t="shared" si="323"/>
        <v/>
      </c>
      <c r="AA309" s="1118" t="str">
        <f t="shared" si="323"/>
        <v/>
      </c>
      <c r="AB309" s="1118" t="str">
        <f t="shared" si="323"/>
        <v/>
      </c>
      <c r="AC309" s="1118" t="str">
        <f t="shared" si="323"/>
        <v/>
      </c>
      <c r="AD309" s="1118" t="str">
        <f t="shared" si="323"/>
        <v/>
      </c>
      <c r="AE309" s="1216" t="str">
        <f t="shared" si="323"/>
        <v/>
      </c>
      <c r="AF309" s="1216" t="str">
        <f t="shared" si="323"/>
        <v/>
      </c>
      <c r="AG309" s="1118" t="str">
        <f t="shared" si="323"/>
        <v/>
      </c>
      <c r="AH309" s="1118" t="str">
        <f t="shared" si="323"/>
        <v/>
      </c>
      <c r="AI309" s="1118" t="str">
        <f t="shared" si="323"/>
        <v/>
      </c>
      <c r="AJ309" s="793"/>
      <c r="AK309" s="1026">
        <f t="shared" si="291"/>
        <v>0</v>
      </c>
      <c r="AL309" s="897"/>
      <c r="AM309" s="1042">
        <f t="shared" si="292"/>
        <v>0</v>
      </c>
      <c r="AN309" s="468"/>
      <c r="AO309" s="675"/>
      <c r="AP309" s="391"/>
      <c r="AQ309" s="391"/>
    </row>
    <row r="310" spans="1:57" ht="19.899999999999999" hidden="1" customHeight="1">
      <c r="A310" s="403"/>
      <c r="B310" s="393" t="s">
        <v>473</v>
      </c>
      <c r="C310" s="89" t="s">
        <v>108</v>
      </c>
      <c r="D310" s="90" t="s">
        <v>104</v>
      </c>
      <c r="E310" s="1365"/>
      <c r="F310" s="1104"/>
      <c r="G310" s="1211"/>
      <c r="H310" s="1176"/>
      <c r="I310" s="1104"/>
      <c r="J310" s="1211"/>
      <c r="K310" s="1273"/>
      <c r="L310" s="1104"/>
      <c r="M310" s="1104"/>
      <c r="N310" s="1177"/>
      <c r="O310" s="1104"/>
      <c r="P310" s="1177"/>
      <c r="Q310" s="1211"/>
      <c r="R310" s="1211"/>
      <c r="S310" s="1104"/>
      <c r="T310" s="1107"/>
      <c r="U310" s="1104"/>
      <c r="V310" s="1104"/>
      <c r="W310" s="1104"/>
      <c r="X310" s="1228"/>
      <c r="Y310" s="1211"/>
      <c r="Z310" s="1106"/>
      <c r="AA310" s="1104"/>
      <c r="AB310" s="1104"/>
      <c r="AC310" s="1104"/>
      <c r="AD310" s="1104"/>
      <c r="AE310" s="1211"/>
      <c r="AF310" s="1211"/>
      <c r="AG310" s="1104"/>
      <c r="AH310" s="1104"/>
      <c r="AI310" s="1104"/>
      <c r="AJ310" s="396"/>
      <c r="AK310" s="1024">
        <f t="shared" si="291"/>
        <v>0</v>
      </c>
      <c r="AL310" s="420"/>
      <c r="AM310" s="1040">
        <f t="shared" si="292"/>
        <v>0</v>
      </c>
      <c r="AN310" s="382"/>
      <c r="AO310" s="622"/>
      <c r="AP310" s="391"/>
      <c r="AQ310" s="391"/>
    </row>
    <row r="311" spans="1:57" ht="19.899999999999999" hidden="1" customHeight="1" thickBot="1">
      <c r="A311" s="406"/>
      <c r="B311" s="398"/>
      <c r="C311" s="434">
        <f>+C309*0.8</f>
        <v>120000</v>
      </c>
      <c r="D311" s="95" t="s">
        <v>111</v>
      </c>
      <c r="E311" s="1110">
        <f>IF(E310="O/H",E304,15791+E304)</f>
        <v>15791</v>
      </c>
      <c r="F311" s="1110">
        <f>IF(F310="O/H",F304,+E311+F304)</f>
        <v>15791</v>
      </c>
      <c r="G311" s="1212">
        <f t="shared" ref="G311:AF311" si="324">IF(G310="O/H",G304,+F311+G304)</f>
        <v>15791</v>
      </c>
      <c r="H311" s="1110">
        <f t="shared" si="324"/>
        <v>15791</v>
      </c>
      <c r="I311" s="1110">
        <f t="shared" si="324"/>
        <v>15791</v>
      </c>
      <c r="J311" s="1212">
        <f t="shared" si="324"/>
        <v>15791</v>
      </c>
      <c r="K311" s="1212">
        <f t="shared" si="324"/>
        <v>15791</v>
      </c>
      <c r="L311" s="1110">
        <f t="shared" si="324"/>
        <v>15791</v>
      </c>
      <c r="M311" s="1110">
        <f t="shared" si="324"/>
        <v>15791</v>
      </c>
      <c r="N311" s="1110">
        <f t="shared" si="324"/>
        <v>15791</v>
      </c>
      <c r="O311" s="1110">
        <f t="shared" si="324"/>
        <v>15791</v>
      </c>
      <c r="P311" s="1110">
        <f t="shared" si="324"/>
        <v>15791</v>
      </c>
      <c r="Q311" s="1212">
        <f t="shared" si="324"/>
        <v>15791</v>
      </c>
      <c r="R311" s="1212">
        <f t="shared" si="324"/>
        <v>15791</v>
      </c>
      <c r="S311" s="1110">
        <f t="shared" si="324"/>
        <v>15791</v>
      </c>
      <c r="T311" s="1110">
        <f t="shared" si="324"/>
        <v>15791</v>
      </c>
      <c r="U311" s="1110">
        <f t="shared" si="324"/>
        <v>15791</v>
      </c>
      <c r="V311" s="1110">
        <f t="shared" si="324"/>
        <v>15791</v>
      </c>
      <c r="W311" s="1110">
        <f t="shared" si="324"/>
        <v>15791</v>
      </c>
      <c r="X311" s="1212">
        <f t="shared" si="324"/>
        <v>15791</v>
      </c>
      <c r="Y311" s="1212">
        <f t="shared" si="324"/>
        <v>15791</v>
      </c>
      <c r="Z311" s="1110">
        <f t="shared" si="324"/>
        <v>15791</v>
      </c>
      <c r="AA311" s="1110">
        <f t="shared" si="324"/>
        <v>15791</v>
      </c>
      <c r="AB311" s="1110">
        <f t="shared" si="324"/>
        <v>15791</v>
      </c>
      <c r="AC311" s="1110">
        <f t="shared" si="324"/>
        <v>15791</v>
      </c>
      <c r="AD311" s="1110">
        <f t="shared" si="324"/>
        <v>15791</v>
      </c>
      <c r="AE311" s="1212">
        <f t="shared" si="324"/>
        <v>15791</v>
      </c>
      <c r="AF311" s="1212">
        <f t="shared" si="324"/>
        <v>15791</v>
      </c>
      <c r="AG311" s="1110">
        <f t="shared" ref="AG311" si="325">IF(AG310="O/H",AG304,+AF311+AG304)</f>
        <v>15791</v>
      </c>
      <c r="AH311" s="1110">
        <f t="shared" ref="AH311" si="326">IF(AH310="O/H",AH304,+AG311+AH304)</f>
        <v>15791</v>
      </c>
      <c r="AI311" s="1110">
        <f t="shared" ref="AI311" si="327">IF(AI310="O/H",AI304,+AH311+AI304)</f>
        <v>15791</v>
      </c>
      <c r="AJ311" s="399"/>
      <c r="AK311" s="1027">
        <f t="shared" si="291"/>
        <v>0</v>
      </c>
      <c r="AL311" s="421"/>
      <c r="AM311" s="1043">
        <f t="shared" si="292"/>
        <v>0</v>
      </c>
      <c r="AN311" s="894"/>
      <c r="AO311" s="625"/>
      <c r="AP311" s="32"/>
      <c r="AQ311" s="33"/>
      <c r="AR311" s="33"/>
      <c r="AS311" s="33"/>
      <c r="AT311" s="33"/>
      <c r="AU311" s="33"/>
      <c r="AV311" s="34"/>
      <c r="BE311" s="1">
        <v>40000</v>
      </c>
    </row>
    <row r="312" spans="1:57" ht="19.899999999999999" hidden="1" customHeight="1" thickTop="1">
      <c r="A312" s="968" t="s">
        <v>644</v>
      </c>
      <c r="B312" s="393" t="s">
        <v>645</v>
      </c>
      <c r="C312" s="417" t="str">
        <f>Table37[[#This Row],[M/C No.]]</f>
        <v>R15(18ton)</v>
      </c>
      <c r="D312" s="28" t="s">
        <v>82</v>
      </c>
      <c r="E312" s="1124"/>
      <c r="F312" s="1124"/>
      <c r="G312" s="1242"/>
      <c r="H312" s="1124"/>
      <c r="I312" s="1124"/>
      <c r="J312" s="1242"/>
      <c r="K312" s="1242"/>
      <c r="L312" s="1124"/>
      <c r="M312" s="1124"/>
      <c r="N312" s="1124"/>
      <c r="O312" s="1124"/>
      <c r="P312" s="1124"/>
      <c r="Q312" s="1242"/>
      <c r="R312" s="1242"/>
      <c r="S312" s="1124"/>
      <c r="T312" s="1124"/>
      <c r="U312" s="1124"/>
      <c r="V312" s="1124"/>
      <c r="W312" s="1124"/>
      <c r="X312" s="1242"/>
      <c r="Y312" s="1242"/>
      <c r="Z312" s="1124"/>
      <c r="AA312" s="1124"/>
      <c r="AB312" s="1124"/>
      <c r="AC312" s="1124"/>
      <c r="AD312" s="1124"/>
      <c r="AE312" s="1242"/>
      <c r="AF312" s="1242"/>
      <c r="AG312" s="1124"/>
      <c r="AH312" s="1124"/>
      <c r="AI312" s="1124"/>
      <c r="AJ312" s="375">
        <f>SUM(E312:AI312)</f>
        <v>0</v>
      </c>
      <c r="AK312" s="1047">
        <f t="shared" si="291"/>
        <v>0</v>
      </c>
      <c r="AL312" s="423">
        <f>+AJ312*AN312</f>
        <v>0</v>
      </c>
      <c r="AM312" s="1046">
        <f t="shared" si="292"/>
        <v>0</v>
      </c>
      <c r="AN312" s="402">
        <v>5.0622299999999996</v>
      </c>
      <c r="AO312" s="622">
        <f>Table37[[#This Row],[Total]]*B316/1000</f>
        <v>0</v>
      </c>
      <c r="AP312" s="32" t="s">
        <v>533</v>
      </c>
      <c r="AQ312" s="33" t="s">
        <v>84</v>
      </c>
      <c r="AR312" s="33" t="s">
        <v>85</v>
      </c>
      <c r="AS312" s="33" t="s">
        <v>86</v>
      </c>
      <c r="AT312" s="33" t="s">
        <v>87</v>
      </c>
      <c r="AU312" s="33" t="s">
        <v>88</v>
      </c>
      <c r="AV312" s="34" t="s">
        <v>68</v>
      </c>
    </row>
    <row r="313" spans="1:57" ht="19.899999999999999" hidden="1" customHeight="1">
      <c r="A313" s="403"/>
      <c r="B313" s="393" t="s">
        <v>474</v>
      </c>
      <c r="C313" s="52" t="s">
        <v>95</v>
      </c>
      <c r="D313" s="37" t="s">
        <v>90</v>
      </c>
      <c r="E313" s="1323">
        <f>IF(E312="",0,+ E312/E319)</f>
        <v>0</v>
      </c>
      <c r="F313" s="1096">
        <f t="shared" ref="F313:AI313" si="328">IF(F312="",0, E313+F312/F319)</f>
        <v>0</v>
      </c>
      <c r="G313" s="1207">
        <f t="shared" si="328"/>
        <v>0</v>
      </c>
      <c r="H313" s="1096">
        <f t="shared" si="328"/>
        <v>0</v>
      </c>
      <c r="I313" s="1096">
        <f t="shared" si="328"/>
        <v>0</v>
      </c>
      <c r="J313" s="1207">
        <f t="shared" si="328"/>
        <v>0</v>
      </c>
      <c r="K313" s="1207">
        <f t="shared" si="328"/>
        <v>0</v>
      </c>
      <c r="L313" s="1096">
        <f t="shared" si="328"/>
        <v>0</v>
      </c>
      <c r="M313" s="1096">
        <f t="shared" si="328"/>
        <v>0</v>
      </c>
      <c r="N313" s="1096">
        <f t="shared" si="328"/>
        <v>0</v>
      </c>
      <c r="O313" s="1096">
        <f t="shared" si="328"/>
        <v>0</v>
      </c>
      <c r="P313" s="1096">
        <f t="shared" si="328"/>
        <v>0</v>
      </c>
      <c r="Q313" s="1207">
        <f t="shared" si="328"/>
        <v>0</v>
      </c>
      <c r="R313" s="1207">
        <f t="shared" si="328"/>
        <v>0</v>
      </c>
      <c r="S313" s="1096">
        <f t="shared" si="328"/>
        <v>0</v>
      </c>
      <c r="T313" s="1096">
        <f t="shared" si="328"/>
        <v>0</v>
      </c>
      <c r="U313" s="1096">
        <f t="shared" si="328"/>
        <v>0</v>
      </c>
      <c r="V313" s="1096">
        <f t="shared" si="328"/>
        <v>0</v>
      </c>
      <c r="W313" s="1096">
        <f t="shared" si="328"/>
        <v>0</v>
      </c>
      <c r="X313" s="1207">
        <f t="shared" si="328"/>
        <v>0</v>
      </c>
      <c r="Y313" s="1207">
        <f t="shared" si="328"/>
        <v>0</v>
      </c>
      <c r="Z313" s="1096">
        <f t="shared" si="328"/>
        <v>0</v>
      </c>
      <c r="AA313" s="1096">
        <f t="shared" si="328"/>
        <v>0</v>
      </c>
      <c r="AB313" s="1096">
        <f t="shared" si="328"/>
        <v>0</v>
      </c>
      <c r="AC313" s="1096">
        <f t="shared" si="328"/>
        <v>0</v>
      </c>
      <c r="AD313" s="1096">
        <f t="shared" si="328"/>
        <v>0</v>
      </c>
      <c r="AE313" s="1207">
        <f t="shared" si="328"/>
        <v>0</v>
      </c>
      <c r="AF313" s="1207">
        <f t="shared" si="328"/>
        <v>0</v>
      </c>
      <c r="AG313" s="1096">
        <f t="shared" si="328"/>
        <v>0</v>
      </c>
      <c r="AH313" s="1096">
        <f t="shared" si="328"/>
        <v>0</v>
      </c>
      <c r="AI313" s="1096">
        <f t="shared" si="328"/>
        <v>0</v>
      </c>
      <c r="AJ313" s="375"/>
      <c r="AK313" s="1023">
        <f t="shared" si="291"/>
        <v>0</v>
      </c>
      <c r="AL313" s="423"/>
      <c r="AM313" s="1040">
        <f t="shared" si="292"/>
        <v>0</v>
      </c>
      <c r="AN313" s="382"/>
      <c r="AO313" s="675"/>
      <c r="AP313" s="39" t="s">
        <v>91</v>
      </c>
      <c r="AQ313" s="40">
        <f>SUM(E312:I312)</f>
        <v>0</v>
      </c>
      <c r="AR313" s="41">
        <f>SUM(J312:P312)</f>
        <v>0</v>
      </c>
      <c r="AS313" s="41">
        <f>SUM(Q312:W312)</f>
        <v>0</v>
      </c>
      <c r="AT313" s="41">
        <f>SUM(X312:AD312)</f>
        <v>0</v>
      </c>
      <c r="AU313" s="41">
        <f>SUM(AE312:AI312)</f>
        <v>0</v>
      </c>
      <c r="AV313" s="34">
        <f t="shared" ref="AV313:AV318" si="329">SUM(AQ313:AU313)</f>
        <v>0</v>
      </c>
    </row>
    <row r="314" spans="1:57" ht="19.899999999999999" hidden="1" customHeight="1">
      <c r="A314" s="403"/>
      <c r="B314" s="393" t="s">
        <v>246</v>
      </c>
      <c r="C314" s="379">
        <v>70000</v>
      </c>
      <c r="D314" s="43" t="s">
        <v>93</v>
      </c>
      <c r="E314" s="1325"/>
      <c r="F314" s="1089"/>
      <c r="G314" s="44"/>
      <c r="H314" s="1089"/>
      <c r="I314" s="1089"/>
      <c r="J314" s="44"/>
      <c r="K314" s="44"/>
      <c r="L314" s="1089"/>
      <c r="M314" s="1089"/>
      <c r="N314" s="1089"/>
      <c r="O314" s="1089"/>
      <c r="P314" s="1089"/>
      <c r="Q314" s="44"/>
      <c r="R314" s="44"/>
      <c r="S314" s="1089"/>
      <c r="T314" s="1089"/>
      <c r="U314" s="1089"/>
      <c r="V314" s="1089"/>
      <c r="W314" s="1089"/>
      <c r="X314" s="44"/>
      <c r="Y314" s="44"/>
      <c r="Z314" s="1089"/>
      <c r="AA314" s="1089"/>
      <c r="AB314" s="1089"/>
      <c r="AC314" s="1089"/>
      <c r="AD314" s="1089"/>
      <c r="AE314" s="44"/>
      <c r="AF314" s="44"/>
      <c r="AG314" s="1089"/>
      <c r="AH314" s="1089"/>
      <c r="AI314" s="1089"/>
      <c r="AJ314" s="380">
        <f>SUM(E314:AI314)</f>
        <v>0</v>
      </c>
      <c r="AK314" s="1024">
        <f t="shared" si="291"/>
        <v>0</v>
      </c>
      <c r="AL314" s="424">
        <f>+AJ314*AN312</f>
        <v>0</v>
      </c>
      <c r="AM314" s="1041">
        <f t="shared" si="292"/>
        <v>0</v>
      </c>
      <c r="AN314" s="382"/>
      <c r="AO314" s="632">
        <f>(AJ314+AJ316+AJ317+AJ318)*B316/1000</f>
        <v>0</v>
      </c>
      <c r="AP314" s="47" t="s">
        <v>94</v>
      </c>
      <c r="AQ314" s="48">
        <f>SUM(E314:I314)</f>
        <v>0</v>
      </c>
      <c r="AR314" s="49">
        <f>SUM(J314:P314)</f>
        <v>0</v>
      </c>
      <c r="AS314" s="49">
        <f>SUM(Q314:W314)</f>
        <v>0</v>
      </c>
      <c r="AT314" s="49">
        <f>SUM(X314:AD314)</f>
        <v>0</v>
      </c>
      <c r="AU314" s="49">
        <f>SUM(AE314:AI314)</f>
        <v>0</v>
      </c>
      <c r="AV314" s="50">
        <f t="shared" si="329"/>
        <v>0</v>
      </c>
    </row>
    <row r="315" spans="1:57" ht="19.899999999999999" hidden="1" customHeight="1">
      <c r="A315" s="403"/>
      <c r="B315" s="638" t="s">
        <v>247</v>
      </c>
      <c r="C315" s="89" t="s">
        <v>108</v>
      </c>
      <c r="D315" s="53" t="s">
        <v>96</v>
      </c>
      <c r="E315" s="1327">
        <f t="shared" ref="E315" si="330">+E314-E312</f>
        <v>0</v>
      </c>
      <c r="F315" s="1097">
        <f t="shared" ref="F315:AI315" si="331">+F314-F312</f>
        <v>0</v>
      </c>
      <c r="G315" s="1205">
        <f t="shared" si="331"/>
        <v>0</v>
      </c>
      <c r="H315" s="1097">
        <f t="shared" si="331"/>
        <v>0</v>
      </c>
      <c r="I315" s="1097">
        <f t="shared" si="331"/>
        <v>0</v>
      </c>
      <c r="J315" s="1205">
        <f t="shared" si="331"/>
        <v>0</v>
      </c>
      <c r="K315" s="1205">
        <f t="shared" si="331"/>
        <v>0</v>
      </c>
      <c r="L315" s="1097">
        <f t="shared" si="331"/>
        <v>0</v>
      </c>
      <c r="M315" s="1097">
        <f t="shared" si="331"/>
        <v>0</v>
      </c>
      <c r="N315" s="1097">
        <f t="shared" ref="N315" si="332">+N314-N312</f>
        <v>0</v>
      </c>
      <c r="O315" s="1097">
        <f t="shared" si="331"/>
        <v>0</v>
      </c>
      <c r="P315" s="1097">
        <f t="shared" si="331"/>
        <v>0</v>
      </c>
      <c r="Q315" s="1205">
        <f t="shared" si="331"/>
        <v>0</v>
      </c>
      <c r="R315" s="1205">
        <f t="shared" ref="R315" si="333">+R314-R312</f>
        <v>0</v>
      </c>
      <c r="S315" s="1097">
        <f t="shared" si="331"/>
        <v>0</v>
      </c>
      <c r="T315" s="1097">
        <f t="shared" si="331"/>
        <v>0</v>
      </c>
      <c r="U315" s="1097">
        <f t="shared" si="331"/>
        <v>0</v>
      </c>
      <c r="V315" s="1097">
        <f t="shared" si="331"/>
        <v>0</v>
      </c>
      <c r="W315" s="1097">
        <f t="shared" si="331"/>
        <v>0</v>
      </c>
      <c r="X315" s="1205">
        <f t="shared" si="331"/>
        <v>0</v>
      </c>
      <c r="Y315" s="1205">
        <f t="shared" si="331"/>
        <v>0</v>
      </c>
      <c r="Z315" s="1097">
        <f t="shared" si="331"/>
        <v>0</v>
      </c>
      <c r="AA315" s="1097">
        <f t="shared" si="331"/>
        <v>0</v>
      </c>
      <c r="AB315" s="1097">
        <f t="shared" si="331"/>
        <v>0</v>
      </c>
      <c r="AC315" s="1097">
        <f t="shared" si="331"/>
        <v>0</v>
      </c>
      <c r="AD315" s="1097">
        <f t="shared" si="331"/>
        <v>0</v>
      </c>
      <c r="AE315" s="1205">
        <f t="shared" si="331"/>
        <v>0</v>
      </c>
      <c r="AF315" s="1205">
        <f t="shared" si="331"/>
        <v>0</v>
      </c>
      <c r="AG315" s="1097">
        <f t="shared" si="331"/>
        <v>0</v>
      </c>
      <c r="AH315" s="1097">
        <f t="shared" si="331"/>
        <v>0</v>
      </c>
      <c r="AI315" s="1097">
        <f t="shared" si="331"/>
        <v>0</v>
      </c>
      <c r="AJ315" s="381">
        <f>+AJ314-AJ312</f>
        <v>0</v>
      </c>
      <c r="AK315" s="1024">
        <f t="shared" si="291"/>
        <v>0</v>
      </c>
      <c r="AL315" s="425">
        <f>+AJ315*AN312</f>
        <v>0</v>
      </c>
      <c r="AM315" s="1041">
        <f t="shared" si="292"/>
        <v>0</v>
      </c>
      <c r="AN315" s="382" t="s">
        <v>97</v>
      </c>
      <c r="AO315" s="622"/>
      <c r="AP315" s="39" t="s">
        <v>98</v>
      </c>
      <c r="AQ315" s="56">
        <f>AQ314-AQ313</f>
        <v>0</v>
      </c>
      <c r="AR315" s="70">
        <f>AR314-AR313</f>
        <v>0</v>
      </c>
      <c r="AS315" s="70">
        <f>AS314-AS313</f>
        <v>0</v>
      </c>
      <c r="AT315" s="70">
        <f>AT314-AT313</f>
        <v>0</v>
      </c>
      <c r="AU315" s="70">
        <f>AU314-AU313</f>
        <v>0</v>
      </c>
      <c r="AV315" s="57">
        <f t="shared" si="329"/>
        <v>0</v>
      </c>
    </row>
    <row r="316" spans="1:57" ht="19.899999999999999" hidden="1" customHeight="1">
      <c r="A316" s="403"/>
      <c r="B316" s="638">
        <v>2.5525000000000002</v>
      </c>
      <c r="C316" s="383">
        <f>+C314*0.8</f>
        <v>56000</v>
      </c>
      <c r="D316" s="61" t="s">
        <v>101</v>
      </c>
      <c r="E316" s="1367"/>
      <c r="F316" s="1099"/>
      <c r="G316" s="1208"/>
      <c r="H316" s="1099"/>
      <c r="I316" s="1099"/>
      <c r="J316" s="1208"/>
      <c r="K316" s="1208"/>
      <c r="L316" s="1099"/>
      <c r="M316" s="1099"/>
      <c r="N316" s="1099"/>
      <c r="O316" s="1099"/>
      <c r="P316" s="1099"/>
      <c r="Q316" s="1208"/>
      <c r="R316" s="1208"/>
      <c r="S316" s="1099"/>
      <c r="T316" s="1099"/>
      <c r="U316" s="1099"/>
      <c r="V316" s="1099"/>
      <c r="W316" s="1099"/>
      <c r="X316" s="1208"/>
      <c r="Y316" s="1208"/>
      <c r="Z316" s="1099"/>
      <c r="AA316" s="1099"/>
      <c r="AB316" s="1099"/>
      <c r="AC316" s="1099"/>
      <c r="AD316" s="1099"/>
      <c r="AE316" s="1208"/>
      <c r="AF316" s="1208"/>
      <c r="AG316" s="1099"/>
      <c r="AH316" s="1099"/>
      <c r="AI316" s="1099"/>
      <c r="AJ316" s="384">
        <f>SUM(E316:AI316)</f>
        <v>0</v>
      </c>
      <c r="AK316" s="1024">
        <f t="shared" si="291"/>
        <v>0</v>
      </c>
      <c r="AL316" s="420">
        <f>+AJ316*AN312</f>
        <v>0</v>
      </c>
      <c r="AM316" s="1040">
        <f t="shared" si="292"/>
        <v>0</v>
      </c>
      <c r="AN316" s="385" t="e">
        <f>+AJ316/AJ314</f>
        <v>#DIV/0!</v>
      </c>
      <c r="AO316" s="635" t="e">
        <f>AO314/AO312</f>
        <v>#DIV/0!</v>
      </c>
      <c r="AP316" s="39" t="s">
        <v>102</v>
      </c>
      <c r="AQ316" s="56">
        <f>SUM(E316:I316)</f>
        <v>0</v>
      </c>
      <c r="AR316" s="70">
        <f>SUM(J316:P316)</f>
        <v>0</v>
      </c>
      <c r="AS316" s="70">
        <f>SUM(Q316:W316)</f>
        <v>0</v>
      </c>
      <c r="AT316" s="70">
        <f>SUM(X316:AD316)</f>
        <v>0</v>
      </c>
      <c r="AU316" s="70">
        <f>SUM(AE316:AI316)</f>
        <v>0</v>
      </c>
      <c r="AV316" s="57">
        <f t="shared" si="329"/>
        <v>0</v>
      </c>
    </row>
    <row r="317" spans="1:57" ht="19.899999999999999" hidden="1" customHeight="1">
      <c r="A317" s="403"/>
      <c r="B317" s="65"/>
      <c r="C317" s="383"/>
      <c r="D317" s="67" t="s">
        <v>103</v>
      </c>
      <c r="E317" s="1113"/>
      <c r="F317" s="1101"/>
      <c r="G317" s="1209"/>
      <c r="H317" s="1101"/>
      <c r="I317" s="1101"/>
      <c r="J317" s="1209"/>
      <c r="K317" s="1209"/>
      <c r="L317" s="1101"/>
      <c r="M317" s="1101"/>
      <c r="N317" s="1101"/>
      <c r="O317" s="1101"/>
      <c r="P317" s="1101"/>
      <c r="Q317" s="1209"/>
      <c r="R317" s="1209"/>
      <c r="S317" s="1101"/>
      <c r="T317" s="1101"/>
      <c r="U317" s="1101"/>
      <c r="V317" s="1101"/>
      <c r="W317" s="1101"/>
      <c r="X317" s="1209"/>
      <c r="Y317" s="1209"/>
      <c r="Z317" s="1101"/>
      <c r="AA317" s="1101"/>
      <c r="AB317" s="1101"/>
      <c r="AC317" s="1101"/>
      <c r="AD317" s="1101"/>
      <c r="AE317" s="1209"/>
      <c r="AF317" s="1209"/>
      <c r="AG317" s="1101"/>
      <c r="AH317" s="1101"/>
      <c r="AI317" s="1101"/>
      <c r="AJ317" s="386">
        <f>SUM(E317:AI317)</f>
        <v>0</v>
      </c>
      <c r="AK317" s="1024">
        <f t="shared" si="291"/>
        <v>0</v>
      </c>
      <c r="AL317" s="426">
        <f>+AJ317*AN312</f>
        <v>0</v>
      </c>
      <c r="AM317" s="1040">
        <f t="shared" si="292"/>
        <v>0</v>
      </c>
      <c r="AN317" s="382"/>
      <c r="AO317" s="622"/>
      <c r="AP317" s="39" t="s">
        <v>19</v>
      </c>
      <c r="AQ317" s="56">
        <f>AQ316*AN312</f>
        <v>0</v>
      </c>
      <c r="AR317" s="56">
        <f>AR316*AN312</f>
        <v>0</v>
      </c>
      <c r="AS317" s="56">
        <f>AS316*AN312</f>
        <v>0</v>
      </c>
      <c r="AT317" s="56">
        <f>AT316*AN312</f>
        <v>0</v>
      </c>
      <c r="AU317" s="56">
        <f>AU316*AN312</f>
        <v>0</v>
      </c>
      <c r="AV317" s="57">
        <f t="shared" si="329"/>
        <v>0</v>
      </c>
    </row>
    <row r="318" spans="1:57" ht="19.899999999999999" hidden="1" customHeight="1">
      <c r="A318" s="403"/>
      <c r="B318" s="65"/>
      <c r="C318" s="387" t="s">
        <v>435</v>
      </c>
      <c r="D318" s="73" t="s">
        <v>105</v>
      </c>
      <c r="E318" s="1115"/>
      <c r="F318" s="1103"/>
      <c r="G318" s="1210"/>
      <c r="H318" s="1103"/>
      <c r="I318" s="1103"/>
      <c r="J318" s="1210"/>
      <c r="K318" s="1210"/>
      <c r="L318" s="1103"/>
      <c r="M318" s="1103"/>
      <c r="N318" s="1103"/>
      <c r="O318" s="1103"/>
      <c r="P318" s="1103"/>
      <c r="Q318" s="1210"/>
      <c r="R318" s="1210"/>
      <c r="S318" s="1103"/>
      <c r="T318" s="1103"/>
      <c r="U318" s="1103"/>
      <c r="V318" s="1103"/>
      <c r="W318" s="1103"/>
      <c r="X318" s="1210"/>
      <c r="Y318" s="1210"/>
      <c r="Z318" s="1103"/>
      <c r="AA318" s="1103"/>
      <c r="AB318" s="1103"/>
      <c r="AC318" s="1103"/>
      <c r="AD318" s="1103"/>
      <c r="AE318" s="1210"/>
      <c r="AF318" s="1210"/>
      <c r="AG318" s="1103"/>
      <c r="AH318" s="1103"/>
      <c r="AI318" s="1103"/>
      <c r="AJ318" s="388">
        <f>SUM(E318:AI318)</f>
        <v>0</v>
      </c>
      <c r="AK318" s="1024">
        <f t="shared" si="291"/>
        <v>0</v>
      </c>
      <c r="AL318" s="427">
        <f>+AJ318*AN312</f>
        <v>0</v>
      </c>
      <c r="AM318" s="1040">
        <f t="shared" si="292"/>
        <v>0</v>
      </c>
      <c r="AN318" s="382"/>
      <c r="AO318" s="622"/>
      <c r="AP318" s="47" t="s">
        <v>106</v>
      </c>
      <c r="AQ318" s="48">
        <f>AQ314*AN312</f>
        <v>0</v>
      </c>
      <c r="AR318" s="48">
        <f>AR314*AN312</f>
        <v>0</v>
      </c>
      <c r="AS318" s="48">
        <f>AS314*AN312</f>
        <v>0</v>
      </c>
      <c r="AT318" s="48">
        <f>AT314*AN312</f>
        <v>0</v>
      </c>
      <c r="AU318" s="48">
        <f>AU314*AN312</f>
        <v>0</v>
      </c>
      <c r="AV318" s="50">
        <f t="shared" si="329"/>
        <v>0</v>
      </c>
    </row>
    <row r="319" spans="1:57" ht="19.899999999999999" hidden="1" customHeight="1">
      <c r="A319" s="405"/>
      <c r="B319" s="390"/>
      <c r="C319" s="379">
        <v>50000</v>
      </c>
      <c r="D319" s="78" t="s">
        <v>107</v>
      </c>
      <c r="E319" s="1137">
        <v>4</v>
      </c>
      <c r="F319" s="1097">
        <v>4</v>
      </c>
      <c r="G319" s="1205">
        <v>4</v>
      </c>
      <c r="H319" s="1097">
        <v>4</v>
      </c>
      <c r="I319" s="1097">
        <v>4</v>
      </c>
      <c r="J319" s="1205">
        <v>4</v>
      </c>
      <c r="K319" s="1205">
        <v>4</v>
      </c>
      <c r="L319" s="1097">
        <v>4</v>
      </c>
      <c r="M319" s="1097">
        <v>4</v>
      </c>
      <c r="N319" s="1097">
        <v>4</v>
      </c>
      <c r="O319" s="1097">
        <v>4</v>
      </c>
      <c r="P319" s="1097">
        <v>4</v>
      </c>
      <c r="Q319" s="1205">
        <v>4</v>
      </c>
      <c r="R319" s="1205">
        <v>4</v>
      </c>
      <c r="S319" s="1097">
        <v>4</v>
      </c>
      <c r="T319" s="1097">
        <v>4</v>
      </c>
      <c r="U319" s="1097">
        <v>4</v>
      </c>
      <c r="V319" s="1097">
        <v>4</v>
      </c>
      <c r="W319" s="1097">
        <v>4</v>
      </c>
      <c r="X319" s="1205">
        <v>4</v>
      </c>
      <c r="Y319" s="1205">
        <v>4</v>
      </c>
      <c r="Z319" s="1097">
        <v>4</v>
      </c>
      <c r="AA319" s="1097">
        <v>4</v>
      </c>
      <c r="AB319" s="1097">
        <v>4</v>
      </c>
      <c r="AC319" s="1097">
        <v>4</v>
      </c>
      <c r="AD319" s="1097">
        <v>4</v>
      </c>
      <c r="AE319" s="1205">
        <v>4</v>
      </c>
      <c r="AF319" s="1205">
        <v>4</v>
      </c>
      <c r="AG319" s="1097">
        <v>4</v>
      </c>
      <c r="AH319" s="1097">
        <v>4</v>
      </c>
      <c r="AI319" s="1097">
        <v>4</v>
      </c>
      <c r="AJ319" s="381"/>
      <c r="AK319" s="1024">
        <f t="shared" si="291"/>
        <v>0</v>
      </c>
      <c r="AL319" s="425"/>
      <c r="AM319" s="1041">
        <f t="shared" si="292"/>
        <v>0</v>
      </c>
      <c r="AN319" s="382"/>
      <c r="AO319" s="622"/>
      <c r="AP319" s="391"/>
      <c r="AQ319" s="391"/>
      <c r="AR319" s="4"/>
      <c r="AS319" s="4"/>
      <c r="AT319" s="392"/>
      <c r="AU319" s="4"/>
      <c r="AV319" s="4"/>
    </row>
    <row r="320" spans="1:57" ht="19.899999999999999" hidden="1" customHeight="1">
      <c r="A320" s="403"/>
      <c r="B320" s="390"/>
      <c r="C320" s="89" t="s">
        <v>108</v>
      </c>
      <c r="D320" s="81" t="s">
        <v>109</v>
      </c>
      <c r="E320" s="1125">
        <f>SUM(E314+E316+E317+E318)/E319</f>
        <v>0</v>
      </c>
      <c r="F320" s="1125">
        <f t="shared" ref="F320:AI320" si="334">SUM(F314+F316+F317+F318)/F319</f>
        <v>0</v>
      </c>
      <c r="G320" s="1233">
        <f t="shared" si="334"/>
        <v>0</v>
      </c>
      <c r="H320" s="1125">
        <f t="shared" si="334"/>
        <v>0</v>
      </c>
      <c r="I320" s="1125">
        <f t="shared" si="334"/>
        <v>0</v>
      </c>
      <c r="J320" s="1233">
        <f t="shared" si="334"/>
        <v>0</v>
      </c>
      <c r="K320" s="1233">
        <f t="shared" si="334"/>
        <v>0</v>
      </c>
      <c r="L320" s="1125">
        <f t="shared" si="334"/>
        <v>0</v>
      </c>
      <c r="M320" s="1125">
        <f t="shared" si="334"/>
        <v>0</v>
      </c>
      <c r="N320" s="1125">
        <f t="shared" si="334"/>
        <v>0</v>
      </c>
      <c r="O320" s="1125">
        <f t="shared" si="334"/>
        <v>0</v>
      </c>
      <c r="P320" s="1125">
        <f t="shared" si="334"/>
        <v>0</v>
      </c>
      <c r="Q320" s="1233">
        <f t="shared" si="334"/>
        <v>0</v>
      </c>
      <c r="R320" s="1233">
        <f t="shared" si="334"/>
        <v>0</v>
      </c>
      <c r="S320" s="1125">
        <f t="shared" si="334"/>
        <v>0</v>
      </c>
      <c r="T320" s="1125">
        <f t="shared" si="334"/>
        <v>0</v>
      </c>
      <c r="U320" s="1125">
        <f t="shared" si="334"/>
        <v>0</v>
      </c>
      <c r="V320" s="1125">
        <f t="shared" si="334"/>
        <v>0</v>
      </c>
      <c r="W320" s="1125">
        <f t="shared" si="334"/>
        <v>0</v>
      </c>
      <c r="X320" s="1233">
        <f t="shared" si="334"/>
        <v>0</v>
      </c>
      <c r="Y320" s="1233">
        <f t="shared" si="334"/>
        <v>0</v>
      </c>
      <c r="Z320" s="1125">
        <f t="shared" si="334"/>
        <v>0</v>
      </c>
      <c r="AA320" s="1125">
        <f t="shared" si="334"/>
        <v>0</v>
      </c>
      <c r="AB320" s="1125">
        <f t="shared" si="334"/>
        <v>0</v>
      </c>
      <c r="AC320" s="1125">
        <f t="shared" si="334"/>
        <v>0</v>
      </c>
      <c r="AD320" s="1125">
        <f t="shared" si="334"/>
        <v>0</v>
      </c>
      <c r="AE320" s="1233">
        <f t="shared" si="334"/>
        <v>0</v>
      </c>
      <c r="AF320" s="1233">
        <f t="shared" si="334"/>
        <v>0</v>
      </c>
      <c r="AG320" s="1125">
        <f t="shared" si="334"/>
        <v>0</v>
      </c>
      <c r="AH320" s="1125">
        <f t="shared" si="334"/>
        <v>0</v>
      </c>
      <c r="AI320" s="1125">
        <f t="shared" si="334"/>
        <v>0</v>
      </c>
      <c r="AJ320" s="380">
        <f>SUM(E320:AI320)</f>
        <v>0</v>
      </c>
      <c r="AK320" s="1025">
        <f t="shared" si="291"/>
        <v>0</v>
      </c>
      <c r="AL320" s="419"/>
      <c r="AM320" s="1040">
        <f t="shared" si="292"/>
        <v>0</v>
      </c>
      <c r="AN320" s="382"/>
      <c r="AO320" s="622"/>
      <c r="AP320" s="391"/>
      <c r="AQ320" s="391"/>
      <c r="AR320" s="4"/>
      <c r="AS320" s="4"/>
      <c r="AT320" s="392"/>
      <c r="AU320" s="4"/>
      <c r="AV320" s="4"/>
    </row>
    <row r="321" spans="1:48" ht="19.899999999999999" hidden="1" customHeight="1">
      <c r="A321" s="403"/>
      <c r="B321" s="59"/>
      <c r="C321" s="84">
        <f>+C319*0.8</f>
        <v>40000</v>
      </c>
      <c r="D321" s="85" t="s">
        <v>110</v>
      </c>
      <c r="E321" s="1366"/>
      <c r="F321" s="1126"/>
      <c r="G321" s="1263"/>
      <c r="H321" s="1172"/>
      <c r="I321" s="1172"/>
      <c r="J321" s="1281"/>
      <c r="K321" s="1235"/>
      <c r="L321" s="1172"/>
      <c r="M321" s="1126"/>
      <c r="N321" s="1174"/>
      <c r="O321" s="1173"/>
      <c r="P321" s="1173"/>
      <c r="Q321" s="1281"/>
      <c r="R321" s="1281"/>
      <c r="S321" s="1173"/>
      <c r="T321" s="1107"/>
      <c r="U321" s="1173"/>
      <c r="V321" s="1173"/>
      <c r="W321" s="1172"/>
      <c r="X321" s="1281"/>
      <c r="Y321" s="1281"/>
      <c r="Z321" s="1155"/>
      <c r="AA321" s="1173"/>
      <c r="AB321" s="1173"/>
      <c r="AC321" s="1173"/>
      <c r="AD321" s="1173"/>
      <c r="AE321" s="1281"/>
      <c r="AF321" s="1281"/>
      <c r="AG321" s="1173"/>
      <c r="AH321" s="1173"/>
      <c r="AI321" s="1173"/>
      <c r="AJ321" s="394"/>
      <c r="AK321" s="1025">
        <f t="shared" si="291"/>
        <v>0</v>
      </c>
      <c r="AL321" s="419"/>
      <c r="AM321" s="1040">
        <f t="shared" si="292"/>
        <v>0</v>
      </c>
      <c r="AN321" s="382"/>
      <c r="AO321" s="622"/>
      <c r="AP321" s="391"/>
      <c r="AR321" s="4"/>
      <c r="AS321" s="4"/>
      <c r="AT321" s="392"/>
      <c r="AU321" s="4"/>
      <c r="AV321" s="4"/>
    </row>
    <row r="322" spans="1:48" ht="19.899999999999999" hidden="1" customHeight="1">
      <c r="A322" s="403"/>
      <c r="B322" s="59"/>
      <c r="C322" s="387"/>
      <c r="D322" s="88" t="s">
        <v>111</v>
      </c>
      <c r="E322" s="1156">
        <f>IF(E321="O/H",E320,0+E320)</f>
        <v>0</v>
      </c>
      <c r="F322" s="1156">
        <f t="shared" ref="F322:AI322" si="335">IF(F321="O/H",F320,0+F320)</f>
        <v>0</v>
      </c>
      <c r="G322" s="1227">
        <f t="shared" si="335"/>
        <v>0</v>
      </c>
      <c r="H322" s="1156">
        <f t="shared" si="335"/>
        <v>0</v>
      </c>
      <c r="I322" s="1156">
        <f t="shared" si="335"/>
        <v>0</v>
      </c>
      <c r="J322" s="1227">
        <f t="shared" si="335"/>
        <v>0</v>
      </c>
      <c r="K322" s="1227">
        <f t="shared" si="335"/>
        <v>0</v>
      </c>
      <c r="L322" s="1156">
        <f t="shared" si="335"/>
        <v>0</v>
      </c>
      <c r="M322" s="1156">
        <f t="shared" si="335"/>
        <v>0</v>
      </c>
      <c r="N322" s="1156">
        <f t="shared" si="335"/>
        <v>0</v>
      </c>
      <c r="O322" s="1156">
        <f t="shared" si="335"/>
        <v>0</v>
      </c>
      <c r="P322" s="1156">
        <f t="shared" si="335"/>
        <v>0</v>
      </c>
      <c r="Q322" s="1227">
        <f t="shared" si="335"/>
        <v>0</v>
      </c>
      <c r="R322" s="1227">
        <f t="shared" si="335"/>
        <v>0</v>
      </c>
      <c r="S322" s="1156">
        <f t="shared" si="335"/>
        <v>0</v>
      </c>
      <c r="T322" s="1156">
        <f t="shared" si="335"/>
        <v>0</v>
      </c>
      <c r="U322" s="1156">
        <f t="shared" si="335"/>
        <v>0</v>
      </c>
      <c r="V322" s="1156">
        <f t="shared" si="335"/>
        <v>0</v>
      </c>
      <c r="W322" s="1156">
        <f t="shared" si="335"/>
        <v>0</v>
      </c>
      <c r="X322" s="1227">
        <f t="shared" si="335"/>
        <v>0</v>
      </c>
      <c r="Y322" s="1227">
        <f t="shared" si="335"/>
        <v>0</v>
      </c>
      <c r="Z322" s="1156">
        <f t="shared" si="335"/>
        <v>0</v>
      </c>
      <c r="AA322" s="1156">
        <f t="shared" si="335"/>
        <v>0</v>
      </c>
      <c r="AB322" s="1156">
        <f t="shared" si="335"/>
        <v>0</v>
      </c>
      <c r="AC322" s="1156">
        <f t="shared" si="335"/>
        <v>0</v>
      </c>
      <c r="AD322" s="1156">
        <f t="shared" si="335"/>
        <v>0</v>
      </c>
      <c r="AE322" s="1227">
        <f t="shared" si="335"/>
        <v>0</v>
      </c>
      <c r="AF322" s="1227">
        <f t="shared" si="335"/>
        <v>0</v>
      </c>
      <c r="AG322" s="1156">
        <f t="shared" si="335"/>
        <v>0</v>
      </c>
      <c r="AH322" s="1156">
        <f t="shared" si="335"/>
        <v>0</v>
      </c>
      <c r="AI322" s="1156">
        <f t="shared" si="335"/>
        <v>0</v>
      </c>
      <c r="AJ322" s="394"/>
      <c r="AK322" s="1025">
        <f t="shared" si="291"/>
        <v>0</v>
      </c>
      <c r="AL322" s="419"/>
      <c r="AM322" s="1040">
        <f t="shared" si="292"/>
        <v>0</v>
      </c>
      <c r="AN322" s="382"/>
      <c r="AO322" s="622"/>
      <c r="AP322" s="391"/>
      <c r="AQ322" s="391"/>
    </row>
    <row r="323" spans="1:48" ht="19.899999999999999" hidden="1" customHeight="1">
      <c r="A323" s="403"/>
      <c r="B323" s="113"/>
      <c r="C323" s="387"/>
      <c r="D323" s="395" t="s">
        <v>435</v>
      </c>
      <c r="E323" s="1365"/>
      <c r="F323" s="1107"/>
      <c r="G323" s="1228"/>
      <c r="H323" s="1176"/>
      <c r="I323" s="1107"/>
      <c r="J323" s="1228"/>
      <c r="K323" s="1273"/>
      <c r="L323" s="1107"/>
      <c r="M323" s="1107"/>
      <c r="N323" s="1177"/>
      <c r="O323" s="1107"/>
      <c r="P323" s="1177"/>
      <c r="Q323" s="1228"/>
      <c r="R323" s="1228"/>
      <c r="S323" s="1107"/>
      <c r="T323" s="1107"/>
      <c r="U323" s="1107"/>
      <c r="V323" s="1107"/>
      <c r="W323" s="1107"/>
      <c r="X323" s="1228"/>
      <c r="Y323" s="1228"/>
      <c r="Z323" s="1155"/>
      <c r="AA323" s="1107"/>
      <c r="AB323" s="1107"/>
      <c r="AC323" s="1107"/>
      <c r="AD323" s="1107"/>
      <c r="AE323" s="1228"/>
      <c r="AF323" s="1228"/>
      <c r="AG323" s="1107"/>
      <c r="AH323" s="1107"/>
      <c r="AI323" s="1104"/>
      <c r="AJ323" s="396"/>
      <c r="AK323" s="1025">
        <f t="shared" si="291"/>
        <v>0</v>
      </c>
      <c r="AL323" s="419"/>
      <c r="AM323" s="1040">
        <f t="shared" si="292"/>
        <v>0</v>
      </c>
      <c r="AN323" s="382"/>
      <c r="AO323" s="622"/>
      <c r="AP323" s="391"/>
      <c r="AQ323" s="391"/>
    </row>
    <row r="324" spans="1:48" s="23" customFormat="1" ht="20.45" hidden="1" customHeight="1">
      <c r="A324" s="403"/>
      <c r="B324" s="59"/>
      <c r="C324" s="387" t="s">
        <v>104</v>
      </c>
      <c r="D324" s="88" t="s">
        <v>111</v>
      </c>
      <c r="E324" s="1156">
        <f>IF(E323="O/H",E320,0+E320)</f>
        <v>0</v>
      </c>
      <c r="F324" s="1156">
        <f t="shared" ref="F324:AI324" si="336">IF(F323="O/H",F320,0+F320)</f>
        <v>0</v>
      </c>
      <c r="G324" s="1227">
        <f t="shared" si="336"/>
        <v>0</v>
      </c>
      <c r="H324" s="1156">
        <f t="shared" si="336"/>
        <v>0</v>
      </c>
      <c r="I324" s="1156">
        <f t="shared" si="336"/>
        <v>0</v>
      </c>
      <c r="J324" s="1227">
        <f t="shared" si="336"/>
        <v>0</v>
      </c>
      <c r="K324" s="1227">
        <f t="shared" si="336"/>
        <v>0</v>
      </c>
      <c r="L324" s="1156">
        <f t="shared" si="336"/>
        <v>0</v>
      </c>
      <c r="M324" s="1156">
        <f t="shared" si="336"/>
        <v>0</v>
      </c>
      <c r="N324" s="1156">
        <f t="shared" si="336"/>
        <v>0</v>
      </c>
      <c r="O324" s="1156">
        <f t="shared" si="336"/>
        <v>0</v>
      </c>
      <c r="P324" s="1156">
        <f t="shared" si="336"/>
        <v>0</v>
      </c>
      <c r="Q324" s="1227">
        <f t="shared" si="336"/>
        <v>0</v>
      </c>
      <c r="R324" s="1227">
        <f t="shared" si="336"/>
        <v>0</v>
      </c>
      <c r="S324" s="1156">
        <f t="shared" si="336"/>
        <v>0</v>
      </c>
      <c r="T324" s="1156">
        <f t="shared" si="336"/>
        <v>0</v>
      </c>
      <c r="U324" s="1156">
        <f t="shared" si="336"/>
        <v>0</v>
      </c>
      <c r="V324" s="1156">
        <f t="shared" si="336"/>
        <v>0</v>
      </c>
      <c r="W324" s="1156">
        <f t="shared" si="336"/>
        <v>0</v>
      </c>
      <c r="X324" s="1227">
        <f t="shared" si="336"/>
        <v>0</v>
      </c>
      <c r="Y324" s="1227">
        <f t="shared" si="336"/>
        <v>0</v>
      </c>
      <c r="Z324" s="1156">
        <f t="shared" si="336"/>
        <v>0</v>
      </c>
      <c r="AA324" s="1156">
        <f t="shared" si="336"/>
        <v>0</v>
      </c>
      <c r="AB324" s="1156">
        <f t="shared" si="336"/>
        <v>0</v>
      </c>
      <c r="AC324" s="1156">
        <f t="shared" si="336"/>
        <v>0</v>
      </c>
      <c r="AD324" s="1156">
        <f t="shared" si="336"/>
        <v>0</v>
      </c>
      <c r="AE324" s="1227">
        <f t="shared" si="336"/>
        <v>0</v>
      </c>
      <c r="AF324" s="1227">
        <f t="shared" si="336"/>
        <v>0</v>
      </c>
      <c r="AG324" s="1156">
        <f t="shared" si="336"/>
        <v>0</v>
      </c>
      <c r="AH324" s="1156">
        <f t="shared" si="336"/>
        <v>0</v>
      </c>
      <c r="AI324" s="1156">
        <f t="shared" si="336"/>
        <v>0</v>
      </c>
      <c r="AJ324" s="394"/>
      <c r="AK324" s="1025">
        <f t="shared" si="291"/>
        <v>0</v>
      </c>
      <c r="AL324" s="419"/>
      <c r="AM324" s="1040">
        <f t="shared" si="292"/>
        <v>0</v>
      </c>
      <c r="AN324" s="382"/>
      <c r="AO324" s="622"/>
      <c r="AP324" s="285"/>
      <c r="AQ324" s="285"/>
      <c r="AR324" s="285"/>
      <c r="AS324" s="285"/>
      <c r="AT324" s="286"/>
      <c r="AU324" s="285"/>
      <c r="AV324" s="287"/>
    </row>
    <row r="325" spans="1:48" ht="19.899999999999999" hidden="1" customHeight="1">
      <c r="A325" s="312"/>
      <c r="B325" s="312"/>
      <c r="C325" s="379">
        <v>150000</v>
      </c>
      <c r="D325" s="795" t="s">
        <v>112</v>
      </c>
      <c r="E325" s="1108" t="b">
        <f>IF(AND(ISNUMBER(E314)),1536177+E320)</f>
        <v>0</v>
      </c>
      <c r="F325" s="1089" t="str">
        <f>IF(AND(ISNUMBER(F314)),E325+F320,"")</f>
        <v/>
      </c>
      <c r="G325" s="44" t="str">
        <f>IF(AND(ISNUMBER(G314)),F325+G320,"")</f>
        <v/>
      </c>
      <c r="H325" s="1089" t="str">
        <f t="shared" ref="H325:AI325" si="337">IF(AND(ISNUMBER(H314)),G325+H320,"")</f>
        <v/>
      </c>
      <c r="I325" s="1089" t="str">
        <f t="shared" si="337"/>
        <v/>
      </c>
      <c r="J325" s="44" t="str">
        <f t="shared" si="337"/>
        <v/>
      </c>
      <c r="K325" s="44" t="str">
        <f t="shared" si="337"/>
        <v/>
      </c>
      <c r="L325" s="1089" t="str">
        <f t="shared" si="337"/>
        <v/>
      </c>
      <c r="M325" s="1089" t="str">
        <f t="shared" si="337"/>
        <v/>
      </c>
      <c r="N325" s="1089" t="str">
        <f t="shared" si="337"/>
        <v/>
      </c>
      <c r="O325" s="1089" t="str">
        <f t="shared" si="337"/>
        <v/>
      </c>
      <c r="P325" s="1089" t="str">
        <f t="shared" si="337"/>
        <v/>
      </c>
      <c r="Q325" s="44" t="str">
        <f t="shared" si="337"/>
        <v/>
      </c>
      <c r="R325" s="44" t="str">
        <f t="shared" si="337"/>
        <v/>
      </c>
      <c r="S325" s="1089" t="str">
        <f t="shared" si="337"/>
        <v/>
      </c>
      <c r="T325" s="1089" t="str">
        <f t="shared" si="337"/>
        <v/>
      </c>
      <c r="U325" s="1089" t="str">
        <f t="shared" si="337"/>
        <v/>
      </c>
      <c r="V325" s="1089" t="str">
        <f t="shared" si="337"/>
        <v/>
      </c>
      <c r="W325" s="1089" t="str">
        <f t="shared" si="337"/>
        <v/>
      </c>
      <c r="X325" s="44" t="str">
        <f t="shared" si="337"/>
        <v/>
      </c>
      <c r="Y325" s="44" t="str">
        <f t="shared" si="337"/>
        <v/>
      </c>
      <c r="Z325" s="1089" t="str">
        <f t="shared" si="337"/>
        <v/>
      </c>
      <c r="AA325" s="1089" t="str">
        <f t="shared" si="337"/>
        <v/>
      </c>
      <c r="AB325" s="1089" t="str">
        <f t="shared" si="337"/>
        <v/>
      </c>
      <c r="AC325" s="1089" t="str">
        <f t="shared" si="337"/>
        <v/>
      </c>
      <c r="AD325" s="1089" t="str">
        <f t="shared" si="337"/>
        <v/>
      </c>
      <c r="AE325" s="44" t="str">
        <f t="shared" si="337"/>
        <v/>
      </c>
      <c r="AF325" s="44" t="str">
        <f t="shared" si="337"/>
        <v/>
      </c>
      <c r="AG325" s="1089" t="str">
        <f t="shared" si="337"/>
        <v/>
      </c>
      <c r="AH325" s="1089" t="str">
        <f t="shared" si="337"/>
        <v/>
      </c>
      <c r="AI325" s="1089" t="str">
        <f t="shared" si="337"/>
        <v/>
      </c>
      <c r="AJ325" s="793"/>
      <c r="AK325" s="1026">
        <f t="shared" si="291"/>
        <v>0</v>
      </c>
      <c r="AL325" s="897"/>
      <c r="AM325" s="1042">
        <f t="shared" si="292"/>
        <v>0</v>
      </c>
      <c r="AN325" s="468"/>
      <c r="AO325" s="675"/>
      <c r="AP325" s="391"/>
      <c r="AQ325" s="391"/>
    </row>
    <row r="326" spans="1:48" ht="19.899999999999999" hidden="1" customHeight="1">
      <c r="A326" s="403"/>
      <c r="B326" s="393" t="s">
        <v>475</v>
      </c>
      <c r="C326" s="89" t="s">
        <v>108</v>
      </c>
      <c r="D326" s="90" t="s">
        <v>104</v>
      </c>
      <c r="E326" s="1365"/>
      <c r="F326" s="1107"/>
      <c r="G326" s="1228"/>
      <c r="H326" s="1176"/>
      <c r="I326" s="1107"/>
      <c r="J326" s="1228"/>
      <c r="K326" s="1273"/>
      <c r="L326" s="1107"/>
      <c r="M326" s="1107">
        <v>0</v>
      </c>
      <c r="N326" s="1177"/>
      <c r="O326" s="1107"/>
      <c r="P326" s="1177"/>
      <c r="Q326" s="1228"/>
      <c r="R326" s="1228"/>
      <c r="S326" s="1107"/>
      <c r="T326" s="1107"/>
      <c r="U326" s="1107"/>
      <c r="V326" s="1107"/>
      <c r="W326" s="1107"/>
      <c r="X326" s="1228"/>
      <c r="Y326" s="1228"/>
      <c r="Z326" s="1106"/>
      <c r="AA326" s="1107"/>
      <c r="AB326" s="1107"/>
      <c r="AC326" s="1107"/>
      <c r="AD326" s="1107"/>
      <c r="AE326" s="1228"/>
      <c r="AF326" s="1228"/>
      <c r="AG326" s="1107"/>
      <c r="AH326" s="1107"/>
      <c r="AI326" s="1104"/>
      <c r="AJ326" s="396"/>
      <c r="AK326" s="1024">
        <f t="shared" si="291"/>
        <v>344000</v>
      </c>
      <c r="AL326" s="420"/>
      <c r="AM326" s="1040">
        <f t="shared" si="292"/>
        <v>1270316.32</v>
      </c>
      <c r="AN326" s="382"/>
      <c r="AO326" s="622"/>
      <c r="AP326" s="391"/>
      <c r="AQ326" s="391"/>
    </row>
    <row r="327" spans="1:48" ht="19.899999999999999" hidden="1" customHeight="1" thickBot="1">
      <c r="A327" s="406"/>
      <c r="B327" s="398"/>
      <c r="C327" s="407">
        <f>+C325*0.8</f>
        <v>120000</v>
      </c>
      <c r="D327" s="95" t="s">
        <v>111</v>
      </c>
      <c r="E327" s="1109">
        <f>IF(E326="O/H",E320,75764+E320)</f>
        <v>75764</v>
      </c>
      <c r="F327" s="1109">
        <f t="shared" ref="F327:AI327" si="338">IF(F326="O/H",F320,75764+F320)</f>
        <v>75764</v>
      </c>
      <c r="G327" s="1200">
        <f t="shared" si="338"/>
        <v>75764</v>
      </c>
      <c r="H327" s="1109">
        <f t="shared" si="338"/>
        <v>75764</v>
      </c>
      <c r="I327" s="1109">
        <f t="shared" si="338"/>
        <v>75764</v>
      </c>
      <c r="J327" s="1200">
        <f t="shared" si="338"/>
        <v>75764</v>
      </c>
      <c r="K327" s="1200">
        <f t="shared" si="338"/>
        <v>75764</v>
      </c>
      <c r="L327" s="1109">
        <f t="shared" si="338"/>
        <v>75764</v>
      </c>
      <c r="M327" s="1109">
        <f t="shared" si="338"/>
        <v>75764</v>
      </c>
      <c r="N327" s="1109">
        <f t="shared" si="338"/>
        <v>75764</v>
      </c>
      <c r="O327" s="1109">
        <f t="shared" si="338"/>
        <v>75764</v>
      </c>
      <c r="P327" s="1109">
        <f t="shared" si="338"/>
        <v>75764</v>
      </c>
      <c r="Q327" s="1200">
        <f t="shared" si="338"/>
        <v>75764</v>
      </c>
      <c r="R327" s="1200">
        <f t="shared" si="338"/>
        <v>75764</v>
      </c>
      <c r="S327" s="1109">
        <f t="shared" si="338"/>
        <v>75764</v>
      </c>
      <c r="T327" s="1109">
        <f t="shared" si="338"/>
        <v>75764</v>
      </c>
      <c r="U327" s="1109">
        <f t="shared" si="338"/>
        <v>75764</v>
      </c>
      <c r="V327" s="1109">
        <f t="shared" si="338"/>
        <v>75764</v>
      </c>
      <c r="W327" s="1109">
        <f t="shared" si="338"/>
        <v>75764</v>
      </c>
      <c r="X327" s="1200">
        <f t="shared" si="338"/>
        <v>75764</v>
      </c>
      <c r="Y327" s="1200">
        <f t="shared" si="338"/>
        <v>75764</v>
      </c>
      <c r="Z327" s="1109">
        <f t="shared" si="338"/>
        <v>75764</v>
      </c>
      <c r="AA327" s="1109">
        <f t="shared" si="338"/>
        <v>75764</v>
      </c>
      <c r="AB327" s="1109">
        <f t="shared" si="338"/>
        <v>75764</v>
      </c>
      <c r="AC327" s="1109">
        <f t="shared" si="338"/>
        <v>75764</v>
      </c>
      <c r="AD327" s="1109">
        <f t="shared" si="338"/>
        <v>75764</v>
      </c>
      <c r="AE327" s="1200">
        <f t="shared" si="338"/>
        <v>75764</v>
      </c>
      <c r="AF327" s="1200">
        <f t="shared" si="338"/>
        <v>75764</v>
      </c>
      <c r="AG327" s="1109">
        <f t="shared" si="338"/>
        <v>75764</v>
      </c>
      <c r="AH327" s="1109">
        <f t="shared" si="338"/>
        <v>75764</v>
      </c>
      <c r="AI327" s="1109">
        <f t="shared" si="338"/>
        <v>75764</v>
      </c>
      <c r="AJ327" s="399"/>
      <c r="AK327" s="1027">
        <f t="shared" ref="AK327:AK390" si="339">AJ329</f>
        <v>0</v>
      </c>
      <c r="AL327" s="421"/>
      <c r="AM327" s="1043">
        <f t="shared" ref="AM327:AM390" si="340">AL329</f>
        <v>0</v>
      </c>
      <c r="AN327" s="894"/>
      <c r="AO327" s="625"/>
      <c r="AP327" s="32"/>
      <c r="AQ327" s="33"/>
      <c r="AR327" s="33"/>
      <c r="AS327" s="33"/>
      <c r="AT327" s="33"/>
      <c r="AU327" s="33"/>
      <c r="AV327" s="34"/>
    </row>
    <row r="328" spans="1:48" ht="19.899999999999999" customHeight="1" thickTop="1">
      <c r="A328" s="968" t="s">
        <v>600</v>
      </c>
      <c r="B328" s="393" t="s">
        <v>716</v>
      </c>
      <c r="C328" s="518" t="str">
        <f>Table37[[#This Row],[M/C No.]]</f>
        <v xml:space="preserve">R16(18 ton) </v>
      </c>
      <c r="D328" s="28" t="s">
        <v>82</v>
      </c>
      <c r="E328" s="1111">
        <v>24000</v>
      </c>
      <c r="F328" s="1111">
        <v>24000</v>
      </c>
      <c r="G328" s="1201">
        <v>24000</v>
      </c>
      <c r="H328" s="1111">
        <v>24000</v>
      </c>
      <c r="I328" s="1111">
        <v>24000</v>
      </c>
      <c r="J328" s="1201">
        <v>0</v>
      </c>
      <c r="K328" s="1201">
        <v>0</v>
      </c>
      <c r="L328" s="1111">
        <v>0</v>
      </c>
      <c r="M328" s="1111">
        <v>0</v>
      </c>
      <c r="N328" s="1111">
        <v>10000</v>
      </c>
      <c r="O328" s="1111">
        <v>24000</v>
      </c>
      <c r="P328" s="1111">
        <v>24000</v>
      </c>
      <c r="Q328" s="1201">
        <v>24000</v>
      </c>
      <c r="R328" s="1201">
        <v>24000</v>
      </c>
      <c r="S328" s="1111">
        <v>24000</v>
      </c>
      <c r="T328" s="1111">
        <v>24000</v>
      </c>
      <c r="U328" s="1111">
        <v>24000</v>
      </c>
      <c r="V328" s="1111">
        <v>24000</v>
      </c>
      <c r="W328" s="1111">
        <v>22000</v>
      </c>
      <c r="X328" s="1201">
        <v>0</v>
      </c>
      <c r="Y328" s="1201">
        <v>0</v>
      </c>
      <c r="Z328" s="1111">
        <v>0</v>
      </c>
      <c r="AA328" s="1111">
        <v>0</v>
      </c>
      <c r="AB328" s="1111">
        <v>0</v>
      </c>
      <c r="AC328" s="1111">
        <v>0</v>
      </c>
      <c r="AD328" s="1111">
        <v>0</v>
      </c>
      <c r="AE328" s="1201">
        <v>0</v>
      </c>
      <c r="AF328" s="1201">
        <v>0</v>
      </c>
      <c r="AG328" s="1111">
        <v>0</v>
      </c>
      <c r="AH328" s="1111">
        <v>0</v>
      </c>
      <c r="AI328" s="1111"/>
      <c r="AJ328" s="375">
        <f>SUM(E328:AI328)</f>
        <v>344000</v>
      </c>
      <c r="AK328" s="1047">
        <f t="shared" si="339"/>
        <v>465600</v>
      </c>
      <c r="AL328" s="423">
        <f>+AJ328*AN328</f>
        <v>1270316.32</v>
      </c>
      <c r="AM328" s="1046">
        <f t="shared" si="340"/>
        <v>1719358.3680000002</v>
      </c>
      <c r="AN328" s="382">
        <v>3.6927800000000004</v>
      </c>
      <c r="AO328" s="622">
        <f>Table37[[#This Row],[Total]]*B332/1000</f>
        <v>929.31599999999992</v>
      </c>
      <c r="AP328" s="32" t="s">
        <v>476</v>
      </c>
      <c r="AQ328" s="33" t="s">
        <v>84</v>
      </c>
      <c r="AR328" s="33" t="s">
        <v>85</v>
      </c>
      <c r="AS328" s="33" t="s">
        <v>86</v>
      </c>
      <c r="AT328" s="33" t="s">
        <v>87</v>
      </c>
      <c r="AU328" s="33" t="s">
        <v>88</v>
      </c>
      <c r="AV328" s="34" t="s">
        <v>68</v>
      </c>
    </row>
    <row r="329" spans="1:48" ht="19.899999999999999" customHeight="1">
      <c r="A329" s="403"/>
      <c r="B329" s="393" t="s">
        <v>517</v>
      </c>
      <c r="C329" s="1251">
        <v>75000</v>
      </c>
      <c r="D329" s="37" t="s">
        <v>90</v>
      </c>
      <c r="E329" s="1323">
        <f>IF(E328="",0,+ E328/E335)</f>
        <v>3000</v>
      </c>
      <c r="F329" s="1096">
        <f t="shared" ref="F329:AI329" si="341">IF(F328="",0, E329+F328/F335)</f>
        <v>6000</v>
      </c>
      <c r="G329" s="1207">
        <f t="shared" si="341"/>
        <v>9000</v>
      </c>
      <c r="H329" s="1096">
        <f t="shared" si="341"/>
        <v>12000</v>
      </c>
      <c r="I329" s="1096">
        <f t="shared" si="341"/>
        <v>15000</v>
      </c>
      <c r="J329" s="1207">
        <f t="shared" si="341"/>
        <v>15000</v>
      </c>
      <c r="K329" s="1207">
        <f t="shared" si="341"/>
        <v>15000</v>
      </c>
      <c r="L329" s="1096">
        <f t="shared" si="341"/>
        <v>15000</v>
      </c>
      <c r="M329" s="1096">
        <f t="shared" si="341"/>
        <v>15000</v>
      </c>
      <c r="N329" s="1096">
        <f t="shared" si="341"/>
        <v>16250</v>
      </c>
      <c r="O329" s="1096">
        <f t="shared" si="341"/>
        <v>19250</v>
      </c>
      <c r="P329" s="1096">
        <f t="shared" si="341"/>
        <v>22250</v>
      </c>
      <c r="Q329" s="1207">
        <f t="shared" si="341"/>
        <v>25250</v>
      </c>
      <c r="R329" s="1207">
        <f t="shared" si="341"/>
        <v>28250</v>
      </c>
      <c r="S329" s="1096">
        <f t="shared" si="341"/>
        <v>31250</v>
      </c>
      <c r="T329" s="1096">
        <f t="shared" si="341"/>
        <v>34250</v>
      </c>
      <c r="U329" s="1096">
        <f t="shared" si="341"/>
        <v>37250</v>
      </c>
      <c r="V329" s="1096">
        <f t="shared" si="341"/>
        <v>40250</v>
      </c>
      <c r="W329" s="1096">
        <f t="shared" si="341"/>
        <v>43000</v>
      </c>
      <c r="X329" s="1207">
        <f t="shared" si="341"/>
        <v>43000</v>
      </c>
      <c r="Y329" s="1207">
        <f t="shared" si="341"/>
        <v>43000</v>
      </c>
      <c r="Z329" s="1096">
        <f t="shared" si="341"/>
        <v>43000</v>
      </c>
      <c r="AA329" s="1096">
        <f t="shared" si="341"/>
        <v>43000</v>
      </c>
      <c r="AB329" s="1096">
        <f t="shared" si="341"/>
        <v>43000</v>
      </c>
      <c r="AC329" s="1096">
        <f t="shared" si="341"/>
        <v>43000</v>
      </c>
      <c r="AD329" s="1096">
        <f t="shared" si="341"/>
        <v>43000</v>
      </c>
      <c r="AE329" s="1207">
        <f t="shared" si="341"/>
        <v>43000</v>
      </c>
      <c r="AF329" s="1207">
        <f t="shared" si="341"/>
        <v>43000</v>
      </c>
      <c r="AG329" s="1096">
        <f t="shared" si="341"/>
        <v>43000</v>
      </c>
      <c r="AH329" s="1096">
        <f t="shared" si="341"/>
        <v>43000</v>
      </c>
      <c r="AI329" s="1096">
        <f t="shared" si="341"/>
        <v>0</v>
      </c>
      <c r="AJ329" s="375"/>
      <c r="AK329" s="1023">
        <f t="shared" si="339"/>
        <v>121600</v>
      </c>
      <c r="AL329" s="423"/>
      <c r="AM329" s="1040">
        <f t="shared" si="340"/>
        <v>449042.04800000007</v>
      </c>
      <c r="AN329" s="382"/>
      <c r="AO329" s="675"/>
      <c r="AP329" s="39" t="s">
        <v>91</v>
      </c>
      <c r="AQ329" s="40">
        <f>SUM(E328:H328)</f>
        <v>96000</v>
      </c>
      <c r="AR329" s="41">
        <f>SUM(I328:O328)</f>
        <v>58000</v>
      </c>
      <c r="AS329" s="41">
        <f>SUM(P328:V328)</f>
        <v>168000</v>
      </c>
      <c r="AT329" s="41">
        <f>SUM(W328:AC328)</f>
        <v>22000</v>
      </c>
      <c r="AU329" s="41">
        <f>SUM(AD328:AI328)</f>
        <v>0</v>
      </c>
      <c r="AV329" s="34">
        <f t="shared" ref="AV329:AV334" si="342">SUM(AQ329:AU329)</f>
        <v>344000</v>
      </c>
    </row>
    <row r="330" spans="1:48" ht="19.899999999999999" customHeight="1">
      <c r="A330" s="403"/>
      <c r="B330" s="393" t="s">
        <v>272</v>
      </c>
      <c r="C330" s="656" t="s">
        <v>108</v>
      </c>
      <c r="D330" s="43" t="s">
        <v>93</v>
      </c>
      <c r="E330" s="1108">
        <v>23040</v>
      </c>
      <c r="F330" s="1089">
        <v>24960</v>
      </c>
      <c r="G330" s="44">
        <v>24960</v>
      </c>
      <c r="H330" s="1089">
        <v>23040</v>
      </c>
      <c r="I330" s="1089">
        <v>24960</v>
      </c>
      <c r="J330" s="44">
        <v>23040</v>
      </c>
      <c r="K330" s="44">
        <v>26240</v>
      </c>
      <c r="L330" s="1089">
        <v>24960</v>
      </c>
      <c r="M330" s="1089">
        <v>24960</v>
      </c>
      <c r="N330" s="1089">
        <v>24960</v>
      </c>
      <c r="O330" s="1089">
        <v>1920</v>
      </c>
      <c r="P330" s="1089">
        <v>0</v>
      </c>
      <c r="Q330" s="44">
        <v>0</v>
      </c>
      <c r="R330" s="44">
        <v>0</v>
      </c>
      <c r="S330" s="1089">
        <v>14720</v>
      </c>
      <c r="T330" s="1089">
        <v>24960</v>
      </c>
      <c r="U330" s="1089">
        <v>24960</v>
      </c>
      <c r="V330" s="1089">
        <v>26880</v>
      </c>
      <c r="W330" s="1089">
        <v>25920</v>
      </c>
      <c r="X330" s="44">
        <v>26240</v>
      </c>
      <c r="Y330" s="44">
        <v>24960</v>
      </c>
      <c r="Z330" s="1089">
        <v>24960</v>
      </c>
      <c r="AA330" s="1089">
        <v>24960</v>
      </c>
      <c r="AB330" s="1089"/>
      <c r="AC330" s="1089"/>
      <c r="AD330" s="1089"/>
      <c r="AE330" s="44"/>
      <c r="AF330" s="44"/>
      <c r="AG330" s="1089"/>
      <c r="AH330" s="1089"/>
      <c r="AI330" s="1089"/>
      <c r="AJ330" s="380">
        <f>SUM(E330:AI330)</f>
        <v>465600</v>
      </c>
      <c r="AK330" s="1024">
        <f t="shared" si="339"/>
        <v>6348</v>
      </c>
      <c r="AL330" s="424">
        <f>+AJ330*AN328</f>
        <v>1719358.3680000002</v>
      </c>
      <c r="AM330" s="1041">
        <f t="shared" si="340"/>
        <v>23441.767440000003</v>
      </c>
      <c r="AN330" s="382"/>
      <c r="AO330" s="632">
        <f>(AJ330+AJ332+AJ333+AJ334)*B332/1000</f>
        <v>1293.5106179999998</v>
      </c>
      <c r="AP330" s="47" t="s">
        <v>94</v>
      </c>
      <c r="AQ330" s="48">
        <f>SUM(E330:H330)</f>
        <v>96000</v>
      </c>
      <c r="AR330" s="49">
        <f>SUM(I330:O330)</f>
        <v>151040</v>
      </c>
      <c r="AS330" s="49">
        <f>SUM(P330:V330)</f>
        <v>91520</v>
      </c>
      <c r="AT330" s="49">
        <f>SUM(W330:AC330)</f>
        <v>127040</v>
      </c>
      <c r="AU330" s="49">
        <f>SUM(AD330:AI330)</f>
        <v>0</v>
      </c>
      <c r="AV330" s="50">
        <f t="shared" si="342"/>
        <v>465600</v>
      </c>
    </row>
    <row r="331" spans="1:48" ht="19.899999999999999" customHeight="1">
      <c r="A331" s="403"/>
      <c r="B331" s="638" t="s">
        <v>247</v>
      </c>
      <c r="C331" s="1252">
        <f>+C329*0.8</f>
        <v>60000</v>
      </c>
      <c r="D331" s="53" t="s">
        <v>96</v>
      </c>
      <c r="E331" s="1137">
        <f t="shared" ref="E331:AI331" si="343">+E330-E328</f>
        <v>-960</v>
      </c>
      <c r="F331" s="1097">
        <f t="shared" si="343"/>
        <v>960</v>
      </c>
      <c r="G331" s="1205">
        <f t="shared" si="343"/>
        <v>960</v>
      </c>
      <c r="H331" s="1097">
        <f t="shared" si="343"/>
        <v>-960</v>
      </c>
      <c r="I331" s="1097">
        <f t="shared" si="343"/>
        <v>960</v>
      </c>
      <c r="J331" s="1205">
        <f t="shared" si="343"/>
        <v>23040</v>
      </c>
      <c r="K331" s="1205">
        <f t="shared" si="343"/>
        <v>26240</v>
      </c>
      <c r="L331" s="1097">
        <f t="shared" si="343"/>
        <v>24960</v>
      </c>
      <c r="M331" s="1097">
        <f t="shared" si="343"/>
        <v>24960</v>
      </c>
      <c r="N331" s="1097">
        <f t="shared" si="343"/>
        <v>14960</v>
      </c>
      <c r="O331" s="1097">
        <f t="shared" si="343"/>
        <v>-22080</v>
      </c>
      <c r="P331" s="1097">
        <f t="shared" si="343"/>
        <v>-24000</v>
      </c>
      <c r="Q331" s="1205">
        <f t="shared" si="343"/>
        <v>-24000</v>
      </c>
      <c r="R331" s="1205">
        <f t="shared" si="343"/>
        <v>-24000</v>
      </c>
      <c r="S331" s="1097">
        <f t="shared" si="343"/>
        <v>-9280</v>
      </c>
      <c r="T331" s="1097">
        <f t="shared" si="343"/>
        <v>960</v>
      </c>
      <c r="U331" s="1097">
        <f t="shared" si="343"/>
        <v>960</v>
      </c>
      <c r="V331" s="1097">
        <f t="shared" si="343"/>
        <v>2880</v>
      </c>
      <c r="W331" s="1097">
        <f t="shared" si="343"/>
        <v>3920</v>
      </c>
      <c r="X331" s="1205">
        <v>120</v>
      </c>
      <c r="Y331" s="1205">
        <f t="shared" si="343"/>
        <v>24960</v>
      </c>
      <c r="Z331" s="1097">
        <f t="shared" si="343"/>
        <v>24960</v>
      </c>
      <c r="AA331" s="1097">
        <f t="shared" si="343"/>
        <v>24960</v>
      </c>
      <c r="AB331" s="1097">
        <f t="shared" si="343"/>
        <v>0</v>
      </c>
      <c r="AC331" s="1097">
        <f t="shared" si="343"/>
        <v>0</v>
      </c>
      <c r="AD331" s="1097">
        <f t="shared" si="343"/>
        <v>0</v>
      </c>
      <c r="AE331" s="1205">
        <f t="shared" si="343"/>
        <v>0</v>
      </c>
      <c r="AF331" s="1205">
        <f t="shared" si="343"/>
        <v>0</v>
      </c>
      <c r="AG331" s="1097">
        <f t="shared" si="343"/>
        <v>0</v>
      </c>
      <c r="AH331" s="1097">
        <f t="shared" si="343"/>
        <v>0</v>
      </c>
      <c r="AI331" s="1097">
        <f t="shared" si="343"/>
        <v>0</v>
      </c>
      <c r="AJ331" s="381">
        <f>+AJ330-AJ328</f>
        <v>121600</v>
      </c>
      <c r="AK331" s="1024">
        <f t="shared" si="339"/>
        <v>3808</v>
      </c>
      <c r="AL331" s="425">
        <f>+AJ331*AN328</f>
        <v>449042.04800000007</v>
      </c>
      <c r="AM331" s="1041">
        <f t="shared" si="340"/>
        <v>14062.106240000001</v>
      </c>
      <c r="AN331" s="382" t="s">
        <v>97</v>
      </c>
      <c r="AO331" s="622"/>
      <c r="AP331" s="39" t="s">
        <v>98</v>
      </c>
      <c r="AQ331" s="56">
        <f>AQ330-AQ329</f>
        <v>0</v>
      </c>
      <c r="AR331" s="70">
        <f>AR330-AR329</f>
        <v>93040</v>
      </c>
      <c r="AS331" s="70">
        <f>AS330-AS329</f>
        <v>-76480</v>
      </c>
      <c r="AT331" s="70">
        <f>AT330-AT329</f>
        <v>105040</v>
      </c>
      <c r="AU331" s="70">
        <f>AU330-AU329</f>
        <v>0</v>
      </c>
      <c r="AV331" s="57">
        <f t="shared" si="342"/>
        <v>121600</v>
      </c>
    </row>
    <row r="332" spans="1:48" ht="19.899999999999999" customHeight="1">
      <c r="A332" s="403"/>
      <c r="B332" s="638">
        <v>2.7014999999999998</v>
      </c>
      <c r="C332" s="431" t="s">
        <v>95</v>
      </c>
      <c r="D332" s="61" t="s">
        <v>101</v>
      </c>
      <c r="E332" s="1098">
        <v>320</v>
      </c>
      <c r="F332" s="1099">
        <v>240</v>
      </c>
      <c r="G332" s="1208">
        <v>400</v>
      </c>
      <c r="H332" s="1099">
        <f>240+280</f>
        <v>520</v>
      </c>
      <c r="I332" s="1099">
        <v>160</v>
      </c>
      <c r="J332" s="1208">
        <v>80</v>
      </c>
      <c r="K332" s="1208">
        <v>240</v>
      </c>
      <c r="L332" s="1099">
        <v>120</v>
      </c>
      <c r="M332" s="1099">
        <v>80</v>
      </c>
      <c r="N332" s="1099">
        <v>80</v>
      </c>
      <c r="O332" s="1099">
        <v>0</v>
      </c>
      <c r="P332" s="1099">
        <f>1240+1068</f>
        <v>2308</v>
      </c>
      <c r="Q332" s="1208">
        <v>0</v>
      </c>
      <c r="R332" s="1208">
        <v>0</v>
      </c>
      <c r="S332" s="1099">
        <f>640+560</f>
        <v>1200</v>
      </c>
      <c r="T332" s="1099">
        <v>40</v>
      </c>
      <c r="U332" s="1099">
        <v>0</v>
      </c>
      <c r="V332" s="1099">
        <v>40</v>
      </c>
      <c r="W332" s="1099">
        <v>0</v>
      </c>
      <c r="X332" s="1208">
        <v>0</v>
      </c>
      <c r="Y332" s="1208">
        <v>40</v>
      </c>
      <c r="Z332" s="1099">
        <v>320</v>
      </c>
      <c r="AA332" s="1099">
        <v>160</v>
      </c>
      <c r="AB332" s="1099"/>
      <c r="AC332" s="1099"/>
      <c r="AD332" s="1099"/>
      <c r="AE332" s="1208"/>
      <c r="AF332" s="1208"/>
      <c r="AG332" s="1099"/>
      <c r="AH332" s="1099"/>
      <c r="AI332" s="1099"/>
      <c r="AJ332" s="384">
        <f>SUM(E332:AI332)</f>
        <v>6348</v>
      </c>
      <c r="AK332" s="1024">
        <f t="shared" si="339"/>
        <v>3056</v>
      </c>
      <c r="AL332" s="420">
        <f>+AJ332*AN328</f>
        <v>23441.767440000003</v>
      </c>
      <c r="AM332" s="1040">
        <f t="shared" si="340"/>
        <v>11285.135680000001</v>
      </c>
      <c r="AN332" s="404">
        <f>+AJ332/AJ330*100</f>
        <v>1.3634020618556701</v>
      </c>
      <c r="AO332" s="635">
        <f>AO330/AO328</f>
        <v>1.3918953488372092</v>
      </c>
      <c r="AP332" s="39" t="s">
        <v>102</v>
      </c>
      <c r="AQ332" s="56">
        <f>SUM(E332:H332)</f>
        <v>1480</v>
      </c>
      <c r="AR332" s="70">
        <f>SUM(I332:O332)</f>
        <v>760</v>
      </c>
      <c r="AS332" s="70">
        <f>SUM(P332:V332)</f>
        <v>3588</v>
      </c>
      <c r="AT332" s="70">
        <f>SUM(W332:AC332)</f>
        <v>520</v>
      </c>
      <c r="AU332" s="70">
        <f>SUM(AD332:AI332)</f>
        <v>0</v>
      </c>
      <c r="AV332" s="57">
        <f t="shared" si="342"/>
        <v>6348</v>
      </c>
    </row>
    <row r="333" spans="1:48" ht="19.899999999999999" customHeight="1">
      <c r="A333" s="403"/>
      <c r="B333" s="65"/>
      <c r="C333" s="60" t="s">
        <v>409</v>
      </c>
      <c r="D333" s="67" t="s">
        <v>103</v>
      </c>
      <c r="E333" s="1100">
        <v>192</v>
      </c>
      <c r="F333" s="1101">
        <v>192</v>
      </c>
      <c r="G333" s="1209">
        <v>192</v>
      </c>
      <c r="H333" s="1101">
        <v>192</v>
      </c>
      <c r="I333" s="1114">
        <v>240</v>
      </c>
      <c r="J333" s="1214">
        <v>192</v>
      </c>
      <c r="K333" s="1214">
        <v>192</v>
      </c>
      <c r="L333" s="1101">
        <v>192</v>
      </c>
      <c r="M333" s="1101">
        <v>192</v>
      </c>
      <c r="N333" s="1101">
        <v>240</v>
      </c>
      <c r="O333" s="1101">
        <v>16</v>
      </c>
      <c r="P333" s="1101">
        <v>0</v>
      </c>
      <c r="Q333" s="1209">
        <v>0</v>
      </c>
      <c r="R333" s="1209">
        <v>0</v>
      </c>
      <c r="S333" s="1101">
        <v>176</v>
      </c>
      <c r="T333" s="1101">
        <v>192</v>
      </c>
      <c r="U333" s="1101">
        <v>192</v>
      </c>
      <c r="V333" s="1101">
        <v>192</v>
      </c>
      <c r="W333" s="1101">
        <v>192</v>
      </c>
      <c r="X333" s="1209">
        <v>256</v>
      </c>
      <c r="Y333" s="1209">
        <v>192</v>
      </c>
      <c r="Z333" s="1101">
        <v>192</v>
      </c>
      <c r="AA333" s="1101">
        <v>192</v>
      </c>
      <c r="AB333" s="1101"/>
      <c r="AC333" s="1101"/>
      <c r="AD333" s="1101"/>
      <c r="AE333" s="1209"/>
      <c r="AF333" s="1209"/>
      <c r="AG333" s="1101"/>
      <c r="AH333" s="1101"/>
      <c r="AI333" s="1101"/>
      <c r="AJ333" s="386">
        <f>SUM(E333:AI333)</f>
        <v>3808</v>
      </c>
      <c r="AK333" s="1024">
        <f t="shared" si="339"/>
        <v>0</v>
      </c>
      <c r="AL333" s="426">
        <f>+AJ333*AN328</f>
        <v>14062.106240000001</v>
      </c>
      <c r="AM333" s="1040">
        <f t="shared" si="340"/>
        <v>0</v>
      </c>
      <c r="AN333" s="382"/>
      <c r="AO333" s="622"/>
      <c r="AP333" s="39" t="s">
        <v>19</v>
      </c>
      <c r="AQ333" s="56">
        <f>AQ332*AN328</f>
        <v>5465.3144000000002</v>
      </c>
      <c r="AR333" s="56">
        <f>AR332*AN328</f>
        <v>2806.5128000000004</v>
      </c>
      <c r="AS333" s="56">
        <f>AS332*AN328</f>
        <v>13249.694640000002</v>
      </c>
      <c r="AT333" s="56">
        <f>AT332*AN328</f>
        <v>1920.2456000000002</v>
      </c>
      <c r="AU333" s="56">
        <f>AU332*AN328</f>
        <v>0</v>
      </c>
      <c r="AV333" s="57">
        <f t="shared" si="342"/>
        <v>23441.767440000003</v>
      </c>
    </row>
    <row r="334" spans="1:48" ht="19.899999999999999" customHeight="1">
      <c r="A334" s="403"/>
      <c r="B334" s="65"/>
      <c r="C334" s="387"/>
      <c r="D334" s="73" t="s">
        <v>105</v>
      </c>
      <c r="E334" s="1102">
        <v>128</v>
      </c>
      <c r="F334" s="1103">
        <v>160</v>
      </c>
      <c r="G334" s="1210">
        <v>192</v>
      </c>
      <c r="H334" s="1103">
        <v>192</v>
      </c>
      <c r="I334" s="1184">
        <v>176</v>
      </c>
      <c r="J334" s="1383">
        <v>192</v>
      </c>
      <c r="K334" s="1383">
        <v>192</v>
      </c>
      <c r="L334" s="1103">
        <v>160</v>
      </c>
      <c r="M334" s="1103">
        <v>176</v>
      </c>
      <c r="N334" s="1103">
        <v>192</v>
      </c>
      <c r="O334" s="1103">
        <v>0</v>
      </c>
      <c r="P334" s="1103">
        <v>0</v>
      </c>
      <c r="Q334" s="1210">
        <v>0</v>
      </c>
      <c r="R334" s="1210">
        <v>0</v>
      </c>
      <c r="S334" s="1103">
        <v>96</v>
      </c>
      <c r="T334" s="1103">
        <v>160</v>
      </c>
      <c r="U334" s="1103">
        <v>112</v>
      </c>
      <c r="V334" s="1103">
        <v>160</v>
      </c>
      <c r="W334" s="1103">
        <v>160</v>
      </c>
      <c r="X334" s="1210">
        <v>192</v>
      </c>
      <c r="Y334" s="1210">
        <v>192</v>
      </c>
      <c r="Z334" s="1103">
        <v>64</v>
      </c>
      <c r="AA334" s="1103">
        <v>160</v>
      </c>
      <c r="AB334" s="1103"/>
      <c r="AC334" s="1103"/>
      <c r="AD334" s="1103"/>
      <c r="AE334" s="1210"/>
      <c r="AF334" s="1210"/>
      <c r="AG334" s="1103"/>
      <c r="AH334" s="1103"/>
      <c r="AI334" s="1103"/>
      <c r="AJ334" s="388">
        <f>SUM(E334:AI334)</f>
        <v>3056</v>
      </c>
      <c r="AK334" s="1024">
        <f t="shared" si="339"/>
        <v>59851.5</v>
      </c>
      <c r="AL334" s="427">
        <f>+AJ334*AN328</f>
        <v>11285.135680000001</v>
      </c>
      <c r="AM334" s="1040">
        <f t="shared" si="340"/>
        <v>0</v>
      </c>
      <c r="AN334" s="382"/>
      <c r="AO334" s="622"/>
      <c r="AP334" s="47" t="s">
        <v>106</v>
      </c>
      <c r="AQ334" s="48">
        <f>AQ330*AN328</f>
        <v>354506.88000000006</v>
      </c>
      <c r="AR334" s="48">
        <f>AR330*AN328</f>
        <v>557757.49120000005</v>
      </c>
      <c r="AS334" s="48">
        <f>AS330*AN328</f>
        <v>337963.22560000006</v>
      </c>
      <c r="AT334" s="48">
        <f>AT330*AN328</f>
        <v>469130.77120000008</v>
      </c>
      <c r="AU334" s="48">
        <f>AU330*AN328</f>
        <v>0</v>
      </c>
      <c r="AV334" s="50">
        <f t="shared" si="342"/>
        <v>1719358.3680000002</v>
      </c>
    </row>
    <row r="335" spans="1:48" ht="19.899999999999999" customHeight="1">
      <c r="A335" s="403"/>
      <c r="B335" s="390"/>
      <c r="C335" s="387" t="s">
        <v>435</v>
      </c>
      <c r="D335" s="78" t="s">
        <v>107</v>
      </c>
      <c r="E335" s="1137">
        <v>8</v>
      </c>
      <c r="F335" s="1137">
        <v>8</v>
      </c>
      <c r="G335" s="1232">
        <v>8</v>
      </c>
      <c r="H335" s="1137">
        <v>8</v>
      </c>
      <c r="I335" s="1097">
        <v>8</v>
      </c>
      <c r="J335" s="1205">
        <v>8</v>
      </c>
      <c r="K335" s="1205">
        <v>8</v>
      </c>
      <c r="L335" s="1097">
        <v>8</v>
      </c>
      <c r="M335" s="1097">
        <v>8</v>
      </c>
      <c r="N335" s="1097">
        <v>8</v>
      </c>
      <c r="O335" s="1097">
        <v>8</v>
      </c>
      <c r="P335" s="1097">
        <v>8</v>
      </c>
      <c r="Q335" s="1205">
        <v>8</v>
      </c>
      <c r="R335" s="1205">
        <v>8</v>
      </c>
      <c r="S335" s="1097">
        <v>8</v>
      </c>
      <c r="T335" s="1097">
        <v>8</v>
      </c>
      <c r="U335" s="1097">
        <v>8</v>
      </c>
      <c r="V335" s="1097">
        <v>8</v>
      </c>
      <c r="W335" s="1097">
        <v>8</v>
      </c>
      <c r="X335" s="1205">
        <v>8</v>
      </c>
      <c r="Y335" s="1205">
        <v>8</v>
      </c>
      <c r="Z335" s="1097">
        <v>8</v>
      </c>
      <c r="AA335" s="1097">
        <v>8</v>
      </c>
      <c r="AB335" s="1097">
        <v>8</v>
      </c>
      <c r="AC335" s="1097">
        <v>8</v>
      </c>
      <c r="AD335" s="1097">
        <v>8</v>
      </c>
      <c r="AE335" s="1205">
        <v>8</v>
      </c>
      <c r="AF335" s="1205">
        <v>8</v>
      </c>
      <c r="AG335" s="1097">
        <v>8</v>
      </c>
      <c r="AH335" s="1097">
        <v>8</v>
      </c>
      <c r="AI335" s="1097">
        <v>8</v>
      </c>
      <c r="AJ335" s="435"/>
      <c r="AK335" s="1036">
        <f t="shared" si="339"/>
        <v>0</v>
      </c>
      <c r="AL335" s="425"/>
      <c r="AM335" s="1041">
        <f t="shared" si="340"/>
        <v>0</v>
      </c>
      <c r="AN335" s="382"/>
      <c r="AO335" s="622"/>
      <c r="AP335" s="391"/>
      <c r="AQ335" s="391"/>
      <c r="AR335" s="4"/>
      <c r="AS335" s="4"/>
      <c r="AT335" s="392"/>
      <c r="AU335" s="4"/>
      <c r="AV335" s="4"/>
    </row>
    <row r="336" spans="1:48" ht="19.899999999999999" customHeight="1">
      <c r="A336" s="405"/>
      <c r="B336" s="390"/>
      <c r="C336" s="379">
        <v>75000</v>
      </c>
      <c r="D336" s="81" t="s">
        <v>109</v>
      </c>
      <c r="E336" s="1156">
        <f>SUM(E330+E332+E333+E334)/E335</f>
        <v>2960</v>
      </c>
      <c r="F336" s="1156">
        <f t="shared" ref="F336:AI336" si="344">SUM(F330+F332+F333+F334)/F335</f>
        <v>3194</v>
      </c>
      <c r="G336" s="1227">
        <f t="shared" si="344"/>
        <v>3218</v>
      </c>
      <c r="H336" s="1156">
        <f t="shared" si="344"/>
        <v>2993</v>
      </c>
      <c r="I336" s="1156">
        <f t="shared" si="344"/>
        <v>3192</v>
      </c>
      <c r="J336" s="1227">
        <f t="shared" si="344"/>
        <v>2938</v>
      </c>
      <c r="K336" s="1227">
        <f t="shared" si="344"/>
        <v>3358</v>
      </c>
      <c r="L336" s="1156">
        <f t="shared" si="344"/>
        <v>3179</v>
      </c>
      <c r="M336" s="1156">
        <f t="shared" si="344"/>
        <v>3176</v>
      </c>
      <c r="N336" s="1156">
        <f t="shared" si="344"/>
        <v>3184</v>
      </c>
      <c r="O336" s="1156">
        <f t="shared" si="344"/>
        <v>242</v>
      </c>
      <c r="P336" s="1156">
        <f t="shared" si="344"/>
        <v>288.5</v>
      </c>
      <c r="Q336" s="1227">
        <f t="shared" si="344"/>
        <v>0</v>
      </c>
      <c r="R336" s="1227">
        <f t="shared" si="344"/>
        <v>0</v>
      </c>
      <c r="S336" s="1156">
        <f t="shared" si="344"/>
        <v>2024</v>
      </c>
      <c r="T336" s="1156">
        <f t="shared" si="344"/>
        <v>3169</v>
      </c>
      <c r="U336" s="1156">
        <f t="shared" si="344"/>
        <v>3158</v>
      </c>
      <c r="V336" s="1156">
        <f t="shared" si="344"/>
        <v>3409</v>
      </c>
      <c r="W336" s="1156">
        <f t="shared" si="344"/>
        <v>3284</v>
      </c>
      <c r="X336" s="1227">
        <f t="shared" si="344"/>
        <v>3336</v>
      </c>
      <c r="Y336" s="1227">
        <f t="shared" si="344"/>
        <v>3173</v>
      </c>
      <c r="Z336" s="1156">
        <f t="shared" si="344"/>
        <v>3192</v>
      </c>
      <c r="AA336" s="1156">
        <f t="shared" si="344"/>
        <v>3184</v>
      </c>
      <c r="AB336" s="1156">
        <f t="shared" si="344"/>
        <v>0</v>
      </c>
      <c r="AC336" s="1156">
        <f t="shared" si="344"/>
        <v>0</v>
      </c>
      <c r="AD336" s="1156">
        <f t="shared" si="344"/>
        <v>0</v>
      </c>
      <c r="AE336" s="1227">
        <f t="shared" si="344"/>
        <v>0</v>
      </c>
      <c r="AF336" s="1227">
        <f t="shared" si="344"/>
        <v>0</v>
      </c>
      <c r="AG336" s="1156">
        <f t="shared" si="344"/>
        <v>0</v>
      </c>
      <c r="AH336" s="1156">
        <f t="shared" si="344"/>
        <v>0</v>
      </c>
      <c r="AI336" s="1156">
        <f t="shared" si="344"/>
        <v>0</v>
      </c>
      <c r="AJ336" s="380">
        <f>SUM(E336:AI336)</f>
        <v>59851.5</v>
      </c>
      <c r="AK336" s="1025">
        <f t="shared" si="339"/>
        <v>0</v>
      </c>
      <c r="AL336" s="419"/>
      <c r="AM336" s="1040">
        <f t="shared" si="340"/>
        <v>0</v>
      </c>
      <c r="AN336" s="382"/>
      <c r="AO336" s="622"/>
      <c r="AP336" s="391"/>
      <c r="AQ336" s="391"/>
      <c r="AR336" s="4"/>
      <c r="AS336" s="4"/>
      <c r="AT336" s="392"/>
      <c r="AU336" s="4"/>
      <c r="AV336" s="4"/>
    </row>
    <row r="337" spans="1:57" ht="19.899999999999999" customHeight="1">
      <c r="A337" s="403"/>
      <c r="B337" s="59"/>
      <c r="C337" s="89" t="s">
        <v>108</v>
      </c>
      <c r="D337" s="85" t="s">
        <v>110</v>
      </c>
      <c r="E337" s="1366"/>
      <c r="F337" s="1126"/>
      <c r="G337" s="1263"/>
      <c r="H337" s="1172"/>
      <c r="I337" s="1172"/>
      <c r="J337" s="1281"/>
      <c r="K337" s="1263"/>
      <c r="L337" s="1126"/>
      <c r="M337" s="1126"/>
      <c r="N337" s="1174"/>
      <c r="O337" s="1173" t="s">
        <v>534</v>
      </c>
      <c r="P337" s="1173"/>
      <c r="Q337" s="1281"/>
      <c r="R337" s="1281"/>
      <c r="S337" s="1173"/>
      <c r="T337" s="1107"/>
      <c r="U337" s="1173"/>
      <c r="V337" s="1173"/>
      <c r="W337" s="1173"/>
      <c r="X337" s="1281"/>
      <c r="Y337" s="1281"/>
      <c r="Z337" s="1155"/>
      <c r="AA337" s="1173"/>
      <c r="AB337" s="1173"/>
      <c r="AC337" s="1173"/>
      <c r="AD337" s="1173"/>
      <c r="AE337" s="1281"/>
      <c r="AF337" s="1281"/>
      <c r="AG337" s="1173"/>
      <c r="AH337" s="1173"/>
      <c r="AI337" s="1173"/>
      <c r="AJ337" s="394"/>
      <c r="AK337" s="1025">
        <f t="shared" si="339"/>
        <v>0</v>
      </c>
      <c r="AL337" s="419"/>
      <c r="AM337" s="1040">
        <f t="shared" si="340"/>
        <v>0</v>
      </c>
      <c r="AN337" s="382"/>
      <c r="AO337" s="622"/>
      <c r="AP337" s="391"/>
      <c r="AQ337" s="391"/>
      <c r="AR337" s="4"/>
      <c r="AS337" s="4"/>
      <c r="AT337" s="392"/>
      <c r="AU337" s="4"/>
      <c r="AV337" s="4"/>
    </row>
    <row r="338" spans="1:57" ht="19.899999999999999" customHeight="1">
      <c r="A338" s="403"/>
      <c r="B338" s="59"/>
      <c r="C338" s="436">
        <f>+C336*0.8</f>
        <v>60000</v>
      </c>
      <c r="D338" s="88" t="s">
        <v>111</v>
      </c>
      <c r="E338" s="1156">
        <f>IF(E337="O/H",E336,88129+E336)</f>
        <v>91089</v>
      </c>
      <c r="F338" s="1156">
        <f>IF(F337="O/H",F336,+E338+F336)</f>
        <v>94283</v>
      </c>
      <c r="G338" s="1227">
        <f t="shared" ref="G338:AE338" si="345">IF(G337="O/H",G336,+F338+G336)</f>
        <v>97501</v>
      </c>
      <c r="H338" s="1156">
        <f t="shared" si="345"/>
        <v>100494</v>
      </c>
      <c r="I338" s="1156">
        <f t="shared" si="345"/>
        <v>103686</v>
      </c>
      <c r="J338" s="1227">
        <f t="shared" si="345"/>
        <v>106624</v>
      </c>
      <c r="K338" s="1227">
        <f t="shared" si="345"/>
        <v>109982</v>
      </c>
      <c r="L338" s="1156">
        <f t="shared" si="345"/>
        <v>113161</v>
      </c>
      <c r="M338" s="1156">
        <f t="shared" si="345"/>
        <v>116337</v>
      </c>
      <c r="N338" s="1156">
        <f t="shared" si="345"/>
        <v>119521</v>
      </c>
      <c r="O338" s="1156">
        <f t="shared" si="345"/>
        <v>242</v>
      </c>
      <c r="P338" s="1156">
        <f t="shared" si="345"/>
        <v>530.5</v>
      </c>
      <c r="Q338" s="1227">
        <f t="shared" si="345"/>
        <v>530.5</v>
      </c>
      <c r="R338" s="1227">
        <f t="shared" si="345"/>
        <v>530.5</v>
      </c>
      <c r="S338" s="1156">
        <f t="shared" si="345"/>
        <v>2554.5</v>
      </c>
      <c r="T338" s="1156">
        <f t="shared" si="345"/>
        <v>5723.5</v>
      </c>
      <c r="U338" s="1156">
        <f t="shared" si="345"/>
        <v>8881.5</v>
      </c>
      <c r="V338" s="1156">
        <f t="shared" si="345"/>
        <v>12290.5</v>
      </c>
      <c r="W338" s="1156">
        <f t="shared" si="345"/>
        <v>15574.5</v>
      </c>
      <c r="X338" s="1227">
        <f t="shared" si="345"/>
        <v>18910.5</v>
      </c>
      <c r="Y338" s="1227">
        <f t="shared" si="345"/>
        <v>22083.5</v>
      </c>
      <c r="Z338" s="1156">
        <f t="shared" si="345"/>
        <v>25275.5</v>
      </c>
      <c r="AA338" s="1156">
        <f t="shared" si="345"/>
        <v>28459.5</v>
      </c>
      <c r="AB338" s="1156">
        <f t="shared" si="345"/>
        <v>28459.5</v>
      </c>
      <c r="AC338" s="1156">
        <f t="shared" si="345"/>
        <v>28459.5</v>
      </c>
      <c r="AD338" s="1156">
        <f t="shared" si="345"/>
        <v>28459.5</v>
      </c>
      <c r="AE338" s="1227">
        <f t="shared" si="345"/>
        <v>28459.5</v>
      </c>
      <c r="AF338" s="1227">
        <f>IF(AF337="O/H",AF336,+AE338+AF336)</f>
        <v>28459.5</v>
      </c>
      <c r="AG338" s="1156">
        <f t="shared" ref="AG338:AI338" si="346">IF(AG337="O/H",AG336,+AF338+AG336)</f>
        <v>28459.5</v>
      </c>
      <c r="AH338" s="1156">
        <f t="shared" si="346"/>
        <v>28459.5</v>
      </c>
      <c r="AI338" s="1156">
        <f t="shared" si="346"/>
        <v>28459.5</v>
      </c>
      <c r="AJ338" s="394"/>
      <c r="AK338" s="1025">
        <f t="shared" si="339"/>
        <v>0</v>
      </c>
      <c r="AL338" s="419"/>
      <c r="AM338" s="1040">
        <f t="shared" si="340"/>
        <v>0</v>
      </c>
      <c r="AN338" s="382"/>
      <c r="AO338" s="622"/>
      <c r="AP338" s="391"/>
      <c r="AQ338" s="391"/>
    </row>
    <row r="339" spans="1:57" ht="19.899999999999999" customHeight="1">
      <c r="A339" s="403"/>
      <c r="B339" s="59"/>
      <c r="C339" s="387"/>
      <c r="D339" s="395" t="s">
        <v>435</v>
      </c>
      <c r="E339" s="1365"/>
      <c r="F339" s="1107"/>
      <c r="G339" s="1228"/>
      <c r="H339" s="1176"/>
      <c r="I339" s="1176"/>
      <c r="J339" s="1228"/>
      <c r="K339" s="1273"/>
      <c r="L339" s="1107"/>
      <c r="M339" s="1107"/>
      <c r="N339" s="1177"/>
      <c r="O339" s="1107" t="s">
        <v>534</v>
      </c>
      <c r="P339" s="1177"/>
      <c r="Q339" s="1228"/>
      <c r="R339" s="1228"/>
      <c r="S339" s="1107"/>
      <c r="T339" s="1107"/>
      <c r="U339" s="1107"/>
      <c r="V339" s="1107"/>
      <c r="W339" s="1107"/>
      <c r="X339" s="1228"/>
      <c r="Y339" s="1228"/>
      <c r="Z339" s="1155"/>
      <c r="AA339" s="1107"/>
      <c r="AB339" s="1107"/>
      <c r="AC339" s="1107"/>
      <c r="AD339" s="1107"/>
      <c r="AE339" s="1228"/>
      <c r="AF339" s="1228"/>
      <c r="AG339" s="1107"/>
      <c r="AH339" s="1107"/>
      <c r="AI339" s="1107"/>
      <c r="AJ339" s="396"/>
      <c r="AK339" s="1024">
        <f t="shared" si="339"/>
        <v>0</v>
      </c>
      <c r="AL339" s="420"/>
      <c r="AM339" s="1040">
        <f t="shared" si="340"/>
        <v>0</v>
      </c>
      <c r="AN339" s="382"/>
      <c r="AO339" s="622"/>
      <c r="AP339" s="391"/>
      <c r="AQ339" s="391"/>
    </row>
    <row r="340" spans="1:57" s="23" customFormat="1" ht="20.45" customHeight="1">
      <c r="A340" s="403"/>
      <c r="B340" s="59"/>
      <c r="C340" s="387" t="s">
        <v>104</v>
      </c>
      <c r="D340" s="88" t="s">
        <v>111</v>
      </c>
      <c r="E340" s="1156">
        <f>IF(E339="O/H",E336,88129+E336)</f>
        <v>91089</v>
      </c>
      <c r="F340" s="1156">
        <f>IF(F339="O/H",F336,+E340+F336)</f>
        <v>94283</v>
      </c>
      <c r="G340" s="1227">
        <f t="shared" ref="G340:AF340" si="347">IF(G339="O/H",G336,+F340+G336)</f>
        <v>97501</v>
      </c>
      <c r="H340" s="1156">
        <f t="shared" si="347"/>
        <v>100494</v>
      </c>
      <c r="I340" s="1156">
        <f t="shared" si="347"/>
        <v>103686</v>
      </c>
      <c r="J340" s="1227">
        <f t="shared" si="347"/>
        <v>106624</v>
      </c>
      <c r="K340" s="1227">
        <f t="shared" si="347"/>
        <v>109982</v>
      </c>
      <c r="L340" s="1156">
        <f t="shared" si="347"/>
        <v>113161</v>
      </c>
      <c r="M340" s="1156">
        <f t="shared" si="347"/>
        <v>116337</v>
      </c>
      <c r="N340" s="1156">
        <f t="shared" si="347"/>
        <v>119521</v>
      </c>
      <c r="O340" s="1156">
        <f t="shared" si="347"/>
        <v>242</v>
      </c>
      <c r="P340" s="1156">
        <f t="shared" si="347"/>
        <v>530.5</v>
      </c>
      <c r="Q340" s="1227">
        <f t="shared" si="347"/>
        <v>530.5</v>
      </c>
      <c r="R340" s="1227">
        <f t="shared" si="347"/>
        <v>530.5</v>
      </c>
      <c r="S340" s="1156">
        <f t="shared" si="347"/>
        <v>2554.5</v>
      </c>
      <c r="T340" s="1156">
        <f t="shared" si="347"/>
        <v>5723.5</v>
      </c>
      <c r="U340" s="1156">
        <f t="shared" si="347"/>
        <v>8881.5</v>
      </c>
      <c r="V340" s="1156">
        <f t="shared" si="347"/>
        <v>12290.5</v>
      </c>
      <c r="W340" s="1156">
        <f t="shared" si="347"/>
        <v>15574.5</v>
      </c>
      <c r="X340" s="1227">
        <f t="shared" si="347"/>
        <v>18910.5</v>
      </c>
      <c r="Y340" s="1227">
        <f t="shared" si="347"/>
        <v>22083.5</v>
      </c>
      <c r="Z340" s="1156">
        <f t="shared" si="347"/>
        <v>25275.5</v>
      </c>
      <c r="AA340" s="1156">
        <f t="shared" si="347"/>
        <v>28459.5</v>
      </c>
      <c r="AB340" s="1156">
        <f t="shared" si="347"/>
        <v>28459.5</v>
      </c>
      <c r="AC340" s="1156">
        <f t="shared" si="347"/>
        <v>28459.5</v>
      </c>
      <c r="AD340" s="1156">
        <f t="shared" si="347"/>
        <v>28459.5</v>
      </c>
      <c r="AE340" s="1227">
        <f t="shared" si="347"/>
        <v>28459.5</v>
      </c>
      <c r="AF340" s="1227">
        <f t="shared" si="347"/>
        <v>28459.5</v>
      </c>
      <c r="AG340" s="1156">
        <f t="shared" ref="AG340" si="348">IF(AG339="O/H",AG336,+AF340+AG336)</f>
        <v>28459.5</v>
      </c>
      <c r="AH340" s="1156">
        <f t="shared" ref="AH340" si="349">IF(AH339="O/H",AH336,+AG340+AH336)</f>
        <v>28459.5</v>
      </c>
      <c r="AI340" s="1156">
        <f t="shared" ref="AI340" si="350">IF(AI339="O/H",AI336,+AH340+AI336)</f>
        <v>28459.5</v>
      </c>
      <c r="AJ340" s="394"/>
      <c r="AK340" s="1025">
        <f t="shared" si="339"/>
        <v>0</v>
      </c>
      <c r="AL340" s="419"/>
      <c r="AM340" s="1040">
        <f t="shared" si="340"/>
        <v>0</v>
      </c>
      <c r="AN340" s="382"/>
      <c r="AO340" s="622"/>
      <c r="AP340" s="285"/>
      <c r="AQ340" s="285"/>
      <c r="AR340" s="285"/>
      <c r="AS340" s="285"/>
      <c r="AT340" s="286"/>
      <c r="AU340" s="285"/>
      <c r="AV340" s="287"/>
    </row>
    <row r="341" spans="1:57" ht="19.899999999999999" customHeight="1">
      <c r="A341" s="312"/>
      <c r="B341" s="312"/>
      <c r="C341" s="379">
        <v>150000</v>
      </c>
      <c r="D341" s="795" t="s">
        <v>112</v>
      </c>
      <c r="E341" s="1117">
        <f>IF(AND(ISNUMBER(E330)),125931+E336)</f>
        <v>128891</v>
      </c>
      <c r="F341" s="1118">
        <f>IF(AND(ISNUMBER(F330)),E341+F336,"")</f>
        <v>132085</v>
      </c>
      <c r="G341" s="1216">
        <f>IF(AND(ISNUMBER(G330)),F341+G336,"")</f>
        <v>135303</v>
      </c>
      <c r="H341" s="1118">
        <f t="shared" ref="H341:AI341" si="351">IF(AND(ISNUMBER(H330)),G341+H336,"")</f>
        <v>138296</v>
      </c>
      <c r="I341" s="1118">
        <f t="shared" si="351"/>
        <v>141488</v>
      </c>
      <c r="J341" s="1216">
        <f t="shared" si="351"/>
        <v>144426</v>
      </c>
      <c r="K341" s="1216">
        <f t="shared" si="351"/>
        <v>147784</v>
      </c>
      <c r="L341" s="1118">
        <f t="shared" si="351"/>
        <v>150963</v>
      </c>
      <c r="M341" s="1118">
        <f t="shared" si="351"/>
        <v>154139</v>
      </c>
      <c r="N341" s="1118">
        <f t="shared" si="351"/>
        <v>157323</v>
      </c>
      <c r="O341" s="1118">
        <f t="shared" si="351"/>
        <v>157565</v>
      </c>
      <c r="P341" s="1118">
        <f t="shared" si="351"/>
        <v>157853.5</v>
      </c>
      <c r="Q341" s="1216">
        <f t="shared" si="351"/>
        <v>157853.5</v>
      </c>
      <c r="R341" s="1216">
        <f t="shared" si="351"/>
        <v>157853.5</v>
      </c>
      <c r="S341" s="1118">
        <f t="shared" si="351"/>
        <v>159877.5</v>
      </c>
      <c r="T341" s="1118">
        <f t="shared" si="351"/>
        <v>163046.5</v>
      </c>
      <c r="U341" s="1118">
        <f t="shared" si="351"/>
        <v>166204.5</v>
      </c>
      <c r="V341" s="1118">
        <f t="shared" si="351"/>
        <v>169613.5</v>
      </c>
      <c r="W341" s="1118">
        <f t="shared" si="351"/>
        <v>172897.5</v>
      </c>
      <c r="X341" s="1216">
        <f t="shared" si="351"/>
        <v>176233.5</v>
      </c>
      <c r="Y341" s="1216">
        <f t="shared" si="351"/>
        <v>179406.5</v>
      </c>
      <c r="Z341" s="1118">
        <f t="shared" si="351"/>
        <v>182598.5</v>
      </c>
      <c r="AA341" s="1118">
        <f t="shared" si="351"/>
        <v>185782.5</v>
      </c>
      <c r="AB341" s="1118" t="str">
        <f t="shared" si="351"/>
        <v/>
      </c>
      <c r="AC341" s="1118" t="str">
        <f t="shared" si="351"/>
        <v/>
      </c>
      <c r="AD341" s="1118" t="str">
        <f t="shared" si="351"/>
        <v/>
      </c>
      <c r="AE341" s="1216" t="str">
        <f t="shared" si="351"/>
        <v/>
      </c>
      <c r="AF341" s="1216" t="str">
        <f t="shared" si="351"/>
        <v/>
      </c>
      <c r="AG341" s="1118" t="str">
        <f t="shared" si="351"/>
        <v/>
      </c>
      <c r="AH341" s="1118" t="str">
        <f t="shared" si="351"/>
        <v/>
      </c>
      <c r="AI341" s="1118" t="str">
        <f t="shared" si="351"/>
        <v/>
      </c>
      <c r="AJ341" s="793"/>
      <c r="AK341" s="1026">
        <f t="shared" si="339"/>
        <v>0</v>
      </c>
      <c r="AL341" s="897"/>
      <c r="AM341" s="1042">
        <f t="shared" si="340"/>
        <v>0</v>
      </c>
      <c r="AN341" s="468"/>
      <c r="AO341" s="675"/>
      <c r="AP341" s="391"/>
      <c r="AQ341" s="391"/>
    </row>
    <row r="342" spans="1:57" ht="19.899999999999999" customHeight="1">
      <c r="A342" s="403"/>
      <c r="B342" s="393" t="s">
        <v>449</v>
      </c>
      <c r="C342" s="89" t="s">
        <v>108</v>
      </c>
      <c r="D342" s="90" t="s">
        <v>104</v>
      </c>
      <c r="E342" s="1365"/>
      <c r="F342" s="1107"/>
      <c r="G342" s="1228"/>
      <c r="H342" s="1176"/>
      <c r="I342" s="1176"/>
      <c r="J342" s="1228"/>
      <c r="K342" s="1273"/>
      <c r="L342" s="1107"/>
      <c r="M342" s="1107"/>
      <c r="N342" s="1177"/>
      <c r="O342" s="1107"/>
      <c r="P342" s="1177"/>
      <c r="Q342" s="1228"/>
      <c r="R342" s="1228"/>
      <c r="S342" s="1107"/>
      <c r="T342" s="1107"/>
      <c r="U342" s="1107"/>
      <c r="V342" s="1107"/>
      <c r="W342" s="1107"/>
      <c r="X342" s="1228"/>
      <c r="Y342" s="1228"/>
      <c r="Z342" s="1106"/>
      <c r="AA342" s="1107"/>
      <c r="AB342" s="1107"/>
      <c r="AC342" s="1107"/>
      <c r="AD342" s="1107"/>
      <c r="AE342" s="1228"/>
      <c r="AF342" s="1228"/>
      <c r="AG342" s="1107"/>
      <c r="AH342" s="1107"/>
      <c r="AI342" s="1107"/>
      <c r="AJ342" s="396"/>
      <c r="AK342" s="1024">
        <f t="shared" si="339"/>
        <v>0</v>
      </c>
      <c r="AL342" s="420"/>
      <c r="AM342" s="1040">
        <f t="shared" si="340"/>
        <v>0</v>
      </c>
      <c r="AN342" s="382"/>
      <c r="AO342" s="622"/>
      <c r="AP342" s="391"/>
      <c r="AQ342" s="391"/>
    </row>
    <row r="343" spans="1:57" ht="19.5" customHeight="1" thickBot="1">
      <c r="A343" s="406"/>
      <c r="B343" s="398"/>
      <c r="C343" s="434">
        <f>+C341*0.8</f>
        <v>120000</v>
      </c>
      <c r="D343" s="95" t="s">
        <v>111</v>
      </c>
      <c r="E343" s="1109">
        <f>IF(E342="O/H",E336,88129+E336)</f>
        <v>91089</v>
      </c>
      <c r="F343" s="1110">
        <f>IF(F342="O/H",F336,+E343+F336)</f>
        <v>94283</v>
      </c>
      <c r="G343" s="1212">
        <f t="shared" ref="G343:AF343" si="352">IF(G342="O/H",G336,+F343+G336)</f>
        <v>97501</v>
      </c>
      <c r="H343" s="1110">
        <f t="shared" si="352"/>
        <v>100494</v>
      </c>
      <c r="I343" s="1110">
        <f t="shared" si="352"/>
        <v>103686</v>
      </c>
      <c r="J343" s="1212">
        <f t="shared" si="352"/>
        <v>106624</v>
      </c>
      <c r="K343" s="1212">
        <f t="shared" si="352"/>
        <v>109982</v>
      </c>
      <c r="L343" s="1110">
        <f t="shared" si="352"/>
        <v>113161</v>
      </c>
      <c r="M343" s="1110">
        <f t="shared" si="352"/>
        <v>116337</v>
      </c>
      <c r="N343" s="1110">
        <f t="shared" si="352"/>
        <v>119521</v>
      </c>
      <c r="O343" s="1110">
        <f t="shared" si="352"/>
        <v>119763</v>
      </c>
      <c r="P343" s="1110">
        <f t="shared" si="352"/>
        <v>120051.5</v>
      </c>
      <c r="Q343" s="1212">
        <f t="shared" si="352"/>
        <v>120051.5</v>
      </c>
      <c r="R343" s="1212">
        <f t="shared" si="352"/>
        <v>120051.5</v>
      </c>
      <c r="S343" s="1110">
        <f t="shared" si="352"/>
        <v>122075.5</v>
      </c>
      <c r="T343" s="1110">
        <f t="shared" si="352"/>
        <v>125244.5</v>
      </c>
      <c r="U343" s="1110">
        <f t="shared" si="352"/>
        <v>128402.5</v>
      </c>
      <c r="V343" s="1110">
        <f t="shared" si="352"/>
        <v>131811.5</v>
      </c>
      <c r="W343" s="1110">
        <f t="shared" si="352"/>
        <v>135095.5</v>
      </c>
      <c r="X343" s="1212">
        <f t="shared" si="352"/>
        <v>138431.5</v>
      </c>
      <c r="Y343" s="1212">
        <f t="shared" si="352"/>
        <v>141604.5</v>
      </c>
      <c r="Z343" s="1110">
        <f t="shared" si="352"/>
        <v>144796.5</v>
      </c>
      <c r="AA343" s="1110">
        <f t="shared" si="352"/>
        <v>147980.5</v>
      </c>
      <c r="AB343" s="1110">
        <f t="shared" si="352"/>
        <v>147980.5</v>
      </c>
      <c r="AC343" s="1110">
        <f t="shared" si="352"/>
        <v>147980.5</v>
      </c>
      <c r="AD343" s="1110">
        <f t="shared" si="352"/>
        <v>147980.5</v>
      </c>
      <c r="AE343" s="1212">
        <f t="shared" si="352"/>
        <v>147980.5</v>
      </c>
      <c r="AF343" s="1212">
        <f t="shared" si="352"/>
        <v>147980.5</v>
      </c>
      <c r="AG343" s="1110">
        <f t="shared" ref="AG343" si="353">IF(AG342="O/H",AG336,+AF343+AG336)</f>
        <v>147980.5</v>
      </c>
      <c r="AH343" s="1110">
        <f t="shared" ref="AH343" si="354">IF(AH342="O/H",AH336,+AG343+AH336)</f>
        <v>147980.5</v>
      </c>
      <c r="AI343" s="1110">
        <f t="shared" ref="AI343" si="355">IF(AI342="O/H",AI336,+AH343+AI336)</f>
        <v>147980.5</v>
      </c>
      <c r="AJ343" s="399"/>
      <c r="AK343" s="1027">
        <f t="shared" si="339"/>
        <v>0</v>
      </c>
      <c r="AL343" s="421"/>
      <c r="AM343" s="1043">
        <f t="shared" si="340"/>
        <v>0</v>
      </c>
      <c r="AN343" s="894"/>
      <c r="AO343" s="625"/>
      <c r="AP343" s="32"/>
      <c r="AQ343" s="33"/>
      <c r="AR343" s="33"/>
      <c r="AS343" s="33"/>
      <c r="AT343" s="33"/>
      <c r="AU343" s="33"/>
      <c r="AV343" s="34"/>
      <c r="BE343" s="1">
        <v>34000</v>
      </c>
    </row>
    <row r="344" spans="1:57" ht="19.5" hidden="1" customHeight="1" thickTop="1">
      <c r="A344" s="405" t="s">
        <v>601</v>
      </c>
      <c r="B344" s="393" t="s">
        <v>662</v>
      </c>
      <c r="C344" s="417" t="str">
        <f>Table37[[#This Row],[M/C No.]]</f>
        <v>R17(18ton)</v>
      </c>
      <c r="D344" s="28" t="s">
        <v>82</v>
      </c>
      <c r="E344" s="1124"/>
      <c r="F344" s="1124"/>
      <c r="G344" s="1242"/>
      <c r="H344" s="1124"/>
      <c r="I344" s="1124"/>
      <c r="J344" s="1242"/>
      <c r="K344" s="1242"/>
      <c r="L344" s="1124"/>
      <c r="M344" s="1124"/>
      <c r="N344" s="1124"/>
      <c r="O344" s="1124"/>
      <c r="P344" s="1124"/>
      <c r="Q344" s="1242"/>
      <c r="R344" s="1242"/>
      <c r="S344" s="1124"/>
      <c r="T344" s="1124"/>
      <c r="U344" s="1124"/>
      <c r="V344" s="1124"/>
      <c r="W344" s="1124"/>
      <c r="X344" s="1242"/>
      <c r="Y344" s="1242"/>
      <c r="Z344" s="1124"/>
      <c r="AA344" s="1124"/>
      <c r="AB344" s="1124"/>
      <c r="AC344" s="1124"/>
      <c r="AD344" s="1124"/>
      <c r="AE344" s="1242"/>
      <c r="AF344" s="1242"/>
      <c r="AG344" s="1124"/>
      <c r="AH344" s="1124"/>
      <c r="AI344" s="1124"/>
      <c r="AJ344" s="375">
        <f>SUM(E344:AI344)</f>
        <v>0</v>
      </c>
      <c r="AK344" s="1047">
        <f t="shared" si="339"/>
        <v>0</v>
      </c>
      <c r="AL344" s="422">
        <f>Table37[[#This Row],[Total]]*Table37[[#This Row],[Price/Pcs.]]</f>
        <v>0</v>
      </c>
      <c r="AM344" s="1046">
        <f t="shared" si="340"/>
        <v>0</v>
      </c>
      <c r="AN344" s="402">
        <v>5.8691800000000001</v>
      </c>
      <c r="AO344" s="622">
        <f>Table37[[#This Row],[Total]]*B348/1000</f>
        <v>0</v>
      </c>
      <c r="AP344" s="32" t="s">
        <v>479</v>
      </c>
      <c r="AQ344" s="33" t="s">
        <v>84</v>
      </c>
      <c r="AR344" s="33" t="s">
        <v>85</v>
      </c>
      <c r="AS344" s="33" t="s">
        <v>86</v>
      </c>
      <c r="AT344" s="33" t="s">
        <v>87</v>
      </c>
      <c r="AU344" s="33" t="s">
        <v>88</v>
      </c>
      <c r="AV344" s="34" t="s">
        <v>68</v>
      </c>
    </row>
    <row r="345" spans="1:57" ht="19.5" hidden="1" customHeight="1">
      <c r="A345" s="969"/>
      <c r="B345" s="393" t="s">
        <v>458</v>
      </c>
      <c r="C345" s="52" t="s">
        <v>95</v>
      </c>
      <c r="D345" s="37" t="s">
        <v>90</v>
      </c>
      <c r="E345" s="1323">
        <f>IF(E344="",0, +E344/E351)</f>
        <v>0</v>
      </c>
      <c r="F345" s="1096">
        <f t="shared" ref="F345" si="356">IF(F344="",0, E345+F344/F351)</f>
        <v>0</v>
      </c>
      <c r="G345" s="1207">
        <f t="shared" ref="G345" si="357">IF(G344="",0, F345+G344/G351)</f>
        <v>0</v>
      </c>
      <c r="H345" s="1096">
        <f t="shared" ref="H345" si="358">IF(H344="",0, G345+H344/H351)</f>
        <v>0</v>
      </c>
      <c r="I345" s="1096">
        <f t="shared" ref="I345" si="359">IF(I344="",0, H345+I344/I351)</f>
        <v>0</v>
      </c>
      <c r="J345" s="1207">
        <f t="shared" ref="J345" si="360">IF(J344="",0, I345+J344/J351)</f>
        <v>0</v>
      </c>
      <c r="K345" s="1207">
        <f t="shared" ref="K345" si="361">IF(K344="",0, J345+K344/K351)</f>
        <v>0</v>
      </c>
      <c r="L345" s="1096">
        <f t="shared" ref="L345" si="362">IF(L344="",0, K345+L344/L351)</f>
        <v>0</v>
      </c>
      <c r="M345" s="1096">
        <f t="shared" ref="M345" si="363">IF(M344="",0, L345+M344/M351)</f>
        <v>0</v>
      </c>
      <c r="N345" s="1096">
        <f t="shared" ref="N345" si="364">IF(N344="",0, M345+N344/N351)</f>
        <v>0</v>
      </c>
      <c r="O345" s="1096">
        <f t="shared" ref="O345" si="365">IF(O344="",0, N345+O344/O351)</f>
        <v>0</v>
      </c>
      <c r="P345" s="1096">
        <f t="shared" ref="P345" si="366">IF(P344="",0, O345+P344/P351)</f>
        <v>0</v>
      </c>
      <c r="Q345" s="1207">
        <f t="shared" ref="Q345" si="367">IF(Q344="",0, P345+Q344/Q351)</f>
        <v>0</v>
      </c>
      <c r="R345" s="1207">
        <f t="shared" ref="R345" si="368">IF(R344="",0, Q345+R344/R351)</f>
        <v>0</v>
      </c>
      <c r="S345" s="1096">
        <f t="shared" ref="S345" si="369">IF(S344="",0, R345+S344/S351)</f>
        <v>0</v>
      </c>
      <c r="T345" s="1096">
        <f t="shared" ref="T345" si="370">IF(T344="",0, S345+T344/T351)</f>
        <v>0</v>
      </c>
      <c r="U345" s="1096">
        <f t="shared" ref="U345" si="371">IF(U344="",0, T345+U344/U351)</f>
        <v>0</v>
      </c>
      <c r="V345" s="1096">
        <f t="shared" ref="V345" si="372">IF(V344="",0, U345+V344/V351)</f>
        <v>0</v>
      </c>
      <c r="W345" s="1096">
        <f t="shared" ref="W345" si="373">IF(W344="",0, V345+W344/W351)</f>
        <v>0</v>
      </c>
      <c r="X345" s="1207">
        <f t="shared" ref="X345" si="374">IF(X344="",0, W345+X344/X351)</f>
        <v>0</v>
      </c>
      <c r="Y345" s="1207">
        <f t="shared" ref="Y345" si="375">IF(Y344="",0, X345+Y344/Y351)</f>
        <v>0</v>
      </c>
      <c r="Z345" s="1096">
        <f t="shared" ref="Z345" si="376">IF(Z344="",0, Y345+Z344/Z351)</f>
        <v>0</v>
      </c>
      <c r="AA345" s="1096">
        <f t="shared" ref="AA345" si="377">IF(AA344="",0, Z345+AA344/AA351)</f>
        <v>0</v>
      </c>
      <c r="AB345" s="1096">
        <f t="shared" ref="AB345" si="378">IF(AB344="",0, AA345+AB344/AB351)</f>
        <v>0</v>
      </c>
      <c r="AC345" s="1096">
        <f>IF(AC344="",0, Y345+AC344/AC351)</f>
        <v>0</v>
      </c>
      <c r="AD345" s="1096">
        <f>IF(AD344="",0, Z345+AD344/AD351)</f>
        <v>0</v>
      </c>
      <c r="AE345" s="1207">
        <f>IF(AE344="",0, AA345+AE344/AE351)</f>
        <v>0</v>
      </c>
      <c r="AF345" s="1207">
        <f>IF(AF344="",0, AB345+AF344/AF351)</f>
        <v>0</v>
      </c>
      <c r="AG345" s="1096">
        <f t="shared" ref="AG345" si="379">IF(AG344="",0, AF345+AG344/AG351)</f>
        <v>0</v>
      </c>
      <c r="AH345" s="1096">
        <f t="shared" ref="AH345" si="380">IF(AH344="",0, AG345+AH344/AH351)</f>
        <v>0</v>
      </c>
      <c r="AI345" s="1096">
        <f t="shared" ref="AI345" si="381">IF(AI344="",0, AH345+AI344/AI351)</f>
        <v>0</v>
      </c>
      <c r="AJ345" s="375"/>
      <c r="AK345" s="1023">
        <f t="shared" si="339"/>
        <v>0</v>
      </c>
      <c r="AL345" s="423"/>
      <c r="AM345" s="1040">
        <f t="shared" si="340"/>
        <v>0</v>
      </c>
      <c r="AN345" s="382"/>
      <c r="AO345" s="675"/>
      <c r="AP345" s="39" t="s">
        <v>91</v>
      </c>
      <c r="AQ345" s="40">
        <f>SUM(E344:I344)</f>
        <v>0</v>
      </c>
      <c r="AR345" s="41">
        <f>SUM(J344:P344)</f>
        <v>0</v>
      </c>
      <c r="AS345" s="41">
        <f>SUM(Q344:W344)</f>
        <v>0</v>
      </c>
      <c r="AT345" s="41">
        <f>SUM(X344:AD344)</f>
        <v>0</v>
      </c>
      <c r="AU345" s="41">
        <f>SUM(AE344:AI344)</f>
        <v>0</v>
      </c>
      <c r="AV345" s="34">
        <f t="shared" ref="AV345:AV350" si="382">SUM(AQ345:AU345)</f>
        <v>0</v>
      </c>
    </row>
    <row r="346" spans="1:57" ht="19.5" hidden="1" customHeight="1">
      <c r="A346" s="403"/>
      <c r="B346" s="393" t="s">
        <v>246</v>
      </c>
      <c r="C346" s="379">
        <v>60000</v>
      </c>
      <c r="D346" s="43" t="s">
        <v>93</v>
      </c>
      <c r="E346" s="1108"/>
      <c r="F346" s="1089"/>
      <c r="G346" s="44"/>
      <c r="H346" s="1089"/>
      <c r="I346" s="1089"/>
      <c r="J346" s="44"/>
      <c r="K346" s="44"/>
      <c r="L346" s="1089"/>
      <c r="M346" s="1089"/>
      <c r="N346" s="1089"/>
      <c r="O346" s="1089"/>
      <c r="P346" s="1089"/>
      <c r="Q346" s="44"/>
      <c r="R346" s="44"/>
      <c r="S346" s="1089"/>
      <c r="T346" s="1089"/>
      <c r="U346" s="1089"/>
      <c r="V346" s="1089"/>
      <c r="W346" s="1089"/>
      <c r="X346" s="44"/>
      <c r="Y346" s="44"/>
      <c r="Z346" s="1089"/>
      <c r="AA346" s="1089"/>
      <c r="AB346" s="1089"/>
      <c r="AC346" s="1089"/>
      <c r="AD346" s="1089"/>
      <c r="AE346" s="44"/>
      <c r="AF346" s="44"/>
      <c r="AG346" s="1089"/>
      <c r="AH346" s="1089"/>
      <c r="AI346" s="1089"/>
      <c r="AJ346" s="380">
        <f>SUM(E346:AI346)</f>
        <v>0</v>
      </c>
      <c r="AK346" s="1024">
        <f t="shared" si="339"/>
        <v>0</v>
      </c>
      <c r="AL346" s="424">
        <f>+AJ346*AN344</f>
        <v>0</v>
      </c>
      <c r="AM346" s="1041">
        <f t="shared" si="340"/>
        <v>0</v>
      </c>
      <c r="AN346" s="382"/>
      <c r="AO346" s="632">
        <f>(AJ346+AJ348+AJ349+AJ350)*B348/1000</f>
        <v>0</v>
      </c>
      <c r="AP346" s="47" t="s">
        <v>94</v>
      </c>
      <c r="AQ346" s="48">
        <f>SUM(E346:I346)</f>
        <v>0</v>
      </c>
      <c r="AR346" s="49">
        <f>SUM(J346:P346)</f>
        <v>0</v>
      </c>
      <c r="AS346" s="49">
        <f>SUM(Q346:W346)</f>
        <v>0</v>
      </c>
      <c r="AT346" s="49">
        <f>SUM(X346:AD346)</f>
        <v>0</v>
      </c>
      <c r="AU346" s="49">
        <f>SUM(AE346:AI346)</f>
        <v>0</v>
      </c>
      <c r="AV346" s="50">
        <f t="shared" si="382"/>
        <v>0</v>
      </c>
    </row>
    <row r="347" spans="1:57" ht="19.5" hidden="1" customHeight="1">
      <c r="A347" s="403"/>
      <c r="B347" s="638" t="s">
        <v>247</v>
      </c>
      <c r="C347" s="89" t="s">
        <v>108</v>
      </c>
      <c r="D347" s="53" t="s">
        <v>96</v>
      </c>
      <c r="E347" s="1137">
        <f>G346</f>
        <v>0</v>
      </c>
      <c r="F347" s="1097">
        <f t="shared" ref="F347:AF347" si="383">+F346-F344</f>
        <v>0</v>
      </c>
      <c r="G347" s="1205">
        <f t="shared" si="383"/>
        <v>0</v>
      </c>
      <c r="H347" s="1097">
        <f t="shared" si="383"/>
        <v>0</v>
      </c>
      <c r="I347" s="1097">
        <f t="shared" si="383"/>
        <v>0</v>
      </c>
      <c r="J347" s="1205">
        <f t="shared" si="383"/>
        <v>0</v>
      </c>
      <c r="K347" s="1205">
        <f t="shared" si="383"/>
        <v>0</v>
      </c>
      <c r="L347" s="1097">
        <f t="shared" si="383"/>
        <v>0</v>
      </c>
      <c r="M347" s="1097">
        <f t="shared" si="383"/>
        <v>0</v>
      </c>
      <c r="N347" s="1097">
        <f t="shared" si="383"/>
        <v>0</v>
      </c>
      <c r="O347" s="1097">
        <f t="shared" si="383"/>
        <v>0</v>
      </c>
      <c r="P347" s="1097">
        <f t="shared" si="383"/>
        <v>0</v>
      </c>
      <c r="Q347" s="1205">
        <f t="shared" si="383"/>
        <v>0</v>
      </c>
      <c r="R347" s="1205">
        <f t="shared" si="383"/>
        <v>0</v>
      </c>
      <c r="S347" s="1097">
        <f t="shared" si="383"/>
        <v>0</v>
      </c>
      <c r="T347" s="1097">
        <f t="shared" si="383"/>
        <v>0</v>
      </c>
      <c r="U347" s="1097">
        <f t="shared" si="383"/>
        <v>0</v>
      </c>
      <c r="V347" s="1097">
        <f t="shared" si="383"/>
        <v>0</v>
      </c>
      <c r="W347" s="1097">
        <f t="shared" si="383"/>
        <v>0</v>
      </c>
      <c r="X347" s="1205">
        <f t="shared" si="383"/>
        <v>0</v>
      </c>
      <c r="Y347" s="1205">
        <f t="shared" si="383"/>
        <v>0</v>
      </c>
      <c r="Z347" s="1097">
        <f t="shared" si="383"/>
        <v>0</v>
      </c>
      <c r="AA347" s="1097">
        <f t="shared" si="383"/>
        <v>0</v>
      </c>
      <c r="AB347" s="1097">
        <f t="shared" si="383"/>
        <v>0</v>
      </c>
      <c r="AC347" s="1097">
        <f t="shared" si="383"/>
        <v>0</v>
      </c>
      <c r="AD347" s="1097">
        <f t="shared" si="383"/>
        <v>0</v>
      </c>
      <c r="AE347" s="1205">
        <f t="shared" si="383"/>
        <v>0</v>
      </c>
      <c r="AF347" s="1205">
        <f t="shared" si="383"/>
        <v>0</v>
      </c>
      <c r="AG347" s="1097">
        <f>+AG346-AG344</f>
        <v>0</v>
      </c>
      <c r="AH347" s="1097">
        <f t="shared" ref="AH347:AJ347" si="384">+AH346-AH344</f>
        <v>0</v>
      </c>
      <c r="AI347" s="1097">
        <f t="shared" si="384"/>
        <v>0</v>
      </c>
      <c r="AJ347" s="381">
        <f t="shared" si="384"/>
        <v>0</v>
      </c>
      <c r="AK347" s="1024">
        <f t="shared" si="339"/>
        <v>0</v>
      </c>
      <c r="AL347" s="425">
        <f>+AJ347*AN344</f>
        <v>0</v>
      </c>
      <c r="AM347" s="1041">
        <f t="shared" si="340"/>
        <v>0</v>
      </c>
      <c r="AN347" s="382" t="s">
        <v>97</v>
      </c>
      <c r="AO347" s="622"/>
      <c r="AP347" s="39" t="s">
        <v>98</v>
      </c>
      <c r="AQ347" s="56">
        <f>AQ346-AQ345</f>
        <v>0</v>
      </c>
      <c r="AR347" s="70">
        <f>AR346-AR345</f>
        <v>0</v>
      </c>
      <c r="AS347" s="70">
        <f>AS346-AS345</f>
        <v>0</v>
      </c>
      <c r="AT347" s="70">
        <f>AT346-AT345</f>
        <v>0</v>
      </c>
      <c r="AU347" s="70">
        <f>AU346-AU345</f>
        <v>0</v>
      </c>
      <c r="AV347" s="57">
        <f t="shared" si="382"/>
        <v>0</v>
      </c>
    </row>
    <row r="348" spans="1:57" ht="19.5" hidden="1" customHeight="1">
      <c r="A348" s="403"/>
      <c r="B348" s="638">
        <v>2.6150000000000002</v>
      </c>
      <c r="C348" s="432">
        <f>+C346*0.8</f>
        <v>48000</v>
      </c>
      <c r="D348" s="61" t="s">
        <v>101</v>
      </c>
      <c r="E348" s="1098"/>
      <c r="F348" s="1099"/>
      <c r="G348" s="1208"/>
      <c r="H348" s="1099"/>
      <c r="I348" s="1099"/>
      <c r="J348" s="1208"/>
      <c r="K348" s="1208"/>
      <c r="L348" s="1099"/>
      <c r="M348" s="1099"/>
      <c r="N348" s="1099"/>
      <c r="O348" s="1099"/>
      <c r="P348" s="1099"/>
      <c r="Q348" s="1208"/>
      <c r="R348" s="1208"/>
      <c r="S348" s="1099"/>
      <c r="T348" s="1099"/>
      <c r="U348" s="1099"/>
      <c r="V348" s="1099"/>
      <c r="W348" s="1099"/>
      <c r="X348" s="1208"/>
      <c r="Y348" s="1208"/>
      <c r="Z348" s="1099"/>
      <c r="AA348" s="1099"/>
      <c r="AB348" s="1099"/>
      <c r="AC348" s="1099"/>
      <c r="AD348" s="1099"/>
      <c r="AE348" s="1208"/>
      <c r="AF348" s="1208"/>
      <c r="AG348" s="1099"/>
      <c r="AH348" s="1099"/>
      <c r="AI348" s="1099"/>
      <c r="AJ348" s="384">
        <f>SUM(E348:AI348)</f>
        <v>0</v>
      </c>
      <c r="AK348" s="1024">
        <f t="shared" si="339"/>
        <v>0</v>
      </c>
      <c r="AL348" s="420">
        <f>+AJ348*AN344</f>
        <v>0</v>
      </c>
      <c r="AM348" s="1040">
        <f t="shared" si="340"/>
        <v>0</v>
      </c>
      <c r="AN348" s="404" t="e">
        <f>+AJ348/AJ346*100</f>
        <v>#DIV/0!</v>
      </c>
      <c r="AO348" s="635" t="e">
        <f>AO346/AO344</f>
        <v>#DIV/0!</v>
      </c>
      <c r="AP348" s="39" t="s">
        <v>102</v>
      </c>
      <c r="AQ348" s="56">
        <f>SUM(E348:I348)</f>
        <v>0</v>
      </c>
      <c r="AR348" s="70">
        <f>SUM(J348:P348)</f>
        <v>0</v>
      </c>
      <c r="AS348" s="70">
        <f>SUM(Q348:W348)</f>
        <v>0</v>
      </c>
      <c r="AT348" s="70">
        <f>SUM(X348:AD348)</f>
        <v>0</v>
      </c>
      <c r="AU348" s="70">
        <f>SUM(AE348:AI348)</f>
        <v>0</v>
      </c>
      <c r="AV348" s="57">
        <f t="shared" si="382"/>
        <v>0</v>
      </c>
    </row>
    <row r="349" spans="1:57" ht="19.5" hidden="1" customHeight="1">
      <c r="A349" s="403"/>
      <c r="B349" s="65"/>
      <c r="C349" s="432"/>
      <c r="D349" s="67" t="s">
        <v>103</v>
      </c>
      <c r="E349" s="1100"/>
      <c r="F349" s="1101"/>
      <c r="G349" s="1209"/>
      <c r="H349" s="1101"/>
      <c r="I349" s="1101"/>
      <c r="J349" s="1209"/>
      <c r="K349" s="1209"/>
      <c r="L349" s="1101"/>
      <c r="M349" s="1101"/>
      <c r="N349" s="1101"/>
      <c r="O349" s="1101"/>
      <c r="P349" s="1101"/>
      <c r="Q349" s="1209"/>
      <c r="R349" s="1209"/>
      <c r="S349" s="1101"/>
      <c r="T349" s="1101"/>
      <c r="U349" s="1101"/>
      <c r="V349" s="1101"/>
      <c r="W349" s="1101"/>
      <c r="X349" s="1209"/>
      <c r="Y349" s="1209"/>
      <c r="Z349" s="1101"/>
      <c r="AA349" s="1101"/>
      <c r="AB349" s="1101"/>
      <c r="AC349" s="1101"/>
      <c r="AD349" s="1101"/>
      <c r="AE349" s="1209"/>
      <c r="AF349" s="1209"/>
      <c r="AG349" s="1101"/>
      <c r="AH349" s="1101"/>
      <c r="AI349" s="1101"/>
      <c r="AJ349" s="386">
        <f>SUM(E349:AI349)</f>
        <v>0</v>
      </c>
      <c r="AK349" s="1024">
        <f t="shared" si="339"/>
        <v>0</v>
      </c>
      <c r="AL349" s="426">
        <f>+AJ349*AN344</f>
        <v>0</v>
      </c>
      <c r="AM349" s="1040">
        <f t="shared" si="340"/>
        <v>0</v>
      </c>
      <c r="AN349" s="382"/>
      <c r="AO349" s="622"/>
      <c r="AP349" s="39" t="s">
        <v>19</v>
      </c>
      <c r="AQ349" s="56">
        <f>AQ348*AN344</f>
        <v>0</v>
      </c>
      <c r="AR349" s="56">
        <f>AR348*AN344</f>
        <v>0</v>
      </c>
      <c r="AS349" s="56">
        <f>AS348*AN344</f>
        <v>0</v>
      </c>
      <c r="AT349" s="56">
        <f>AT348*AN344</f>
        <v>0</v>
      </c>
      <c r="AU349" s="56">
        <f>AU348*AN344</f>
        <v>0</v>
      </c>
      <c r="AV349" s="57">
        <f t="shared" si="382"/>
        <v>0</v>
      </c>
    </row>
    <row r="350" spans="1:57" ht="19.5" hidden="1" customHeight="1">
      <c r="A350" s="403"/>
      <c r="B350" s="65"/>
      <c r="C350" s="387" t="s">
        <v>435</v>
      </c>
      <c r="D350" s="73" t="s">
        <v>105</v>
      </c>
      <c r="E350" s="1102"/>
      <c r="F350" s="1103"/>
      <c r="G350" s="1210"/>
      <c r="H350" s="1103"/>
      <c r="I350" s="1103"/>
      <c r="J350" s="1210"/>
      <c r="K350" s="1210"/>
      <c r="L350" s="1103"/>
      <c r="M350" s="1103"/>
      <c r="N350" s="1103"/>
      <c r="O350" s="1103"/>
      <c r="P350" s="1103"/>
      <c r="Q350" s="1210"/>
      <c r="R350" s="1210"/>
      <c r="S350" s="1103"/>
      <c r="T350" s="1103"/>
      <c r="U350" s="1103"/>
      <c r="V350" s="1103"/>
      <c r="W350" s="1103"/>
      <c r="X350" s="1210"/>
      <c r="Y350" s="1210"/>
      <c r="Z350" s="1103"/>
      <c r="AA350" s="1103"/>
      <c r="AB350" s="1103"/>
      <c r="AC350" s="1103"/>
      <c r="AD350" s="1103"/>
      <c r="AE350" s="1210"/>
      <c r="AF350" s="1210"/>
      <c r="AG350" s="1103"/>
      <c r="AH350" s="1103"/>
      <c r="AI350" s="1103"/>
      <c r="AJ350" s="388">
        <f>SUM(E350:AI350)</f>
        <v>0</v>
      </c>
      <c r="AK350" s="1024">
        <f t="shared" si="339"/>
        <v>0</v>
      </c>
      <c r="AL350" s="427">
        <f>+AJ350*AN344</f>
        <v>0</v>
      </c>
      <c r="AM350" s="1040">
        <f t="shared" si="340"/>
        <v>0</v>
      </c>
      <c r="AN350" s="382"/>
      <c r="AO350" s="622"/>
      <c r="AP350" s="47" t="s">
        <v>106</v>
      </c>
      <c r="AQ350" s="48">
        <f>AQ346*AN344</f>
        <v>0</v>
      </c>
      <c r="AR350" s="48">
        <f>AR346*AN344</f>
        <v>0</v>
      </c>
      <c r="AS350" s="48">
        <f>AS346*AN344</f>
        <v>0</v>
      </c>
      <c r="AT350" s="48">
        <f>AT346*AN344</f>
        <v>0</v>
      </c>
      <c r="AU350" s="48">
        <f>AU346*AN344</f>
        <v>0</v>
      </c>
      <c r="AV350" s="50">
        <f t="shared" si="382"/>
        <v>0</v>
      </c>
    </row>
    <row r="351" spans="1:57" ht="19.5" hidden="1" customHeight="1">
      <c r="A351" s="403"/>
      <c r="B351" s="390"/>
      <c r="C351" s="379">
        <v>50000</v>
      </c>
      <c r="D351" s="78" t="s">
        <v>107</v>
      </c>
      <c r="E351" s="1137">
        <v>4</v>
      </c>
      <c r="F351" s="1137">
        <v>4</v>
      </c>
      <c r="G351" s="1232">
        <v>4</v>
      </c>
      <c r="H351" s="1137">
        <v>4</v>
      </c>
      <c r="I351" s="1137">
        <v>4</v>
      </c>
      <c r="J351" s="1232">
        <v>4</v>
      </c>
      <c r="K351" s="1232">
        <v>4</v>
      </c>
      <c r="L351" s="1137">
        <v>4</v>
      </c>
      <c r="M351" s="1137">
        <v>4</v>
      </c>
      <c r="N351" s="1137">
        <v>4</v>
      </c>
      <c r="O351" s="1137">
        <v>4</v>
      </c>
      <c r="P351" s="1137">
        <v>4</v>
      </c>
      <c r="Q351" s="1205">
        <v>4</v>
      </c>
      <c r="R351" s="1205">
        <v>4</v>
      </c>
      <c r="S351" s="1097">
        <v>4</v>
      </c>
      <c r="T351" s="1097">
        <v>4</v>
      </c>
      <c r="U351" s="1097">
        <v>4</v>
      </c>
      <c r="V351" s="1097">
        <v>4</v>
      </c>
      <c r="W351" s="1097">
        <v>4</v>
      </c>
      <c r="X351" s="1205">
        <v>4</v>
      </c>
      <c r="Y351" s="1205">
        <v>4</v>
      </c>
      <c r="Z351" s="1097">
        <v>4</v>
      </c>
      <c r="AA351" s="1097">
        <v>4</v>
      </c>
      <c r="AB351" s="1097">
        <v>4</v>
      </c>
      <c r="AC351" s="1097">
        <v>4</v>
      </c>
      <c r="AD351" s="1097">
        <v>4</v>
      </c>
      <c r="AE351" s="1205">
        <v>4</v>
      </c>
      <c r="AF351" s="1205">
        <v>4</v>
      </c>
      <c r="AG351" s="1097">
        <v>4</v>
      </c>
      <c r="AH351" s="1097">
        <v>4</v>
      </c>
      <c r="AI351" s="1097">
        <v>4</v>
      </c>
      <c r="AJ351" s="381"/>
      <c r="AK351" s="1024">
        <f t="shared" si="339"/>
        <v>0</v>
      </c>
      <c r="AL351" s="425"/>
      <c r="AM351" s="1041">
        <f t="shared" si="340"/>
        <v>0</v>
      </c>
      <c r="AN351" s="382"/>
      <c r="AO351" s="622"/>
      <c r="AP351" s="391"/>
      <c r="AQ351" s="391"/>
      <c r="AR351" s="4"/>
      <c r="AS351" s="4"/>
      <c r="AT351" s="392"/>
      <c r="AU351" s="4"/>
      <c r="AV351" s="4"/>
    </row>
    <row r="352" spans="1:57" ht="19.899999999999999" hidden="1" customHeight="1">
      <c r="A352" s="405" t="s">
        <v>601</v>
      </c>
      <c r="B352" s="390"/>
      <c r="C352" s="89" t="s">
        <v>108</v>
      </c>
      <c r="D352" s="81" t="s">
        <v>109</v>
      </c>
      <c r="E352" s="1105">
        <f>SUM(E346+E348+E349+E350)/E351</f>
        <v>0</v>
      </c>
      <c r="F352" s="1105">
        <f t="shared" ref="F352:AI352" si="385">SUM(F346+F348+F349+F350)/F351</f>
        <v>0</v>
      </c>
      <c r="G352" s="1198">
        <f t="shared" si="385"/>
        <v>0</v>
      </c>
      <c r="H352" s="1105">
        <f t="shared" si="385"/>
        <v>0</v>
      </c>
      <c r="I352" s="1105">
        <f t="shared" si="385"/>
        <v>0</v>
      </c>
      <c r="J352" s="1198">
        <f t="shared" si="385"/>
        <v>0</v>
      </c>
      <c r="K352" s="1198">
        <f t="shared" si="385"/>
        <v>0</v>
      </c>
      <c r="L352" s="1105">
        <f t="shared" si="385"/>
        <v>0</v>
      </c>
      <c r="M352" s="1105">
        <f t="shared" si="385"/>
        <v>0</v>
      </c>
      <c r="N352" s="1105">
        <f t="shared" si="385"/>
        <v>0</v>
      </c>
      <c r="O352" s="1105">
        <f t="shared" si="385"/>
        <v>0</v>
      </c>
      <c r="P352" s="1105">
        <f t="shared" si="385"/>
        <v>0</v>
      </c>
      <c r="Q352" s="1198">
        <f t="shared" si="385"/>
        <v>0</v>
      </c>
      <c r="R352" s="1198">
        <f t="shared" si="385"/>
        <v>0</v>
      </c>
      <c r="S352" s="1105">
        <f t="shared" si="385"/>
        <v>0</v>
      </c>
      <c r="T352" s="1105">
        <f t="shared" si="385"/>
        <v>0</v>
      </c>
      <c r="U352" s="1105">
        <f t="shared" si="385"/>
        <v>0</v>
      </c>
      <c r="V352" s="1105">
        <f t="shared" si="385"/>
        <v>0</v>
      </c>
      <c r="W352" s="1105">
        <f t="shared" si="385"/>
        <v>0</v>
      </c>
      <c r="X352" s="1198">
        <f t="shared" si="385"/>
        <v>0</v>
      </c>
      <c r="Y352" s="1198">
        <f t="shared" si="385"/>
        <v>0</v>
      </c>
      <c r="Z352" s="1105">
        <f t="shared" si="385"/>
        <v>0</v>
      </c>
      <c r="AA352" s="1105">
        <f t="shared" si="385"/>
        <v>0</v>
      </c>
      <c r="AB352" s="1105">
        <f t="shared" si="385"/>
        <v>0</v>
      </c>
      <c r="AC352" s="1105">
        <f t="shared" si="385"/>
        <v>0</v>
      </c>
      <c r="AD352" s="1105">
        <f t="shared" si="385"/>
        <v>0</v>
      </c>
      <c r="AE352" s="1198">
        <f t="shared" si="385"/>
        <v>0</v>
      </c>
      <c r="AF352" s="1198">
        <f t="shared" si="385"/>
        <v>0</v>
      </c>
      <c r="AG352" s="1105">
        <f t="shared" si="385"/>
        <v>0</v>
      </c>
      <c r="AH352" s="1105">
        <f t="shared" si="385"/>
        <v>0</v>
      </c>
      <c r="AI352" s="1105">
        <f t="shared" si="385"/>
        <v>0</v>
      </c>
      <c r="AJ352" s="380">
        <f>SUM(E352:AI352)</f>
        <v>0</v>
      </c>
      <c r="AK352" s="1025">
        <f t="shared" si="339"/>
        <v>0</v>
      </c>
      <c r="AL352" s="419"/>
      <c r="AM352" s="1040">
        <f t="shared" si="340"/>
        <v>0</v>
      </c>
      <c r="AN352" s="382"/>
      <c r="AO352" s="622"/>
      <c r="AP352" s="391"/>
      <c r="AQ352" s="391"/>
      <c r="AR352" s="4"/>
      <c r="AS352" s="4"/>
      <c r="AT352" s="392"/>
      <c r="AU352" s="4"/>
      <c r="AV352" s="4"/>
    </row>
    <row r="353" spans="1:57" ht="19.899999999999999" hidden="1" customHeight="1">
      <c r="A353" s="403"/>
      <c r="B353" s="390"/>
      <c r="C353" s="436">
        <f>+C351*0.8</f>
        <v>40000</v>
      </c>
      <c r="D353" s="85" t="s">
        <v>110</v>
      </c>
      <c r="E353" s="1366"/>
      <c r="F353" s="1172"/>
      <c r="G353" s="1263"/>
      <c r="H353" s="1172"/>
      <c r="I353" s="1172"/>
      <c r="J353" s="1281"/>
      <c r="K353" s="1263"/>
      <c r="L353" s="1172"/>
      <c r="M353" s="1172"/>
      <c r="N353" s="1174"/>
      <c r="O353" s="1173"/>
      <c r="P353" s="1173"/>
      <c r="Q353" s="1281"/>
      <c r="R353" s="1281"/>
      <c r="S353" s="1173"/>
      <c r="T353" s="1107"/>
      <c r="U353" s="1173"/>
      <c r="V353" s="1173"/>
      <c r="W353" s="1175"/>
      <c r="X353" s="1281"/>
      <c r="Y353" s="1281"/>
      <c r="Z353" s="1155"/>
      <c r="AA353" s="1173"/>
      <c r="AB353" s="1173"/>
      <c r="AC353" s="1173"/>
      <c r="AD353" s="1173"/>
      <c r="AE353" s="1281"/>
      <c r="AF353" s="1281"/>
      <c r="AG353" s="1173"/>
      <c r="AH353" s="1173"/>
      <c r="AI353" s="1173"/>
      <c r="AJ353" s="394"/>
      <c r="AK353" s="1025">
        <f t="shared" si="339"/>
        <v>0</v>
      </c>
      <c r="AL353" s="419"/>
      <c r="AM353" s="1040">
        <f t="shared" si="340"/>
        <v>0</v>
      </c>
      <c r="AN353" s="382"/>
      <c r="AO353" s="622"/>
      <c r="AP353" s="391"/>
      <c r="AQ353" s="391"/>
      <c r="AR353" s="4"/>
      <c r="AS353" s="4"/>
      <c r="AT353" s="392"/>
      <c r="AU353" s="4"/>
      <c r="AV353" s="4"/>
    </row>
    <row r="354" spans="1:57" ht="19.899999999999999" hidden="1" customHeight="1">
      <c r="A354" s="403"/>
      <c r="B354" s="390"/>
      <c r="C354" s="89"/>
      <c r="D354" s="88" t="s">
        <v>111</v>
      </c>
      <c r="E354" s="1156">
        <f>IF(E353="O/H",E352,204+E352)</f>
        <v>204</v>
      </c>
      <c r="F354" s="1156">
        <f>IF(F353="O/H",F352,+E354+F352)</f>
        <v>204</v>
      </c>
      <c r="G354" s="1227">
        <f t="shared" ref="G354:AI354" si="386">IF(G353="O/H",G352,+F354+G352)</f>
        <v>204</v>
      </c>
      <c r="H354" s="1156">
        <f t="shared" si="386"/>
        <v>204</v>
      </c>
      <c r="I354" s="1156">
        <f t="shared" si="386"/>
        <v>204</v>
      </c>
      <c r="J354" s="1227">
        <f t="shared" si="386"/>
        <v>204</v>
      </c>
      <c r="K354" s="1227">
        <f t="shared" si="386"/>
        <v>204</v>
      </c>
      <c r="L354" s="1156">
        <f t="shared" si="386"/>
        <v>204</v>
      </c>
      <c r="M354" s="1156">
        <f t="shared" si="386"/>
        <v>204</v>
      </c>
      <c r="N354" s="1156">
        <f t="shared" si="386"/>
        <v>204</v>
      </c>
      <c r="O354" s="1156">
        <f t="shared" si="386"/>
        <v>204</v>
      </c>
      <c r="P354" s="1156">
        <f t="shared" si="386"/>
        <v>204</v>
      </c>
      <c r="Q354" s="1227">
        <f t="shared" si="386"/>
        <v>204</v>
      </c>
      <c r="R354" s="1227">
        <f t="shared" si="386"/>
        <v>204</v>
      </c>
      <c r="S354" s="1156">
        <f t="shared" si="386"/>
        <v>204</v>
      </c>
      <c r="T354" s="1156">
        <f t="shared" si="386"/>
        <v>204</v>
      </c>
      <c r="U354" s="1156">
        <f t="shared" si="386"/>
        <v>204</v>
      </c>
      <c r="V354" s="1156">
        <f t="shared" si="386"/>
        <v>204</v>
      </c>
      <c r="W354" s="1156">
        <f t="shared" si="386"/>
        <v>204</v>
      </c>
      <c r="X354" s="1227">
        <f t="shared" si="386"/>
        <v>204</v>
      </c>
      <c r="Y354" s="1227">
        <f t="shared" si="386"/>
        <v>204</v>
      </c>
      <c r="Z354" s="1156">
        <f t="shared" si="386"/>
        <v>204</v>
      </c>
      <c r="AA354" s="1156">
        <f t="shared" si="386"/>
        <v>204</v>
      </c>
      <c r="AB354" s="1156">
        <f t="shared" si="386"/>
        <v>204</v>
      </c>
      <c r="AC354" s="1156">
        <f t="shared" si="386"/>
        <v>204</v>
      </c>
      <c r="AD354" s="1156">
        <f t="shared" si="386"/>
        <v>204</v>
      </c>
      <c r="AE354" s="1227">
        <f t="shared" si="386"/>
        <v>204</v>
      </c>
      <c r="AF354" s="1227">
        <f t="shared" si="386"/>
        <v>204</v>
      </c>
      <c r="AG354" s="1156">
        <f t="shared" si="386"/>
        <v>204</v>
      </c>
      <c r="AH354" s="1156">
        <f t="shared" si="386"/>
        <v>204</v>
      </c>
      <c r="AI354" s="1156">
        <f t="shared" si="386"/>
        <v>204</v>
      </c>
      <c r="AJ354" s="394"/>
      <c r="AK354" s="1025">
        <f t="shared" si="339"/>
        <v>0</v>
      </c>
      <c r="AL354" s="419"/>
      <c r="AM354" s="1040">
        <f t="shared" si="340"/>
        <v>0</v>
      </c>
      <c r="AN354" s="382"/>
      <c r="AO354" s="622"/>
      <c r="AP354" s="391"/>
      <c r="AQ354" s="391"/>
    </row>
    <row r="355" spans="1:57" ht="19.899999999999999" hidden="1" customHeight="1">
      <c r="A355" s="403"/>
      <c r="B355" s="59"/>
      <c r="C355" s="387"/>
      <c r="D355" s="395" t="s">
        <v>435</v>
      </c>
      <c r="E355" s="1365"/>
      <c r="F355" s="1107"/>
      <c r="G355" s="1228"/>
      <c r="H355" s="1106"/>
      <c r="I355" s="1107"/>
      <c r="J355" s="1228"/>
      <c r="K355" s="1273"/>
      <c r="L355" s="1107"/>
      <c r="M355" s="1107"/>
      <c r="N355" s="1177"/>
      <c r="O355" s="1107"/>
      <c r="P355" s="1177"/>
      <c r="Q355" s="1228"/>
      <c r="R355" s="1228"/>
      <c r="S355" s="1107"/>
      <c r="T355" s="1107"/>
      <c r="U355" s="1107"/>
      <c r="V355" s="1107"/>
      <c r="W355" s="1107"/>
      <c r="X355" s="1228"/>
      <c r="Y355" s="1228"/>
      <c r="Z355" s="1155"/>
      <c r="AA355" s="1107"/>
      <c r="AB355" s="1107"/>
      <c r="AC355" s="1107"/>
      <c r="AD355" s="1107"/>
      <c r="AE355" s="1228"/>
      <c r="AF355" s="1228"/>
      <c r="AG355" s="1107"/>
      <c r="AH355" s="1107"/>
      <c r="AI355" s="1107"/>
      <c r="AJ355" s="396"/>
      <c r="AK355" s="1024">
        <f t="shared" si="339"/>
        <v>0</v>
      </c>
      <c r="AL355" s="420"/>
      <c r="AM355" s="1040">
        <f t="shared" si="340"/>
        <v>0</v>
      </c>
      <c r="AN355" s="382"/>
      <c r="AO355" s="622"/>
      <c r="AP355" s="391"/>
      <c r="AQ355" s="391"/>
    </row>
    <row r="356" spans="1:57" s="23" customFormat="1" ht="20.45" hidden="1" customHeight="1">
      <c r="A356" s="403"/>
      <c r="B356" s="59"/>
      <c r="C356" s="387" t="s">
        <v>104</v>
      </c>
      <c r="D356" s="88" t="s">
        <v>111</v>
      </c>
      <c r="E356" s="1156">
        <f>IF(E355="O/H",E352,204+E352)</f>
        <v>204</v>
      </c>
      <c r="F356" s="1156">
        <f>IF(F355="O/H",F352,+E356+F352)</f>
        <v>204</v>
      </c>
      <c r="G356" s="1227">
        <f t="shared" ref="G356:AF356" si="387">IF(G355="O/H",G352,+F356+G352)</f>
        <v>204</v>
      </c>
      <c r="H356" s="1156">
        <f t="shared" si="387"/>
        <v>204</v>
      </c>
      <c r="I356" s="1156">
        <f t="shared" si="387"/>
        <v>204</v>
      </c>
      <c r="J356" s="1227">
        <f t="shared" si="387"/>
        <v>204</v>
      </c>
      <c r="K356" s="1227">
        <f t="shared" si="387"/>
        <v>204</v>
      </c>
      <c r="L356" s="1156">
        <f t="shared" si="387"/>
        <v>204</v>
      </c>
      <c r="M356" s="1156">
        <f t="shared" si="387"/>
        <v>204</v>
      </c>
      <c r="N356" s="1156">
        <f t="shared" si="387"/>
        <v>204</v>
      </c>
      <c r="O356" s="1156">
        <f t="shared" si="387"/>
        <v>204</v>
      </c>
      <c r="P356" s="1156">
        <f t="shared" si="387"/>
        <v>204</v>
      </c>
      <c r="Q356" s="1227">
        <f t="shared" si="387"/>
        <v>204</v>
      </c>
      <c r="R356" s="1227">
        <f t="shared" si="387"/>
        <v>204</v>
      </c>
      <c r="S356" s="1156">
        <f t="shared" si="387"/>
        <v>204</v>
      </c>
      <c r="T356" s="1156">
        <f t="shared" si="387"/>
        <v>204</v>
      </c>
      <c r="U356" s="1156">
        <f t="shared" si="387"/>
        <v>204</v>
      </c>
      <c r="V356" s="1156">
        <f t="shared" si="387"/>
        <v>204</v>
      </c>
      <c r="W356" s="1156">
        <f t="shared" si="387"/>
        <v>204</v>
      </c>
      <c r="X356" s="1227">
        <f t="shared" si="387"/>
        <v>204</v>
      </c>
      <c r="Y356" s="1227">
        <f t="shared" si="387"/>
        <v>204</v>
      </c>
      <c r="Z356" s="1156">
        <f t="shared" si="387"/>
        <v>204</v>
      </c>
      <c r="AA356" s="1156">
        <f t="shared" si="387"/>
        <v>204</v>
      </c>
      <c r="AB356" s="1156">
        <f t="shared" si="387"/>
        <v>204</v>
      </c>
      <c r="AC356" s="1156">
        <f t="shared" si="387"/>
        <v>204</v>
      </c>
      <c r="AD356" s="1156">
        <f t="shared" si="387"/>
        <v>204</v>
      </c>
      <c r="AE356" s="1227">
        <f t="shared" si="387"/>
        <v>204</v>
      </c>
      <c r="AF356" s="1227">
        <f t="shared" si="387"/>
        <v>204</v>
      </c>
      <c r="AG356" s="1156">
        <f t="shared" ref="AG356" si="388">IF(AG355="O/H",AG352,+AF356+AG352)</f>
        <v>204</v>
      </c>
      <c r="AH356" s="1156">
        <f t="shared" ref="AH356" si="389">IF(AH355="O/H",AH352,+AG356+AH352)</f>
        <v>204</v>
      </c>
      <c r="AI356" s="1156">
        <f t="shared" ref="AI356" si="390">IF(AI355="O/H",AI352,+AH356+AI352)</f>
        <v>204</v>
      </c>
      <c r="AJ356" s="394"/>
      <c r="AK356" s="1025">
        <f t="shared" si="339"/>
        <v>0</v>
      </c>
      <c r="AL356" s="419"/>
      <c r="AM356" s="1040">
        <f t="shared" si="340"/>
        <v>0</v>
      </c>
      <c r="AN356" s="382"/>
      <c r="AO356" s="622"/>
      <c r="AP356" s="285"/>
      <c r="AQ356" s="285"/>
      <c r="AR356" s="285"/>
      <c r="AS356" s="285"/>
      <c r="AT356" s="286"/>
      <c r="AU356" s="285"/>
      <c r="AV356" s="287"/>
    </row>
    <row r="357" spans="1:57" ht="19.899999999999999" hidden="1" customHeight="1">
      <c r="A357" s="312"/>
      <c r="B357" s="312"/>
      <c r="C357" s="379">
        <v>150000</v>
      </c>
      <c r="D357" s="795" t="s">
        <v>112</v>
      </c>
      <c r="E357" s="1117" t="b">
        <f>IF(AND(ISNUMBER(E346)),1072594+E352)</f>
        <v>0</v>
      </c>
      <c r="F357" s="1118" t="str">
        <f>IF(AND(ISNUMBER(F346)),E357+F352,"")</f>
        <v/>
      </c>
      <c r="G357" s="1216" t="str">
        <f>IF(AND(ISNUMBER(G346)),F357+G352,"")</f>
        <v/>
      </c>
      <c r="H357" s="1118" t="str">
        <f t="shared" ref="H357:AI357" si="391">IF(AND(ISNUMBER(H346)),G357+H352,"")</f>
        <v/>
      </c>
      <c r="I357" s="1118" t="str">
        <f t="shared" si="391"/>
        <v/>
      </c>
      <c r="J357" s="1216" t="str">
        <f t="shared" si="391"/>
        <v/>
      </c>
      <c r="K357" s="1216" t="str">
        <f t="shared" si="391"/>
        <v/>
      </c>
      <c r="L357" s="1118" t="str">
        <f t="shared" si="391"/>
        <v/>
      </c>
      <c r="M357" s="1118" t="str">
        <f t="shared" si="391"/>
        <v/>
      </c>
      <c r="N357" s="1118" t="str">
        <f t="shared" si="391"/>
        <v/>
      </c>
      <c r="O357" s="1118" t="str">
        <f t="shared" si="391"/>
        <v/>
      </c>
      <c r="P357" s="1118" t="str">
        <f t="shared" si="391"/>
        <v/>
      </c>
      <c r="Q357" s="1216" t="str">
        <f t="shared" si="391"/>
        <v/>
      </c>
      <c r="R357" s="1216" t="str">
        <f t="shared" si="391"/>
        <v/>
      </c>
      <c r="S357" s="1118" t="str">
        <f t="shared" si="391"/>
        <v/>
      </c>
      <c r="T357" s="1118" t="str">
        <f t="shared" si="391"/>
        <v/>
      </c>
      <c r="U357" s="1118" t="str">
        <f t="shared" si="391"/>
        <v/>
      </c>
      <c r="V357" s="1118" t="str">
        <f t="shared" si="391"/>
        <v/>
      </c>
      <c r="W357" s="1118" t="str">
        <f t="shared" si="391"/>
        <v/>
      </c>
      <c r="X357" s="1216" t="str">
        <f t="shared" si="391"/>
        <v/>
      </c>
      <c r="Y357" s="1216" t="str">
        <f t="shared" si="391"/>
        <v/>
      </c>
      <c r="Z357" s="1118" t="str">
        <f t="shared" si="391"/>
        <v/>
      </c>
      <c r="AA357" s="1118" t="str">
        <f t="shared" si="391"/>
        <v/>
      </c>
      <c r="AB357" s="1118" t="str">
        <f t="shared" si="391"/>
        <v/>
      </c>
      <c r="AC357" s="1118" t="str">
        <f t="shared" si="391"/>
        <v/>
      </c>
      <c r="AD357" s="1118" t="str">
        <f t="shared" si="391"/>
        <v/>
      </c>
      <c r="AE357" s="1216" t="str">
        <f t="shared" si="391"/>
        <v/>
      </c>
      <c r="AF357" s="1216" t="str">
        <f t="shared" si="391"/>
        <v/>
      </c>
      <c r="AG357" s="1118" t="str">
        <f t="shared" si="391"/>
        <v/>
      </c>
      <c r="AH357" s="1118" t="str">
        <f t="shared" si="391"/>
        <v/>
      </c>
      <c r="AI357" s="1118" t="str">
        <f t="shared" si="391"/>
        <v/>
      </c>
      <c r="AJ357" s="793"/>
      <c r="AK357" s="1026">
        <f t="shared" si="339"/>
        <v>0</v>
      </c>
      <c r="AL357" s="897"/>
      <c r="AM357" s="1042">
        <f t="shared" si="340"/>
        <v>0</v>
      </c>
      <c r="AN357" s="468"/>
      <c r="AO357" s="675"/>
      <c r="AP357" s="391"/>
      <c r="AQ357" s="391"/>
    </row>
    <row r="358" spans="1:57" ht="19.899999999999999" hidden="1" customHeight="1">
      <c r="A358" s="403"/>
      <c r="B358" s="393" t="s">
        <v>528</v>
      </c>
      <c r="C358" s="89" t="s">
        <v>108</v>
      </c>
      <c r="D358" s="90" t="s">
        <v>104</v>
      </c>
      <c r="E358" s="1365"/>
      <c r="F358" s="1107"/>
      <c r="G358" s="1228"/>
      <c r="H358" s="1176"/>
      <c r="I358" s="1107"/>
      <c r="J358" s="1228"/>
      <c r="K358" s="1273"/>
      <c r="L358" s="1107"/>
      <c r="M358" s="1107"/>
      <c r="N358" s="1177"/>
      <c r="O358" s="1107"/>
      <c r="P358" s="1177"/>
      <c r="Q358" s="1228"/>
      <c r="R358" s="1228"/>
      <c r="S358" s="1107"/>
      <c r="T358" s="1107"/>
      <c r="U358" s="1107"/>
      <c r="V358" s="1107"/>
      <c r="W358" s="1107"/>
      <c r="X358" s="1228"/>
      <c r="Y358" s="1228"/>
      <c r="Z358" s="1106"/>
      <c r="AA358" s="1107"/>
      <c r="AB358" s="1107"/>
      <c r="AC358" s="1107"/>
      <c r="AD358" s="1107"/>
      <c r="AE358" s="1228"/>
      <c r="AF358" s="1228"/>
      <c r="AG358" s="1107"/>
      <c r="AH358" s="1107"/>
      <c r="AI358" s="1107"/>
      <c r="AJ358" s="396"/>
      <c r="AK358" s="1024">
        <f t="shared" si="339"/>
        <v>200000</v>
      </c>
      <c r="AL358" s="420"/>
      <c r="AM358" s="1040">
        <f t="shared" si="340"/>
        <v>1156982</v>
      </c>
      <c r="AN358" s="382"/>
      <c r="AO358" s="622"/>
      <c r="AP358" s="391"/>
      <c r="AQ358" s="391"/>
    </row>
    <row r="359" spans="1:57" ht="19.899999999999999" hidden="1" customHeight="1" thickBot="1">
      <c r="A359" s="406"/>
      <c r="B359" s="398"/>
      <c r="C359" s="434">
        <f>+C357*0.8</f>
        <v>120000</v>
      </c>
      <c r="D359" s="95" t="s">
        <v>111</v>
      </c>
      <c r="E359" s="1109">
        <f>IF(E358="O/H",E352,50756+E352)</f>
        <v>50756</v>
      </c>
      <c r="F359" s="1110">
        <f>IF(F358="O/H",F352,+E359+F352)</f>
        <v>50756</v>
      </c>
      <c r="G359" s="1212">
        <f t="shared" ref="G359:AF359" si="392">IF(G358="O/H",G352,+F359+G352)</f>
        <v>50756</v>
      </c>
      <c r="H359" s="1110">
        <f t="shared" si="392"/>
        <v>50756</v>
      </c>
      <c r="I359" s="1110">
        <f t="shared" si="392"/>
        <v>50756</v>
      </c>
      <c r="J359" s="1212">
        <f t="shared" si="392"/>
        <v>50756</v>
      </c>
      <c r="K359" s="1212">
        <f t="shared" si="392"/>
        <v>50756</v>
      </c>
      <c r="L359" s="1110">
        <f t="shared" si="392"/>
        <v>50756</v>
      </c>
      <c r="M359" s="1110">
        <f t="shared" si="392"/>
        <v>50756</v>
      </c>
      <c r="N359" s="1110">
        <f t="shared" si="392"/>
        <v>50756</v>
      </c>
      <c r="O359" s="1110">
        <f t="shared" si="392"/>
        <v>50756</v>
      </c>
      <c r="P359" s="1110">
        <f t="shared" si="392"/>
        <v>50756</v>
      </c>
      <c r="Q359" s="1212">
        <f t="shared" si="392"/>
        <v>50756</v>
      </c>
      <c r="R359" s="1212">
        <f t="shared" si="392"/>
        <v>50756</v>
      </c>
      <c r="S359" s="1110">
        <f t="shared" si="392"/>
        <v>50756</v>
      </c>
      <c r="T359" s="1110">
        <f t="shared" si="392"/>
        <v>50756</v>
      </c>
      <c r="U359" s="1110">
        <f t="shared" si="392"/>
        <v>50756</v>
      </c>
      <c r="V359" s="1110">
        <f t="shared" si="392"/>
        <v>50756</v>
      </c>
      <c r="W359" s="1110">
        <f t="shared" si="392"/>
        <v>50756</v>
      </c>
      <c r="X359" s="1212">
        <f t="shared" si="392"/>
        <v>50756</v>
      </c>
      <c r="Y359" s="1212">
        <f t="shared" si="392"/>
        <v>50756</v>
      </c>
      <c r="Z359" s="1110">
        <f t="shared" si="392"/>
        <v>50756</v>
      </c>
      <c r="AA359" s="1110">
        <f t="shared" si="392"/>
        <v>50756</v>
      </c>
      <c r="AB359" s="1110">
        <f t="shared" si="392"/>
        <v>50756</v>
      </c>
      <c r="AC359" s="1110">
        <f t="shared" si="392"/>
        <v>50756</v>
      </c>
      <c r="AD359" s="1110">
        <f t="shared" si="392"/>
        <v>50756</v>
      </c>
      <c r="AE359" s="1212">
        <f t="shared" si="392"/>
        <v>50756</v>
      </c>
      <c r="AF359" s="1212">
        <f t="shared" si="392"/>
        <v>50756</v>
      </c>
      <c r="AG359" s="1110">
        <f t="shared" ref="AG359" si="393">IF(AG358="O/H",AG352,+AF359+AG352)</f>
        <v>50756</v>
      </c>
      <c r="AH359" s="1110">
        <f t="shared" ref="AH359" si="394">IF(AH358="O/H",AH352,+AG359+AH352)</f>
        <v>50756</v>
      </c>
      <c r="AI359" s="1110">
        <f t="shared" ref="AI359" si="395">IF(AI358="O/H",AI352,+AH359+AI352)</f>
        <v>50756</v>
      </c>
      <c r="AJ359" s="399"/>
      <c r="AK359" s="1027">
        <f t="shared" si="339"/>
        <v>0</v>
      </c>
      <c r="AL359" s="421"/>
      <c r="AM359" s="1043">
        <f t="shared" si="340"/>
        <v>0</v>
      </c>
      <c r="AN359" s="894"/>
      <c r="AO359" s="625"/>
      <c r="AP359" s="32"/>
      <c r="AQ359" s="33"/>
      <c r="AR359" s="33"/>
      <c r="AS359" s="33"/>
      <c r="AT359" s="33"/>
      <c r="AU359" s="33"/>
      <c r="AV359" s="34"/>
      <c r="BE359" s="1">
        <v>34000</v>
      </c>
    </row>
    <row r="360" spans="1:57" ht="19.899999999999999" customHeight="1" thickTop="1">
      <c r="A360" s="968" t="s">
        <v>601</v>
      </c>
      <c r="B360" s="393" t="s">
        <v>663</v>
      </c>
      <c r="C360" s="518" t="str">
        <f>Table37[[#This Row],[M/C No.]]</f>
        <v>R17(18ton)</v>
      </c>
      <c r="D360" s="28" t="s">
        <v>82</v>
      </c>
      <c r="E360" s="1124">
        <v>15000</v>
      </c>
      <c r="F360" s="1124">
        <v>15000</v>
      </c>
      <c r="G360" s="1242">
        <v>15000</v>
      </c>
      <c r="H360" s="1124">
        <v>15000</v>
      </c>
      <c r="I360" s="1124">
        <v>15000</v>
      </c>
      <c r="J360" s="1242">
        <v>15000</v>
      </c>
      <c r="K360" s="1242">
        <v>15000</v>
      </c>
      <c r="L360" s="1124">
        <v>15000</v>
      </c>
      <c r="M360" s="1124">
        <v>15000</v>
      </c>
      <c r="N360" s="1124">
        <v>15000</v>
      </c>
      <c r="O360" s="1124">
        <v>15000</v>
      </c>
      <c r="P360" s="1124">
        <v>15000</v>
      </c>
      <c r="Q360" s="1242">
        <v>15000</v>
      </c>
      <c r="R360" s="1242">
        <v>5000</v>
      </c>
      <c r="S360" s="1124">
        <v>0</v>
      </c>
      <c r="T360" s="1124">
        <v>0</v>
      </c>
      <c r="U360" s="1124">
        <v>0</v>
      </c>
      <c r="V360" s="1124">
        <v>0</v>
      </c>
      <c r="W360" s="1124">
        <v>0</v>
      </c>
      <c r="X360" s="1242">
        <v>0</v>
      </c>
      <c r="Y360" s="1242">
        <v>0</v>
      </c>
      <c r="Z360" s="1124">
        <v>0</v>
      </c>
      <c r="AA360" s="1124">
        <v>0</v>
      </c>
      <c r="AB360" s="1124">
        <v>0</v>
      </c>
      <c r="AC360" s="1124">
        <v>0</v>
      </c>
      <c r="AD360" s="1124">
        <v>0</v>
      </c>
      <c r="AE360" s="1242">
        <v>0</v>
      </c>
      <c r="AF360" s="1242">
        <v>0</v>
      </c>
      <c r="AG360" s="1124">
        <v>0</v>
      </c>
      <c r="AH360" s="1124">
        <v>0</v>
      </c>
      <c r="AI360" s="1124"/>
      <c r="AJ360" s="375">
        <f>SUM(E360:AI360)</f>
        <v>200000</v>
      </c>
      <c r="AK360" s="1047">
        <f t="shared" si="339"/>
        <v>296370</v>
      </c>
      <c r="AL360" s="422">
        <f>+AJ360*AN360</f>
        <v>1156982</v>
      </c>
      <c r="AM360" s="1046">
        <f t="shared" si="340"/>
        <v>1714473.7767</v>
      </c>
      <c r="AN360" s="402">
        <v>5.78491</v>
      </c>
      <c r="AO360" s="622">
        <f>Table37[[#This Row],[Total]]*B364/1000</f>
        <v>523.00000000000011</v>
      </c>
      <c r="AP360" s="32" t="s">
        <v>479</v>
      </c>
      <c r="AQ360" s="33" t="s">
        <v>84</v>
      </c>
      <c r="AR360" s="33" t="s">
        <v>85</v>
      </c>
      <c r="AS360" s="33" t="s">
        <v>86</v>
      </c>
      <c r="AT360" s="33" t="s">
        <v>87</v>
      </c>
      <c r="AU360" s="33" t="s">
        <v>88</v>
      </c>
      <c r="AV360" s="34" t="s">
        <v>68</v>
      </c>
    </row>
    <row r="361" spans="1:57" ht="19.899999999999999" customHeight="1">
      <c r="A361" s="403"/>
      <c r="B361" s="393" t="s">
        <v>459</v>
      </c>
      <c r="C361" s="52" t="s">
        <v>95</v>
      </c>
      <c r="D361" s="37" t="s">
        <v>90</v>
      </c>
      <c r="E361" s="1323">
        <f>IF(E360="",0, +E360/E367)</f>
        <v>3750</v>
      </c>
      <c r="F361" s="1096">
        <f t="shared" ref="F361:AI361" si="396">IF(F360="",0, E361+F360/F367)</f>
        <v>7500</v>
      </c>
      <c r="G361" s="1207">
        <f t="shared" si="396"/>
        <v>11250</v>
      </c>
      <c r="H361" s="1096">
        <f t="shared" si="396"/>
        <v>15000</v>
      </c>
      <c r="I361" s="1096">
        <f t="shared" si="396"/>
        <v>18750</v>
      </c>
      <c r="J361" s="1207">
        <f t="shared" si="396"/>
        <v>22500</v>
      </c>
      <c r="K361" s="1207">
        <f t="shared" si="396"/>
        <v>26250</v>
      </c>
      <c r="L361" s="1096">
        <f t="shared" si="396"/>
        <v>30000</v>
      </c>
      <c r="M361" s="1096">
        <f t="shared" si="396"/>
        <v>33750</v>
      </c>
      <c r="N361" s="1096">
        <f t="shared" si="396"/>
        <v>37500</v>
      </c>
      <c r="O361" s="1096">
        <f t="shared" si="396"/>
        <v>41250</v>
      </c>
      <c r="P361" s="1096">
        <f t="shared" si="396"/>
        <v>45000</v>
      </c>
      <c r="Q361" s="1207">
        <f t="shared" si="396"/>
        <v>48750</v>
      </c>
      <c r="R361" s="1207">
        <f t="shared" si="396"/>
        <v>50000</v>
      </c>
      <c r="S361" s="1096">
        <f t="shared" si="396"/>
        <v>50000</v>
      </c>
      <c r="T361" s="1096">
        <f t="shared" si="396"/>
        <v>50000</v>
      </c>
      <c r="U361" s="1096">
        <f t="shared" si="396"/>
        <v>50000</v>
      </c>
      <c r="V361" s="1096">
        <f t="shared" si="396"/>
        <v>50000</v>
      </c>
      <c r="W361" s="1096">
        <f t="shared" si="396"/>
        <v>50000</v>
      </c>
      <c r="X361" s="1207">
        <f t="shared" si="396"/>
        <v>50000</v>
      </c>
      <c r="Y361" s="1207">
        <f t="shared" si="396"/>
        <v>50000</v>
      </c>
      <c r="Z361" s="1096">
        <f t="shared" si="396"/>
        <v>50000</v>
      </c>
      <c r="AA361" s="1096">
        <f t="shared" si="396"/>
        <v>50000</v>
      </c>
      <c r="AB361" s="1096">
        <f t="shared" si="396"/>
        <v>50000</v>
      </c>
      <c r="AC361" s="1096">
        <f>IF(AC360="",0, Y361+AC360/AC367)</f>
        <v>50000</v>
      </c>
      <c r="AD361" s="1096">
        <f>IF(AD360="",0, Z361+AD360/AD367)</f>
        <v>50000</v>
      </c>
      <c r="AE361" s="1207">
        <f>IF(AE360="",0, AA361+AE360/AE367)</f>
        <v>50000</v>
      </c>
      <c r="AF361" s="1207">
        <f>IF(AF360="",0, AB361+AF360/AF367)</f>
        <v>50000</v>
      </c>
      <c r="AG361" s="1096">
        <f t="shared" si="396"/>
        <v>50000</v>
      </c>
      <c r="AH361" s="1096">
        <f t="shared" si="396"/>
        <v>50000</v>
      </c>
      <c r="AI361" s="1096">
        <f t="shared" si="396"/>
        <v>0</v>
      </c>
      <c r="AJ361" s="375"/>
      <c r="AK361" s="1023">
        <f t="shared" si="339"/>
        <v>96370</v>
      </c>
      <c r="AL361" s="423"/>
      <c r="AM361" s="1040">
        <f t="shared" si="340"/>
        <v>557491.77670000005</v>
      </c>
      <c r="AN361" s="382"/>
      <c r="AO361" s="675"/>
      <c r="AP361" s="39" t="s">
        <v>91</v>
      </c>
      <c r="AQ361" s="40">
        <f>SUM(E360:H360)</f>
        <v>60000</v>
      </c>
      <c r="AR361" s="41">
        <f>SUM(I360:O360)</f>
        <v>105000</v>
      </c>
      <c r="AS361" s="41">
        <f>SUM(P360:V360)</f>
        <v>35000</v>
      </c>
      <c r="AT361" s="41">
        <f>SUM(W360:AC360)</f>
        <v>0</v>
      </c>
      <c r="AU361" s="41">
        <f>SUM(AD360:AI360)</f>
        <v>0</v>
      </c>
      <c r="AV361" s="34">
        <f t="shared" ref="AV361:AV366" si="397">SUM(AQ361:AU361)</f>
        <v>200000</v>
      </c>
    </row>
    <row r="362" spans="1:57" ht="19.899999999999999" customHeight="1">
      <c r="A362" s="403"/>
      <c r="B362" s="393" t="s">
        <v>246</v>
      </c>
      <c r="C362" s="379">
        <v>60000</v>
      </c>
      <c r="D362" s="43" t="s">
        <v>93</v>
      </c>
      <c r="E362" s="1108">
        <v>15930</v>
      </c>
      <c r="F362" s="1089">
        <v>13770</v>
      </c>
      <c r="G362" s="44">
        <v>15120</v>
      </c>
      <c r="H362" s="1089">
        <v>15120</v>
      </c>
      <c r="I362" s="1089">
        <v>0</v>
      </c>
      <c r="J362" s="44">
        <v>11880</v>
      </c>
      <c r="K362" s="44">
        <v>15930</v>
      </c>
      <c r="L362" s="1089">
        <v>12960</v>
      </c>
      <c r="M362" s="1089">
        <v>14850</v>
      </c>
      <c r="N362" s="1089">
        <v>15120</v>
      </c>
      <c r="O362" s="1089">
        <v>16200</v>
      </c>
      <c r="P362" s="1089">
        <v>16200</v>
      </c>
      <c r="Q362" s="44">
        <v>16200</v>
      </c>
      <c r="R362" s="44">
        <v>16200</v>
      </c>
      <c r="S362" s="1089">
        <v>4950</v>
      </c>
      <c r="T362" s="1089">
        <v>15120</v>
      </c>
      <c r="U362" s="1089">
        <v>15120</v>
      </c>
      <c r="V362" s="1089">
        <v>15120</v>
      </c>
      <c r="W362" s="1089">
        <v>13860</v>
      </c>
      <c r="X362" s="44">
        <v>15120</v>
      </c>
      <c r="Y362" s="44">
        <v>15120</v>
      </c>
      <c r="Z362" s="1089">
        <v>6480</v>
      </c>
      <c r="AA362" s="1089">
        <v>0</v>
      </c>
      <c r="AB362" s="1089"/>
      <c r="AC362" s="1089"/>
      <c r="AD362" s="1089"/>
      <c r="AE362" s="44"/>
      <c r="AF362" s="44"/>
      <c r="AG362" s="1089"/>
      <c r="AH362" s="1089"/>
      <c r="AI362" s="1089"/>
      <c r="AJ362" s="380">
        <f>SUM(E362:AI362)</f>
        <v>296370</v>
      </c>
      <c r="AK362" s="1024">
        <f t="shared" si="339"/>
        <v>7918</v>
      </c>
      <c r="AL362" s="424">
        <f>+AJ362*AN360</f>
        <v>1714473.7767</v>
      </c>
      <c r="AM362" s="1041">
        <f t="shared" si="340"/>
        <v>45804.917379999999</v>
      </c>
      <c r="AN362" s="382"/>
      <c r="AO362" s="632">
        <f>(AJ362+AJ364+AJ365+AJ366)*B364/1000</f>
        <v>809.4784800000001</v>
      </c>
      <c r="AP362" s="47" t="s">
        <v>94</v>
      </c>
      <c r="AQ362" s="48">
        <f>SUM(E362:H362)</f>
        <v>59940</v>
      </c>
      <c r="AR362" s="49">
        <f>SUM(I362:O362)</f>
        <v>86940</v>
      </c>
      <c r="AS362" s="49">
        <f>SUM(P362:V362)</f>
        <v>98910</v>
      </c>
      <c r="AT362" s="49">
        <f>SUM(W362:AC362)</f>
        <v>50580</v>
      </c>
      <c r="AU362" s="49">
        <f>SUM(AD362:AI362)</f>
        <v>0</v>
      </c>
      <c r="AV362" s="50">
        <f t="shared" si="397"/>
        <v>296370</v>
      </c>
    </row>
    <row r="363" spans="1:57" ht="19.899999999999999" customHeight="1">
      <c r="A363" s="403"/>
      <c r="B363" s="767" t="s">
        <v>247</v>
      </c>
      <c r="C363" s="89" t="s">
        <v>108</v>
      </c>
      <c r="D363" s="53" t="s">
        <v>96</v>
      </c>
      <c r="E363" s="1137">
        <f t="shared" ref="E363:AJ363" si="398">+E362-E360</f>
        <v>930</v>
      </c>
      <c r="F363" s="1097">
        <f t="shared" si="398"/>
        <v>-1230</v>
      </c>
      <c r="G363" s="1205">
        <f t="shared" si="398"/>
        <v>120</v>
      </c>
      <c r="H363" s="1097">
        <f t="shared" si="398"/>
        <v>120</v>
      </c>
      <c r="I363" s="1097">
        <f t="shared" si="398"/>
        <v>-15000</v>
      </c>
      <c r="J363" s="1205">
        <f t="shared" si="398"/>
        <v>-3120</v>
      </c>
      <c r="K363" s="1205">
        <f t="shared" si="398"/>
        <v>930</v>
      </c>
      <c r="L363" s="1097">
        <f t="shared" si="398"/>
        <v>-2040</v>
      </c>
      <c r="M363" s="1097">
        <f t="shared" si="398"/>
        <v>-150</v>
      </c>
      <c r="N363" s="1097">
        <f t="shared" si="398"/>
        <v>120</v>
      </c>
      <c r="O363" s="1097">
        <f t="shared" si="398"/>
        <v>1200</v>
      </c>
      <c r="P363" s="1097">
        <f t="shared" si="398"/>
        <v>1200</v>
      </c>
      <c r="Q363" s="1205">
        <f t="shared" si="398"/>
        <v>1200</v>
      </c>
      <c r="R363" s="1205">
        <f t="shared" ref="R363:S363" si="399">+R362-R360</f>
        <v>11200</v>
      </c>
      <c r="S363" s="1097">
        <f t="shared" si="399"/>
        <v>4950</v>
      </c>
      <c r="T363" s="1097">
        <f t="shared" si="398"/>
        <v>15120</v>
      </c>
      <c r="U363" s="1097">
        <f t="shared" si="398"/>
        <v>15120</v>
      </c>
      <c r="V363" s="1097">
        <f t="shared" si="398"/>
        <v>15120</v>
      </c>
      <c r="W363" s="1097">
        <f t="shared" si="398"/>
        <v>13860</v>
      </c>
      <c r="X363" s="1205">
        <f t="shared" si="398"/>
        <v>15120</v>
      </c>
      <c r="Y363" s="1205">
        <f t="shared" si="398"/>
        <v>15120</v>
      </c>
      <c r="Z363" s="1097">
        <f t="shared" si="398"/>
        <v>6480</v>
      </c>
      <c r="AA363" s="1097">
        <f t="shared" si="398"/>
        <v>0</v>
      </c>
      <c r="AB363" s="1097">
        <f t="shared" si="398"/>
        <v>0</v>
      </c>
      <c r="AC363" s="1097">
        <f t="shared" si="398"/>
        <v>0</v>
      </c>
      <c r="AD363" s="1097">
        <f t="shared" si="398"/>
        <v>0</v>
      </c>
      <c r="AE363" s="1205">
        <f t="shared" si="398"/>
        <v>0</v>
      </c>
      <c r="AF363" s="1205">
        <f t="shared" si="398"/>
        <v>0</v>
      </c>
      <c r="AG363" s="1097">
        <f>+AG362-AG360</f>
        <v>0</v>
      </c>
      <c r="AH363" s="1097">
        <f t="shared" si="398"/>
        <v>0</v>
      </c>
      <c r="AI363" s="1097">
        <f t="shared" si="398"/>
        <v>0</v>
      </c>
      <c r="AJ363" s="381">
        <f t="shared" si="398"/>
        <v>96370</v>
      </c>
      <c r="AK363" s="1024">
        <f t="shared" si="339"/>
        <v>3576</v>
      </c>
      <c r="AL363" s="425">
        <f>+AJ363*AN360</f>
        <v>557491.77670000005</v>
      </c>
      <c r="AM363" s="1041">
        <f t="shared" si="340"/>
        <v>20686.838159999999</v>
      </c>
      <c r="AN363" s="382" t="s">
        <v>97</v>
      </c>
      <c r="AO363" s="622"/>
      <c r="AP363" s="39" t="s">
        <v>98</v>
      </c>
      <c r="AQ363" s="56">
        <f>AQ362-AQ361</f>
        <v>-60</v>
      </c>
      <c r="AR363" s="70">
        <f>AR362-AR361</f>
        <v>-18060</v>
      </c>
      <c r="AS363" s="70">
        <f>AS362-AS361</f>
        <v>63910</v>
      </c>
      <c r="AT363" s="70">
        <f>AT362-AT361</f>
        <v>50580</v>
      </c>
      <c r="AU363" s="70">
        <f>AU362-AU361</f>
        <v>0</v>
      </c>
      <c r="AV363" s="57">
        <f t="shared" si="397"/>
        <v>96370</v>
      </c>
    </row>
    <row r="364" spans="1:57" ht="19.899999999999999" customHeight="1">
      <c r="A364" s="403"/>
      <c r="B364" s="767">
        <v>2.6150000000000002</v>
      </c>
      <c r="C364" s="432">
        <f>+C362*0.8</f>
        <v>48000</v>
      </c>
      <c r="D364" s="61" t="s">
        <v>101</v>
      </c>
      <c r="E364" s="1098">
        <v>400</v>
      </c>
      <c r="F364" s="1099">
        <v>720</v>
      </c>
      <c r="G364" s="1208">
        <v>284</v>
      </c>
      <c r="H364" s="1099">
        <v>240</v>
      </c>
      <c r="I364" s="1099">
        <f>280+272</f>
        <v>552</v>
      </c>
      <c r="J364" s="1208">
        <f>200+840</f>
        <v>1040</v>
      </c>
      <c r="K364" s="1208">
        <v>140</v>
      </c>
      <c r="L364" s="1099">
        <f>120+220</f>
        <v>340</v>
      </c>
      <c r="M364" s="1099">
        <v>280</v>
      </c>
      <c r="N364" s="1099">
        <v>40</v>
      </c>
      <c r="O364" s="1099">
        <v>120</v>
      </c>
      <c r="P364" s="1099">
        <v>200</v>
      </c>
      <c r="Q364" s="1208">
        <v>60</v>
      </c>
      <c r="R364" s="1208">
        <v>60</v>
      </c>
      <c r="S364" s="1099">
        <f>200+300</f>
        <v>500</v>
      </c>
      <c r="T364" s="1099">
        <f>120+200</f>
        <v>320</v>
      </c>
      <c r="U364" s="1099">
        <v>280</v>
      </c>
      <c r="V364" s="1099">
        <v>40</v>
      </c>
      <c r="W364" s="1099">
        <v>462</v>
      </c>
      <c r="X364" s="1208">
        <v>0</v>
      </c>
      <c r="Y364" s="1208">
        <f>80+400</f>
        <v>480</v>
      </c>
      <c r="Z364" s="1099">
        <f>120+440</f>
        <v>560</v>
      </c>
      <c r="AA364" s="1099">
        <f>320+480</f>
        <v>800</v>
      </c>
      <c r="AB364" s="1099"/>
      <c r="AC364" s="1099"/>
      <c r="AD364" s="1099"/>
      <c r="AE364" s="1208"/>
      <c r="AF364" s="1208"/>
      <c r="AG364" s="1099"/>
      <c r="AH364" s="1099"/>
      <c r="AI364" s="1099"/>
      <c r="AJ364" s="384">
        <f>SUM(E364:AI364)</f>
        <v>7918</v>
      </c>
      <c r="AK364" s="1024">
        <f t="shared" si="339"/>
        <v>1688</v>
      </c>
      <c r="AL364" s="420">
        <f>+AJ364*AN360</f>
        <v>45804.917379999999</v>
      </c>
      <c r="AM364" s="1040">
        <f t="shared" si="340"/>
        <v>9764.9280799999997</v>
      </c>
      <c r="AN364" s="404">
        <f>+AJ364/AJ362*100</f>
        <v>2.6716604244694131</v>
      </c>
      <c r="AO364" s="635">
        <f>AO362/AO360</f>
        <v>1.5477599999999998</v>
      </c>
      <c r="AP364" s="39" t="s">
        <v>102</v>
      </c>
      <c r="AQ364" s="56">
        <f>SUM(E364:H364)</f>
        <v>1644</v>
      </c>
      <c r="AR364" s="70">
        <f>SUM(I364:O364)</f>
        <v>2512</v>
      </c>
      <c r="AS364" s="70">
        <f>SUM(P364:V364)</f>
        <v>1460</v>
      </c>
      <c r="AT364" s="70">
        <f>SUM(W364:AC364)</f>
        <v>2302</v>
      </c>
      <c r="AU364" s="70">
        <f>SUM(AD364:AI364)</f>
        <v>0</v>
      </c>
      <c r="AV364" s="57">
        <f t="shared" si="397"/>
        <v>7918</v>
      </c>
    </row>
    <row r="365" spans="1:57" ht="19.899999999999999" customHeight="1">
      <c r="A365" s="403"/>
      <c r="B365" s="65"/>
      <c r="C365" s="432"/>
      <c r="D365" s="67" t="s">
        <v>103</v>
      </c>
      <c r="E365" s="1100">
        <v>162</v>
      </c>
      <c r="F365" s="1101">
        <v>162</v>
      </c>
      <c r="G365" s="1209">
        <v>162</v>
      </c>
      <c r="H365" s="1101">
        <v>144</v>
      </c>
      <c r="I365" s="1101">
        <v>0</v>
      </c>
      <c r="J365" s="1209">
        <v>150</v>
      </c>
      <c r="K365" s="1209">
        <v>180</v>
      </c>
      <c r="L365" s="1101">
        <v>222</v>
      </c>
      <c r="M365" s="1101">
        <v>222</v>
      </c>
      <c r="N365" s="1101">
        <v>162</v>
      </c>
      <c r="O365" s="1101">
        <v>162</v>
      </c>
      <c r="P365" s="1101">
        <v>162</v>
      </c>
      <c r="Q365" s="1209">
        <v>162</v>
      </c>
      <c r="R365" s="1209">
        <v>162</v>
      </c>
      <c r="S365" s="1101">
        <v>42</v>
      </c>
      <c r="T365" s="1101">
        <v>162</v>
      </c>
      <c r="U365" s="1101">
        <v>162</v>
      </c>
      <c r="V365" s="1101">
        <v>162</v>
      </c>
      <c r="W365" s="1101">
        <v>162</v>
      </c>
      <c r="X365" s="1209">
        <v>420</v>
      </c>
      <c r="Y365" s="1209">
        <v>162</v>
      </c>
      <c r="Z365" s="1101">
        <v>90</v>
      </c>
      <c r="AA365" s="1101">
        <v>0</v>
      </c>
      <c r="AB365" s="1101"/>
      <c r="AC365" s="1101"/>
      <c r="AD365" s="1101"/>
      <c r="AE365" s="1209"/>
      <c r="AF365" s="1209"/>
      <c r="AG365" s="1101"/>
      <c r="AH365" s="1101"/>
      <c r="AI365" s="1101"/>
      <c r="AJ365" s="386">
        <f>SUM(E365:AI365)</f>
        <v>3576</v>
      </c>
      <c r="AK365" s="1024">
        <f t="shared" si="339"/>
        <v>0</v>
      </c>
      <c r="AL365" s="426">
        <f>+AJ365*AN360</f>
        <v>20686.838159999999</v>
      </c>
      <c r="AM365" s="1040">
        <f t="shared" si="340"/>
        <v>0</v>
      </c>
      <c r="AN365" s="382"/>
      <c r="AO365" s="622"/>
      <c r="AP365" s="39" t="s">
        <v>19</v>
      </c>
      <c r="AQ365" s="56">
        <f>AQ364*AN360</f>
        <v>9510.3920400000006</v>
      </c>
      <c r="AR365" s="56">
        <f>AR364*AN360</f>
        <v>14531.69392</v>
      </c>
      <c r="AS365" s="56">
        <f>AS364*AN360</f>
        <v>8445.9686000000002</v>
      </c>
      <c r="AT365" s="56">
        <f>AT364*AN360</f>
        <v>13316.86282</v>
      </c>
      <c r="AU365" s="56">
        <f>AU364*AN360</f>
        <v>0</v>
      </c>
      <c r="AV365" s="57">
        <f t="shared" si="397"/>
        <v>45804.917379999999</v>
      </c>
    </row>
    <row r="366" spans="1:57" ht="19.899999999999999" customHeight="1">
      <c r="A366" s="403"/>
      <c r="B366" s="65"/>
      <c r="C366" s="387" t="s">
        <v>435</v>
      </c>
      <c r="D366" s="73" t="s">
        <v>105</v>
      </c>
      <c r="E366" s="1102">
        <v>64</v>
      </c>
      <c r="F366" s="1103">
        <v>80</v>
      </c>
      <c r="G366" s="1210">
        <v>96</v>
      </c>
      <c r="H366" s="1103">
        <v>88</v>
      </c>
      <c r="I366" s="1103">
        <v>0</v>
      </c>
      <c r="J366" s="1210">
        <v>80</v>
      </c>
      <c r="K366" s="1210">
        <v>96</v>
      </c>
      <c r="L366" s="1103">
        <v>56</v>
      </c>
      <c r="M366" s="1103">
        <v>88</v>
      </c>
      <c r="N366" s="1103">
        <v>96</v>
      </c>
      <c r="O366" s="1103">
        <v>96</v>
      </c>
      <c r="P366" s="1103">
        <v>96</v>
      </c>
      <c r="Q366" s="1210">
        <v>96</v>
      </c>
      <c r="R366" s="1210">
        <v>96</v>
      </c>
      <c r="S366" s="1103">
        <v>24</v>
      </c>
      <c r="T366" s="1103">
        <v>72</v>
      </c>
      <c r="U366" s="1103">
        <v>80</v>
      </c>
      <c r="V366" s="1103">
        <v>80</v>
      </c>
      <c r="W366" s="1103">
        <v>80</v>
      </c>
      <c r="X366" s="1210">
        <v>96</v>
      </c>
      <c r="Y366" s="1210">
        <v>96</v>
      </c>
      <c r="Z366" s="1103">
        <v>32</v>
      </c>
      <c r="AA366" s="1103">
        <v>0</v>
      </c>
      <c r="AB366" s="1103"/>
      <c r="AC366" s="1103"/>
      <c r="AD366" s="1103"/>
      <c r="AE366" s="1210"/>
      <c r="AF366" s="1210"/>
      <c r="AG366" s="1103"/>
      <c r="AH366" s="1103"/>
      <c r="AI366" s="1103"/>
      <c r="AJ366" s="388">
        <f>SUM(E366:AI366)</f>
        <v>1688</v>
      </c>
      <c r="AK366" s="1024">
        <f t="shared" si="339"/>
        <v>77388</v>
      </c>
      <c r="AL366" s="427">
        <f>+AJ366*AN360</f>
        <v>9764.9280799999997</v>
      </c>
      <c r="AM366" s="1040">
        <f t="shared" si="340"/>
        <v>0</v>
      </c>
      <c r="AN366" s="382"/>
      <c r="AO366" s="622"/>
      <c r="AP366" s="47" t="s">
        <v>106</v>
      </c>
      <c r="AQ366" s="48">
        <f>AQ362*AN360</f>
        <v>346747.50540000002</v>
      </c>
      <c r="AR366" s="48">
        <f>AR362*AN360</f>
        <v>502940.07539999997</v>
      </c>
      <c r="AS366" s="48">
        <f>AS362*AN360</f>
        <v>572185.44810000004</v>
      </c>
      <c r="AT366" s="48">
        <f>AT362*AN360</f>
        <v>292600.74780000001</v>
      </c>
      <c r="AU366" s="48">
        <f>AU362*AN360</f>
        <v>0</v>
      </c>
      <c r="AV366" s="50">
        <f t="shared" si="397"/>
        <v>1714473.7767</v>
      </c>
    </row>
    <row r="367" spans="1:57" ht="19.899999999999999" customHeight="1">
      <c r="A367" s="403"/>
      <c r="B367" s="390"/>
      <c r="C367" s="379">
        <v>50000</v>
      </c>
      <c r="D367" s="78" t="s">
        <v>107</v>
      </c>
      <c r="E367" s="1137">
        <v>4</v>
      </c>
      <c r="F367" s="1137">
        <v>4</v>
      </c>
      <c r="G367" s="1232">
        <v>4</v>
      </c>
      <c r="H367" s="1137">
        <v>4</v>
      </c>
      <c r="I367" s="1137">
        <v>4</v>
      </c>
      <c r="J367" s="1232">
        <v>4</v>
      </c>
      <c r="K367" s="1232">
        <v>4</v>
      </c>
      <c r="L367" s="1137">
        <v>4</v>
      </c>
      <c r="M367" s="1137">
        <v>4</v>
      </c>
      <c r="N367" s="1137">
        <v>4</v>
      </c>
      <c r="O367" s="1137">
        <v>4</v>
      </c>
      <c r="P367" s="1137">
        <v>4</v>
      </c>
      <c r="Q367" s="1205">
        <v>4</v>
      </c>
      <c r="R367" s="1205">
        <v>4</v>
      </c>
      <c r="S367" s="1097">
        <v>4</v>
      </c>
      <c r="T367" s="1097">
        <v>4</v>
      </c>
      <c r="U367" s="1097">
        <v>4</v>
      </c>
      <c r="V367" s="1097">
        <v>4</v>
      </c>
      <c r="W367" s="1097">
        <v>4</v>
      </c>
      <c r="X367" s="1205">
        <v>4</v>
      </c>
      <c r="Y367" s="1205">
        <v>4</v>
      </c>
      <c r="Z367" s="1097">
        <v>4</v>
      </c>
      <c r="AA367" s="1097">
        <v>4</v>
      </c>
      <c r="AB367" s="1097">
        <v>4</v>
      </c>
      <c r="AC367" s="1097">
        <v>4</v>
      </c>
      <c r="AD367" s="1097">
        <v>4</v>
      </c>
      <c r="AE367" s="1205">
        <v>4</v>
      </c>
      <c r="AF367" s="1205">
        <v>4</v>
      </c>
      <c r="AG367" s="1097">
        <v>4</v>
      </c>
      <c r="AH367" s="1097">
        <v>4</v>
      </c>
      <c r="AI367" s="1097">
        <v>4</v>
      </c>
      <c r="AJ367" s="381"/>
      <c r="AK367" s="1024">
        <f t="shared" si="339"/>
        <v>0</v>
      </c>
      <c r="AL367" s="425"/>
      <c r="AM367" s="1041">
        <f t="shared" si="340"/>
        <v>0</v>
      </c>
      <c r="AN367" s="382"/>
      <c r="AO367" s="622"/>
      <c r="AP367" s="391"/>
      <c r="AQ367" s="391"/>
      <c r="AR367" s="4"/>
      <c r="AS367" s="4"/>
      <c r="AT367" s="392"/>
      <c r="AU367" s="4"/>
      <c r="AV367" s="4"/>
    </row>
    <row r="368" spans="1:57" ht="19.899999999999999" customHeight="1">
      <c r="A368" s="405"/>
      <c r="B368" s="334" t="s">
        <v>30</v>
      </c>
      <c r="C368" s="89" t="s">
        <v>108</v>
      </c>
      <c r="D368" s="81" t="s">
        <v>109</v>
      </c>
      <c r="E368" s="1105">
        <f>SUM(E362+E364+E365+E366)/E367</f>
        <v>4139</v>
      </c>
      <c r="F368" s="1105">
        <f t="shared" ref="F368:AI368" si="400">SUM(F362+F364+F365+F366)/F367</f>
        <v>3683</v>
      </c>
      <c r="G368" s="1198">
        <f t="shared" si="400"/>
        <v>3915.5</v>
      </c>
      <c r="H368" s="1105">
        <f t="shared" si="400"/>
        <v>3898</v>
      </c>
      <c r="I368" s="1105">
        <f t="shared" si="400"/>
        <v>138</v>
      </c>
      <c r="J368" s="1198">
        <f t="shared" si="400"/>
        <v>3287.5</v>
      </c>
      <c r="K368" s="1198">
        <f t="shared" si="400"/>
        <v>4086.5</v>
      </c>
      <c r="L368" s="1105">
        <f t="shared" si="400"/>
        <v>3394.5</v>
      </c>
      <c r="M368" s="1105">
        <f t="shared" si="400"/>
        <v>3860</v>
      </c>
      <c r="N368" s="1105">
        <f t="shared" si="400"/>
        <v>3854.5</v>
      </c>
      <c r="O368" s="1105">
        <f t="shared" si="400"/>
        <v>4144.5</v>
      </c>
      <c r="P368" s="1105">
        <f t="shared" si="400"/>
        <v>4164.5</v>
      </c>
      <c r="Q368" s="1198">
        <f t="shared" si="400"/>
        <v>4129.5</v>
      </c>
      <c r="R368" s="1198">
        <f t="shared" si="400"/>
        <v>4129.5</v>
      </c>
      <c r="S368" s="1105">
        <f t="shared" si="400"/>
        <v>1379</v>
      </c>
      <c r="T368" s="1105">
        <f t="shared" si="400"/>
        <v>3918.5</v>
      </c>
      <c r="U368" s="1105">
        <f t="shared" si="400"/>
        <v>3910.5</v>
      </c>
      <c r="V368" s="1105">
        <f t="shared" si="400"/>
        <v>3850.5</v>
      </c>
      <c r="W368" s="1105">
        <f t="shared" si="400"/>
        <v>3641</v>
      </c>
      <c r="X368" s="1198">
        <f t="shared" si="400"/>
        <v>3909</v>
      </c>
      <c r="Y368" s="1198">
        <f t="shared" si="400"/>
        <v>3964.5</v>
      </c>
      <c r="Z368" s="1105">
        <f t="shared" si="400"/>
        <v>1790.5</v>
      </c>
      <c r="AA368" s="1105">
        <f t="shared" si="400"/>
        <v>200</v>
      </c>
      <c r="AB368" s="1105">
        <f t="shared" si="400"/>
        <v>0</v>
      </c>
      <c r="AC368" s="1105">
        <f t="shared" si="400"/>
        <v>0</v>
      </c>
      <c r="AD368" s="1105">
        <f t="shared" si="400"/>
        <v>0</v>
      </c>
      <c r="AE368" s="1198">
        <f t="shared" si="400"/>
        <v>0</v>
      </c>
      <c r="AF368" s="1198">
        <f t="shared" si="400"/>
        <v>0</v>
      </c>
      <c r="AG368" s="1105">
        <f t="shared" si="400"/>
        <v>0</v>
      </c>
      <c r="AH368" s="1105">
        <f t="shared" si="400"/>
        <v>0</v>
      </c>
      <c r="AI368" s="1105">
        <f t="shared" si="400"/>
        <v>0</v>
      </c>
      <c r="AJ368" s="380">
        <f>SUM(E368:AI368)</f>
        <v>77388</v>
      </c>
      <c r="AK368" s="1025">
        <f t="shared" si="339"/>
        <v>0</v>
      </c>
      <c r="AL368" s="419"/>
      <c r="AM368" s="1040">
        <f t="shared" si="340"/>
        <v>0</v>
      </c>
      <c r="AN368" s="382"/>
      <c r="AO368" s="622"/>
      <c r="AP368" s="391"/>
      <c r="AQ368" s="391"/>
      <c r="AR368" s="4"/>
      <c r="AS368" s="4"/>
      <c r="AT368" s="392"/>
      <c r="AU368" s="4"/>
      <c r="AV368" s="4"/>
    </row>
    <row r="369" spans="1:48" ht="19.899999999999999" customHeight="1">
      <c r="A369" s="403"/>
      <c r="B369" s="390"/>
      <c r="C369" s="436">
        <f>+C367*0.8</f>
        <v>40000</v>
      </c>
      <c r="D369" s="85" t="s">
        <v>110</v>
      </c>
      <c r="E369" s="1366"/>
      <c r="F369" s="1172"/>
      <c r="G369" s="1263"/>
      <c r="H369" s="1172"/>
      <c r="I369" s="1172"/>
      <c r="J369" s="1281"/>
      <c r="K369" s="1263"/>
      <c r="L369" s="1172"/>
      <c r="M369" s="1172"/>
      <c r="N369" s="1174"/>
      <c r="O369" s="1173"/>
      <c r="P369" s="1173"/>
      <c r="Q369" s="1281"/>
      <c r="R369" s="1281"/>
      <c r="S369" s="1173"/>
      <c r="T369" s="1173"/>
      <c r="U369" s="1173"/>
      <c r="V369" s="1173"/>
      <c r="W369" s="1173"/>
      <c r="X369" s="1281"/>
      <c r="Y369" s="1281"/>
      <c r="Z369" s="1173"/>
      <c r="AA369" s="1173"/>
      <c r="AB369" s="1173"/>
      <c r="AC369" s="1173"/>
      <c r="AD369" s="1173"/>
      <c r="AE369" s="1281"/>
      <c r="AF369" s="1281"/>
      <c r="AG369" s="1173"/>
      <c r="AH369" s="1173"/>
      <c r="AI369" s="1173"/>
      <c r="AJ369" s="394"/>
      <c r="AK369" s="1025">
        <f t="shared" si="339"/>
        <v>0</v>
      </c>
      <c r="AL369" s="419"/>
      <c r="AM369" s="1040">
        <f t="shared" si="340"/>
        <v>0</v>
      </c>
      <c r="AN369" s="382"/>
      <c r="AO369" s="622"/>
      <c r="AP369" s="391"/>
      <c r="AQ369" s="391"/>
      <c r="AR369" s="4"/>
      <c r="AS369" s="4"/>
      <c r="AT369" s="392"/>
      <c r="AU369" s="4"/>
      <c r="AV369" s="4"/>
    </row>
    <row r="370" spans="1:48" ht="19.899999999999999" customHeight="1">
      <c r="A370" s="403"/>
      <c r="B370" s="390"/>
      <c r="C370" s="89"/>
      <c r="D370" s="88" t="s">
        <v>111</v>
      </c>
      <c r="E370" s="1156">
        <f>IF(E369="O/H",E368,11120+E368)</f>
        <v>15259</v>
      </c>
      <c r="F370" s="1157">
        <f>IF(F369="O/H",F368,+E370+F368)</f>
        <v>18942</v>
      </c>
      <c r="G370" s="1264">
        <f t="shared" ref="G370:AI370" si="401">IF(G369="O/H",G368,+F370+G368)</f>
        <v>22857.5</v>
      </c>
      <c r="H370" s="1157">
        <f t="shared" si="401"/>
        <v>26755.5</v>
      </c>
      <c r="I370" s="1157">
        <f t="shared" si="401"/>
        <v>26893.5</v>
      </c>
      <c r="J370" s="1264">
        <f t="shared" si="401"/>
        <v>30181</v>
      </c>
      <c r="K370" s="1264">
        <f t="shared" si="401"/>
        <v>34267.5</v>
      </c>
      <c r="L370" s="1157">
        <f t="shared" si="401"/>
        <v>37662</v>
      </c>
      <c r="M370" s="1157">
        <f t="shared" si="401"/>
        <v>41522</v>
      </c>
      <c r="N370" s="1157">
        <f t="shared" si="401"/>
        <v>45376.5</v>
      </c>
      <c r="O370" s="1157">
        <f t="shared" si="401"/>
        <v>49521</v>
      </c>
      <c r="P370" s="1157">
        <f t="shared" si="401"/>
        <v>53685.5</v>
      </c>
      <c r="Q370" s="1264">
        <f t="shared" si="401"/>
        <v>57815</v>
      </c>
      <c r="R370" s="1264">
        <f t="shared" si="401"/>
        <v>61944.5</v>
      </c>
      <c r="S370" s="1157">
        <f t="shared" si="401"/>
        <v>63323.5</v>
      </c>
      <c r="T370" s="1157">
        <f t="shared" si="401"/>
        <v>67242</v>
      </c>
      <c r="U370" s="1157">
        <f t="shared" si="401"/>
        <v>71152.5</v>
      </c>
      <c r="V370" s="1157">
        <f t="shared" si="401"/>
        <v>75003</v>
      </c>
      <c r="W370" s="1157">
        <f t="shared" si="401"/>
        <v>78644</v>
      </c>
      <c r="X370" s="1264">
        <f t="shared" si="401"/>
        <v>82553</v>
      </c>
      <c r="Y370" s="1264">
        <f t="shared" si="401"/>
        <v>86517.5</v>
      </c>
      <c r="Z370" s="1157">
        <f t="shared" si="401"/>
        <v>88308</v>
      </c>
      <c r="AA370" s="1157">
        <f t="shared" si="401"/>
        <v>88508</v>
      </c>
      <c r="AB370" s="1157">
        <f t="shared" si="401"/>
        <v>88508</v>
      </c>
      <c r="AC370" s="1157">
        <f t="shared" si="401"/>
        <v>88508</v>
      </c>
      <c r="AD370" s="1157">
        <f t="shared" si="401"/>
        <v>88508</v>
      </c>
      <c r="AE370" s="1264">
        <f t="shared" si="401"/>
        <v>88508</v>
      </c>
      <c r="AF370" s="1264">
        <f t="shared" si="401"/>
        <v>88508</v>
      </c>
      <c r="AG370" s="1157">
        <f t="shared" si="401"/>
        <v>88508</v>
      </c>
      <c r="AH370" s="1157">
        <f t="shared" si="401"/>
        <v>88508</v>
      </c>
      <c r="AI370" s="1157">
        <f t="shared" si="401"/>
        <v>88508</v>
      </c>
      <c r="AJ370" s="394"/>
      <c r="AK370" s="1025">
        <f t="shared" si="339"/>
        <v>0</v>
      </c>
      <c r="AL370" s="419"/>
      <c r="AM370" s="1040">
        <f t="shared" si="340"/>
        <v>0</v>
      </c>
      <c r="AN370" s="382"/>
      <c r="AO370" s="622"/>
      <c r="AP370" s="391"/>
      <c r="AQ370" s="391"/>
    </row>
    <row r="371" spans="1:48" ht="19.899999999999999" customHeight="1">
      <c r="A371" s="403"/>
      <c r="B371" s="59"/>
      <c r="C371" s="387"/>
      <c r="D371" s="395" t="s">
        <v>435</v>
      </c>
      <c r="E371" s="1365"/>
      <c r="F371" s="1107"/>
      <c r="G371" s="1228"/>
      <c r="H371" s="1106"/>
      <c r="I371" s="1107"/>
      <c r="J371" s="1228"/>
      <c r="K371" s="1273"/>
      <c r="L371" s="1107"/>
      <c r="M371" s="1107"/>
      <c r="N371" s="1177"/>
      <c r="O371" s="1107"/>
      <c r="P371" s="1177"/>
      <c r="Q371" s="1228"/>
      <c r="R371" s="1228"/>
      <c r="S371" s="1107"/>
      <c r="T371" s="1107"/>
      <c r="U371" s="1107"/>
      <c r="V371" s="1107"/>
      <c r="W371" s="1107"/>
      <c r="X371" s="1228"/>
      <c r="Y371" s="1228"/>
      <c r="Z371" s="1107"/>
      <c r="AA371" s="1107"/>
      <c r="AB371" s="1107"/>
      <c r="AC371" s="1107"/>
      <c r="AD371" s="1107"/>
      <c r="AE371" s="1228"/>
      <c r="AF371" s="1228"/>
      <c r="AG371" s="1107"/>
      <c r="AH371" s="1107"/>
      <c r="AI371" s="1107"/>
      <c r="AJ371" s="396"/>
      <c r="AK371" s="1024">
        <f t="shared" si="339"/>
        <v>0</v>
      </c>
      <c r="AL371" s="420"/>
      <c r="AM371" s="1040">
        <f t="shared" si="340"/>
        <v>0</v>
      </c>
      <c r="AN371" s="382"/>
      <c r="AO371" s="622"/>
      <c r="AP371" s="391"/>
      <c r="AQ371" s="391"/>
    </row>
    <row r="372" spans="1:48" s="23" customFormat="1" ht="20.45" customHeight="1">
      <c r="A372" s="403"/>
      <c r="B372" s="59"/>
      <c r="C372" s="387" t="s">
        <v>104</v>
      </c>
      <c r="D372" s="88" t="s">
        <v>111</v>
      </c>
      <c r="E372" s="1156">
        <f>IF(E371="O/H",E368,11120+E368)</f>
        <v>15259</v>
      </c>
      <c r="F372" s="1157">
        <f>IF(F371="O/H",F368,+E372+F368)</f>
        <v>18942</v>
      </c>
      <c r="G372" s="1264">
        <f t="shared" ref="G372:AI372" si="402">IF(G371="O/H",G368,+F372+G368)</f>
        <v>22857.5</v>
      </c>
      <c r="H372" s="1157">
        <f t="shared" si="402"/>
        <v>26755.5</v>
      </c>
      <c r="I372" s="1157">
        <f t="shared" si="402"/>
        <v>26893.5</v>
      </c>
      <c r="J372" s="1264">
        <f t="shared" si="402"/>
        <v>30181</v>
      </c>
      <c r="K372" s="1264">
        <f t="shared" si="402"/>
        <v>34267.5</v>
      </c>
      <c r="L372" s="1157">
        <f t="shared" si="402"/>
        <v>37662</v>
      </c>
      <c r="M372" s="1157">
        <f t="shared" si="402"/>
        <v>41522</v>
      </c>
      <c r="N372" s="1157">
        <f t="shared" si="402"/>
        <v>45376.5</v>
      </c>
      <c r="O372" s="1157">
        <f t="shared" si="402"/>
        <v>49521</v>
      </c>
      <c r="P372" s="1157">
        <f t="shared" si="402"/>
        <v>53685.5</v>
      </c>
      <c r="Q372" s="1264">
        <f t="shared" si="402"/>
        <v>57815</v>
      </c>
      <c r="R372" s="1264">
        <f t="shared" si="402"/>
        <v>61944.5</v>
      </c>
      <c r="S372" s="1157">
        <f t="shared" si="402"/>
        <v>63323.5</v>
      </c>
      <c r="T372" s="1157">
        <f t="shared" si="402"/>
        <v>67242</v>
      </c>
      <c r="U372" s="1157">
        <f t="shared" si="402"/>
        <v>71152.5</v>
      </c>
      <c r="V372" s="1157">
        <f t="shared" si="402"/>
        <v>75003</v>
      </c>
      <c r="W372" s="1157">
        <f t="shared" si="402"/>
        <v>78644</v>
      </c>
      <c r="X372" s="1264">
        <f t="shared" si="402"/>
        <v>82553</v>
      </c>
      <c r="Y372" s="1264">
        <f t="shared" si="402"/>
        <v>86517.5</v>
      </c>
      <c r="Z372" s="1157">
        <f t="shared" si="402"/>
        <v>88308</v>
      </c>
      <c r="AA372" s="1157">
        <f t="shared" si="402"/>
        <v>88508</v>
      </c>
      <c r="AB372" s="1157">
        <f t="shared" si="402"/>
        <v>88508</v>
      </c>
      <c r="AC372" s="1157">
        <f t="shared" si="402"/>
        <v>88508</v>
      </c>
      <c r="AD372" s="1157">
        <f t="shared" si="402"/>
        <v>88508</v>
      </c>
      <c r="AE372" s="1264">
        <f t="shared" si="402"/>
        <v>88508</v>
      </c>
      <c r="AF372" s="1264">
        <f t="shared" si="402"/>
        <v>88508</v>
      </c>
      <c r="AG372" s="1157">
        <f t="shared" si="402"/>
        <v>88508</v>
      </c>
      <c r="AH372" s="1157">
        <f t="shared" si="402"/>
        <v>88508</v>
      </c>
      <c r="AI372" s="1157">
        <f t="shared" si="402"/>
        <v>88508</v>
      </c>
      <c r="AJ372" s="394"/>
      <c r="AK372" s="1025">
        <f t="shared" si="339"/>
        <v>0</v>
      </c>
      <c r="AL372" s="419"/>
      <c r="AM372" s="1040">
        <f t="shared" si="340"/>
        <v>0</v>
      </c>
      <c r="AN372" s="382"/>
      <c r="AO372" s="622"/>
      <c r="AP372" s="285"/>
      <c r="AQ372" s="285"/>
      <c r="AR372" s="285"/>
      <c r="AS372" s="285"/>
      <c r="AT372" s="286"/>
      <c r="AU372" s="285"/>
      <c r="AV372" s="287"/>
    </row>
    <row r="373" spans="1:48" ht="19.5" customHeight="1">
      <c r="A373" s="312"/>
      <c r="B373" s="312"/>
      <c r="C373" s="379">
        <v>150000</v>
      </c>
      <c r="D373" s="795" t="s">
        <v>112</v>
      </c>
      <c r="E373" s="1117">
        <f>IF(AND(ISNUMBER(E362)),1072594+E368)</f>
        <v>1076733</v>
      </c>
      <c r="F373" s="1118">
        <f>IF(AND(ISNUMBER(F362)),E373+F368,"")</f>
        <v>1080416</v>
      </c>
      <c r="G373" s="1216">
        <f>IF(AND(ISNUMBER(G362)),F373+G368,"")</f>
        <v>1084331.5</v>
      </c>
      <c r="H373" s="1118">
        <f t="shared" ref="H373:AI373" si="403">IF(AND(ISNUMBER(H362)),G373+H368,"")</f>
        <v>1088229.5</v>
      </c>
      <c r="I373" s="1118">
        <f t="shared" si="403"/>
        <v>1088367.5</v>
      </c>
      <c r="J373" s="1216">
        <f t="shared" si="403"/>
        <v>1091655</v>
      </c>
      <c r="K373" s="1216">
        <f t="shared" si="403"/>
        <v>1095741.5</v>
      </c>
      <c r="L373" s="1118">
        <f t="shared" si="403"/>
        <v>1099136</v>
      </c>
      <c r="M373" s="1118">
        <f t="shared" si="403"/>
        <v>1102996</v>
      </c>
      <c r="N373" s="1118">
        <f t="shared" si="403"/>
        <v>1106850.5</v>
      </c>
      <c r="O373" s="1118">
        <f t="shared" si="403"/>
        <v>1110995</v>
      </c>
      <c r="P373" s="1118">
        <f t="shared" si="403"/>
        <v>1115159.5</v>
      </c>
      <c r="Q373" s="1216">
        <f t="shared" si="403"/>
        <v>1119289</v>
      </c>
      <c r="R373" s="1216">
        <f t="shared" si="403"/>
        <v>1123418.5</v>
      </c>
      <c r="S373" s="1118">
        <f t="shared" si="403"/>
        <v>1124797.5</v>
      </c>
      <c r="T373" s="1118">
        <f t="shared" si="403"/>
        <v>1128716</v>
      </c>
      <c r="U373" s="1118">
        <f t="shared" si="403"/>
        <v>1132626.5</v>
      </c>
      <c r="V373" s="1118">
        <f t="shared" si="403"/>
        <v>1136477</v>
      </c>
      <c r="W373" s="1118">
        <f t="shared" si="403"/>
        <v>1140118</v>
      </c>
      <c r="X373" s="1216">
        <f t="shared" si="403"/>
        <v>1144027</v>
      </c>
      <c r="Y373" s="1216">
        <f t="shared" si="403"/>
        <v>1147991.5</v>
      </c>
      <c r="Z373" s="1118">
        <f t="shared" si="403"/>
        <v>1149782</v>
      </c>
      <c r="AA373" s="1118">
        <f t="shared" si="403"/>
        <v>1149982</v>
      </c>
      <c r="AB373" s="1118" t="str">
        <f t="shared" si="403"/>
        <v/>
      </c>
      <c r="AC373" s="1118" t="str">
        <f t="shared" si="403"/>
        <v/>
      </c>
      <c r="AD373" s="1118" t="str">
        <f t="shared" si="403"/>
        <v/>
      </c>
      <c r="AE373" s="1216" t="str">
        <f t="shared" si="403"/>
        <v/>
      </c>
      <c r="AF373" s="1216" t="str">
        <f t="shared" si="403"/>
        <v/>
      </c>
      <c r="AG373" s="1118" t="str">
        <f t="shared" si="403"/>
        <v/>
      </c>
      <c r="AH373" s="1118" t="str">
        <f t="shared" si="403"/>
        <v/>
      </c>
      <c r="AI373" s="1089" t="str">
        <f t="shared" si="403"/>
        <v/>
      </c>
      <c r="AJ373" s="793"/>
      <c r="AK373" s="1026">
        <f t="shared" si="339"/>
        <v>0</v>
      </c>
      <c r="AL373" s="897"/>
      <c r="AM373" s="1042">
        <f t="shared" si="340"/>
        <v>0</v>
      </c>
      <c r="AN373" s="468"/>
      <c r="AO373" s="675"/>
      <c r="AP373" s="391"/>
      <c r="AQ373" s="391"/>
    </row>
    <row r="374" spans="1:48" ht="20.25">
      <c r="A374" s="403"/>
      <c r="B374" s="393" t="s">
        <v>460</v>
      </c>
      <c r="C374" s="89" t="s">
        <v>108</v>
      </c>
      <c r="D374" s="90" t="s">
        <v>104</v>
      </c>
      <c r="E374" s="1365"/>
      <c r="F374" s="1107"/>
      <c r="G374" s="1228"/>
      <c r="H374" s="1176"/>
      <c r="I374" s="1107"/>
      <c r="J374" s="1228"/>
      <c r="K374" s="1273"/>
      <c r="L374" s="1107"/>
      <c r="M374" s="1107"/>
      <c r="N374" s="1177"/>
      <c r="O374" s="1107"/>
      <c r="P374" s="1177"/>
      <c r="Q374" s="1228"/>
      <c r="R374" s="1228"/>
      <c r="S374" s="1107"/>
      <c r="T374" s="1107"/>
      <c r="U374" s="1107"/>
      <c r="V374" s="1107"/>
      <c r="W374" s="1107"/>
      <c r="X374" s="1228"/>
      <c r="Y374" s="1228"/>
      <c r="Z374" s="1106"/>
      <c r="AA374" s="1107"/>
      <c r="AB374" s="1107"/>
      <c r="AC374" s="1107"/>
      <c r="AD374" s="1107"/>
      <c r="AE374" s="1228"/>
      <c r="AF374" s="1228"/>
      <c r="AG374" s="1107"/>
      <c r="AH374" s="1107"/>
      <c r="AI374" s="1107"/>
      <c r="AJ374" s="396"/>
      <c r="AK374" s="1024">
        <f t="shared" si="339"/>
        <v>0</v>
      </c>
      <c r="AL374" s="420"/>
      <c r="AM374" s="1040">
        <f t="shared" si="340"/>
        <v>0</v>
      </c>
      <c r="AN374" s="382"/>
      <c r="AO374" s="622"/>
      <c r="AP374" s="391"/>
      <c r="AQ374" s="391"/>
    </row>
    <row r="375" spans="1:48" ht="19.899999999999999" customHeight="1" thickBot="1">
      <c r="A375" s="406"/>
      <c r="B375" s="369"/>
      <c r="C375" s="434">
        <f>+C373*0.8</f>
        <v>120000</v>
      </c>
      <c r="D375" s="95" t="s">
        <v>111</v>
      </c>
      <c r="E375" s="1109">
        <f>IF(E374="O/H",E368,229634+E368)</f>
        <v>233773</v>
      </c>
      <c r="F375" s="1110">
        <f>IF(F374="O/H",F368,+E375+F368)</f>
        <v>237456</v>
      </c>
      <c r="G375" s="1212">
        <f t="shared" ref="G375:AI375" si="404">IF(G374="O/H",G368,+F375+G368)</f>
        <v>241371.5</v>
      </c>
      <c r="H375" s="1110">
        <f t="shared" si="404"/>
        <v>245269.5</v>
      </c>
      <c r="I375" s="1110">
        <f t="shared" si="404"/>
        <v>245407.5</v>
      </c>
      <c r="J375" s="1212">
        <f t="shared" si="404"/>
        <v>248695</v>
      </c>
      <c r="K375" s="1212">
        <f t="shared" si="404"/>
        <v>252781.5</v>
      </c>
      <c r="L375" s="1110">
        <f t="shared" si="404"/>
        <v>256176</v>
      </c>
      <c r="M375" s="1110">
        <f t="shared" si="404"/>
        <v>260036</v>
      </c>
      <c r="N375" s="1110">
        <f t="shared" si="404"/>
        <v>263890.5</v>
      </c>
      <c r="O375" s="1110">
        <f t="shared" si="404"/>
        <v>268035</v>
      </c>
      <c r="P375" s="1110">
        <f t="shared" si="404"/>
        <v>272199.5</v>
      </c>
      <c r="Q375" s="1212">
        <f t="shared" si="404"/>
        <v>276329</v>
      </c>
      <c r="R375" s="1212">
        <f t="shared" si="404"/>
        <v>280458.5</v>
      </c>
      <c r="S375" s="1110">
        <f t="shared" si="404"/>
        <v>281837.5</v>
      </c>
      <c r="T375" s="1110">
        <f t="shared" si="404"/>
        <v>285756</v>
      </c>
      <c r="U375" s="1110">
        <f t="shared" si="404"/>
        <v>289666.5</v>
      </c>
      <c r="V375" s="1110">
        <f t="shared" si="404"/>
        <v>293517</v>
      </c>
      <c r="W375" s="1110">
        <f t="shared" si="404"/>
        <v>297158</v>
      </c>
      <c r="X375" s="1212">
        <f t="shared" si="404"/>
        <v>301067</v>
      </c>
      <c r="Y375" s="1212">
        <f t="shared" si="404"/>
        <v>305031.5</v>
      </c>
      <c r="Z375" s="1110">
        <f t="shared" si="404"/>
        <v>306822</v>
      </c>
      <c r="AA375" s="1110">
        <f t="shared" si="404"/>
        <v>307022</v>
      </c>
      <c r="AB375" s="1110">
        <f t="shared" si="404"/>
        <v>307022</v>
      </c>
      <c r="AC375" s="1110">
        <f t="shared" si="404"/>
        <v>307022</v>
      </c>
      <c r="AD375" s="1110">
        <f t="shared" si="404"/>
        <v>307022</v>
      </c>
      <c r="AE375" s="1212">
        <f t="shared" si="404"/>
        <v>307022</v>
      </c>
      <c r="AF375" s="1212">
        <f t="shared" si="404"/>
        <v>307022</v>
      </c>
      <c r="AG375" s="1110">
        <f t="shared" si="404"/>
        <v>307022</v>
      </c>
      <c r="AH375" s="1110">
        <f t="shared" si="404"/>
        <v>307022</v>
      </c>
      <c r="AI375" s="1110">
        <f t="shared" si="404"/>
        <v>307022</v>
      </c>
      <c r="AJ375" s="399"/>
      <c r="AK375" s="1027">
        <f t="shared" si="339"/>
        <v>0</v>
      </c>
      <c r="AL375" s="421"/>
      <c r="AM375" s="1043">
        <f t="shared" si="340"/>
        <v>0</v>
      </c>
      <c r="AN375" s="894"/>
      <c r="AO375" s="625"/>
      <c r="AP375" s="32"/>
      <c r="AQ375" s="33"/>
      <c r="AR375" s="33"/>
      <c r="AS375" s="33"/>
      <c r="AT375" s="33"/>
      <c r="AU375" s="33"/>
      <c r="AV375" s="34"/>
    </row>
    <row r="376" spans="1:48" ht="19.899999999999999" customHeight="1" thickTop="1">
      <c r="A376" s="968" t="s">
        <v>641</v>
      </c>
      <c r="B376" s="411" t="s">
        <v>640</v>
      </c>
      <c r="C376" s="518" t="str">
        <f>Table37[[#This Row],[M/C No.]]</f>
        <v>R18(18ton)</v>
      </c>
      <c r="D376" s="28" t="s">
        <v>82</v>
      </c>
      <c r="E376" s="1111"/>
      <c r="F376" s="1111"/>
      <c r="G376" s="1201"/>
      <c r="H376" s="1111"/>
      <c r="I376" s="1111"/>
      <c r="J376" s="1201"/>
      <c r="K376" s="1201"/>
      <c r="L376" s="1111"/>
      <c r="M376" s="1111"/>
      <c r="N376" s="1111"/>
      <c r="O376" s="1111"/>
      <c r="P376" s="1111"/>
      <c r="Q376" s="1201"/>
      <c r="R376" s="1201"/>
      <c r="S376" s="1111"/>
      <c r="T376" s="1111"/>
      <c r="U376" s="1111"/>
      <c r="V376" s="1111"/>
      <c r="W376" s="1111"/>
      <c r="X376" s="1201"/>
      <c r="Y376" s="1201"/>
      <c r="Z376" s="1111"/>
      <c r="AA376" s="1111"/>
      <c r="AB376" s="1111"/>
      <c r="AC376" s="1111"/>
      <c r="AD376" s="1111"/>
      <c r="AE376" s="1201"/>
      <c r="AF376" s="1201"/>
      <c r="AG376" s="1111"/>
      <c r="AH376" s="1111"/>
      <c r="AI376" s="1111"/>
      <c r="AJ376" s="375">
        <f>SUM(E376:AI376)</f>
        <v>0</v>
      </c>
      <c r="AK376" s="1047">
        <f t="shared" si="339"/>
        <v>0</v>
      </c>
      <c r="AL376" s="422">
        <f>+AJ376*AN376</f>
        <v>0</v>
      </c>
      <c r="AM376" s="1046">
        <f t="shared" si="340"/>
        <v>0</v>
      </c>
      <c r="AN376" s="402">
        <v>4.1142500000000002</v>
      </c>
      <c r="AO376" s="622">
        <f>Table37[[#This Row],[Total]]*B380/1000</f>
        <v>0</v>
      </c>
      <c r="AP376" s="32" t="s">
        <v>480</v>
      </c>
      <c r="AQ376" s="33" t="s">
        <v>84</v>
      </c>
      <c r="AR376" s="33" t="s">
        <v>85</v>
      </c>
      <c r="AS376" s="33" t="s">
        <v>86</v>
      </c>
      <c r="AT376" s="33" t="s">
        <v>87</v>
      </c>
      <c r="AU376" s="33" t="s">
        <v>88</v>
      </c>
      <c r="AV376" s="34" t="s">
        <v>68</v>
      </c>
    </row>
    <row r="377" spans="1:48" ht="19.899999999999999" customHeight="1">
      <c r="A377" s="403"/>
      <c r="B377" s="411" t="s">
        <v>481</v>
      </c>
      <c r="C377" s="52" t="s">
        <v>95</v>
      </c>
      <c r="D377" s="37" t="s">
        <v>90</v>
      </c>
      <c r="E377" s="1323">
        <f>IF(E376="",0, E376/E383)</f>
        <v>0</v>
      </c>
      <c r="F377" s="1096">
        <f t="shared" ref="F377:AI377" si="405">IF(F376="",0, E377+F376/F383)</f>
        <v>0</v>
      </c>
      <c r="G377" s="1207">
        <f t="shared" si="405"/>
        <v>0</v>
      </c>
      <c r="H377" s="1096">
        <f t="shared" si="405"/>
        <v>0</v>
      </c>
      <c r="I377" s="1096">
        <f t="shared" si="405"/>
        <v>0</v>
      </c>
      <c r="J377" s="1207">
        <f t="shared" si="405"/>
        <v>0</v>
      </c>
      <c r="K377" s="1207">
        <f t="shared" si="405"/>
        <v>0</v>
      </c>
      <c r="L377" s="1096">
        <f t="shared" si="405"/>
        <v>0</v>
      </c>
      <c r="M377" s="1096">
        <f t="shared" si="405"/>
        <v>0</v>
      </c>
      <c r="N377" s="1096">
        <f t="shared" si="405"/>
        <v>0</v>
      </c>
      <c r="O377" s="1096">
        <f t="shared" si="405"/>
        <v>0</v>
      </c>
      <c r="P377" s="1096">
        <f t="shared" si="405"/>
        <v>0</v>
      </c>
      <c r="Q377" s="1207">
        <f t="shared" si="405"/>
        <v>0</v>
      </c>
      <c r="R377" s="1207">
        <f t="shared" si="405"/>
        <v>0</v>
      </c>
      <c r="S377" s="1096">
        <f t="shared" si="405"/>
        <v>0</v>
      </c>
      <c r="T377" s="1096">
        <f t="shared" si="405"/>
        <v>0</v>
      </c>
      <c r="U377" s="1096">
        <f t="shared" si="405"/>
        <v>0</v>
      </c>
      <c r="V377" s="1096">
        <f t="shared" si="405"/>
        <v>0</v>
      </c>
      <c r="W377" s="1096">
        <f t="shared" si="405"/>
        <v>0</v>
      </c>
      <c r="X377" s="1207">
        <f t="shared" si="405"/>
        <v>0</v>
      </c>
      <c r="Y377" s="1207">
        <f t="shared" si="405"/>
        <v>0</v>
      </c>
      <c r="Z377" s="1096">
        <f t="shared" si="405"/>
        <v>0</v>
      </c>
      <c r="AA377" s="1096">
        <f t="shared" si="405"/>
        <v>0</v>
      </c>
      <c r="AB377" s="1096">
        <f t="shared" si="405"/>
        <v>0</v>
      </c>
      <c r="AC377" s="1096">
        <f>IF(AC376="",0, Y377+AC376/AC383)</f>
        <v>0</v>
      </c>
      <c r="AD377" s="1096">
        <f>IF(AD376="",0, Z377+AD376/AD383)</f>
        <v>0</v>
      </c>
      <c r="AE377" s="1207">
        <f>IF(AE376="",0, AA377+AE376/AE383)</f>
        <v>0</v>
      </c>
      <c r="AF377" s="1207">
        <f>IF(AF376="",0, AB377+AF376/AF383)</f>
        <v>0</v>
      </c>
      <c r="AG377" s="1096">
        <f t="shared" si="405"/>
        <v>0</v>
      </c>
      <c r="AH377" s="1096">
        <f t="shared" si="405"/>
        <v>0</v>
      </c>
      <c r="AI377" s="1096">
        <f t="shared" si="405"/>
        <v>0</v>
      </c>
      <c r="AJ377" s="375"/>
      <c r="AK377" s="1023">
        <f t="shared" si="339"/>
        <v>0</v>
      </c>
      <c r="AL377" s="423"/>
      <c r="AM377" s="1040">
        <f t="shared" si="340"/>
        <v>0</v>
      </c>
      <c r="AN377" s="382"/>
      <c r="AO377" s="675"/>
      <c r="AP377" s="39" t="s">
        <v>91</v>
      </c>
      <c r="AQ377" s="40">
        <f>SUM(E376:H376)</f>
        <v>0</v>
      </c>
      <c r="AR377" s="41">
        <f>SUM(I376:O376)</f>
        <v>0</v>
      </c>
      <c r="AS377" s="41">
        <f>SUM(P376:V376)</f>
        <v>0</v>
      </c>
      <c r="AT377" s="41">
        <f>SUM(W376:AC376)</f>
        <v>0</v>
      </c>
      <c r="AU377" s="41">
        <f>SUM(AD376:AI376)</f>
        <v>0</v>
      </c>
      <c r="AV377" s="34">
        <f t="shared" ref="AV377:AV382" si="406">SUM(AQ377:AU377)</f>
        <v>0</v>
      </c>
    </row>
    <row r="378" spans="1:48" ht="19.899999999999999" customHeight="1">
      <c r="A378" s="403"/>
      <c r="B378" s="393" t="s">
        <v>246</v>
      </c>
      <c r="C378" s="379">
        <v>70000</v>
      </c>
      <c r="D378" s="43" t="s">
        <v>93</v>
      </c>
      <c r="E378" s="1108">
        <v>0</v>
      </c>
      <c r="F378" s="1089">
        <v>0</v>
      </c>
      <c r="G378" s="44">
        <v>0</v>
      </c>
      <c r="H378" s="1089">
        <v>0</v>
      </c>
      <c r="I378" s="1089">
        <v>0</v>
      </c>
      <c r="J378" s="44">
        <v>0</v>
      </c>
      <c r="K378" s="44">
        <v>0</v>
      </c>
      <c r="L378" s="1089">
        <v>0</v>
      </c>
      <c r="M378" s="1089">
        <v>0</v>
      </c>
      <c r="N378" s="1089">
        <v>0</v>
      </c>
      <c r="O378" s="1089">
        <v>0</v>
      </c>
      <c r="P378" s="1089">
        <v>0</v>
      </c>
      <c r="Q378" s="44">
        <v>0</v>
      </c>
      <c r="R378" s="44">
        <v>0</v>
      </c>
      <c r="S378" s="1089">
        <v>0</v>
      </c>
      <c r="T378" s="1089">
        <v>0</v>
      </c>
      <c r="U378" s="1089">
        <v>0</v>
      </c>
      <c r="V378" s="1089">
        <v>0</v>
      </c>
      <c r="W378" s="1089">
        <v>0</v>
      </c>
      <c r="X378" s="44">
        <v>0</v>
      </c>
      <c r="Y378" s="44">
        <v>0</v>
      </c>
      <c r="Z378" s="1089">
        <v>0</v>
      </c>
      <c r="AA378" s="1089">
        <v>0</v>
      </c>
      <c r="AB378" s="1089"/>
      <c r="AC378" s="1089"/>
      <c r="AD378" s="1089"/>
      <c r="AE378" s="44"/>
      <c r="AF378" s="44"/>
      <c r="AG378" s="1089"/>
      <c r="AH378" s="1089"/>
      <c r="AI378" s="1089"/>
      <c r="AJ378" s="380">
        <f>SUM(E378:AI378)</f>
        <v>0</v>
      </c>
      <c r="AK378" s="1024">
        <f t="shared" si="339"/>
        <v>2104</v>
      </c>
      <c r="AL378" s="424">
        <f>+AJ378*AN376</f>
        <v>0</v>
      </c>
      <c r="AM378" s="1041">
        <f t="shared" si="340"/>
        <v>8656.3819999999996</v>
      </c>
      <c r="AN378" s="382"/>
      <c r="AO378" s="632">
        <f>(AJ378+AJ380+AJ381+AJ382)*B380/1000</f>
        <v>2.4921880000000001</v>
      </c>
      <c r="AP378" s="47" t="s">
        <v>94</v>
      </c>
      <c r="AQ378" s="48">
        <f>SUM(E378:H378)</f>
        <v>0</v>
      </c>
      <c r="AR378" s="49">
        <f>SUM(I378:O378)</f>
        <v>0</v>
      </c>
      <c r="AS378" s="49">
        <f>SUM(P378:V378)</f>
        <v>0</v>
      </c>
      <c r="AT378" s="49">
        <f>SUM(W378:AC378)</f>
        <v>0</v>
      </c>
      <c r="AU378" s="49">
        <f>SUM(AD378:AI378)</f>
        <v>0</v>
      </c>
      <c r="AV378" s="50">
        <f t="shared" si="406"/>
        <v>0</v>
      </c>
    </row>
    <row r="379" spans="1:48" ht="19.899999999999999" customHeight="1">
      <c r="A379" s="403"/>
      <c r="B379" s="638" t="s">
        <v>247</v>
      </c>
      <c r="C379" s="89" t="s">
        <v>108</v>
      </c>
      <c r="D379" s="53" t="s">
        <v>96</v>
      </c>
      <c r="E379" s="1137">
        <f t="shared" ref="E379:AI379" si="407">+E378-E376</f>
        <v>0</v>
      </c>
      <c r="F379" s="1097">
        <f>+F378-F376</f>
        <v>0</v>
      </c>
      <c r="G379" s="1205">
        <f t="shared" si="407"/>
        <v>0</v>
      </c>
      <c r="H379" s="1097">
        <f t="shared" si="407"/>
        <v>0</v>
      </c>
      <c r="I379" s="1097">
        <f t="shared" ref="I379" si="408">+I378-I376</f>
        <v>0</v>
      </c>
      <c r="J379" s="1205">
        <f t="shared" si="407"/>
        <v>0</v>
      </c>
      <c r="K379" s="1205">
        <f t="shared" si="407"/>
        <v>0</v>
      </c>
      <c r="L379" s="1097">
        <f t="shared" si="407"/>
        <v>0</v>
      </c>
      <c r="M379" s="1097">
        <f t="shared" ref="M379:P379" si="409">+M378-M376</f>
        <v>0</v>
      </c>
      <c r="N379" s="1097">
        <f t="shared" si="409"/>
        <v>0</v>
      </c>
      <c r="O379" s="1097">
        <f t="shared" si="409"/>
        <v>0</v>
      </c>
      <c r="P379" s="1097">
        <f t="shared" si="409"/>
        <v>0</v>
      </c>
      <c r="Q379" s="1205">
        <f t="shared" si="407"/>
        <v>0</v>
      </c>
      <c r="R379" s="1205">
        <f>+R378-R376</f>
        <v>0</v>
      </c>
      <c r="S379" s="1097">
        <f>+S378-S376</f>
        <v>0</v>
      </c>
      <c r="T379" s="1097">
        <f t="shared" ref="T379:V379" si="410">+T378-T376</f>
        <v>0</v>
      </c>
      <c r="U379" s="1097">
        <f t="shared" si="410"/>
        <v>0</v>
      </c>
      <c r="V379" s="1097">
        <f t="shared" si="410"/>
        <v>0</v>
      </c>
      <c r="W379" s="1097">
        <f t="shared" si="407"/>
        <v>0</v>
      </c>
      <c r="X379" s="1205">
        <f t="shared" si="407"/>
        <v>0</v>
      </c>
      <c r="Y379" s="1205">
        <f t="shared" si="407"/>
        <v>0</v>
      </c>
      <c r="Z379" s="1097">
        <f t="shared" si="407"/>
        <v>0</v>
      </c>
      <c r="AA379" s="1097">
        <f t="shared" si="407"/>
        <v>0</v>
      </c>
      <c r="AB379" s="1097">
        <f t="shared" si="407"/>
        <v>0</v>
      </c>
      <c r="AC379" s="1097">
        <f t="shared" si="407"/>
        <v>0</v>
      </c>
      <c r="AD379" s="1097">
        <f t="shared" si="407"/>
        <v>0</v>
      </c>
      <c r="AE379" s="1205">
        <f t="shared" si="407"/>
        <v>0</v>
      </c>
      <c r="AF379" s="1205">
        <f t="shared" si="407"/>
        <v>0</v>
      </c>
      <c r="AG379" s="1097">
        <f t="shared" si="407"/>
        <v>0</v>
      </c>
      <c r="AH379" s="1097">
        <f t="shared" si="407"/>
        <v>0</v>
      </c>
      <c r="AI379" s="1097">
        <f t="shared" si="407"/>
        <v>0</v>
      </c>
      <c r="AJ379" s="381">
        <f>+AJ378-AJ376</f>
        <v>0</v>
      </c>
      <c r="AK379" s="1024">
        <f t="shared" si="339"/>
        <v>0</v>
      </c>
      <c r="AL379" s="425">
        <f>+AJ379*AN376</f>
        <v>0</v>
      </c>
      <c r="AM379" s="1041">
        <f t="shared" si="340"/>
        <v>0</v>
      </c>
      <c r="AN379" s="382" t="s">
        <v>97</v>
      </c>
      <c r="AO379" s="622"/>
      <c r="AP379" s="39" t="s">
        <v>98</v>
      </c>
      <c r="AQ379" s="56">
        <f>AQ378-AQ377</f>
        <v>0</v>
      </c>
      <c r="AR379" s="70">
        <f>AR378-AR377</f>
        <v>0</v>
      </c>
      <c r="AS379" s="70">
        <f>AS378-AS377</f>
        <v>0</v>
      </c>
      <c r="AT379" s="70">
        <f>AT378-AT377</f>
        <v>0</v>
      </c>
      <c r="AU379" s="70">
        <f>AU378-AU377</f>
        <v>0</v>
      </c>
      <c r="AV379" s="57">
        <f t="shared" si="406"/>
        <v>0</v>
      </c>
    </row>
    <row r="380" spans="1:48" ht="19.899999999999999" customHeight="1">
      <c r="A380" s="403"/>
      <c r="B380" s="638">
        <v>1.1845000000000001</v>
      </c>
      <c r="C380" s="432">
        <f>+C378*0.8</f>
        <v>56000</v>
      </c>
      <c r="D380" s="61" t="s">
        <v>101</v>
      </c>
      <c r="E380" s="1098">
        <v>0</v>
      </c>
      <c r="F380" s="1099">
        <v>0</v>
      </c>
      <c r="G380" s="1208">
        <v>0</v>
      </c>
      <c r="H380" s="1099">
        <v>0</v>
      </c>
      <c r="I380" s="1099">
        <v>0</v>
      </c>
      <c r="J380" s="1208">
        <v>0</v>
      </c>
      <c r="K380" s="1208">
        <v>0</v>
      </c>
      <c r="L380" s="1099">
        <v>0</v>
      </c>
      <c r="M380" s="1099">
        <v>0</v>
      </c>
      <c r="N380" s="1099">
        <v>0</v>
      </c>
      <c r="O380" s="1099">
        <v>0</v>
      </c>
      <c r="P380" s="1099">
        <v>0</v>
      </c>
      <c r="Q380" s="1208">
        <v>0</v>
      </c>
      <c r="R380" s="1208">
        <v>0</v>
      </c>
      <c r="S380" s="1099">
        <v>0</v>
      </c>
      <c r="T380" s="1099">
        <v>0</v>
      </c>
      <c r="U380" s="1099">
        <v>0</v>
      </c>
      <c r="V380" s="1099">
        <v>0</v>
      </c>
      <c r="W380" s="1099">
        <v>2104</v>
      </c>
      <c r="X380" s="1208">
        <v>0</v>
      </c>
      <c r="Y380" s="1208">
        <v>0</v>
      </c>
      <c r="Z380" s="1099">
        <v>0</v>
      </c>
      <c r="AA380" s="1099">
        <v>0</v>
      </c>
      <c r="AB380" s="1099"/>
      <c r="AC380" s="1099"/>
      <c r="AD380" s="1099"/>
      <c r="AE380" s="1208"/>
      <c r="AF380" s="1208"/>
      <c r="AG380" s="1099"/>
      <c r="AH380" s="1099"/>
      <c r="AI380" s="1099"/>
      <c r="AJ380" s="384">
        <f>SUM(E380:AI380)</f>
        <v>2104</v>
      </c>
      <c r="AK380" s="1024">
        <f t="shared" si="339"/>
        <v>0</v>
      </c>
      <c r="AL380" s="420">
        <f>+AJ380*AN376</f>
        <v>8656.3819999999996</v>
      </c>
      <c r="AM380" s="1040">
        <f t="shared" si="340"/>
        <v>0</v>
      </c>
      <c r="AN380" s="404" t="e">
        <f>+AJ380/AJ378*100</f>
        <v>#DIV/0!</v>
      </c>
      <c r="AO380" s="635" t="e">
        <f>AO378/AO376</f>
        <v>#DIV/0!</v>
      </c>
      <c r="AP380" s="39" t="s">
        <v>102</v>
      </c>
      <c r="AQ380" s="56">
        <f>SUM(E380:H380)</f>
        <v>0</v>
      </c>
      <c r="AR380" s="70">
        <f>SUM(I380:O380)</f>
        <v>0</v>
      </c>
      <c r="AS380" s="70">
        <f>SUM(P380:V380)</f>
        <v>0</v>
      </c>
      <c r="AT380" s="70">
        <f>SUM(W380:AC380)</f>
        <v>2104</v>
      </c>
      <c r="AU380" s="70">
        <f>SUM(AD380:AI380)</f>
        <v>0</v>
      </c>
      <c r="AV380" s="57">
        <f t="shared" si="406"/>
        <v>2104</v>
      </c>
    </row>
    <row r="381" spans="1:48" ht="19.899999999999999" customHeight="1">
      <c r="A381" s="403"/>
      <c r="B381" s="65"/>
      <c r="C381" s="432"/>
      <c r="D381" s="67" t="s">
        <v>103</v>
      </c>
      <c r="E381" s="1100">
        <v>0</v>
      </c>
      <c r="F381" s="1101">
        <v>0</v>
      </c>
      <c r="G381" s="1209">
        <v>0</v>
      </c>
      <c r="H381" s="1101">
        <v>0</v>
      </c>
      <c r="I381" s="1101">
        <v>0</v>
      </c>
      <c r="J381" s="1209">
        <v>0</v>
      </c>
      <c r="K381" s="1209">
        <v>0</v>
      </c>
      <c r="L381" s="1101">
        <v>0</v>
      </c>
      <c r="M381" s="1101">
        <v>0</v>
      </c>
      <c r="N381" s="1101">
        <v>0</v>
      </c>
      <c r="O381" s="1101">
        <v>0</v>
      </c>
      <c r="P381" s="1101">
        <v>0</v>
      </c>
      <c r="Q381" s="1209">
        <v>0</v>
      </c>
      <c r="R381" s="1209">
        <v>0</v>
      </c>
      <c r="S381" s="1101">
        <v>0</v>
      </c>
      <c r="T381" s="1101">
        <v>0</v>
      </c>
      <c r="U381" s="1101">
        <v>0</v>
      </c>
      <c r="V381" s="1101">
        <v>0</v>
      </c>
      <c r="W381" s="1101">
        <v>0</v>
      </c>
      <c r="X381" s="1209">
        <v>0</v>
      </c>
      <c r="Y381" s="1209">
        <v>0</v>
      </c>
      <c r="Z381" s="1101">
        <v>0</v>
      </c>
      <c r="AA381" s="1101">
        <v>0</v>
      </c>
      <c r="AB381" s="1101"/>
      <c r="AC381" s="1101"/>
      <c r="AD381" s="1101"/>
      <c r="AE381" s="1209"/>
      <c r="AF381" s="1209"/>
      <c r="AG381" s="1101"/>
      <c r="AH381" s="1101"/>
      <c r="AI381" s="1101"/>
      <c r="AJ381" s="386">
        <f>SUM(E381:AI381)</f>
        <v>0</v>
      </c>
      <c r="AK381" s="1024">
        <f t="shared" si="339"/>
        <v>0</v>
      </c>
      <c r="AL381" s="426">
        <f>+AJ381*AN376</f>
        <v>0</v>
      </c>
      <c r="AM381" s="1040">
        <f t="shared" si="340"/>
        <v>0</v>
      </c>
      <c r="AN381" s="382"/>
      <c r="AO381" s="622"/>
      <c r="AP381" s="39" t="s">
        <v>19</v>
      </c>
      <c r="AQ381" s="56">
        <f>AQ380*AN376</f>
        <v>0</v>
      </c>
      <c r="AR381" s="56">
        <f>AR380*AN376</f>
        <v>0</v>
      </c>
      <c r="AS381" s="56">
        <f>AS380*AN376</f>
        <v>0</v>
      </c>
      <c r="AT381" s="56">
        <f>AT380*AN376</f>
        <v>8656.3819999999996</v>
      </c>
      <c r="AU381" s="56">
        <f>AU380*AN376</f>
        <v>0</v>
      </c>
      <c r="AV381" s="57">
        <f t="shared" si="406"/>
        <v>8656.3819999999996</v>
      </c>
    </row>
    <row r="382" spans="1:48" ht="19.899999999999999" customHeight="1">
      <c r="A382" s="403"/>
      <c r="B382" s="65"/>
      <c r="C382" s="387" t="s">
        <v>435</v>
      </c>
      <c r="D382" s="73" t="s">
        <v>105</v>
      </c>
      <c r="E382" s="1102">
        <v>0</v>
      </c>
      <c r="F382" s="1103">
        <v>0</v>
      </c>
      <c r="G382" s="1210">
        <v>0</v>
      </c>
      <c r="H382" s="1103">
        <v>0</v>
      </c>
      <c r="I382" s="1103">
        <v>0</v>
      </c>
      <c r="J382" s="1210">
        <v>0</v>
      </c>
      <c r="K382" s="1210">
        <v>0</v>
      </c>
      <c r="L382" s="1103">
        <v>0</v>
      </c>
      <c r="M382" s="1103">
        <v>0</v>
      </c>
      <c r="N382" s="1103">
        <v>0</v>
      </c>
      <c r="O382" s="1103">
        <v>0</v>
      </c>
      <c r="P382" s="1103">
        <v>0</v>
      </c>
      <c r="Q382" s="1210">
        <v>0</v>
      </c>
      <c r="R382" s="1210">
        <v>0</v>
      </c>
      <c r="S382" s="1103">
        <v>0</v>
      </c>
      <c r="T382" s="1103">
        <v>0</v>
      </c>
      <c r="U382" s="1103">
        <v>0</v>
      </c>
      <c r="V382" s="1103">
        <v>0</v>
      </c>
      <c r="W382" s="1103">
        <v>0</v>
      </c>
      <c r="X382" s="1210">
        <v>0</v>
      </c>
      <c r="Y382" s="1210">
        <v>0</v>
      </c>
      <c r="Z382" s="1103">
        <v>0</v>
      </c>
      <c r="AA382" s="1103">
        <v>0</v>
      </c>
      <c r="AB382" s="1103"/>
      <c r="AC382" s="1103"/>
      <c r="AD382" s="1103"/>
      <c r="AE382" s="1210"/>
      <c r="AF382" s="1210"/>
      <c r="AG382" s="1103"/>
      <c r="AH382" s="1103"/>
      <c r="AI382" s="1103"/>
      <c r="AJ382" s="388">
        <f>SUM(E382:AI382)</f>
        <v>0</v>
      </c>
      <c r="AK382" s="1024">
        <f t="shared" si="339"/>
        <v>526</v>
      </c>
      <c r="AL382" s="427">
        <f>+AJ382*AN376</f>
        <v>0</v>
      </c>
      <c r="AM382" s="1040">
        <f t="shared" si="340"/>
        <v>0</v>
      </c>
      <c r="AN382" s="382"/>
      <c r="AO382" s="622"/>
      <c r="AP382" s="47" t="s">
        <v>106</v>
      </c>
      <c r="AQ382" s="48">
        <f>AQ378*AN376</f>
        <v>0</v>
      </c>
      <c r="AR382" s="48">
        <f>AR378*AN376</f>
        <v>0</v>
      </c>
      <c r="AS382" s="48">
        <f>AS378*AN376</f>
        <v>0</v>
      </c>
      <c r="AT382" s="48">
        <f>AT378*AN376</f>
        <v>0</v>
      </c>
      <c r="AU382" s="48">
        <f>AU378*AN376</f>
        <v>0</v>
      </c>
      <c r="AV382" s="50">
        <f t="shared" si="406"/>
        <v>0</v>
      </c>
    </row>
    <row r="383" spans="1:48" ht="19.899999999999999" customHeight="1">
      <c r="A383" s="403"/>
      <c r="B383" s="390"/>
      <c r="C383" s="379">
        <v>60000</v>
      </c>
      <c r="D383" s="78" t="s">
        <v>107</v>
      </c>
      <c r="E383" s="1137">
        <v>4</v>
      </c>
      <c r="F383" s="1137">
        <v>4</v>
      </c>
      <c r="G383" s="1232">
        <v>4</v>
      </c>
      <c r="H383" s="1137">
        <v>4</v>
      </c>
      <c r="I383" s="1137">
        <v>4</v>
      </c>
      <c r="J383" s="1232">
        <v>4</v>
      </c>
      <c r="K383" s="1232">
        <v>4</v>
      </c>
      <c r="L383" s="1137">
        <v>4</v>
      </c>
      <c r="M383" s="1137">
        <v>4</v>
      </c>
      <c r="N383" s="1137">
        <v>4</v>
      </c>
      <c r="O383" s="1137">
        <v>4</v>
      </c>
      <c r="P383" s="1137">
        <v>4</v>
      </c>
      <c r="Q383" s="1232">
        <v>4</v>
      </c>
      <c r="R383" s="1232">
        <v>4</v>
      </c>
      <c r="S383" s="1137">
        <v>4</v>
      </c>
      <c r="T383" s="1137">
        <v>4</v>
      </c>
      <c r="U383" s="1137">
        <v>4</v>
      </c>
      <c r="V383" s="1137">
        <v>4</v>
      </c>
      <c r="W383" s="1137">
        <v>4</v>
      </c>
      <c r="X383" s="1232">
        <v>4</v>
      </c>
      <c r="Y383" s="1232">
        <v>4</v>
      </c>
      <c r="Z383" s="1137">
        <v>4</v>
      </c>
      <c r="AA383" s="1137">
        <v>4</v>
      </c>
      <c r="AB383" s="1137">
        <v>4</v>
      </c>
      <c r="AC383" s="1137">
        <v>4</v>
      </c>
      <c r="AD383" s="1137">
        <v>4</v>
      </c>
      <c r="AE383" s="1232">
        <v>4</v>
      </c>
      <c r="AF383" s="1232">
        <v>4</v>
      </c>
      <c r="AG383" s="1137">
        <v>4</v>
      </c>
      <c r="AH383" s="1137">
        <v>4</v>
      </c>
      <c r="AI383" s="1137">
        <v>4</v>
      </c>
      <c r="AJ383" s="381"/>
      <c r="AK383" s="1024">
        <f t="shared" si="339"/>
        <v>0</v>
      </c>
      <c r="AL383" s="425"/>
      <c r="AM383" s="1041">
        <f t="shared" si="340"/>
        <v>0</v>
      </c>
      <c r="AN383" s="382"/>
      <c r="AO383" s="622"/>
      <c r="AP383" s="391"/>
      <c r="AQ383" s="391"/>
      <c r="AR383" s="4"/>
      <c r="AS383" s="4"/>
      <c r="AT383" s="392"/>
      <c r="AU383" s="4"/>
      <c r="AV383" s="4"/>
    </row>
    <row r="384" spans="1:48" ht="19.899999999999999" customHeight="1">
      <c r="A384" s="405"/>
      <c r="B384" s="390"/>
      <c r="C384" s="89" t="s">
        <v>108</v>
      </c>
      <c r="D384" s="81" t="s">
        <v>109</v>
      </c>
      <c r="E384" s="1125">
        <f>SUM(E378+E380+E381+E382)/E383</f>
        <v>0</v>
      </c>
      <c r="F384" s="1125">
        <f t="shared" ref="F384:AI384" si="411">SUM(F378+F380+F381+F382)/F383</f>
        <v>0</v>
      </c>
      <c r="G384" s="1233">
        <f t="shared" si="411"/>
        <v>0</v>
      </c>
      <c r="H384" s="1125">
        <f t="shared" si="411"/>
        <v>0</v>
      </c>
      <c r="I384" s="1125">
        <f t="shared" si="411"/>
        <v>0</v>
      </c>
      <c r="J384" s="1233">
        <f t="shared" si="411"/>
        <v>0</v>
      </c>
      <c r="K384" s="1233">
        <f t="shared" si="411"/>
        <v>0</v>
      </c>
      <c r="L384" s="1125">
        <f t="shared" si="411"/>
        <v>0</v>
      </c>
      <c r="M384" s="1125">
        <f t="shared" si="411"/>
        <v>0</v>
      </c>
      <c r="N384" s="1125">
        <f t="shared" si="411"/>
        <v>0</v>
      </c>
      <c r="O384" s="1125">
        <f t="shared" si="411"/>
        <v>0</v>
      </c>
      <c r="P384" s="1125">
        <f t="shared" si="411"/>
        <v>0</v>
      </c>
      <c r="Q384" s="1233">
        <f t="shared" si="411"/>
        <v>0</v>
      </c>
      <c r="R384" s="1233">
        <f>SUM(R378+R380+R381+R382)/R383</f>
        <v>0</v>
      </c>
      <c r="S384" s="1125">
        <f>SUM(S378+S380+S381+S382)/S383</f>
        <v>0</v>
      </c>
      <c r="T384" s="1125">
        <f t="shared" si="411"/>
        <v>0</v>
      </c>
      <c r="U384" s="1125">
        <f t="shared" si="411"/>
        <v>0</v>
      </c>
      <c r="V384" s="1125">
        <f t="shared" si="411"/>
        <v>0</v>
      </c>
      <c r="W384" s="1125">
        <f t="shared" si="411"/>
        <v>526</v>
      </c>
      <c r="X384" s="1233">
        <f t="shared" si="411"/>
        <v>0</v>
      </c>
      <c r="Y384" s="1233">
        <f t="shared" si="411"/>
        <v>0</v>
      </c>
      <c r="Z384" s="1125">
        <f t="shared" si="411"/>
        <v>0</v>
      </c>
      <c r="AA384" s="1125">
        <f t="shared" si="411"/>
        <v>0</v>
      </c>
      <c r="AB384" s="1125">
        <f t="shared" si="411"/>
        <v>0</v>
      </c>
      <c r="AC384" s="1125">
        <f t="shared" si="411"/>
        <v>0</v>
      </c>
      <c r="AD384" s="1125">
        <f t="shared" si="411"/>
        <v>0</v>
      </c>
      <c r="AE384" s="1233">
        <f t="shared" si="411"/>
        <v>0</v>
      </c>
      <c r="AF384" s="1233">
        <f t="shared" si="411"/>
        <v>0</v>
      </c>
      <c r="AG384" s="1125">
        <f t="shared" si="411"/>
        <v>0</v>
      </c>
      <c r="AH384" s="1125">
        <f t="shared" si="411"/>
        <v>0</v>
      </c>
      <c r="AI384" s="1125">
        <f t="shared" si="411"/>
        <v>0</v>
      </c>
      <c r="AJ384" s="380">
        <f>SUM(E384:AI384)</f>
        <v>526</v>
      </c>
      <c r="AK384" s="1025">
        <f t="shared" si="339"/>
        <v>0</v>
      </c>
      <c r="AL384" s="419"/>
      <c r="AM384" s="1040">
        <f t="shared" si="340"/>
        <v>0</v>
      </c>
      <c r="AN384" s="382"/>
      <c r="AO384" s="622"/>
      <c r="AP384" s="391"/>
      <c r="AQ384" s="391"/>
      <c r="AR384" s="4"/>
      <c r="AS384" s="4"/>
      <c r="AT384" s="392"/>
      <c r="AU384" s="4"/>
      <c r="AV384" s="4"/>
    </row>
    <row r="385" spans="1:48" ht="19.899999999999999" customHeight="1">
      <c r="A385" s="405"/>
      <c r="B385" s="390"/>
      <c r="C385" s="436">
        <f>+C383*0.8</f>
        <v>48000</v>
      </c>
      <c r="D385" s="85" t="s">
        <v>110</v>
      </c>
      <c r="E385" s="1366"/>
      <c r="F385" s="1126"/>
      <c r="G385" s="1235"/>
      <c r="H385" s="1172"/>
      <c r="I385" s="1126"/>
      <c r="J385" s="1281"/>
      <c r="K385" s="1235"/>
      <c r="L385" s="1172"/>
      <c r="M385" s="1126"/>
      <c r="N385" s="1174"/>
      <c r="O385" s="1173"/>
      <c r="P385" s="1173"/>
      <c r="Q385" s="1281"/>
      <c r="R385" s="1281"/>
      <c r="S385" s="1173"/>
      <c r="T385" s="1107"/>
      <c r="U385" s="1173"/>
      <c r="V385" s="1173"/>
      <c r="W385" s="1173"/>
      <c r="X385" s="1281"/>
      <c r="Y385" s="1281"/>
      <c r="Z385" s="1155"/>
      <c r="AA385" s="1173"/>
      <c r="AB385" s="1173"/>
      <c r="AC385" s="1173"/>
      <c r="AD385" s="1173"/>
      <c r="AE385" s="1281"/>
      <c r="AF385" s="1281"/>
      <c r="AG385" s="1173"/>
      <c r="AH385" s="1173"/>
      <c r="AI385" s="1173"/>
      <c r="AJ385" s="394"/>
      <c r="AK385" s="1025">
        <f t="shared" si="339"/>
        <v>0</v>
      </c>
      <c r="AL385" s="419"/>
      <c r="AM385" s="1040">
        <f t="shared" si="340"/>
        <v>0</v>
      </c>
      <c r="AN385" s="382"/>
      <c r="AO385" s="622"/>
      <c r="AP385" s="391"/>
      <c r="AQ385" s="391"/>
      <c r="AR385" s="4"/>
      <c r="AS385" s="4"/>
      <c r="AT385" s="392"/>
      <c r="AU385" s="4"/>
      <c r="AV385" s="4"/>
    </row>
    <row r="386" spans="1:48" ht="19.899999999999999" customHeight="1">
      <c r="A386" s="403"/>
      <c r="B386" s="390"/>
      <c r="C386" s="89"/>
      <c r="D386" s="88" t="s">
        <v>111</v>
      </c>
      <c r="E386" s="1156">
        <f>IF(E385="O/H",E384,1584+E384)</f>
        <v>1584</v>
      </c>
      <c r="F386" s="1157">
        <f>IF(F385="O/H",F384,+E386+F384)</f>
        <v>1584</v>
      </c>
      <c r="G386" s="1264">
        <f t="shared" ref="G386:AI386" si="412">IF(G385="O/H",G384,+F386+G384)</f>
        <v>1584</v>
      </c>
      <c r="H386" s="1157">
        <f t="shared" si="412"/>
        <v>1584</v>
      </c>
      <c r="I386" s="1157">
        <f t="shared" si="412"/>
        <v>1584</v>
      </c>
      <c r="J386" s="1264">
        <f t="shared" si="412"/>
        <v>1584</v>
      </c>
      <c r="K386" s="1264">
        <f t="shared" si="412"/>
        <v>1584</v>
      </c>
      <c r="L386" s="1157">
        <f t="shared" si="412"/>
        <v>1584</v>
      </c>
      <c r="M386" s="1157">
        <f t="shared" si="412"/>
        <v>1584</v>
      </c>
      <c r="N386" s="1157">
        <f t="shared" si="412"/>
        <v>1584</v>
      </c>
      <c r="O386" s="1157">
        <f t="shared" si="412"/>
        <v>1584</v>
      </c>
      <c r="P386" s="1157">
        <f t="shared" si="412"/>
        <v>1584</v>
      </c>
      <c r="Q386" s="1264">
        <f t="shared" si="412"/>
        <v>1584</v>
      </c>
      <c r="R386" s="1264">
        <f t="shared" si="412"/>
        <v>1584</v>
      </c>
      <c r="S386" s="1157">
        <f t="shared" si="412"/>
        <v>1584</v>
      </c>
      <c r="T386" s="1157">
        <f t="shared" si="412"/>
        <v>1584</v>
      </c>
      <c r="U386" s="1157">
        <f t="shared" si="412"/>
        <v>1584</v>
      </c>
      <c r="V386" s="1157">
        <f t="shared" si="412"/>
        <v>1584</v>
      </c>
      <c r="W386" s="1157">
        <f t="shared" si="412"/>
        <v>2110</v>
      </c>
      <c r="X386" s="1264">
        <f t="shared" si="412"/>
        <v>2110</v>
      </c>
      <c r="Y386" s="1264">
        <f t="shared" si="412"/>
        <v>2110</v>
      </c>
      <c r="Z386" s="1157">
        <f t="shared" si="412"/>
        <v>2110</v>
      </c>
      <c r="AA386" s="1157">
        <f t="shared" si="412"/>
        <v>2110</v>
      </c>
      <c r="AB386" s="1157">
        <f t="shared" si="412"/>
        <v>2110</v>
      </c>
      <c r="AC386" s="1157">
        <f t="shared" si="412"/>
        <v>2110</v>
      </c>
      <c r="AD386" s="1157">
        <f t="shared" si="412"/>
        <v>2110</v>
      </c>
      <c r="AE386" s="1264">
        <f t="shared" si="412"/>
        <v>2110</v>
      </c>
      <c r="AF386" s="1264">
        <f t="shared" si="412"/>
        <v>2110</v>
      </c>
      <c r="AG386" s="1157">
        <f t="shared" si="412"/>
        <v>2110</v>
      </c>
      <c r="AH386" s="1157">
        <f t="shared" si="412"/>
        <v>2110</v>
      </c>
      <c r="AI386" s="1157">
        <f t="shared" si="412"/>
        <v>2110</v>
      </c>
      <c r="AJ386" s="394"/>
      <c r="AK386" s="1025">
        <f t="shared" si="339"/>
        <v>0</v>
      </c>
      <c r="AL386" s="419"/>
      <c r="AM386" s="1040">
        <f t="shared" si="340"/>
        <v>0</v>
      </c>
      <c r="AN386" s="382"/>
      <c r="AO386" s="622"/>
      <c r="AP386" s="391"/>
      <c r="AQ386" s="391"/>
    </row>
    <row r="387" spans="1:48" ht="19.899999999999999" customHeight="1">
      <c r="A387" s="403"/>
      <c r="B387" s="59"/>
      <c r="C387" s="387"/>
      <c r="D387" s="395" t="s">
        <v>435</v>
      </c>
      <c r="E387" s="1365"/>
      <c r="F387" s="1104"/>
      <c r="G387" s="1211"/>
      <c r="H387" s="1176"/>
      <c r="I387" s="1104"/>
      <c r="J387" s="1211"/>
      <c r="K387" s="1273"/>
      <c r="L387" s="1107"/>
      <c r="M387" s="1104"/>
      <c r="N387" s="1177"/>
      <c r="O387" s="1107"/>
      <c r="P387" s="1177"/>
      <c r="Q387" s="1211"/>
      <c r="R387" s="1211"/>
      <c r="S387" s="1104"/>
      <c r="T387" s="1107"/>
      <c r="U387" s="1104"/>
      <c r="V387" s="1104"/>
      <c r="W387" s="1104"/>
      <c r="X387" s="1228"/>
      <c r="Y387" s="1211"/>
      <c r="Z387" s="1155"/>
      <c r="AA387" s="1104"/>
      <c r="AB387" s="1104"/>
      <c r="AC387" s="1104"/>
      <c r="AD387" s="1104"/>
      <c r="AE387" s="1211"/>
      <c r="AF387" s="1211"/>
      <c r="AG387" s="1104"/>
      <c r="AH387" s="1104"/>
      <c r="AI387" s="1104"/>
      <c r="AJ387" s="396"/>
      <c r="AK387" s="1024">
        <f t="shared" si="339"/>
        <v>0</v>
      </c>
      <c r="AL387" s="420"/>
      <c r="AM387" s="1040">
        <f t="shared" si="340"/>
        <v>0</v>
      </c>
      <c r="AN387" s="382"/>
      <c r="AO387" s="622"/>
      <c r="AP387" s="391"/>
      <c r="AQ387" s="391"/>
    </row>
    <row r="388" spans="1:48" s="23" customFormat="1" ht="20.45" customHeight="1">
      <c r="A388" s="403"/>
      <c r="B388" s="59"/>
      <c r="C388" s="387" t="s">
        <v>104</v>
      </c>
      <c r="D388" s="88" t="s">
        <v>111</v>
      </c>
      <c r="E388" s="1156">
        <f>IF(E387="O/H",E384,1584+E384)</f>
        <v>1584</v>
      </c>
      <c r="F388" s="1157">
        <f>IF(F387="O/H",F384,+E388+F384)</f>
        <v>1584</v>
      </c>
      <c r="G388" s="1264">
        <f t="shared" ref="G388:AI388" si="413">IF(G387="O/H",G384,+F388+G384)</f>
        <v>1584</v>
      </c>
      <c r="H388" s="1157">
        <f t="shared" si="413"/>
        <v>1584</v>
      </c>
      <c r="I388" s="1157">
        <f t="shared" si="413"/>
        <v>1584</v>
      </c>
      <c r="J388" s="1264">
        <f t="shared" si="413"/>
        <v>1584</v>
      </c>
      <c r="K388" s="1264">
        <f t="shared" si="413"/>
        <v>1584</v>
      </c>
      <c r="L388" s="1157">
        <f t="shared" si="413"/>
        <v>1584</v>
      </c>
      <c r="M388" s="1157">
        <f t="shared" si="413"/>
        <v>1584</v>
      </c>
      <c r="N388" s="1157">
        <f t="shared" si="413"/>
        <v>1584</v>
      </c>
      <c r="O388" s="1157">
        <f t="shared" si="413"/>
        <v>1584</v>
      </c>
      <c r="P388" s="1157">
        <f t="shared" si="413"/>
        <v>1584</v>
      </c>
      <c r="Q388" s="1264">
        <f t="shared" si="413"/>
        <v>1584</v>
      </c>
      <c r="R388" s="1264">
        <f t="shared" si="413"/>
        <v>1584</v>
      </c>
      <c r="S388" s="1157">
        <f t="shared" si="413"/>
        <v>1584</v>
      </c>
      <c r="T388" s="1157">
        <f t="shared" si="413"/>
        <v>1584</v>
      </c>
      <c r="U388" s="1157">
        <f t="shared" si="413"/>
        <v>1584</v>
      </c>
      <c r="V388" s="1157">
        <f t="shared" si="413"/>
        <v>1584</v>
      </c>
      <c r="W388" s="1157">
        <f t="shared" si="413"/>
        <v>2110</v>
      </c>
      <c r="X388" s="1264">
        <f t="shared" si="413"/>
        <v>2110</v>
      </c>
      <c r="Y388" s="1264">
        <f t="shared" si="413"/>
        <v>2110</v>
      </c>
      <c r="Z388" s="1157">
        <f t="shared" si="413"/>
        <v>2110</v>
      </c>
      <c r="AA388" s="1157">
        <f t="shared" si="413"/>
        <v>2110</v>
      </c>
      <c r="AB388" s="1157">
        <f t="shared" si="413"/>
        <v>2110</v>
      </c>
      <c r="AC388" s="1157">
        <f t="shared" si="413"/>
        <v>2110</v>
      </c>
      <c r="AD388" s="1157">
        <f t="shared" si="413"/>
        <v>2110</v>
      </c>
      <c r="AE388" s="1264">
        <f t="shared" si="413"/>
        <v>2110</v>
      </c>
      <c r="AF388" s="1264">
        <f t="shared" si="413"/>
        <v>2110</v>
      </c>
      <c r="AG388" s="1157">
        <f t="shared" si="413"/>
        <v>2110</v>
      </c>
      <c r="AH388" s="1157">
        <f t="shared" si="413"/>
        <v>2110</v>
      </c>
      <c r="AI388" s="1157">
        <f t="shared" si="413"/>
        <v>2110</v>
      </c>
      <c r="AJ388" s="394"/>
      <c r="AK388" s="1025">
        <f t="shared" si="339"/>
        <v>0</v>
      </c>
      <c r="AL388" s="419"/>
      <c r="AM388" s="1040">
        <f t="shared" si="340"/>
        <v>0</v>
      </c>
      <c r="AN388" s="382"/>
      <c r="AO388" s="622"/>
      <c r="AP388" s="285"/>
      <c r="AQ388" s="285"/>
      <c r="AR388" s="285"/>
      <c r="AS388" s="285"/>
      <c r="AT388" s="286"/>
      <c r="AU388" s="285"/>
      <c r="AV388" s="287"/>
    </row>
    <row r="389" spans="1:48" ht="19.899999999999999" customHeight="1">
      <c r="A389" s="312"/>
      <c r="B389" s="312"/>
      <c r="C389" s="379">
        <v>150000</v>
      </c>
      <c r="D389" s="795" t="s">
        <v>112</v>
      </c>
      <c r="E389" s="1117">
        <f>IF(AND(ISNUMBER(E378)),225225+E384)</f>
        <v>225225</v>
      </c>
      <c r="F389" s="1118">
        <f>IF(AND(ISNUMBER(F378)),E389+F384,"")</f>
        <v>225225</v>
      </c>
      <c r="G389" s="1216">
        <f>IF(AND(ISNUMBER(G378)),F389+G384,"")</f>
        <v>225225</v>
      </c>
      <c r="H389" s="1118">
        <f t="shared" ref="H389:AI389" si="414">IF(AND(ISNUMBER(H378)),G389+H384,"")</f>
        <v>225225</v>
      </c>
      <c r="I389" s="1118">
        <f t="shared" si="414"/>
        <v>225225</v>
      </c>
      <c r="J389" s="1216">
        <f t="shared" si="414"/>
        <v>225225</v>
      </c>
      <c r="K389" s="1216">
        <f t="shared" si="414"/>
        <v>225225</v>
      </c>
      <c r="L389" s="1118">
        <f t="shared" si="414"/>
        <v>225225</v>
      </c>
      <c r="M389" s="1118">
        <f t="shared" si="414"/>
        <v>225225</v>
      </c>
      <c r="N389" s="1118">
        <f t="shared" si="414"/>
        <v>225225</v>
      </c>
      <c r="O389" s="1118">
        <f t="shared" si="414"/>
        <v>225225</v>
      </c>
      <c r="P389" s="1118">
        <f t="shared" si="414"/>
        <v>225225</v>
      </c>
      <c r="Q389" s="1216">
        <f t="shared" si="414"/>
        <v>225225</v>
      </c>
      <c r="R389" s="1216">
        <f>IF(AND(ISNUMBER(R378)),Q389+R384,"")</f>
        <v>225225</v>
      </c>
      <c r="S389" s="1118">
        <f>IF(AND(ISNUMBER(S378)),R389+S384,"")</f>
        <v>225225</v>
      </c>
      <c r="T389" s="1118">
        <f t="shared" si="414"/>
        <v>225225</v>
      </c>
      <c r="U389" s="1118">
        <f t="shared" si="414"/>
        <v>225225</v>
      </c>
      <c r="V389" s="1118">
        <f t="shared" si="414"/>
        <v>225225</v>
      </c>
      <c r="W389" s="1118">
        <f t="shared" si="414"/>
        <v>225751</v>
      </c>
      <c r="X389" s="1216">
        <f t="shared" si="414"/>
        <v>225751</v>
      </c>
      <c r="Y389" s="1216">
        <f t="shared" si="414"/>
        <v>225751</v>
      </c>
      <c r="Z389" s="1118">
        <f t="shared" si="414"/>
        <v>225751</v>
      </c>
      <c r="AA389" s="1118">
        <f t="shared" si="414"/>
        <v>225751</v>
      </c>
      <c r="AB389" s="1118" t="str">
        <f t="shared" si="414"/>
        <v/>
      </c>
      <c r="AC389" s="1118" t="str">
        <f t="shared" si="414"/>
        <v/>
      </c>
      <c r="AD389" s="1118" t="str">
        <f t="shared" si="414"/>
        <v/>
      </c>
      <c r="AE389" s="1216" t="str">
        <f t="shared" si="414"/>
        <v/>
      </c>
      <c r="AF389" s="1216" t="str">
        <f t="shared" si="414"/>
        <v/>
      </c>
      <c r="AG389" s="1118" t="str">
        <f t="shared" si="414"/>
        <v/>
      </c>
      <c r="AH389" s="1118" t="str">
        <f t="shared" si="414"/>
        <v/>
      </c>
      <c r="AI389" s="1118" t="str">
        <f t="shared" si="414"/>
        <v/>
      </c>
      <c r="AJ389" s="793"/>
      <c r="AK389" s="1026">
        <f t="shared" si="339"/>
        <v>0</v>
      </c>
      <c r="AL389" s="897"/>
      <c r="AM389" s="1042">
        <f t="shared" si="340"/>
        <v>0</v>
      </c>
      <c r="AN389" s="468"/>
      <c r="AO389" s="675"/>
      <c r="AP389" s="391"/>
      <c r="AQ389" s="391"/>
    </row>
    <row r="390" spans="1:48" ht="19.899999999999999" customHeight="1">
      <c r="A390" s="403"/>
      <c r="B390" s="781" t="s">
        <v>544</v>
      </c>
      <c r="C390" s="89" t="s">
        <v>108</v>
      </c>
      <c r="D390" s="90" t="s">
        <v>104</v>
      </c>
      <c r="E390" s="1365"/>
      <c r="F390" s="1104"/>
      <c r="G390" s="1211"/>
      <c r="H390" s="1176"/>
      <c r="I390" s="1104"/>
      <c r="J390" s="1211"/>
      <c r="K390" s="1273"/>
      <c r="L390" s="1104"/>
      <c r="M390" s="1104"/>
      <c r="N390" s="1177"/>
      <c r="O390" s="1104"/>
      <c r="P390" s="1177"/>
      <c r="Q390" s="1211"/>
      <c r="R390" s="1211"/>
      <c r="S390" s="1104"/>
      <c r="T390" s="1107"/>
      <c r="U390" s="1104"/>
      <c r="V390" s="1104"/>
      <c r="W390" s="1104"/>
      <c r="X390" s="1228"/>
      <c r="Y390" s="1211"/>
      <c r="Z390" s="1106"/>
      <c r="AA390" s="1104"/>
      <c r="AB390" s="1104"/>
      <c r="AC390" s="1104"/>
      <c r="AD390" s="1104"/>
      <c r="AE390" s="1211"/>
      <c r="AF390" s="1211"/>
      <c r="AG390" s="1104"/>
      <c r="AH390" s="1104"/>
      <c r="AI390" s="1104"/>
      <c r="AJ390" s="396"/>
      <c r="AK390" s="1024">
        <f t="shared" si="339"/>
        <v>0</v>
      </c>
      <c r="AL390" s="420"/>
      <c r="AM390" s="1040">
        <f t="shared" si="340"/>
        <v>0</v>
      </c>
      <c r="AN390" s="382"/>
      <c r="AO390" s="622"/>
      <c r="AP390" s="391"/>
      <c r="AQ390" s="391"/>
    </row>
    <row r="391" spans="1:48" ht="19.899999999999999" customHeight="1" thickBot="1">
      <c r="A391" s="406"/>
      <c r="B391" s="398"/>
      <c r="C391" s="434">
        <f>+C389*0.8</f>
        <v>120000</v>
      </c>
      <c r="D391" s="95" t="s">
        <v>111</v>
      </c>
      <c r="E391" s="1109">
        <f>IF(E390="O/H",E384,14934+E384)</f>
        <v>14934</v>
      </c>
      <c r="F391" s="1110">
        <f>IF(F390="O/H",F384,+E391+F384)</f>
        <v>14934</v>
      </c>
      <c r="G391" s="1212">
        <f t="shared" ref="G391:AI391" si="415">IF(G390="O/H",G384,+F391+G384)</f>
        <v>14934</v>
      </c>
      <c r="H391" s="1110">
        <f t="shared" si="415"/>
        <v>14934</v>
      </c>
      <c r="I391" s="1110">
        <f t="shared" si="415"/>
        <v>14934</v>
      </c>
      <c r="J391" s="1212">
        <f t="shared" si="415"/>
        <v>14934</v>
      </c>
      <c r="K391" s="1212">
        <f t="shared" si="415"/>
        <v>14934</v>
      </c>
      <c r="L391" s="1110">
        <f t="shared" si="415"/>
        <v>14934</v>
      </c>
      <c r="M391" s="1110">
        <f t="shared" si="415"/>
        <v>14934</v>
      </c>
      <c r="N391" s="1110">
        <f t="shared" si="415"/>
        <v>14934</v>
      </c>
      <c r="O391" s="1110">
        <f t="shared" si="415"/>
        <v>14934</v>
      </c>
      <c r="P391" s="1110">
        <f t="shared" si="415"/>
        <v>14934</v>
      </c>
      <c r="Q391" s="1212">
        <f t="shared" si="415"/>
        <v>14934</v>
      </c>
      <c r="R391" s="1212">
        <f t="shared" si="415"/>
        <v>14934</v>
      </c>
      <c r="S391" s="1110">
        <f t="shared" si="415"/>
        <v>14934</v>
      </c>
      <c r="T391" s="1110">
        <f t="shared" si="415"/>
        <v>14934</v>
      </c>
      <c r="U391" s="1110">
        <f t="shared" si="415"/>
        <v>14934</v>
      </c>
      <c r="V391" s="1110">
        <f t="shared" si="415"/>
        <v>14934</v>
      </c>
      <c r="W391" s="1110">
        <f t="shared" si="415"/>
        <v>15460</v>
      </c>
      <c r="X391" s="1212">
        <f t="shared" si="415"/>
        <v>15460</v>
      </c>
      <c r="Y391" s="1212">
        <f t="shared" si="415"/>
        <v>15460</v>
      </c>
      <c r="Z391" s="1110">
        <f t="shared" si="415"/>
        <v>15460</v>
      </c>
      <c r="AA391" s="1110">
        <f t="shared" si="415"/>
        <v>15460</v>
      </c>
      <c r="AB391" s="1110">
        <f t="shared" si="415"/>
        <v>15460</v>
      </c>
      <c r="AC391" s="1110">
        <f t="shared" si="415"/>
        <v>15460</v>
      </c>
      <c r="AD391" s="1110">
        <f t="shared" si="415"/>
        <v>15460</v>
      </c>
      <c r="AE391" s="1212">
        <f t="shared" si="415"/>
        <v>15460</v>
      </c>
      <c r="AF391" s="1212">
        <f t="shared" si="415"/>
        <v>15460</v>
      </c>
      <c r="AG391" s="1110">
        <f t="shared" si="415"/>
        <v>15460</v>
      </c>
      <c r="AH391" s="1110">
        <f t="shared" si="415"/>
        <v>15460</v>
      </c>
      <c r="AI391" s="1110">
        <f t="shared" si="415"/>
        <v>15460</v>
      </c>
      <c r="AJ391" s="399"/>
      <c r="AK391" s="1027">
        <f t="shared" ref="AK391:AK454" si="416">AJ393</f>
        <v>0</v>
      </c>
      <c r="AL391" s="421"/>
      <c r="AM391" s="1043">
        <f t="shared" ref="AM391:AM454" si="417">AL393</f>
        <v>0</v>
      </c>
      <c r="AN391" s="894"/>
      <c r="AO391" s="625"/>
      <c r="AP391" s="32"/>
      <c r="AQ391" s="33"/>
      <c r="AR391" s="33"/>
      <c r="AS391" s="33"/>
      <c r="AT391" s="33"/>
      <c r="AU391" s="33"/>
      <c r="AV391" s="34"/>
    </row>
    <row r="392" spans="1:48" ht="19.899999999999999" hidden="1" customHeight="1" thickTop="1">
      <c r="A392" s="968" t="s">
        <v>694</v>
      </c>
      <c r="B392" s="411" t="s">
        <v>693</v>
      </c>
      <c r="C392" s="518" t="str">
        <f>Table37[[#This Row],[M/C No.]]</f>
        <v>R19(75*75ton)</v>
      </c>
      <c r="D392" s="28" t="s">
        <v>82</v>
      </c>
      <c r="E392" s="1124"/>
      <c r="F392" s="1124"/>
      <c r="G392" s="1242"/>
      <c r="H392" s="1124"/>
      <c r="I392" s="1124"/>
      <c r="J392" s="1242"/>
      <c r="K392" s="1242"/>
      <c r="L392" s="1124"/>
      <c r="M392" s="1124"/>
      <c r="N392" s="1124"/>
      <c r="O392" s="1124"/>
      <c r="P392" s="1124"/>
      <c r="Q392" s="1242"/>
      <c r="R392" s="1242"/>
      <c r="S392" s="1124"/>
      <c r="T392" s="1124"/>
      <c r="U392" s="1124"/>
      <c r="V392" s="1124"/>
      <c r="W392" s="1124"/>
      <c r="X392" s="1242"/>
      <c r="Y392" s="1242"/>
      <c r="Z392" s="1124"/>
      <c r="AA392" s="1124"/>
      <c r="AB392" s="1124"/>
      <c r="AC392" s="1124"/>
      <c r="AD392" s="1124"/>
      <c r="AE392" s="1242"/>
      <c r="AF392" s="1242"/>
      <c r="AG392" s="1124"/>
      <c r="AH392" s="1124"/>
      <c r="AI392" s="1124"/>
      <c r="AJ392" s="375">
        <f>SUM(E392:AI392)</f>
        <v>0</v>
      </c>
      <c r="AK392" s="1047">
        <f t="shared" si="416"/>
        <v>0</v>
      </c>
      <c r="AL392" s="422">
        <f>+AJ392*AN392</f>
        <v>0</v>
      </c>
      <c r="AM392" s="1046">
        <f t="shared" si="417"/>
        <v>0</v>
      </c>
      <c r="AN392" s="402">
        <v>3.8708</v>
      </c>
      <c r="AO392" s="622" t="s">
        <v>429</v>
      </c>
      <c r="AP392" s="32" t="s">
        <v>482</v>
      </c>
      <c r="AQ392" s="33" t="s">
        <v>84</v>
      </c>
      <c r="AR392" s="33" t="s">
        <v>85</v>
      </c>
      <c r="AS392" s="33" t="s">
        <v>86</v>
      </c>
      <c r="AT392" s="33" t="s">
        <v>87</v>
      </c>
      <c r="AU392" s="33" t="s">
        <v>88</v>
      </c>
      <c r="AV392" s="34" t="s">
        <v>68</v>
      </c>
    </row>
    <row r="393" spans="1:48" ht="19.899999999999999" hidden="1" customHeight="1">
      <c r="A393" s="403"/>
      <c r="B393" s="781" t="s">
        <v>522</v>
      </c>
      <c r="C393" s="431" t="s">
        <v>110</v>
      </c>
      <c r="D393" s="37" t="s">
        <v>90</v>
      </c>
      <c r="E393" s="1323">
        <f>IF(E392="",0, E392/E399)</f>
        <v>0</v>
      </c>
      <c r="F393" s="1096">
        <f t="shared" ref="F393:AI393" si="418">IF(F392="",0, E393+F392/F399)</f>
        <v>0</v>
      </c>
      <c r="G393" s="1207">
        <f t="shared" si="418"/>
        <v>0</v>
      </c>
      <c r="H393" s="1096">
        <f t="shared" si="418"/>
        <v>0</v>
      </c>
      <c r="I393" s="1096">
        <f t="shared" si="418"/>
        <v>0</v>
      </c>
      <c r="J393" s="1207">
        <f t="shared" si="418"/>
        <v>0</v>
      </c>
      <c r="K393" s="1207">
        <f t="shared" si="418"/>
        <v>0</v>
      </c>
      <c r="L393" s="1096">
        <f t="shared" si="418"/>
        <v>0</v>
      </c>
      <c r="M393" s="1096">
        <f t="shared" si="418"/>
        <v>0</v>
      </c>
      <c r="N393" s="1096">
        <f t="shared" si="418"/>
        <v>0</v>
      </c>
      <c r="O393" s="1096">
        <f t="shared" si="418"/>
        <v>0</v>
      </c>
      <c r="P393" s="1096">
        <f t="shared" si="418"/>
        <v>0</v>
      </c>
      <c r="Q393" s="1207">
        <f t="shared" si="418"/>
        <v>0</v>
      </c>
      <c r="R393" s="1207">
        <f t="shared" si="418"/>
        <v>0</v>
      </c>
      <c r="S393" s="1096">
        <f t="shared" si="418"/>
        <v>0</v>
      </c>
      <c r="T393" s="1096">
        <f t="shared" si="418"/>
        <v>0</v>
      </c>
      <c r="U393" s="1096">
        <f t="shared" si="418"/>
        <v>0</v>
      </c>
      <c r="V393" s="1096">
        <f t="shared" si="418"/>
        <v>0</v>
      </c>
      <c r="W393" s="1096">
        <f t="shared" si="418"/>
        <v>0</v>
      </c>
      <c r="X393" s="1207">
        <f t="shared" si="418"/>
        <v>0</v>
      </c>
      <c r="Y393" s="1207">
        <f t="shared" si="418"/>
        <v>0</v>
      </c>
      <c r="Z393" s="1096">
        <f t="shared" si="418"/>
        <v>0</v>
      </c>
      <c r="AA393" s="1096">
        <f t="shared" si="418"/>
        <v>0</v>
      </c>
      <c r="AB393" s="1096">
        <f t="shared" si="418"/>
        <v>0</v>
      </c>
      <c r="AC393" s="1096">
        <f t="shared" si="418"/>
        <v>0</v>
      </c>
      <c r="AD393" s="1096">
        <f t="shared" si="418"/>
        <v>0</v>
      </c>
      <c r="AE393" s="1207">
        <f t="shared" si="418"/>
        <v>0</v>
      </c>
      <c r="AF393" s="1207">
        <f t="shared" si="418"/>
        <v>0</v>
      </c>
      <c r="AG393" s="1096">
        <f t="shared" si="418"/>
        <v>0</v>
      </c>
      <c r="AH393" s="1096">
        <f t="shared" si="418"/>
        <v>0</v>
      </c>
      <c r="AI393" s="1096">
        <f t="shared" si="418"/>
        <v>0</v>
      </c>
      <c r="AJ393" s="375"/>
      <c r="AK393" s="1023">
        <f t="shared" si="416"/>
        <v>0</v>
      </c>
      <c r="AL393" s="423"/>
      <c r="AM393" s="1040">
        <f t="shared" si="417"/>
        <v>0</v>
      </c>
      <c r="AN393" s="382"/>
      <c r="AO393" s="622">
        <f>AJ392*B396/1000</f>
        <v>0</v>
      </c>
      <c r="AP393" s="39" t="s">
        <v>91</v>
      </c>
      <c r="AQ393" s="40">
        <f>SUM(E392:H392)</f>
        <v>0</v>
      </c>
      <c r="AR393" s="41">
        <f>SUM(I392:O392)</f>
        <v>0</v>
      </c>
      <c r="AS393" s="41">
        <f>SUM(P392:V392)</f>
        <v>0</v>
      </c>
      <c r="AT393" s="41">
        <f>SUM(W392:AC392)</f>
        <v>0</v>
      </c>
      <c r="AU393" s="41">
        <f>SUM(AD392:AI392)</f>
        <v>0</v>
      </c>
      <c r="AV393" s="34">
        <f t="shared" ref="AV393:AV398" si="419">SUM(AQ393:AU393)</f>
        <v>0</v>
      </c>
    </row>
    <row r="394" spans="1:48" ht="19.899999999999999" hidden="1" customHeight="1">
      <c r="A394" s="403"/>
      <c r="B394" s="393" t="s">
        <v>272</v>
      </c>
      <c r="C394" s="379">
        <v>100000</v>
      </c>
      <c r="D394" s="43" t="s">
        <v>93</v>
      </c>
      <c r="E394" s="1108"/>
      <c r="F394" s="1089"/>
      <c r="G394" s="44"/>
      <c r="H394" s="1089"/>
      <c r="I394" s="1089"/>
      <c r="J394" s="44"/>
      <c r="K394" s="44"/>
      <c r="L394" s="1089"/>
      <c r="M394" s="1089"/>
      <c r="N394" s="1089"/>
      <c r="O394" s="1089"/>
      <c r="P394" s="1089"/>
      <c r="Q394" s="44"/>
      <c r="R394" s="44"/>
      <c r="S394" s="1089"/>
      <c r="T394" s="1089"/>
      <c r="U394" s="1089"/>
      <c r="V394" s="1089"/>
      <c r="W394" s="1089"/>
      <c r="X394" s="44"/>
      <c r="Y394" s="44"/>
      <c r="Z394" s="1089"/>
      <c r="AA394" s="1089"/>
      <c r="AB394" s="1089"/>
      <c r="AC394" s="1089"/>
      <c r="AD394" s="1089"/>
      <c r="AE394" s="44"/>
      <c r="AF394" s="44"/>
      <c r="AG394" s="1089"/>
      <c r="AH394" s="1089"/>
      <c r="AI394" s="1089"/>
      <c r="AJ394" s="380">
        <f>SUM(E394:AI394)</f>
        <v>0</v>
      </c>
      <c r="AK394" s="1024">
        <f t="shared" si="416"/>
        <v>0</v>
      </c>
      <c r="AL394" s="424">
        <f>+AJ394*AN392</f>
        <v>0</v>
      </c>
      <c r="AM394" s="1041">
        <f t="shared" si="417"/>
        <v>0</v>
      </c>
      <c r="AN394" s="382"/>
      <c r="AO394" s="632">
        <f>(AJ394+AJ396+AJ397+AJ398)*B396/1000</f>
        <v>0</v>
      </c>
      <c r="AP394" s="47" t="s">
        <v>94</v>
      </c>
      <c r="AQ394" s="48">
        <f>SUM(E394:H394)</f>
        <v>0</v>
      </c>
      <c r="AR394" s="49">
        <f>SUM(I394:O394)</f>
        <v>0</v>
      </c>
      <c r="AS394" s="49">
        <f>SUM(P394:V394)</f>
        <v>0</v>
      </c>
      <c r="AT394" s="49">
        <f>SUM(W394:AC394)</f>
        <v>0</v>
      </c>
      <c r="AU394" s="49">
        <f>SUM(AD394:AI394)</f>
        <v>0</v>
      </c>
      <c r="AV394" s="50">
        <f t="shared" si="419"/>
        <v>0</v>
      </c>
    </row>
    <row r="395" spans="1:48" ht="19.899999999999999" hidden="1" customHeight="1">
      <c r="A395" s="403"/>
      <c r="B395" s="638" t="s">
        <v>432</v>
      </c>
      <c r="C395" s="89" t="s">
        <v>108</v>
      </c>
      <c r="D395" s="53" t="s">
        <v>96</v>
      </c>
      <c r="E395" s="1137">
        <f t="shared" ref="E395:AJ395" si="420">+E394-E392</f>
        <v>0</v>
      </c>
      <c r="F395" s="1137">
        <f t="shared" si="420"/>
        <v>0</v>
      </c>
      <c r="G395" s="1232">
        <f t="shared" si="420"/>
        <v>0</v>
      </c>
      <c r="H395" s="1137">
        <f t="shared" si="420"/>
        <v>0</v>
      </c>
      <c r="I395" s="1137">
        <f t="shared" si="420"/>
        <v>0</v>
      </c>
      <c r="J395" s="1232">
        <f t="shared" si="420"/>
        <v>0</v>
      </c>
      <c r="K395" s="1232">
        <f t="shared" si="420"/>
        <v>0</v>
      </c>
      <c r="L395" s="1137">
        <f t="shared" si="420"/>
        <v>0</v>
      </c>
      <c r="M395" s="1137">
        <f t="shared" si="420"/>
        <v>0</v>
      </c>
      <c r="N395" s="1137">
        <f t="shared" si="420"/>
        <v>0</v>
      </c>
      <c r="O395" s="1097">
        <f t="shared" si="420"/>
        <v>0</v>
      </c>
      <c r="P395" s="1097">
        <f t="shared" si="420"/>
        <v>0</v>
      </c>
      <c r="Q395" s="1232">
        <f t="shared" si="420"/>
        <v>0</v>
      </c>
      <c r="R395" s="1232">
        <f t="shared" si="420"/>
        <v>0</v>
      </c>
      <c r="S395" s="1137">
        <f t="shared" si="420"/>
        <v>0</v>
      </c>
      <c r="T395" s="1137">
        <f t="shared" si="420"/>
        <v>0</v>
      </c>
      <c r="U395" s="1137">
        <f t="shared" si="420"/>
        <v>0</v>
      </c>
      <c r="V395" s="1137">
        <f t="shared" si="420"/>
        <v>0</v>
      </c>
      <c r="W395" s="1137">
        <f t="shared" si="420"/>
        <v>0</v>
      </c>
      <c r="X395" s="1232">
        <f t="shared" si="420"/>
        <v>0</v>
      </c>
      <c r="Y395" s="1232">
        <f t="shared" si="420"/>
        <v>0</v>
      </c>
      <c r="Z395" s="1137">
        <f t="shared" si="420"/>
        <v>0</v>
      </c>
      <c r="AA395" s="1137">
        <f t="shared" si="420"/>
        <v>0</v>
      </c>
      <c r="AB395" s="1137">
        <f t="shared" si="420"/>
        <v>0</v>
      </c>
      <c r="AC395" s="1137">
        <f t="shared" si="420"/>
        <v>0</v>
      </c>
      <c r="AD395" s="1137">
        <f t="shared" si="420"/>
        <v>0</v>
      </c>
      <c r="AE395" s="1232">
        <f t="shared" si="420"/>
        <v>0</v>
      </c>
      <c r="AF395" s="1232">
        <f t="shared" si="420"/>
        <v>0</v>
      </c>
      <c r="AG395" s="1137">
        <f t="shared" si="420"/>
        <v>0</v>
      </c>
      <c r="AH395" s="1137">
        <f t="shared" si="420"/>
        <v>0</v>
      </c>
      <c r="AI395" s="1137">
        <f t="shared" si="420"/>
        <v>0</v>
      </c>
      <c r="AJ395" s="381">
        <f t="shared" si="420"/>
        <v>0</v>
      </c>
      <c r="AK395" s="1024">
        <f t="shared" si="416"/>
        <v>0</v>
      </c>
      <c r="AL395" s="425">
        <f>+AJ395*AN392</f>
        <v>0</v>
      </c>
      <c r="AM395" s="1041">
        <f t="shared" si="417"/>
        <v>0</v>
      </c>
      <c r="AN395" s="382" t="s">
        <v>97</v>
      </c>
      <c r="AO395" s="622" t="s">
        <v>433</v>
      </c>
      <c r="AP395" s="39" t="s">
        <v>98</v>
      </c>
      <c r="AQ395" s="56">
        <f>AQ394-AQ393</f>
        <v>0</v>
      </c>
      <c r="AR395" s="70">
        <f>AR394-AR393</f>
        <v>0</v>
      </c>
      <c r="AS395" s="70">
        <f>AS394-AS393</f>
        <v>0</v>
      </c>
      <c r="AT395" s="70">
        <f>AT394-AT393</f>
        <v>0</v>
      </c>
      <c r="AU395" s="70">
        <f>AU394-AU393</f>
        <v>0</v>
      </c>
      <c r="AV395" s="57">
        <f t="shared" si="419"/>
        <v>0</v>
      </c>
    </row>
    <row r="396" spans="1:48" ht="21" hidden="1" customHeight="1">
      <c r="A396" s="403"/>
      <c r="B396" s="659">
        <v>0.73750000000000004</v>
      </c>
      <c r="C396" s="432">
        <f>+C394*0.8</f>
        <v>80000</v>
      </c>
      <c r="D396" s="61" t="s">
        <v>101</v>
      </c>
      <c r="E396" s="1098"/>
      <c r="F396" s="1099"/>
      <c r="G396" s="1208"/>
      <c r="H396" s="1099"/>
      <c r="I396" s="1099"/>
      <c r="J396" s="1208"/>
      <c r="K396" s="1208"/>
      <c r="L396" s="1099"/>
      <c r="M396" s="1099"/>
      <c r="N396" s="1099"/>
      <c r="O396" s="1099"/>
      <c r="P396" s="1099"/>
      <c r="Q396" s="1208"/>
      <c r="R396" s="1208"/>
      <c r="S396" s="1099"/>
      <c r="T396" s="1099"/>
      <c r="U396" s="1099"/>
      <c r="V396" s="1099"/>
      <c r="W396" s="1099"/>
      <c r="X396" s="1208"/>
      <c r="Y396" s="1208"/>
      <c r="Z396" s="1099"/>
      <c r="AA396" s="1099"/>
      <c r="AB396" s="1099"/>
      <c r="AC396" s="1099"/>
      <c r="AD396" s="1099"/>
      <c r="AE396" s="1208"/>
      <c r="AF396" s="1208"/>
      <c r="AG396" s="1099"/>
      <c r="AH396" s="1099"/>
      <c r="AI396" s="1099"/>
      <c r="AJ396" s="384">
        <f>SUM(E396:AI396)</f>
        <v>0</v>
      </c>
      <c r="AK396" s="1024">
        <f t="shared" si="416"/>
        <v>0</v>
      </c>
      <c r="AL396" s="420">
        <f>+AJ396*AN392</f>
        <v>0</v>
      </c>
      <c r="AM396" s="1040">
        <f t="shared" si="417"/>
        <v>0</v>
      </c>
      <c r="AN396" s="385" t="e">
        <f>+AJ396/AJ394</f>
        <v>#DIV/0!</v>
      </c>
      <c r="AO396" s="622">
        <f>AJ392*B398/1000</f>
        <v>0</v>
      </c>
      <c r="AP396" s="39" t="s">
        <v>102</v>
      </c>
      <c r="AQ396" s="56">
        <f>SUM(E396:H396)</f>
        <v>0</v>
      </c>
      <c r="AR396" s="70">
        <f>SUM(I396:O396)</f>
        <v>0</v>
      </c>
      <c r="AS396" s="70">
        <f>SUM(P396:V396)</f>
        <v>0</v>
      </c>
      <c r="AT396" s="70">
        <f>SUM(W396:AC396)</f>
        <v>0</v>
      </c>
      <c r="AU396" s="70">
        <f>SUM(AD396:AI396)</f>
        <v>0</v>
      </c>
      <c r="AV396" s="57">
        <f t="shared" si="419"/>
        <v>0</v>
      </c>
    </row>
    <row r="397" spans="1:48" ht="21" hidden="1" customHeight="1">
      <c r="A397" s="403"/>
      <c r="B397" s="638" t="s">
        <v>434</v>
      </c>
      <c r="C397" s="432"/>
      <c r="D397" s="67" t="s">
        <v>103</v>
      </c>
      <c r="E397" s="1100"/>
      <c r="F397" s="1101"/>
      <c r="G397" s="1209"/>
      <c r="H397" s="1101"/>
      <c r="I397" s="1101"/>
      <c r="J397" s="1209"/>
      <c r="K397" s="1209"/>
      <c r="L397" s="1101"/>
      <c r="M397" s="1101"/>
      <c r="N397" s="1101"/>
      <c r="O397" s="1101"/>
      <c r="P397" s="1101"/>
      <c r="Q397" s="1209"/>
      <c r="R397" s="1209"/>
      <c r="S397" s="1101"/>
      <c r="T397" s="1101"/>
      <c r="U397" s="1101"/>
      <c r="V397" s="1101"/>
      <c r="W397" s="1101"/>
      <c r="X397" s="1209"/>
      <c r="Y397" s="1209"/>
      <c r="Z397" s="1101"/>
      <c r="AA397" s="1101"/>
      <c r="AB397" s="1101"/>
      <c r="AC397" s="1101"/>
      <c r="AD397" s="1101"/>
      <c r="AE397" s="1209"/>
      <c r="AF397" s="1209"/>
      <c r="AG397" s="1101"/>
      <c r="AH397" s="1101"/>
      <c r="AI397" s="1101"/>
      <c r="AJ397" s="386">
        <f>SUM(E397:AI397)</f>
        <v>0</v>
      </c>
      <c r="AK397" s="1024">
        <f t="shared" si="416"/>
        <v>0</v>
      </c>
      <c r="AL397" s="426">
        <f>+AJ397*AN392</f>
        <v>0</v>
      </c>
      <c r="AM397" s="1040">
        <f t="shared" si="417"/>
        <v>0</v>
      </c>
      <c r="AN397" s="382"/>
      <c r="AO397" s="632">
        <f>(AJ394+AJ396+AJ397+AJ398)*B398/1000</f>
        <v>0</v>
      </c>
      <c r="AP397" s="39" t="s">
        <v>19</v>
      </c>
      <c r="AQ397" s="56">
        <f>AQ396*AN392</f>
        <v>0</v>
      </c>
      <c r="AR397" s="56">
        <f>AR396*AN392</f>
        <v>0</v>
      </c>
      <c r="AS397" s="56">
        <f>AS396*AN392</f>
        <v>0</v>
      </c>
      <c r="AT397" s="56">
        <f>AT396*AN392</f>
        <v>0</v>
      </c>
      <c r="AU397" s="56">
        <f>AU396*AN392</f>
        <v>0</v>
      </c>
      <c r="AV397" s="57">
        <f t="shared" si="419"/>
        <v>0</v>
      </c>
    </row>
    <row r="398" spans="1:48" ht="21" hidden="1" customHeight="1">
      <c r="A398" s="403"/>
      <c r="B398" s="659">
        <v>1.1545000000000001</v>
      </c>
      <c r="C398" s="387" t="s">
        <v>435</v>
      </c>
      <c r="D398" s="73" t="s">
        <v>105</v>
      </c>
      <c r="E398" s="1102"/>
      <c r="F398" s="1103"/>
      <c r="G398" s="1210"/>
      <c r="H398" s="1103"/>
      <c r="I398" s="1103"/>
      <c r="J398" s="1210"/>
      <c r="K398" s="1210"/>
      <c r="L398" s="1103"/>
      <c r="M398" s="1103"/>
      <c r="N398" s="1103"/>
      <c r="O398" s="1103"/>
      <c r="P398" s="1103"/>
      <c r="Q398" s="1210"/>
      <c r="R398" s="1210"/>
      <c r="S398" s="1103"/>
      <c r="T398" s="1103"/>
      <c r="U398" s="1103"/>
      <c r="V398" s="1103"/>
      <c r="W398" s="1103"/>
      <c r="X398" s="1210"/>
      <c r="Y398" s="1210"/>
      <c r="Z398" s="1103"/>
      <c r="AA398" s="1103"/>
      <c r="AB398" s="1103"/>
      <c r="AC398" s="1103"/>
      <c r="AD398" s="1103"/>
      <c r="AE398" s="1210"/>
      <c r="AF398" s="1210"/>
      <c r="AG398" s="1103"/>
      <c r="AH398" s="1103"/>
      <c r="AI398" s="1103"/>
      <c r="AJ398" s="388">
        <f>SUM(E398:AI398)</f>
        <v>0</v>
      </c>
      <c r="AK398" s="1024">
        <f t="shared" si="416"/>
        <v>0</v>
      </c>
      <c r="AL398" s="427">
        <f>+AJ398*AN392</f>
        <v>0</v>
      </c>
      <c r="AM398" s="1040">
        <f t="shared" si="417"/>
        <v>0</v>
      </c>
      <c r="AN398" s="382"/>
      <c r="AO398" s="622"/>
      <c r="AP398" s="47" t="s">
        <v>106</v>
      </c>
      <c r="AQ398" s="48">
        <f>AQ394*AN392</f>
        <v>0</v>
      </c>
      <c r="AR398" s="48">
        <f>AR394*AN392</f>
        <v>0</v>
      </c>
      <c r="AS398" s="48">
        <f>AS394*AN392</f>
        <v>0</v>
      </c>
      <c r="AT398" s="48">
        <f>AT394*AN392</f>
        <v>0</v>
      </c>
      <c r="AU398" s="48">
        <f>AU394*AN392</f>
        <v>0</v>
      </c>
      <c r="AV398" s="50">
        <f t="shared" si="419"/>
        <v>0</v>
      </c>
    </row>
    <row r="399" spans="1:48" ht="21" hidden="1" customHeight="1">
      <c r="A399" s="403"/>
      <c r="B399" s="390"/>
      <c r="C399" s="379">
        <v>50000</v>
      </c>
      <c r="D399" s="78" t="s">
        <v>107</v>
      </c>
      <c r="E399" s="1137">
        <v>8</v>
      </c>
      <c r="F399" s="1097">
        <v>8</v>
      </c>
      <c r="G399" s="1205">
        <v>8</v>
      </c>
      <c r="H399" s="1097">
        <v>8</v>
      </c>
      <c r="I399" s="1097">
        <v>8</v>
      </c>
      <c r="J399" s="1205">
        <v>8</v>
      </c>
      <c r="K399" s="1205">
        <v>8</v>
      </c>
      <c r="L399" s="1097">
        <v>8</v>
      </c>
      <c r="M399" s="1097">
        <v>8</v>
      </c>
      <c r="N399" s="1097">
        <v>8</v>
      </c>
      <c r="O399" s="1097">
        <v>8</v>
      </c>
      <c r="P399" s="1097">
        <v>8</v>
      </c>
      <c r="Q399" s="1205">
        <v>8</v>
      </c>
      <c r="R399" s="1205">
        <v>8</v>
      </c>
      <c r="S399" s="1097">
        <v>8</v>
      </c>
      <c r="T399" s="1097">
        <v>8</v>
      </c>
      <c r="U399" s="1097">
        <v>8</v>
      </c>
      <c r="V399" s="1097">
        <v>8</v>
      </c>
      <c r="W399" s="1097">
        <v>8</v>
      </c>
      <c r="X399" s="1205">
        <v>8</v>
      </c>
      <c r="Y399" s="1205">
        <v>8</v>
      </c>
      <c r="Z399" s="1097">
        <v>8</v>
      </c>
      <c r="AA399" s="1097">
        <v>8</v>
      </c>
      <c r="AB399" s="1097">
        <v>8</v>
      </c>
      <c r="AC399" s="1097">
        <v>8</v>
      </c>
      <c r="AD399" s="1097">
        <v>8</v>
      </c>
      <c r="AE399" s="1205">
        <v>8</v>
      </c>
      <c r="AF399" s="1205">
        <v>8</v>
      </c>
      <c r="AG399" s="1097">
        <v>8</v>
      </c>
      <c r="AH399" s="1097">
        <v>8</v>
      </c>
      <c r="AI399" s="1097">
        <v>8</v>
      </c>
      <c r="AJ399" s="381"/>
      <c r="AK399" s="1024">
        <f t="shared" si="416"/>
        <v>0</v>
      </c>
      <c r="AL399" s="425"/>
      <c r="AM399" s="1041">
        <f t="shared" si="417"/>
        <v>0</v>
      </c>
      <c r="AN399" s="382"/>
      <c r="AO399" s="622"/>
      <c r="AP399" s="391"/>
      <c r="AQ399" s="391"/>
      <c r="AR399" s="4"/>
      <c r="AS399" s="4"/>
      <c r="AT399" s="392"/>
      <c r="AU399" s="4"/>
      <c r="AV399" s="4"/>
    </row>
    <row r="400" spans="1:48" ht="21" hidden="1" customHeight="1">
      <c r="A400" s="405"/>
      <c r="B400" s="390"/>
      <c r="C400" s="89" t="s">
        <v>108</v>
      </c>
      <c r="D400" s="81" t="s">
        <v>109</v>
      </c>
      <c r="E400" s="1185">
        <f>SUM(E394+E396+E397+E398)/E399</f>
        <v>0</v>
      </c>
      <c r="F400" s="1185">
        <f t="shared" ref="F400:AI400" si="421">SUM(F394+F396+F397+F398)/F399</f>
        <v>0</v>
      </c>
      <c r="G400" s="1274">
        <f t="shared" si="421"/>
        <v>0</v>
      </c>
      <c r="H400" s="1105">
        <f t="shared" si="421"/>
        <v>0</v>
      </c>
      <c r="I400" s="1185">
        <f t="shared" si="421"/>
        <v>0</v>
      </c>
      <c r="J400" s="1274">
        <f t="shared" si="421"/>
        <v>0</v>
      </c>
      <c r="K400" s="1274">
        <f t="shared" si="421"/>
        <v>0</v>
      </c>
      <c r="L400" s="1185">
        <f t="shared" si="421"/>
        <v>0</v>
      </c>
      <c r="M400" s="1185">
        <f t="shared" si="421"/>
        <v>0</v>
      </c>
      <c r="N400" s="1185">
        <f t="shared" si="421"/>
        <v>0</v>
      </c>
      <c r="O400" s="1185">
        <f t="shared" si="421"/>
        <v>0</v>
      </c>
      <c r="P400" s="1185">
        <f t="shared" si="421"/>
        <v>0</v>
      </c>
      <c r="Q400" s="1274">
        <f t="shared" si="421"/>
        <v>0</v>
      </c>
      <c r="R400" s="1274">
        <f t="shared" si="421"/>
        <v>0</v>
      </c>
      <c r="S400" s="1185">
        <f t="shared" si="421"/>
        <v>0</v>
      </c>
      <c r="T400" s="1185">
        <f t="shared" si="421"/>
        <v>0</v>
      </c>
      <c r="U400" s="1185">
        <f t="shared" si="421"/>
        <v>0</v>
      </c>
      <c r="V400" s="1185">
        <f t="shared" si="421"/>
        <v>0</v>
      </c>
      <c r="W400" s="1185">
        <f t="shared" si="421"/>
        <v>0</v>
      </c>
      <c r="X400" s="1274">
        <f t="shared" si="421"/>
        <v>0</v>
      </c>
      <c r="Y400" s="1274">
        <f t="shared" si="421"/>
        <v>0</v>
      </c>
      <c r="Z400" s="1185">
        <f t="shared" si="421"/>
        <v>0</v>
      </c>
      <c r="AA400" s="1185">
        <f t="shared" si="421"/>
        <v>0</v>
      </c>
      <c r="AB400" s="1185">
        <f t="shared" si="421"/>
        <v>0</v>
      </c>
      <c r="AC400" s="1185">
        <f t="shared" si="421"/>
        <v>0</v>
      </c>
      <c r="AD400" s="1185">
        <f t="shared" si="421"/>
        <v>0</v>
      </c>
      <c r="AE400" s="1274">
        <f t="shared" si="421"/>
        <v>0</v>
      </c>
      <c r="AF400" s="1274">
        <f t="shared" si="421"/>
        <v>0</v>
      </c>
      <c r="AG400" s="1185">
        <f t="shared" si="421"/>
        <v>0</v>
      </c>
      <c r="AH400" s="1185">
        <f t="shared" si="421"/>
        <v>0</v>
      </c>
      <c r="AI400" s="1185">
        <f t="shared" si="421"/>
        <v>0</v>
      </c>
      <c r="AJ400" s="437">
        <f>SUM(E400:AI400)</f>
        <v>0</v>
      </c>
      <c r="AK400" s="1037">
        <f t="shared" si="416"/>
        <v>0</v>
      </c>
      <c r="AL400" s="419"/>
      <c r="AM400" s="1040">
        <f t="shared" si="417"/>
        <v>0</v>
      </c>
      <c r="AN400" s="382"/>
      <c r="AO400" s="622"/>
      <c r="AP400" s="391"/>
      <c r="AQ400" s="391"/>
      <c r="AR400" s="4"/>
      <c r="AS400" s="4"/>
      <c r="AT400" s="392"/>
      <c r="AU400" s="4"/>
      <c r="AV400" s="4"/>
    </row>
    <row r="401" spans="1:48" ht="21" hidden="1" customHeight="1">
      <c r="A401" s="405"/>
      <c r="B401" s="390"/>
      <c r="C401" s="436">
        <f>+C399*0.8</f>
        <v>40000</v>
      </c>
      <c r="D401" s="85" t="s">
        <v>110</v>
      </c>
      <c r="E401" s="1366"/>
      <c r="F401" s="1172"/>
      <c r="G401" s="1235"/>
      <c r="H401" s="1172"/>
      <c r="I401" s="1126"/>
      <c r="J401" s="1281"/>
      <c r="K401" s="1263"/>
      <c r="L401" s="1126"/>
      <c r="M401" s="1126"/>
      <c r="N401" s="1174"/>
      <c r="O401" s="1173"/>
      <c r="P401" s="1173"/>
      <c r="Q401" s="1281"/>
      <c r="R401" s="1281"/>
      <c r="S401" s="1173"/>
      <c r="T401" s="1107"/>
      <c r="U401" s="1173"/>
      <c r="V401" s="1173"/>
      <c r="W401" s="1173"/>
      <c r="X401" s="1281"/>
      <c r="Y401" s="1281"/>
      <c r="Z401" s="1155"/>
      <c r="AA401" s="1173"/>
      <c r="AB401" s="1173"/>
      <c r="AC401" s="1173"/>
      <c r="AD401" s="1173"/>
      <c r="AE401" s="1281"/>
      <c r="AF401" s="1281"/>
      <c r="AG401" s="1173"/>
      <c r="AH401" s="1173"/>
      <c r="AI401" s="1173"/>
      <c r="AJ401" s="394"/>
      <c r="AK401" s="1025">
        <f t="shared" si="416"/>
        <v>0</v>
      </c>
      <c r="AL401" s="419"/>
      <c r="AM401" s="1040">
        <f t="shared" si="417"/>
        <v>0</v>
      </c>
      <c r="AN401" s="382"/>
      <c r="AO401" s="622"/>
      <c r="AP401" s="391"/>
      <c r="AQ401" s="391"/>
      <c r="AR401" s="4"/>
      <c r="AS401" s="4"/>
      <c r="AT401" s="392"/>
      <c r="AU401" s="4"/>
      <c r="AV401" s="4"/>
    </row>
    <row r="402" spans="1:48" ht="21" hidden="1" customHeight="1">
      <c r="A402" s="403"/>
      <c r="B402" s="390"/>
      <c r="C402" s="89"/>
      <c r="D402" s="88" t="s">
        <v>111</v>
      </c>
      <c r="E402" s="1156">
        <f>IF(E401="O/H",E400,0+E400)</f>
        <v>0</v>
      </c>
      <c r="F402" s="1156">
        <f>IF(F401="O/H",F400,+E402+F400)</f>
        <v>0</v>
      </c>
      <c r="G402" s="1227">
        <f t="shared" ref="G402:AI402" si="422">IF(G401="O/H",G400,+F402+G400)</f>
        <v>0</v>
      </c>
      <c r="H402" s="1156">
        <f t="shared" si="422"/>
        <v>0</v>
      </c>
      <c r="I402" s="1156">
        <f t="shared" si="422"/>
        <v>0</v>
      </c>
      <c r="J402" s="1227">
        <f t="shared" si="422"/>
        <v>0</v>
      </c>
      <c r="K402" s="1227">
        <f t="shared" si="422"/>
        <v>0</v>
      </c>
      <c r="L402" s="1156">
        <f t="shared" si="422"/>
        <v>0</v>
      </c>
      <c r="M402" s="1156">
        <f t="shared" si="422"/>
        <v>0</v>
      </c>
      <c r="N402" s="1156">
        <f t="shared" si="422"/>
        <v>0</v>
      </c>
      <c r="O402" s="1156">
        <f t="shared" si="422"/>
        <v>0</v>
      </c>
      <c r="P402" s="1156">
        <f t="shared" si="422"/>
        <v>0</v>
      </c>
      <c r="Q402" s="1227">
        <f t="shared" si="422"/>
        <v>0</v>
      </c>
      <c r="R402" s="1227">
        <f t="shared" si="422"/>
        <v>0</v>
      </c>
      <c r="S402" s="1156">
        <f t="shared" si="422"/>
        <v>0</v>
      </c>
      <c r="T402" s="1156">
        <f t="shared" si="422"/>
        <v>0</v>
      </c>
      <c r="U402" s="1156">
        <f t="shared" si="422"/>
        <v>0</v>
      </c>
      <c r="V402" s="1156">
        <f t="shared" si="422"/>
        <v>0</v>
      </c>
      <c r="W402" s="1156">
        <f t="shared" si="422"/>
        <v>0</v>
      </c>
      <c r="X402" s="1227">
        <f t="shared" si="422"/>
        <v>0</v>
      </c>
      <c r="Y402" s="1227">
        <f t="shared" si="422"/>
        <v>0</v>
      </c>
      <c r="Z402" s="1156">
        <f t="shared" si="422"/>
        <v>0</v>
      </c>
      <c r="AA402" s="1156">
        <f t="shared" si="422"/>
        <v>0</v>
      </c>
      <c r="AB402" s="1156">
        <f t="shared" si="422"/>
        <v>0</v>
      </c>
      <c r="AC402" s="1156">
        <f t="shared" si="422"/>
        <v>0</v>
      </c>
      <c r="AD402" s="1156">
        <f t="shared" si="422"/>
        <v>0</v>
      </c>
      <c r="AE402" s="1227">
        <f t="shared" si="422"/>
        <v>0</v>
      </c>
      <c r="AF402" s="1227">
        <f t="shared" si="422"/>
        <v>0</v>
      </c>
      <c r="AG402" s="1156">
        <f t="shared" si="422"/>
        <v>0</v>
      </c>
      <c r="AH402" s="1156">
        <f t="shared" si="422"/>
        <v>0</v>
      </c>
      <c r="AI402" s="1156">
        <f t="shared" si="422"/>
        <v>0</v>
      </c>
      <c r="AJ402" s="394"/>
      <c r="AK402" s="1025">
        <f t="shared" si="416"/>
        <v>0</v>
      </c>
      <c r="AL402" s="419"/>
      <c r="AM402" s="1040">
        <f t="shared" si="417"/>
        <v>0</v>
      </c>
      <c r="AN402" s="382"/>
      <c r="AO402" s="622"/>
      <c r="AP402" s="391"/>
      <c r="AQ402" s="391"/>
    </row>
    <row r="403" spans="1:48" ht="21" hidden="1" customHeight="1">
      <c r="A403" s="403"/>
      <c r="B403" s="59"/>
      <c r="C403" s="387"/>
      <c r="D403" s="395" t="s">
        <v>435</v>
      </c>
      <c r="E403" s="1365"/>
      <c r="F403" s="1104"/>
      <c r="G403" s="1211"/>
      <c r="H403" s="1176"/>
      <c r="I403" s="1104"/>
      <c r="J403" s="1211"/>
      <c r="K403" s="1273"/>
      <c r="L403" s="1107"/>
      <c r="M403" s="1104"/>
      <c r="N403" s="1177"/>
      <c r="O403" s="1104"/>
      <c r="P403" s="1177"/>
      <c r="Q403" s="1211"/>
      <c r="R403" s="1228"/>
      <c r="S403" s="1104"/>
      <c r="T403" s="1107"/>
      <c r="U403" s="1107"/>
      <c r="V403" s="1104"/>
      <c r="W403" s="1104"/>
      <c r="X403" s="1228"/>
      <c r="Y403" s="1211"/>
      <c r="Z403" s="1155"/>
      <c r="AA403" s="1104"/>
      <c r="AB403" s="1104"/>
      <c r="AC403" s="1104"/>
      <c r="AD403" s="1104"/>
      <c r="AE403" s="1211"/>
      <c r="AF403" s="1211"/>
      <c r="AG403" s="1104"/>
      <c r="AH403" s="1104"/>
      <c r="AI403" s="1104"/>
      <c r="AJ403" s="396"/>
      <c r="AK403" s="1024">
        <f t="shared" si="416"/>
        <v>0</v>
      </c>
      <c r="AL403" s="420"/>
      <c r="AM403" s="1040">
        <f t="shared" si="417"/>
        <v>0</v>
      </c>
      <c r="AN403" s="382"/>
      <c r="AO403" s="622"/>
      <c r="AP403" s="391"/>
      <c r="AQ403" s="391"/>
    </row>
    <row r="404" spans="1:48" s="23" customFormat="1" ht="20.45" hidden="1" customHeight="1">
      <c r="A404" s="403"/>
      <c r="B404" s="59"/>
      <c r="C404" s="387" t="s">
        <v>104</v>
      </c>
      <c r="D404" s="88" t="s">
        <v>111</v>
      </c>
      <c r="E404" s="1156">
        <f>IF(E403="O/H",E400,6990+E400)</f>
        <v>6990</v>
      </c>
      <c r="F404" s="1157">
        <f>IF(F403="O/H",F400,+E404+F400)</f>
        <v>6990</v>
      </c>
      <c r="G404" s="1264">
        <f t="shared" ref="G404:AI404" si="423">IF(G403="O/H",G400,+F404+G400)</f>
        <v>6990</v>
      </c>
      <c r="H404" s="1157">
        <f t="shared" si="423"/>
        <v>6990</v>
      </c>
      <c r="I404" s="1157">
        <f t="shared" si="423"/>
        <v>6990</v>
      </c>
      <c r="J404" s="1264">
        <f t="shared" si="423"/>
        <v>6990</v>
      </c>
      <c r="K404" s="1264">
        <f t="shared" si="423"/>
        <v>6990</v>
      </c>
      <c r="L404" s="1157">
        <f t="shared" si="423"/>
        <v>6990</v>
      </c>
      <c r="M404" s="1157">
        <f t="shared" si="423"/>
        <v>6990</v>
      </c>
      <c r="N404" s="1157">
        <f t="shared" si="423"/>
        <v>6990</v>
      </c>
      <c r="O404" s="1157">
        <f t="shared" si="423"/>
        <v>6990</v>
      </c>
      <c r="P404" s="1157">
        <f t="shared" si="423"/>
        <v>6990</v>
      </c>
      <c r="Q404" s="1264">
        <f t="shared" si="423"/>
        <v>6990</v>
      </c>
      <c r="R404" s="1264">
        <f t="shared" si="423"/>
        <v>6990</v>
      </c>
      <c r="S404" s="1157">
        <f t="shared" si="423"/>
        <v>6990</v>
      </c>
      <c r="T404" s="1157">
        <f t="shared" si="423"/>
        <v>6990</v>
      </c>
      <c r="U404" s="1157">
        <f t="shared" si="423"/>
        <v>6990</v>
      </c>
      <c r="V404" s="1157">
        <f t="shared" si="423"/>
        <v>6990</v>
      </c>
      <c r="W404" s="1157">
        <f t="shared" si="423"/>
        <v>6990</v>
      </c>
      <c r="X404" s="1264">
        <f t="shared" si="423"/>
        <v>6990</v>
      </c>
      <c r="Y404" s="1264">
        <f t="shared" si="423"/>
        <v>6990</v>
      </c>
      <c r="Z404" s="1157">
        <f t="shared" si="423"/>
        <v>6990</v>
      </c>
      <c r="AA404" s="1157">
        <f t="shared" si="423"/>
        <v>6990</v>
      </c>
      <c r="AB404" s="1157">
        <f t="shared" si="423"/>
        <v>6990</v>
      </c>
      <c r="AC404" s="1157">
        <f t="shared" si="423"/>
        <v>6990</v>
      </c>
      <c r="AD404" s="1157">
        <f t="shared" si="423"/>
        <v>6990</v>
      </c>
      <c r="AE404" s="1264">
        <f t="shared" si="423"/>
        <v>6990</v>
      </c>
      <c r="AF404" s="1264">
        <f t="shared" si="423"/>
        <v>6990</v>
      </c>
      <c r="AG404" s="1157">
        <f t="shared" si="423"/>
        <v>6990</v>
      </c>
      <c r="AH404" s="1157">
        <f t="shared" si="423"/>
        <v>6990</v>
      </c>
      <c r="AI404" s="1157">
        <f t="shared" si="423"/>
        <v>6990</v>
      </c>
      <c r="AJ404" s="394"/>
      <c r="AK404" s="1025">
        <f t="shared" si="416"/>
        <v>0</v>
      </c>
      <c r="AL404" s="419"/>
      <c r="AM404" s="1040">
        <f t="shared" si="417"/>
        <v>0</v>
      </c>
      <c r="AN404" s="382"/>
      <c r="AO404" s="622"/>
      <c r="AP404" s="285"/>
      <c r="AQ404" s="285"/>
      <c r="AR404" s="285"/>
      <c r="AS404" s="285"/>
      <c r="AT404" s="286"/>
      <c r="AU404" s="285"/>
      <c r="AV404" s="287"/>
    </row>
    <row r="405" spans="1:48" ht="21" hidden="1" customHeight="1">
      <c r="A405" s="312"/>
      <c r="B405" s="1226" t="s">
        <v>545</v>
      </c>
      <c r="C405" s="379">
        <v>150000</v>
      </c>
      <c r="D405" s="795" t="s">
        <v>112</v>
      </c>
      <c r="E405" s="1117" t="b">
        <f>IF(AND(ISNUMBER(E394)),113231+E400)</f>
        <v>0</v>
      </c>
      <c r="F405" s="1118" t="str">
        <f>IF(AND(ISNUMBER(F394)),E405+F400,"")</f>
        <v/>
      </c>
      <c r="G405" s="1216" t="str">
        <f>IF(AND(ISNUMBER(G394)),F405+G400,"")</f>
        <v/>
      </c>
      <c r="H405" s="1118" t="str">
        <f t="shared" ref="H405:AI405" si="424">IF(AND(ISNUMBER(H394)),G405+H400,"")</f>
        <v/>
      </c>
      <c r="I405" s="1118" t="str">
        <f t="shared" si="424"/>
        <v/>
      </c>
      <c r="J405" s="1216" t="str">
        <f t="shared" si="424"/>
        <v/>
      </c>
      <c r="K405" s="1216" t="str">
        <f t="shared" si="424"/>
        <v/>
      </c>
      <c r="L405" s="1118" t="str">
        <f t="shared" si="424"/>
        <v/>
      </c>
      <c r="M405" s="1118" t="str">
        <f t="shared" si="424"/>
        <v/>
      </c>
      <c r="N405" s="1118" t="str">
        <f t="shared" si="424"/>
        <v/>
      </c>
      <c r="O405" s="1118" t="str">
        <f t="shared" si="424"/>
        <v/>
      </c>
      <c r="P405" s="1118" t="str">
        <f t="shared" si="424"/>
        <v/>
      </c>
      <c r="Q405" s="1216" t="str">
        <f t="shared" si="424"/>
        <v/>
      </c>
      <c r="R405" s="1216" t="str">
        <f t="shared" si="424"/>
        <v/>
      </c>
      <c r="S405" s="1118" t="str">
        <f t="shared" si="424"/>
        <v/>
      </c>
      <c r="T405" s="1118" t="str">
        <f t="shared" si="424"/>
        <v/>
      </c>
      <c r="U405" s="1118" t="str">
        <f t="shared" si="424"/>
        <v/>
      </c>
      <c r="V405" s="1118" t="str">
        <f t="shared" si="424"/>
        <v/>
      </c>
      <c r="W405" s="1118" t="str">
        <f t="shared" si="424"/>
        <v/>
      </c>
      <c r="X405" s="1216" t="str">
        <f t="shared" si="424"/>
        <v/>
      </c>
      <c r="Y405" s="1216" t="str">
        <f t="shared" si="424"/>
        <v/>
      </c>
      <c r="Z405" s="1118" t="str">
        <f t="shared" si="424"/>
        <v/>
      </c>
      <c r="AA405" s="1118" t="str">
        <f t="shared" si="424"/>
        <v/>
      </c>
      <c r="AB405" s="1118" t="str">
        <f t="shared" si="424"/>
        <v/>
      </c>
      <c r="AC405" s="1118" t="str">
        <f t="shared" si="424"/>
        <v/>
      </c>
      <c r="AD405" s="1118" t="str">
        <f t="shared" si="424"/>
        <v/>
      </c>
      <c r="AE405" s="1216" t="str">
        <f t="shared" si="424"/>
        <v/>
      </c>
      <c r="AF405" s="1216" t="str">
        <f t="shared" si="424"/>
        <v/>
      </c>
      <c r="AG405" s="1118" t="str">
        <f t="shared" si="424"/>
        <v/>
      </c>
      <c r="AH405" s="1118" t="str">
        <f t="shared" si="424"/>
        <v/>
      </c>
      <c r="AI405" s="1118" t="str">
        <f t="shared" si="424"/>
        <v/>
      </c>
      <c r="AJ405" s="793"/>
      <c r="AK405" s="1026">
        <f t="shared" si="416"/>
        <v>0</v>
      </c>
      <c r="AL405" s="897"/>
      <c r="AM405" s="1042">
        <f t="shared" si="417"/>
        <v>0</v>
      </c>
      <c r="AN405" s="468"/>
      <c r="AO405" s="675"/>
      <c r="AP405" s="391"/>
      <c r="AQ405" s="391"/>
    </row>
    <row r="406" spans="1:48" ht="21.75" hidden="1" customHeight="1">
      <c r="A406" s="403"/>
      <c r="B406" s="59"/>
      <c r="C406" s="89" t="s">
        <v>108</v>
      </c>
      <c r="D406" s="90" t="s">
        <v>104</v>
      </c>
      <c r="E406" s="1365"/>
      <c r="F406" s="1104"/>
      <c r="G406" s="1211"/>
      <c r="H406" s="1176"/>
      <c r="I406" s="1104"/>
      <c r="J406" s="1211"/>
      <c r="K406" s="1273"/>
      <c r="L406" s="1104"/>
      <c r="M406" s="1104"/>
      <c r="N406" s="1177"/>
      <c r="O406" s="1104"/>
      <c r="P406" s="1177"/>
      <c r="Q406" s="1211"/>
      <c r="R406" s="1211"/>
      <c r="S406" s="1104"/>
      <c r="T406" s="1107"/>
      <c r="U406" s="1107"/>
      <c r="V406" s="1104"/>
      <c r="W406" s="1104"/>
      <c r="X406" s="1228"/>
      <c r="Y406" s="1211"/>
      <c r="Z406" s="1106"/>
      <c r="AA406" s="1107"/>
      <c r="AB406" s="1104"/>
      <c r="AC406" s="1104"/>
      <c r="AD406" s="1104"/>
      <c r="AE406" s="1211"/>
      <c r="AF406" s="1211"/>
      <c r="AG406" s="1104"/>
      <c r="AH406" s="1104"/>
      <c r="AI406" s="1104"/>
      <c r="AJ406" s="396"/>
      <c r="AK406" s="1024">
        <f t="shared" si="416"/>
        <v>0</v>
      </c>
      <c r="AL406" s="420"/>
      <c r="AM406" s="1040">
        <f t="shared" si="417"/>
        <v>0</v>
      </c>
      <c r="AN406" s="382"/>
      <c r="AO406" s="622"/>
      <c r="AP406" s="391"/>
      <c r="AQ406" s="391"/>
    </row>
    <row r="407" spans="1:48" ht="21" hidden="1" customHeight="1" thickBot="1">
      <c r="A407" s="406"/>
      <c r="B407" s="398"/>
      <c r="C407" s="434">
        <f>+C405*0.8</f>
        <v>120000</v>
      </c>
      <c r="D407" s="95" t="s">
        <v>111</v>
      </c>
      <c r="E407" s="1109">
        <f>IF(E406="O/H",E400,160956+E400)</f>
        <v>160956</v>
      </c>
      <c r="F407" s="1110">
        <f>IF(F406="O/H",F400,+E407+F400)</f>
        <v>160956</v>
      </c>
      <c r="G407" s="1212">
        <f t="shared" ref="G407:AI407" si="425">IF(G406="O/H",G400,+F407+G400)</f>
        <v>160956</v>
      </c>
      <c r="H407" s="1110">
        <f t="shared" si="425"/>
        <v>160956</v>
      </c>
      <c r="I407" s="1110">
        <f t="shared" si="425"/>
        <v>160956</v>
      </c>
      <c r="J407" s="1212">
        <f t="shared" si="425"/>
        <v>160956</v>
      </c>
      <c r="K407" s="1212">
        <f t="shared" si="425"/>
        <v>160956</v>
      </c>
      <c r="L407" s="1110">
        <f t="shared" si="425"/>
        <v>160956</v>
      </c>
      <c r="M407" s="1110">
        <f t="shared" si="425"/>
        <v>160956</v>
      </c>
      <c r="N407" s="1110">
        <f t="shared" si="425"/>
        <v>160956</v>
      </c>
      <c r="O407" s="1110">
        <f t="shared" si="425"/>
        <v>160956</v>
      </c>
      <c r="P407" s="1110">
        <f t="shared" si="425"/>
        <v>160956</v>
      </c>
      <c r="Q407" s="1212">
        <f t="shared" si="425"/>
        <v>160956</v>
      </c>
      <c r="R407" s="1212">
        <f t="shared" si="425"/>
        <v>160956</v>
      </c>
      <c r="S407" s="1110">
        <f t="shared" si="425"/>
        <v>160956</v>
      </c>
      <c r="T407" s="1110">
        <f t="shared" si="425"/>
        <v>160956</v>
      </c>
      <c r="U407" s="1110">
        <f t="shared" si="425"/>
        <v>160956</v>
      </c>
      <c r="V407" s="1110">
        <f t="shared" si="425"/>
        <v>160956</v>
      </c>
      <c r="W407" s="1110">
        <f t="shared" si="425"/>
        <v>160956</v>
      </c>
      <c r="X407" s="1212">
        <f t="shared" si="425"/>
        <v>160956</v>
      </c>
      <c r="Y407" s="1212">
        <f t="shared" si="425"/>
        <v>160956</v>
      </c>
      <c r="Z407" s="1110">
        <f t="shared" si="425"/>
        <v>160956</v>
      </c>
      <c r="AA407" s="1110">
        <f t="shared" si="425"/>
        <v>160956</v>
      </c>
      <c r="AB407" s="1110">
        <f t="shared" si="425"/>
        <v>160956</v>
      </c>
      <c r="AC407" s="1110">
        <f t="shared" si="425"/>
        <v>160956</v>
      </c>
      <c r="AD407" s="1110">
        <f t="shared" si="425"/>
        <v>160956</v>
      </c>
      <c r="AE407" s="1212">
        <f t="shared" si="425"/>
        <v>160956</v>
      </c>
      <c r="AF407" s="1212">
        <f t="shared" si="425"/>
        <v>160956</v>
      </c>
      <c r="AG407" s="1110">
        <f t="shared" si="425"/>
        <v>160956</v>
      </c>
      <c r="AH407" s="1110">
        <f t="shared" si="425"/>
        <v>160956</v>
      </c>
      <c r="AI407" s="1110">
        <f t="shared" si="425"/>
        <v>160956</v>
      </c>
      <c r="AJ407" s="399"/>
      <c r="AK407" s="1027">
        <f t="shared" si="416"/>
        <v>0</v>
      </c>
      <c r="AL407" s="421"/>
      <c r="AM407" s="1043">
        <f t="shared" si="417"/>
        <v>0</v>
      </c>
      <c r="AN407" s="894"/>
      <c r="AO407" s="625"/>
      <c r="AP407" s="32"/>
      <c r="AQ407" s="33"/>
      <c r="AR407" s="33"/>
      <c r="AS407" s="33"/>
      <c r="AT407" s="33"/>
      <c r="AU407" s="33"/>
      <c r="AV407" s="34"/>
    </row>
    <row r="408" spans="1:48" ht="21" hidden="1" customHeight="1" thickTop="1">
      <c r="A408" s="905" t="s">
        <v>642</v>
      </c>
      <c r="B408" s="411" t="s">
        <v>664</v>
      </c>
      <c r="C408" s="518" t="str">
        <f>Table37[[#This Row],[M/C No.]]</f>
        <v>R20(18ton)</v>
      </c>
      <c r="D408" s="28" t="s">
        <v>82</v>
      </c>
      <c r="E408" s="1111"/>
      <c r="F408" s="1111"/>
      <c r="G408" s="1201"/>
      <c r="H408" s="1111"/>
      <c r="I408" s="1111"/>
      <c r="J408" s="1201"/>
      <c r="K408" s="1201"/>
      <c r="L408" s="1111"/>
      <c r="M408" s="1111"/>
      <c r="N408" s="1111"/>
      <c r="O408" s="1111"/>
      <c r="P408" s="1111"/>
      <c r="Q408" s="1201"/>
      <c r="R408" s="1201"/>
      <c r="S408" s="1111"/>
      <c r="T408" s="1111"/>
      <c r="U408" s="1111"/>
      <c r="V408" s="1111"/>
      <c r="W408" s="1111"/>
      <c r="X408" s="1201"/>
      <c r="Y408" s="1201"/>
      <c r="Z408" s="1111"/>
      <c r="AA408" s="1111"/>
      <c r="AB408" s="1111"/>
      <c r="AC408" s="1111"/>
      <c r="AD408" s="1111"/>
      <c r="AE408" s="1201"/>
      <c r="AF408" s="1201"/>
      <c r="AG408" s="1111"/>
      <c r="AH408" s="1111"/>
      <c r="AI408" s="1111"/>
      <c r="AJ408" s="375">
        <f>SUM(E408:AI408)</f>
        <v>0</v>
      </c>
      <c r="AK408" s="1047">
        <f t="shared" si="416"/>
        <v>0</v>
      </c>
      <c r="AL408" s="422">
        <f>+AJ408*AN408</f>
        <v>0</v>
      </c>
      <c r="AM408" s="1046">
        <f t="shared" si="417"/>
        <v>0</v>
      </c>
      <c r="AN408" s="402">
        <v>2.3845399999999999</v>
      </c>
      <c r="AO408" s="622">
        <f>Table37[[#This Row],[Total]]*B412/1000</f>
        <v>0</v>
      </c>
      <c r="AP408" s="32" t="s">
        <v>483</v>
      </c>
      <c r="AQ408" s="33" t="s">
        <v>84</v>
      </c>
      <c r="AR408" s="33" t="s">
        <v>85</v>
      </c>
      <c r="AS408" s="33" t="s">
        <v>86</v>
      </c>
      <c r="AT408" s="33" t="s">
        <v>87</v>
      </c>
      <c r="AU408" s="33" t="s">
        <v>88</v>
      </c>
      <c r="AV408" s="34" t="s">
        <v>68</v>
      </c>
    </row>
    <row r="409" spans="1:48" ht="21" hidden="1" customHeight="1">
      <c r="A409" s="376"/>
      <c r="B409" s="393" t="s">
        <v>484</v>
      </c>
      <c r="C409" s="52" t="s">
        <v>95</v>
      </c>
      <c r="D409" s="37" t="s">
        <v>90</v>
      </c>
      <c r="E409" s="1323">
        <f>IF(E408="",0,+ E408/E415)</f>
        <v>0</v>
      </c>
      <c r="F409" s="1096">
        <f>IF(F408="",0, E409+F408/F415)</f>
        <v>0</v>
      </c>
      <c r="G409" s="1207">
        <f>IF(G408="",0, F409+G408/G415)</f>
        <v>0</v>
      </c>
      <c r="H409" s="1096">
        <f>IF(H408="",0, G409+H408/H415)</f>
        <v>0</v>
      </c>
      <c r="I409" s="1096">
        <f>IF(I408="",0, H409+I408/I415)</f>
        <v>0</v>
      </c>
      <c r="J409" s="1207">
        <f t="shared" ref="J409:AG409" si="426">IF(J408="",0, I409+J408/J415)</f>
        <v>0</v>
      </c>
      <c r="K409" s="1207">
        <f t="shared" si="426"/>
        <v>0</v>
      </c>
      <c r="L409" s="1096">
        <f t="shared" si="426"/>
        <v>0</v>
      </c>
      <c r="M409" s="1096">
        <f t="shared" si="426"/>
        <v>0</v>
      </c>
      <c r="N409" s="1096">
        <f t="shared" si="426"/>
        <v>0</v>
      </c>
      <c r="O409" s="1096">
        <f t="shared" si="426"/>
        <v>0</v>
      </c>
      <c r="P409" s="1096">
        <f t="shared" si="426"/>
        <v>0</v>
      </c>
      <c r="Q409" s="1207">
        <f t="shared" si="426"/>
        <v>0</v>
      </c>
      <c r="R409" s="1207">
        <f t="shared" si="426"/>
        <v>0</v>
      </c>
      <c r="S409" s="1096">
        <f t="shared" si="426"/>
        <v>0</v>
      </c>
      <c r="T409" s="1096">
        <f t="shared" si="426"/>
        <v>0</v>
      </c>
      <c r="U409" s="1096">
        <f t="shared" si="426"/>
        <v>0</v>
      </c>
      <c r="V409" s="1096">
        <f t="shared" si="426"/>
        <v>0</v>
      </c>
      <c r="W409" s="1096">
        <f t="shared" si="426"/>
        <v>0</v>
      </c>
      <c r="X409" s="1207">
        <f t="shared" si="426"/>
        <v>0</v>
      </c>
      <c r="Y409" s="1207">
        <f t="shared" si="426"/>
        <v>0</v>
      </c>
      <c r="Z409" s="1096">
        <f t="shared" si="426"/>
        <v>0</v>
      </c>
      <c r="AA409" s="1096">
        <f t="shared" si="426"/>
        <v>0</v>
      </c>
      <c r="AB409" s="1096">
        <f t="shared" si="426"/>
        <v>0</v>
      </c>
      <c r="AC409" s="1096">
        <f t="shared" si="426"/>
        <v>0</v>
      </c>
      <c r="AD409" s="1096">
        <f t="shared" si="426"/>
        <v>0</v>
      </c>
      <c r="AE409" s="1207">
        <f t="shared" si="426"/>
        <v>0</v>
      </c>
      <c r="AF409" s="1207">
        <f t="shared" si="426"/>
        <v>0</v>
      </c>
      <c r="AG409" s="1096">
        <f t="shared" si="426"/>
        <v>0</v>
      </c>
      <c r="AH409" s="1096">
        <f>IF(AH408="",0, AG409+AH408/AH415)</f>
        <v>0</v>
      </c>
      <c r="AI409" s="1096">
        <f>IF(AI408="",0, AH409+AI408/AI415)</f>
        <v>0</v>
      </c>
      <c r="AJ409" s="375"/>
      <c r="AK409" s="1023">
        <f t="shared" si="416"/>
        <v>0</v>
      </c>
      <c r="AL409" s="423"/>
      <c r="AM409" s="1040">
        <f t="shared" si="417"/>
        <v>0</v>
      </c>
      <c r="AN409" s="382"/>
      <c r="AO409" s="675"/>
      <c r="AP409" s="39" t="s">
        <v>91</v>
      </c>
      <c r="AQ409" s="40">
        <f>SUM(E408:I408)</f>
        <v>0</v>
      </c>
      <c r="AR409" s="41">
        <f>SUM(J408:P408)</f>
        <v>0</v>
      </c>
      <c r="AS409" s="41">
        <f>SUM(Q408:W408)</f>
        <v>0</v>
      </c>
      <c r="AT409" s="41">
        <f>SUM(X408:AD408)</f>
        <v>0</v>
      </c>
      <c r="AU409" s="41">
        <f>SUM(AE408:AI408)</f>
        <v>0</v>
      </c>
      <c r="AV409" s="34">
        <f t="shared" ref="AV409:AV414" si="427">SUM(AQ409:AU409)</f>
        <v>0</v>
      </c>
    </row>
    <row r="410" spans="1:48" ht="21" hidden="1" customHeight="1">
      <c r="A410" s="376"/>
      <c r="B410" s="393" t="s">
        <v>272</v>
      </c>
      <c r="C410" s="379">
        <v>90000</v>
      </c>
      <c r="D410" s="43" t="s">
        <v>93</v>
      </c>
      <c r="E410" s="1108"/>
      <c r="F410" s="1089"/>
      <c r="G410" s="44"/>
      <c r="H410" s="1089"/>
      <c r="I410" s="1089"/>
      <c r="J410" s="44"/>
      <c r="K410" s="44"/>
      <c r="L410" s="1089"/>
      <c r="M410" s="1089"/>
      <c r="N410" s="1089"/>
      <c r="O410" s="1089"/>
      <c r="P410" s="1089"/>
      <c r="Q410" s="44"/>
      <c r="R410" s="44"/>
      <c r="S410" s="1089"/>
      <c r="T410" s="1089"/>
      <c r="U410" s="1089"/>
      <c r="V410" s="1089"/>
      <c r="W410" s="1089"/>
      <c r="X410" s="44"/>
      <c r="Y410" s="44"/>
      <c r="Z410" s="1089"/>
      <c r="AA410" s="1089"/>
      <c r="AB410" s="1089"/>
      <c r="AC410" s="1089"/>
      <c r="AD410" s="1089"/>
      <c r="AE410" s="44"/>
      <c r="AF410" s="44"/>
      <c r="AG410" s="1089"/>
      <c r="AH410" s="1089"/>
      <c r="AI410" s="1089"/>
      <c r="AJ410" s="380">
        <f>SUM(E410:AI410)</f>
        <v>0</v>
      </c>
      <c r="AK410" s="1024">
        <f t="shared" si="416"/>
        <v>0</v>
      </c>
      <c r="AL410" s="424">
        <f>+AJ410*AN408</f>
        <v>0</v>
      </c>
      <c r="AM410" s="1041">
        <f t="shared" si="417"/>
        <v>0</v>
      </c>
      <c r="AN410" s="382"/>
      <c r="AO410" s="632">
        <f>(AJ410+AJ412+AJ413+AJ414)*B412/1000</f>
        <v>0</v>
      </c>
      <c r="AP410" s="47" t="s">
        <v>94</v>
      </c>
      <c r="AQ410" s="48">
        <f>SUM(E410:I410)</f>
        <v>0</v>
      </c>
      <c r="AR410" s="49">
        <f>SUM(J410:P410)</f>
        <v>0</v>
      </c>
      <c r="AS410" s="49">
        <f>SUM(Q410:W410)</f>
        <v>0</v>
      </c>
      <c r="AT410" s="49">
        <f>SUM(X410:AD410)</f>
        <v>0</v>
      </c>
      <c r="AU410" s="49">
        <f>SUM(AE410:AI410)</f>
        <v>0</v>
      </c>
      <c r="AV410" s="50">
        <f t="shared" si="427"/>
        <v>0</v>
      </c>
    </row>
    <row r="411" spans="1:48" ht="21" hidden="1" customHeight="1">
      <c r="A411" s="376"/>
      <c r="B411" s="767" t="s">
        <v>247</v>
      </c>
      <c r="C411" s="89" t="s">
        <v>485</v>
      </c>
      <c r="D411" s="53" t="s">
        <v>96</v>
      </c>
      <c r="E411" s="1137">
        <f t="shared" ref="E411:AJ411" si="428">+E410-E408</f>
        <v>0</v>
      </c>
      <c r="F411" s="1097">
        <f t="shared" si="428"/>
        <v>0</v>
      </c>
      <c r="G411" s="1205">
        <f t="shared" si="428"/>
        <v>0</v>
      </c>
      <c r="H411" s="1097">
        <f t="shared" si="428"/>
        <v>0</v>
      </c>
      <c r="I411" s="1097">
        <f t="shared" si="428"/>
        <v>0</v>
      </c>
      <c r="J411" s="1205">
        <f t="shared" si="428"/>
        <v>0</v>
      </c>
      <c r="K411" s="1205">
        <f t="shared" si="428"/>
        <v>0</v>
      </c>
      <c r="L411" s="1097">
        <f t="shared" si="428"/>
        <v>0</v>
      </c>
      <c r="M411" s="1097">
        <f t="shared" si="428"/>
        <v>0</v>
      </c>
      <c r="N411" s="1097">
        <f t="shared" si="428"/>
        <v>0</v>
      </c>
      <c r="O411" s="1097">
        <f t="shared" si="428"/>
        <v>0</v>
      </c>
      <c r="P411" s="1097">
        <f t="shared" si="428"/>
        <v>0</v>
      </c>
      <c r="Q411" s="1205">
        <f t="shared" si="428"/>
        <v>0</v>
      </c>
      <c r="R411" s="1205">
        <f t="shared" si="428"/>
        <v>0</v>
      </c>
      <c r="S411" s="1097">
        <f t="shared" si="428"/>
        <v>0</v>
      </c>
      <c r="T411" s="1097">
        <f t="shared" si="428"/>
        <v>0</v>
      </c>
      <c r="U411" s="1097">
        <f t="shared" si="428"/>
        <v>0</v>
      </c>
      <c r="V411" s="1097">
        <f t="shared" si="428"/>
        <v>0</v>
      </c>
      <c r="W411" s="1097">
        <f t="shared" si="428"/>
        <v>0</v>
      </c>
      <c r="X411" s="1205">
        <f t="shared" si="428"/>
        <v>0</v>
      </c>
      <c r="Y411" s="1205">
        <f t="shared" si="428"/>
        <v>0</v>
      </c>
      <c r="Z411" s="1097">
        <f t="shared" si="428"/>
        <v>0</v>
      </c>
      <c r="AA411" s="1097">
        <f t="shared" si="428"/>
        <v>0</v>
      </c>
      <c r="AB411" s="1097">
        <f t="shared" si="428"/>
        <v>0</v>
      </c>
      <c r="AC411" s="1097">
        <f t="shared" si="428"/>
        <v>0</v>
      </c>
      <c r="AD411" s="1097">
        <f t="shared" si="428"/>
        <v>0</v>
      </c>
      <c r="AE411" s="1205">
        <f t="shared" si="428"/>
        <v>0</v>
      </c>
      <c r="AF411" s="1205">
        <f>AG412</f>
        <v>0</v>
      </c>
      <c r="AG411" s="1097">
        <f t="shared" si="428"/>
        <v>0</v>
      </c>
      <c r="AH411" s="1097">
        <f t="shared" si="428"/>
        <v>0</v>
      </c>
      <c r="AI411" s="1097">
        <f t="shared" si="428"/>
        <v>0</v>
      </c>
      <c r="AJ411" s="381">
        <f t="shared" si="428"/>
        <v>0</v>
      </c>
      <c r="AK411" s="1024">
        <f t="shared" si="416"/>
        <v>0</v>
      </c>
      <c r="AL411" s="425">
        <f>+AJ411*AN408</f>
        <v>0</v>
      </c>
      <c r="AM411" s="1041">
        <f t="shared" si="417"/>
        <v>0</v>
      </c>
      <c r="AN411" s="382" t="s">
        <v>97</v>
      </c>
      <c r="AO411" s="622"/>
      <c r="AP411" s="39" t="s">
        <v>98</v>
      </c>
      <c r="AQ411" s="56">
        <f>AQ410-AQ409</f>
        <v>0</v>
      </c>
      <c r="AR411" s="70">
        <f>AR410-AR409</f>
        <v>0</v>
      </c>
      <c r="AS411" s="70">
        <f>AS410-AS409</f>
        <v>0</v>
      </c>
      <c r="AT411" s="70">
        <f>AT410-AT409</f>
        <v>0</v>
      </c>
      <c r="AU411" s="70">
        <f>AU410-AU409</f>
        <v>0</v>
      </c>
      <c r="AV411" s="57">
        <f t="shared" si="427"/>
        <v>0</v>
      </c>
    </row>
    <row r="412" spans="1:48" ht="21" hidden="1" customHeight="1">
      <c r="A412" s="376"/>
      <c r="B412" s="767">
        <v>0.52137500000000003</v>
      </c>
      <c r="C412" s="383">
        <f>+C410*0.8</f>
        <v>72000</v>
      </c>
      <c r="D412" s="61" t="s">
        <v>101</v>
      </c>
      <c r="E412" s="1098"/>
      <c r="F412" s="1099"/>
      <c r="G412" s="1208"/>
      <c r="H412" s="1099"/>
      <c r="I412" s="1099"/>
      <c r="J412" s="1208"/>
      <c r="K412" s="1208"/>
      <c r="L412" s="1099"/>
      <c r="M412" s="1099"/>
      <c r="N412" s="1099"/>
      <c r="O412" s="1099"/>
      <c r="P412" s="1099"/>
      <c r="Q412" s="1208"/>
      <c r="R412" s="1208"/>
      <c r="S412" s="1099"/>
      <c r="T412" s="1099"/>
      <c r="U412" s="1099"/>
      <c r="V412" s="1099"/>
      <c r="W412" s="1099"/>
      <c r="X412" s="1208"/>
      <c r="Y412" s="1208"/>
      <c r="Z412" s="1099"/>
      <c r="AA412" s="1099"/>
      <c r="AB412" s="1099"/>
      <c r="AC412" s="1099"/>
      <c r="AD412" s="1099"/>
      <c r="AE412" s="1208"/>
      <c r="AF412" s="1208"/>
      <c r="AG412" s="1099"/>
      <c r="AH412" s="1099"/>
      <c r="AI412" s="1099"/>
      <c r="AJ412" s="384">
        <f>SUM(E412:AI412)</f>
        <v>0</v>
      </c>
      <c r="AK412" s="1024">
        <f t="shared" si="416"/>
        <v>0</v>
      </c>
      <c r="AL412" s="420">
        <f>+AJ412*AN408</f>
        <v>0</v>
      </c>
      <c r="AM412" s="1040">
        <f t="shared" si="417"/>
        <v>0</v>
      </c>
      <c r="AN412" s="385" t="e">
        <f>+AJ412/AJ410</f>
        <v>#DIV/0!</v>
      </c>
      <c r="AO412" s="635" t="e">
        <f>AO410/AO408</f>
        <v>#DIV/0!</v>
      </c>
      <c r="AP412" s="39" t="s">
        <v>102</v>
      </c>
      <c r="AQ412" s="56">
        <f>SUM(E412:I412)</f>
        <v>0</v>
      </c>
      <c r="AR412" s="70">
        <f>SUM(J412:P412)</f>
        <v>0</v>
      </c>
      <c r="AS412" s="70">
        <f>SUM(Q412:W412)</f>
        <v>0</v>
      </c>
      <c r="AT412" s="70">
        <f>SUM(X412:AD412)</f>
        <v>0</v>
      </c>
      <c r="AU412" s="70">
        <f>SUM(AE412:AI412)</f>
        <v>0</v>
      </c>
      <c r="AV412" s="57">
        <f t="shared" si="427"/>
        <v>0</v>
      </c>
    </row>
    <row r="413" spans="1:48" ht="21" hidden="1" customHeight="1">
      <c r="A413" s="376"/>
      <c r="B413" s="65"/>
      <c r="C413" s="383"/>
      <c r="D413" s="67" t="s">
        <v>103</v>
      </c>
      <c r="E413" s="1100"/>
      <c r="F413" s="1101"/>
      <c r="G413" s="1209"/>
      <c r="H413" s="1101"/>
      <c r="I413" s="1101"/>
      <c r="J413" s="1209"/>
      <c r="K413" s="1209"/>
      <c r="L413" s="1101"/>
      <c r="M413" s="1101"/>
      <c r="N413" s="1101"/>
      <c r="O413" s="1101"/>
      <c r="P413" s="1101"/>
      <c r="Q413" s="1209"/>
      <c r="R413" s="1209"/>
      <c r="S413" s="1101"/>
      <c r="T413" s="1101"/>
      <c r="U413" s="1101"/>
      <c r="V413" s="1101"/>
      <c r="W413" s="1101"/>
      <c r="X413" s="1209"/>
      <c r="Y413" s="1209"/>
      <c r="Z413" s="1101"/>
      <c r="AA413" s="1101"/>
      <c r="AB413" s="1101"/>
      <c r="AC413" s="1101"/>
      <c r="AD413" s="1101"/>
      <c r="AE413" s="1209"/>
      <c r="AF413" s="1209"/>
      <c r="AG413" s="1101"/>
      <c r="AH413" s="1101"/>
      <c r="AI413" s="1101"/>
      <c r="AJ413" s="386">
        <f>SUM(E413:AI413)</f>
        <v>0</v>
      </c>
      <c r="AK413" s="1024">
        <f t="shared" si="416"/>
        <v>0</v>
      </c>
      <c r="AL413" s="426">
        <f>+AJ413*AN408</f>
        <v>0</v>
      </c>
      <c r="AM413" s="1040">
        <f t="shared" si="417"/>
        <v>0</v>
      </c>
      <c r="AN413" s="382"/>
      <c r="AO413" s="622"/>
      <c r="AP413" s="39" t="s">
        <v>19</v>
      </c>
      <c r="AQ413" s="56">
        <f>AQ412*AN408</f>
        <v>0</v>
      </c>
      <c r="AR413" s="56">
        <f>AR412*AN408</f>
        <v>0</v>
      </c>
      <c r="AS413" s="56">
        <f>AS412*AN408</f>
        <v>0</v>
      </c>
      <c r="AT413" s="56">
        <f>AT412*AN408</f>
        <v>0</v>
      </c>
      <c r="AU413" s="56">
        <f>AU412*AN408</f>
        <v>0</v>
      </c>
      <c r="AV413" s="57">
        <f t="shared" si="427"/>
        <v>0</v>
      </c>
    </row>
    <row r="414" spans="1:48" ht="21" hidden="1" customHeight="1">
      <c r="A414" s="376"/>
      <c r="B414" s="65"/>
      <c r="C414" s="387" t="s">
        <v>435</v>
      </c>
      <c r="D414" s="73" t="s">
        <v>105</v>
      </c>
      <c r="E414" s="1102"/>
      <c r="F414" s="1103"/>
      <c r="G414" s="1210"/>
      <c r="H414" s="1103"/>
      <c r="I414" s="1103"/>
      <c r="J414" s="1210"/>
      <c r="K414" s="1210"/>
      <c r="L414" s="1103"/>
      <c r="M414" s="1103"/>
      <c r="N414" s="1103"/>
      <c r="O414" s="1103"/>
      <c r="P414" s="1103"/>
      <c r="Q414" s="1210"/>
      <c r="R414" s="1210"/>
      <c r="S414" s="1103"/>
      <c r="T414" s="1103"/>
      <c r="U414" s="1103"/>
      <c r="V414" s="1103"/>
      <c r="W414" s="1103"/>
      <c r="X414" s="1210"/>
      <c r="Y414" s="1210"/>
      <c r="Z414" s="1103"/>
      <c r="AA414" s="1103"/>
      <c r="AB414" s="1103"/>
      <c r="AC414" s="1103"/>
      <c r="AD414" s="1103"/>
      <c r="AE414" s="1210"/>
      <c r="AF414" s="1210"/>
      <c r="AG414" s="1103"/>
      <c r="AH414" s="1103"/>
      <c r="AI414" s="1103"/>
      <c r="AJ414" s="388">
        <f>SUM(E414:AI414)</f>
        <v>0</v>
      </c>
      <c r="AK414" s="1024">
        <f t="shared" si="416"/>
        <v>0</v>
      </c>
      <c r="AL414" s="427">
        <f>+AJ414*AN408</f>
        <v>0</v>
      </c>
      <c r="AM414" s="1040">
        <f t="shared" si="417"/>
        <v>0</v>
      </c>
      <c r="AN414" s="382"/>
      <c r="AO414" s="622"/>
      <c r="AP414" s="47" t="s">
        <v>106</v>
      </c>
      <c r="AQ414" s="48">
        <f>AQ410*AN408</f>
        <v>0</v>
      </c>
      <c r="AR414" s="48">
        <f>AR410*AN408</f>
        <v>0</v>
      </c>
      <c r="AS414" s="48">
        <f>AS410*AN408</f>
        <v>0</v>
      </c>
      <c r="AT414" s="48">
        <f>AT410*AN408</f>
        <v>0</v>
      </c>
      <c r="AU414" s="48">
        <f>AU410*AN408</f>
        <v>0</v>
      </c>
      <c r="AV414" s="50">
        <f t="shared" si="427"/>
        <v>0</v>
      </c>
    </row>
    <row r="415" spans="1:48" ht="20.25" hidden="1">
      <c r="A415" s="376"/>
      <c r="B415" s="390"/>
      <c r="C415" s="379">
        <v>50000</v>
      </c>
      <c r="D415" s="78" t="s">
        <v>107</v>
      </c>
      <c r="E415" s="1137">
        <v>8</v>
      </c>
      <c r="F415" s="1097">
        <v>8</v>
      </c>
      <c r="G415" s="1205">
        <v>8</v>
      </c>
      <c r="H415" s="1097">
        <v>8</v>
      </c>
      <c r="I415" s="1097">
        <v>8</v>
      </c>
      <c r="J415" s="1205">
        <v>8</v>
      </c>
      <c r="K415" s="1205">
        <v>8</v>
      </c>
      <c r="L415" s="1097">
        <v>8</v>
      </c>
      <c r="M415" s="1097">
        <v>8</v>
      </c>
      <c r="N415" s="1097">
        <v>8</v>
      </c>
      <c r="O415" s="1097">
        <v>8</v>
      </c>
      <c r="P415" s="1097">
        <v>8</v>
      </c>
      <c r="Q415" s="1205">
        <v>8</v>
      </c>
      <c r="R415" s="1205">
        <v>8</v>
      </c>
      <c r="S415" s="1097">
        <v>8</v>
      </c>
      <c r="T415" s="1097">
        <v>8</v>
      </c>
      <c r="U415" s="1097">
        <v>8</v>
      </c>
      <c r="V415" s="1097">
        <v>8</v>
      </c>
      <c r="W415" s="1097">
        <v>8</v>
      </c>
      <c r="X415" s="1205">
        <v>8</v>
      </c>
      <c r="Y415" s="1205">
        <v>8</v>
      </c>
      <c r="Z415" s="1097">
        <v>8</v>
      </c>
      <c r="AA415" s="1097">
        <v>8</v>
      </c>
      <c r="AB415" s="1097">
        <v>8</v>
      </c>
      <c r="AC415" s="1097">
        <v>8</v>
      </c>
      <c r="AD415" s="1097">
        <v>8</v>
      </c>
      <c r="AE415" s="1205">
        <v>8</v>
      </c>
      <c r="AF415" s="1205">
        <v>8</v>
      </c>
      <c r="AG415" s="1097">
        <v>8</v>
      </c>
      <c r="AH415" s="1097">
        <v>8</v>
      </c>
      <c r="AI415" s="1097">
        <v>8</v>
      </c>
      <c r="AJ415" s="381"/>
      <c r="AK415" s="1024">
        <f t="shared" si="416"/>
        <v>0</v>
      </c>
      <c r="AL415" s="425"/>
      <c r="AM415" s="1041">
        <f t="shared" si="417"/>
        <v>0</v>
      </c>
      <c r="AN415" s="382"/>
      <c r="AO415" s="622"/>
      <c r="AP415" s="391"/>
      <c r="AQ415" s="391"/>
      <c r="AR415" s="4"/>
      <c r="AS415" s="4"/>
      <c r="AT415" s="392"/>
      <c r="AU415" s="4"/>
      <c r="AV415" s="4"/>
    </row>
    <row r="416" spans="1:48" ht="20.25" hidden="1">
      <c r="A416" s="389"/>
      <c r="B416" s="334" t="s">
        <v>30</v>
      </c>
      <c r="C416" s="89" t="s">
        <v>485</v>
      </c>
      <c r="D416" s="81" t="s">
        <v>109</v>
      </c>
      <c r="E416" s="1156">
        <f>SUM(E410+E412+E413+E414)/E415</f>
        <v>0</v>
      </c>
      <c r="F416" s="1156">
        <f t="shared" ref="F416:AI416" si="429">SUM(F410+F412+F413+F414)/F415</f>
        <v>0</v>
      </c>
      <c r="G416" s="1227">
        <f t="shared" si="429"/>
        <v>0</v>
      </c>
      <c r="H416" s="1156">
        <f t="shared" si="429"/>
        <v>0</v>
      </c>
      <c r="I416" s="1156">
        <f t="shared" si="429"/>
        <v>0</v>
      </c>
      <c r="J416" s="1227">
        <f t="shared" si="429"/>
        <v>0</v>
      </c>
      <c r="K416" s="1227">
        <f t="shared" si="429"/>
        <v>0</v>
      </c>
      <c r="L416" s="1156">
        <f t="shared" si="429"/>
        <v>0</v>
      </c>
      <c r="M416" s="1156">
        <f t="shared" si="429"/>
        <v>0</v>
      </c>
      <c r="N416" s="1156">
        <f t="shared" si="429"/>
        <v>0</v>
      </c>
      <c r="O416" s="1156">
        <f t="shared" si="429"/>
        <v>0</v>
      </c>
      <c r="P416" s="1156">
        <f t="shared" si="429"/>
        <v>0</v>
      </c>
      <c r="Q416" s="1227">
        <f t="shared" si="429"/>
        <v>0</v>
      </c>
      <c r="R416" s="1227">
        <f t="shared" si="429"/>
        <v>0</v>
      </c>
      <c r="S416" s="1156">
        <f t="shared" si="429"/>
        <v>0</v>
      </c>
      <c r="T416" s="1156">
        <f t="shared" si="429"/>
        <v>0</v>
      </c>
      <c r="U416" s="1156">
        <f t="shared" si="429"/>
        <v>0</v>
      </c>
      <c r="V416" s="1156">
        <f t="shared" si="429"/>
        <v>0</v>
      </c>
      <c r="W416" s="1156">
        <f t="shared" si="429"/>
        <v>0</v>
      </c>
      <c r="X416" s="1227">
        <f t="shared" si="429"/>
        <v>0</v>
      </c>
      <c r="Y416" s="1227">
        <f t="shared" si="429"/>
        <v>0</v>
      </c>
      <c r="Z416" s="1156">
        <f t="shared" si="429"/>
        <v>0</v>
      </c>
      <c r="AA416" s="1156">
        <f t="shared" si="429"/>
        <v>0</v>
      </c>
      <c r="AB416" s="1156">
        <f t="shared" si="429"/>
        <v>0</v>
      </c>
      <c r="AC416" s="1156">
        <f t="shared" si="429"/>
        <v>0</v>
      </c>
      <c r="AD416" s="1156">
        <f t="shared" si="429"/>
        <v>0</v>
      </c>
      <c r="AE416" s="1227">
        <f t="shared" si="429"/>
        <v>0</v>
      </c>
      <c r="AF416" s="1227">
        <f t="shared" si="429"/>
        <v>0</v>
      </c>
      <c r="AG416" s="1156">
        <f t="shared" si="429"/>
        <v>0</v>
      </c>
      <c r="AH416" s="1156">
        <f t="shared" si="429"/>
        <v>0</v>
      </c>
      <c r="AI416" s="1156">
        <f t="shared" si="429"/>
        <v>0</v>
      </c>
      <c r="AJ416" s="380">
        <f>SUM(E416:AI416)</f>
        <v>0</v>
      </c>
      <c r="AK416" s="1025">
        <f t="shared" si="416"/>
        <v>0</v>
      </c>
      <c r="AL416" s="419"/>
      <c r="AM416" s="1040">
        <f t="shared" si="417"/>
        <v>0</v>
      </c>
      <c r="AN416" s="382"/>
      <c r="AO416" s="622"/>
      <c r="AP416" s="391"/>
      <c r="AQ416" s="391"/>
      <c r="AR416" s="4"/>
      <c r="AS416" s="4"/>
      <c r="AT416" s="392"/>
      <c r="AU416" s="4"/>
      <c r="AV416" s="4"/>
    </row>
    <row r="417" spans="1:48" ht="20.25" hidden="1">
      <c r="A417" s="376"/>
      <c r="B417" s="390"/>
      <c r="C417" s="383">
        <f>+C415*0.8</f>
        <v>40000</v>
      </c>
      <c r="D417" s="85" t="s">
        <v>110</v>
      </c>
      <c r="E417" s="1366"/>
      <c r="F417" s="1126"/>
      <c r="G417" s="1263"/>
      <c r="H417" s="1172"/>
      <c r="I417" s="1126"/>
      <c r="J417" s="1281"/>
      <c r="K417" s="1235"/>
      <c r="L417" s="1126"/>
      <c r="M417" s="1126"/>
      <c r="N417" s="1174"/>
      <c r="O417" s="1173"/>
      <c r="P417" s="1173"/>
      <c r="Q417" s="1281"/>
      <c r="R417" s="1281"/>
      <c r="S417" s="1173"/>
      <c r="T417" s="1107"/>
      <c r="U417" s="1173"/>
      <c r="V417" s="1173"/>
      <c r="W417" s="1173"/>
      <c r="X417" s="1281"/>
      <c r="Y417" s="1281"/>
      <c r="Z417" s="1155"/>
      <c r="AA417" s="1173"/>
      <c r="AB417" s="1173"/>
      <c r="AC417" s="1173"/>
      <c r="AD417" s="1173"/>
      <c r="AE417" s="1281"/>
      <c r="AF417" s="1281"/>
      <c r="AG417" s="1173"/>
      <c r="AH417" s="1173"/>
      <c r="AI417" s="1173"/>
      <c r="AJ417" s="394"/>
      <c r="AK417" s="1025">
        <f t="shared" si="416"/>
        <v>0</v>
      </c>
      <c r="AL417" s="419"/>
      <c r="AM417" s="1040">
        <f t="shared" si="417"/>
        <v>0</v>
      </c>
      <c r="AN417" s="382"/>
      <c r="AO417" s="622"/>
      <c r="AP417" s="391"/>
      <c r="AQ417" s="391"/>
      <c r="AR417" s="4"/>
      <c r="AS417" s="4"/>
      <c r="AT417" s="392"/>
      <c r="AU417" s="4"/>
      <c r="AV417" s="4"/>
    </row>
    <row r="418" spans="1:48" ht="20.25" hidden="1">
      <c r="A418" s="376"/>
      <c r="B418" s="390"/>
      <c r="C418" s="89"/>
      <c r="D418" s="88" t="s">
        <v>111</v>
      </c>
      <c r="E418" s="1156">
        <f>IF(E417="O/H",E416,0+E416)</f>
        <v>0</v>
      </c>
      <c r="F418" s="1156">
        <f t="shared" ref="F418:AI418" si="430">IF(F417="O/H",F416,0+F416)</f>
        <v>0</v>
      </c>
      <c r="G418" s="1227">
        <f t="shared" si="430"/>
        <v>0</v>
      </c>
      <c r="H418" s="1156">
        <f t="shared" si="430"/>
        <v>0</v>
      </c>
      <c r="I418" s="1156">
        <f t="shared" si="430"/>
        <v>0</v>
      </c>
      <c r="J418" s="1227">
        <f t="shared" si="430"/>
        <v>0</v>
      </c>
      <c r="K418" s="1227">
        <f t="shared" si="430"/>
        <v>0</v>
      </c>
      <c r="L418" s="1156">
        <f t="shared" si="430"/>
        <v>0</v>
      </c>
      <c r="M418" s="1156">
        <f t="shared" si="430"/>
        <v>0</v>
      </c>
      <c r="N418" s="1156">
        <f t="shared" si="430"/>
        <v>0</v>
      </c>
      <c r="O418" s="1156">
        <f t="shared" si="430"/>
        <v>0</v>
      </c>
      <c r="P418" s="1156">
        <f t="shared" si="430"/>
        <v>0</v>
      </c>
      <c r="Q418" s="1227">
        <f t="shared" si="430"/>
        <v>0</v>
      </c>
      <c r="R418" s="1227">
        <f t="shared" si="430"/>
        <v>0</v>
      </c>
      <c r="S418" s="1156">
        <f t="shared" si="430"/>
        <v>0</v>
      </c>
      <c r="T418" s="1156">
        <f t="shared" si="430"/>
        <v>0</v>
      </c>
      <c r="U418" s="1156">
        <f t="shared" si="430"/>
        <v>0</v>
      </c>
      <c r="V418" s="1156">
        <f t="shared" si="430"/>
        <v>0</v>
      </c>
      <c r="W418" s="1156">
        <f t="shared" si="430"/>
        <v>0</v>
      </c>
      <c r="X418" s="1227">
        <f t="shared" si="430"/>
        <v>0</v>
      </c>
      <c r="Y418" s="1227">
        <f t="shared" si="430"/>
        <v>0</v>
      </c>
      <c r="Z418" s="1156">
        <f t="shared" si="430"/>
        <v>0</v>
      </c>
      <c r="AA418" s="1156">
        <f t="shared" si="430"/>
        <v>0</v>
      </c>
      <c r="AB418" s="1156">
        <f t="shared" si="430"/>
        <v>0</v>
      </c>
      <c r="AC418" s="1156">
        <f t="shared" si="430"/>
        <v>0</v>
      </c>
      <c r="AD418" s="1156">
        <f t="shared" si="430"/>
        <v>0</v>
      </c>
      <c r="AE418" s="1227">
        <f t="shared" si="430"/>
        <v>0</v>
      </c>
      <c r="AF418" s="1227">
        <f t="shared" si="430"/>
        <v>0</v>
      </c>
      <c r="AG418" s="1156">
        <f t="shared" si="430"/>
        <v>0</v>
      </c>
      <c r="AH418" s="1156">
        <f t="shared" si="430"/>
        <v>0</v>
      </c>
      <c r="AI418" s="1156">
        <f t="shared" si="430"/>
        <v>0</v>
      </c>
      <c r="AJ418" s="394"/>
      <c r="AK418" s="1025">
        <f t="shared" si="416"/>
        <v>0</v>
      </c>
      <c r="AL418" s="419"/>
      <c r="AM418" s="1040">
        <f t="shared" si="417"/>
        <v>0</v>
      </c>
      <c r="AN418" s="382"/>
      <c r="AO418" s="622"/>
      <c r="AP418" s="391"/>
      <c r="AQ418" s="391"/>
    </row>
    <row r="419" spans="1:48" ht="20.25" hidden="1">
      <c r="A419" s="376"/>
      <c r="B419" s="59"/>
      <c r="C419" s="387"/>
      <c r="D419" s="395" t="s">
        <v>435</v>
      </c>
      <c r="E419" s="1365"/>
      <c r="F419" s="1104"/>
      <c r="G419" s="1228"/>
      <c r="H419" s="1176"/>
      <c r="I419" s="1104"/>
      <c r="J419" s="1211"/>
      <c r="K419" s="1273"/>
      <c r="L419" s="1104"/>
      <c r="M419" s="1104"/>
      <c r="N419" s="1177"/>
      <c r="O419" s="1104"/>
      <c r="P419" s="1177"/>
      <c r="Q419" s="1211"/>
      <c r="R419" s="1211"/>
      <c r="S419" s="1104"/>
      <c r="T419" s="1107"/>
      <c r="U419" s="1104"/>
      <c r="V419" s="1104"/>
      <c r="W419" s="1107"/>
      <c r="X419" s="1228"/>
      <c r="Y419" s="1211"/>
      <c r="Z419" s="1155"/>
      <c r="AA419" s="1104"/>
      <c r="AB419" s="1104"/>
      <c r="AC419" s="1104"/>
      <c r="AD419" s="1104"/>
      <c r="AE419" s="1211"/>
      <c r="AF419" s="1211"/>
      <c r="AG419" s="1104"/>
      <c r="AH419" s="1104"/>
      <c r="AI419" s="1104"/>
      <c r="AJ419" s="396"/>
      <c r="AK419" s="1024">
        <f t="shared" si="416"/>
        <v>0</v>
      </c>
      <c r="AL419" s="420"/>
      <c r="AM419" s="1040">
        <f t="shared" si="417"/>
        <v>0</v>
      </c>
      <c r="AN419" s="382"/>
      <c r="AO419" s="622"/>
      <c r="AP419" s="391"/>
      <c r="AQ419" s="391"/>
    </row>
    <row r="420" spans="1:48" s="23" customFormat="1" ht="20.25" hidden="1">
      <c r="A420" s="376"/>
      <c r="B420" s="59"/>
      <c r="C420" s="387" t="s">
        <v>104</v>
      </c>
      <c r="D420" s="88" t="s">
        <v>111</v>
      </c>
      <c r="E420" s="1156">
        <f>IF(E419="O/H",E416,0+E416)</f>
        <v>0</v>
      </c>
      <c r="F420" s="1156">
        <f t="shared" ref="F420:AI420" si="431">IF(F419="O/H",F416,0+F416)</f>
        <v>0</v>
      </c>
      <c r="G420" s="1227">
        <f t="shared" si="431"/>
        <v>0</v>
      </c>
      <c r="H420" s="1156">
        <f t="shared" si="431"/>
        <v>0</v>
      </c>
      <c r="I420" s="1156">
        <f t="shared" si="431"/>
        <v>0</v>
      </c>
      <c r="J420" s="1227">
        <f t="shared" si="431"/>
        <v>0</v>
      </c>
      <c r="K420" s="1227">
        <f t="shared" si="431"/>
        <v>0</v>
      </c>
      <c r="L420" s="1156">
        <f t="shared" si="431"/>
        <v>0</v>
      </c>
      <c r="M420" s="1156">
        <f t="shared" si="431"/>
        <v>0</v>
      </c>
      <c r="N420" s="1156">
        <f t="shared" si="431"/>
        <v>0</v>
      </c>
      <c r="O420" s="1156">
        <f t="shared" si="431"/>
        <v>0</v>
      </c>
      <c r="P420" s="1156">
        <f t="shared" si="431"/>
        <v>0</v>
      </c>
      <c r="Q420" s="1227">
        <f t="shared" si="431"/>
        <v>0</v>
      </c>
      <c r="R420" s="1227">
        <f t="shared" si="431"/>
        <v>0</v>
      </c>
      <c r="S420" s="1156">
        <f t="shared" si="431"/>
        <v>0</v>
      </c>
      <c r="T420" s="1156">
        <f t="shared" si="431"/>
        <v>0</v>
      </c>
      <c r="U420" s="1156">
        <f t="shared" si="431"/>
        <v>0</v>
      </c>
      <c r="V420" s="1156">
        <f t="shared" si="431"/>
        <v>0</v>
      </c>
      <c r="W420" s="1156">
        <f t="shared" si="431"/>
        <v>0</v>
      </c>
      <c r="X420" s="1227">
        <f t="shared" si="431"/>
        <v>0</v>
      </c>
      <c r="Y420" s="1227">
        <f t="shared" si="431"/>
        <v>0</v>
      </c>
      <c r="Z420" s="1156">
        <f t="shared" si="431"/>
        <v>0</v>
      </c>
      <c r="AA420" s="1156">
        <f t="shared" si="431"/>
        <v>0</v>
      </c>
      <c r="AB420" s="1156">
        <f t="shared" si="431"/>
        <v>0</v>
      </c>
      <c r="AC420" s="1156">
        <f t="shared" si="431"/>
        <v>0</v>
      </c>
      <c r="AD420" s="1156">
        <f t="shared" si="431"/>
        <v>0</v>
      </c>
      <c r="AE420" s="1227">
        <f t="shared" si="431"/>
        <v>0</v>
      </c>
      <c r="AF420" s="1227">
        <f t="shared" si="431"/>
        <v>0</v>
      </c>
      <c r="AG420" s="1156">
        <f t="shared" si="431"/>
        <v>0</v>
      </c>
      <c r="AH420" s="1156">
        <f t="shared" si="431"/>
        <v>0</v>
      </c>
      <c r="AI420" s="1156">
        <f t="shared" si="431"/>
        <v>0</v>
      </c>
      <c r="AJ420" s="394"/>
      <c r="AK420" s="1025">
        <f t="shared" si="416"/>
        <v>0</v>
      </c>
      <c r="AL420" s="419"/>
      <c r="AM420" s="1040">
        <f t="shared" si="417"/>
        <v>0</v>
      </c>
      <c r="AN420" s="382"/>
      <c r="AO420" s="622"/>
      <c r="AP420" s="285"/>
      <c r="AQ420" s="285"/>
      <c r="AR420" s="285"/>
      <c r="AS420" s="285"/>
      <c r="AT420" s="286"/>
      <c r="AU420" s="285"/>
      <c r="AV420" s="287"/>
    </row>
    <row r="421" spans="1:48" ht="15.75" hidden="1">
      <c r="A421" s="312"/>
      <c r="B421" s="312"/>
      <c r="C421" s="379">
        <v>150000</v>
      </c>
      <c r="D421" s="795" t="s">
        <v>112</v>
      </c>
      <c r="E421" s="1117" t="b">
        <f>IF(AND(ISNUMBER(E410)),1159944+E416)</f>
        <v>0</v>
      </c>
      <c r="F421" s="1118" t="str">
        <f>IF(AND(ISNUMBER(F410)),E421+F416,"")</f>
        <v/>
      </c>
      <c r="G421" s="1216" t="str">
        <f>IF(AND(ISNUMBER(G410)),F421+G416,"")</f>
        <v/>
      </c>
      <c r="H421" s="1118" t="str">
        <f t="shared" ref="H421:AI421" si="432">IF(AND(ISNUMBER(H410)),G421+H416,"")</f>
        <v/>
      </c>
      <c r="I421" s="1118" t="str">
        <f t="shared" si="432"/>
        <v/>
      </c>
      <c r="J421" s="1216" t="str">
        <f t="shared" si="432"/>
        <v/>
      </c>
      <c r="K421" s="1216" t="str">
        <f t="shared" si="432"/>
        <v/>
      </c>
      <c r="L421" s="1118" t="str">
        <f t="shared" si="432"/>
        <v/>
      </c>
      <c r="M421" s="1118" t="str">
        <f t="shared" si="432"/>
        <v/>
      </c>
      <c r="N421" s="1118" t="str">
        <f t="shared" si="432"/>
        <v/>
      </c>
      <c r="O421" s="1118" t="str">
        <f t="shared" si="432"/>
        <v/>
      </c>
      <c r="P421" s="1118" t="str">
        <f t="shared" si="432"/>
        <v/>
      </c>
      <c r="Q421" s="1216" t="str">
        <f t="shared" si="432"/>
        <v/>
      </c>
      <c r="R421" s="1216" t="str">
        <f t="shared" si="432"/>
        <v/>
      </c>
      <c r="S421" s="1118" t="str">
        <f t="shared" si="432"/>
        <v/>
      </c>
      <c r="T421" s="1118" t="str">
        <f t="shared" si="432"/>
        <v/>
      </c>
      <c r="U421" s="1118" t="str">
        <f t="shared" si="432"/>
        <v/>
      </c>
      <c r="V421" s="1118" t="str">
        <f t="shared" si="432"/>
        <v/>
      </c>
      <c r="W421" s="1118" t="str">
        <f t="shared" si="432"/>
        <v/>
      </c>
      <c r="X421" s="1216" t="str">
        <f t="shared" si="432"/>
        <v/>
      </c>
      <c r="Y421" s="1216" t="str">
        <f t="shared" si="432"/>
        <v/>
      </c>
      <c r="Z421" s="1118" t="str">
        <f t="shared" si="432"/>
        <v/>
      </c>
      <c r="AA421" s="1118" t="str">
        <f t="shared" si="432"/>
        <v/>
      </c>
      <c r="AB421" s="1118" t="str">
        <f t="shared" si="432"/>
        <v/>
      </c>
      <c r="AC421" s="1118" t="str">
        <f t="shared" si="432"/>
        <v/>
      </c>
      <c r="AD421" s="1118" t="str">
        <f t="shared" si="432"/>
        <v/>
      </c>
      <c r="AE421" s="1216" t="str">
        <f t="shared" si="432"/>
        <v/>
      </c>
      <c r="AF421" s="1216" t="str">
        <f t="shared" si="432"/>
        <v/>
      </c>
      <c r="AG421" s="1118" t="str">
        <f t="shared" si="432"/>
        <v/>
      </c>
      <c r="AH421" s="1118" t="str">
        <f t="shared" si="432"/>
        <v/>
      </c>
      <c r="AI421" s="1118" t="str">
        <f t="shared" si="432"/>
        <v/>
      </c>
      <c r="AJ421" s="793"/>
      <c r="AK421" s="1026">
        <f t="shared" si="416"/>
        <v>0</v>
      </c>
      <c r="AL421" s="897"/>
      <c r="AM421" s="1042">
        <f t="shared" si="417"/>
        <v>0</v>
      </c>
      <c r="AN421" s="468"/>
      <c r="AO421" s="675"/>
      <c r="AP421" s="391"/>
      <c r="AQ421" s="391"/>
    </row>
    <row r="422" spans="1:48" ht="20.25" hidden="1">
      <c r="A422" s="376"/>
      <c r="B422" s="393" t="s">
        <v>486</v>
      </c>
      <c r="C422" s="89" t="s">
        <v>108</v>
      </c>
      <c r="D422" s="90" t="s">
        <v>104</v>
      </c>
      <c r="E422" s="1365"/>
      <c r="F422" s="1104"/>
      <c r="G422" s="1211"/>
      <c r="H422" s="1176"/>
      <c r="I422" s="1104"/>
      <c r="J422" s="1211"/>
      <c r="K422" s="1273"/>
      <c r="L422" s="1104"/>
      <c r="M422" s="1104"/>
      <c r="N422" s="1177"/>
      <c r="O422" s="1104"/>
      <c r="P422" s="1177"/>
      <c r="Q422" s="1211"/>
      <c r="R422" s="1211"/>
      <c r="S422" s="1104"/>
      <c r="T422" s="1107"/>
      <c r="U422" s="1104"/>
      <c r="V422" s="1104"/>
      <c r="W422" s="1104"/>
      <c r="X422" s="1228"/>
      <c r="Y422" s="1211"/>
      <c r="Z422" s="1106"/>
      <c r="AA422" s="1104"/>
      <c r="AB422" s="1104"/>
      <c r="AC422" s="1104"/>
      <c r="AD422" s="1104"/>
      <c r="AE422" s="1211"/>
      <c r="AF422" s="1211"/>
      <c r="AG422" s="1104"/>
      <c r="AH422" s="1104"/>
      <c r="AI422" s="1104"/>
      <c r="AJ422" s="396"/>
      <c r="AK422" s="1024">
        <f t="shared" si="416"/>
        <v>0</v>
      </c>
      <c r="AL422" s="420"/>
      <c r="AM422" s="1040">
        <f t="shared" si="417"/>
        <v>0</v>
      </c>
      <c r="AN422" s="382"/>
      <c r="AO422" s="622"/>
      <c r="AP422" s="391"/>
      <c r="AQ422" s="391"/>
    </row>
    <row r="423" spans="1:48" ht="21" hidden="1" thickBot="1">
      <c r="A423" s="397"/>
      <c r="B423" s="398"/>
      <c r="C423" s="407">
        <f>+C421*0.8</f>
        <v>120000</v>
      </c>
      <c r="D423" s="95" t="s">
        <v>111</v>
      </c>
      <c r="E423" s="1109">
        <f>IF(E422="O/H",E416,57694+E416)</f>
        <v>57694</v>
      </c>
      <c r="F423" s="1109">
        <f t="shared" ref="F423:AI423" si="433">IF(F422="O/H",F416,57694+F416)</f>
        <v>57694</v>
      </c>
      <c r="G423" s="1200">
        <f t="shared" si="433"/>
        <v>57694</v>
      </c>
      <c r="H423" s="1109">
        <f t="shared" si="433"/>
        <v>57694</v>
      </c>
      <c r="I423" s="1109">
        <f t="shared" si="433"/>
        <v>57694</v>
      </c>
      <c r="J423" s="1200">
        <f t="shared" si="433"/>
        <v>57694</v>
      </c>
      <c r="K423" s="1200">
        <f t="shared" si="433"/>
        <v>57694</v>
      </c>
      <c r="L423" s="1109">
        <f t="shared" si="433"/>
        <v>57694</v>
      </c>
      <c r="M423" s="1109">
        <f t="shared" si="433"/>
        <v>57694</v>
      </c>
      <c r="N423" s="1109">
        <f t="shared" si="433"/>
        <v>57694</v>
      </c>
      <c r="O423" s="1109">
        <f t="shared" si="433"/>
        <v>57694</v>
      </c>
      <c r="P423" s="1109">
        <f t="shared" si="433"/>
        <v>57694</v>
      </c>
      <c r="Q423" s="1200">
        <f t="shared" si="433"/>
        <v>57694</v>
      </c>
      <c r="R423" s="1200">
        <f t="shared" si="433"/>
        <v>57694</v>
      </c>
      <c r="S423" s="1109">
        <f t="shared" si="433"/>
        <v>57694</v>
      </c>
      <c r="T423" s="1109">
        <f t="shared" si="433"/>
        <v>57694</v>
      </c>
      <c r="U423" s="1109">
        <f t="shared" si="433"/>
        <v>57694</v>
      </c>
      <c r="V423" s="1109">
        <f t="shared" si="433"/>
        <v>57694</v>
      </c>
      <c r="W423" s="1109">
        <f t="shared" si="433"/>
        <v>57694</v>
      </c>
      <c r="X423" s="1200">
        <f t="shared" si="433"/>
        <v>57694</v>
      </c>
      <c r="Y423" s="1200">
        <f t="shared" si="433"/>
        <v>57694</v>
      </c>
      <c r="Z423" s="1109">
        <f t="shared" si="433"/>
        <v>57694</v>
      </c>
      <c r="AA423" s="1109">
        <f t="shared" si="433"/>
        <v>57694</v>
      </c>
      <c r="AB423" s="1109">
        <f t="shared" si="433"/>
        <v>57694</v>
      </c>
      <c r="AC423" s="1109">
        <f t="shared" si="433"/>
        <v>57694</v>
      </c>
      <c r="AD423" s="1109">
        <f t="shared" si="433"/>
        <v>57694</v>
      </c>
      <c r="AE423" s="1200">
        <f t="shared" si="433"/>
        <v>57694</v>
      </c>
      <c r="AF423" s="1200">
        <f t="shared" si="433"/>
        <v>57694</v>
      </c>
      <c r="AG423" s="1109">
        <f t="shared" si="433"/>
        <v>57694</v>
      </c>
      <c r="AH423" s="1109">
        <f t="shared" si="433"/>
        <v>57694</v>
      </c>
      <c r="AI423" s="1109">
        <f t="shared" si="433"/>
        <v>57694</v>
      </c>
      <c r="AJ423" s="399"/>
      <c r="AK423" s="1027">
        <f t="shared" si="416"/>
        <v>0</v>
      </c>
      <c r="AL423" s="421"/>
      <c r="AM423" s="1043">
        <f t="shared" si="417"/>
        <v>0</v>
      </c>
      <c r="AN423" s="894"/>
      <c r="AO423" s="625"/>
      <c r="AP423" s="32"/>
      <c r="AQ423" s="33"/>
      <c r="AR423" s="33"/>
      <c r="AS423" s="33"/>
      <c r="AT423" s="33"/>
      <c r="AU423" s="33"/>
      <c r="AV423" s="34"/>
    </row>
    <row r="424" spans="1:48" ht="21" hidden="1" thickTop="1">
      <c r="A424" s="970" t="s">
        <v>643</v>
      </c>
      <c r="B424" s="393" t="s">
        <v>669</v>
      </c>
      <c r="C424" s="518" t="str">
        <f>Table37[[#This Row],[M/C No.]]</f>
        <v>R21(18ton)</v>
      </c>
      <c r="D424" s="28" t="s">
        <v>82</v>
      </c>
      <c r="E424" s="1111"/>
      <c r="F424" s="1111"/>
      <c r="G424" s="1201"/>
      <c r="H424" s="1111"/>
      <c r="I424" s="1111"/>
      <c r="J424" s="1201"/>
      <c r="K424" s="1201"/>
      <c r="L424" s="1111"/>
      <c r="M424" s="1111"/>
      <c r="N424" s="1111"/>
      <c r="O424" s="1111"/>
      <c r="P424" s="1111"/>
      <c r="Q424" s="1201"/>
      <c r="R424" s="1201"/>
      <c r="S424" s="1111"/>
      <c r="T424" s="1111"/>
      <c r="U424" s="1111"/>
      <c r="V424" s="1111"/>
      <c r="W424" s="1111"/>
      <c r="X424" s="1201"/>
      <c r="Y424" s="1201"/>
      <c r="Z424" s="1111"/>
      <c r="AA424" s="1111"/>
      <c r="AB424" s="1111"/>
      <c r="AC424" s="1111"/>
      <c r="AD424" s="1111"/>
      <c r="AE424" s="1201"/>
      <c r="AF424" s="1201"/>
      <c r="AG424" s="1111"/>
      <c r="AH424" s="1111"/>
      <c r="AI424" s="1111"/>
      <c r="AJ424" s="375">
        <f>SUM(E424:AI424)</f>
        <v>0</v>
      </c>
      <c r="AK424" s="1047">
        <f t="shared" si="416"/>
        <v>0</v>
      </c>
      <c r="AL424" s="423">
        <f>+AJ424*AN424</f>
        <v>0</v>
      </c>
      <c r="AM424" s="1046">
        <f t="shared" si="417"/>
        <v>0</v>
      </c>
      <c r="AN424" s="382">
        <v>4.6815699999999998</v>
      </c>
      <c r="AO424" s="622">
        <f>Table37[[#This Row],[Total]]*B428/1000</f>
        <v>0</v>
      </c>
      <c r="AP424" s="32" t="s">
        <v>487</v>
      </c>
      <c r="AQ424" s="33" t="s">
        <v>84</v>
      </c>
      <c r="AR424" s="33" t="s">
        <v>85</v>
      </c>
      <c r="AS424" s="33" t="s">
        <v>86</v>
      </c>
      <c r="AT424" s="33" t="s">
        <v>87</v>
      </c>
      <c r="AU424" s="33" t="s">
        <v>88</v>
      </c>
      <c r="AV424" s="34" t="s">
        <v>68</v>
      </c>
    </row>
    <row r="425" spans="1:48" ht="20.25" hidden="1">
      <c r="A425" s="438"/>
      <c r="B425" s="393" t="s">
        <v>477</v>
      </c>
      <c r="C425" s="52" t="s">
        <v>95</v>
      </c>
      <c r="D425" s="37" t="s">
        <v>90</v>
      </c>
      <c r="E425" s="1323">
        <f>IF(E424="",0, E424/E431)</f>
        <v>0</v>
      </c>
      <c r="F425" s="1096">
        <f>IF(F424="",0, E425+F424/F431)</f>
        <v>0</v>
      </c>
      <c r="G425" s="1207">
        <f t="shared" ref="G425:AI425" si="434">IF(G424="",0, F425+G424/G431)</f>
        <v>0</v>
      </c>
      <c r="H425" s="1096">
        <f t="shared" si="434"/>
        <v>0</v>
      </c>
      <c r="I425" s="1096">
        <f t="shared" si="434"/>
        <v>0</v>
      </c>
      <c r="J425" s="1207">
        <f t="shared" si="434"/>
        <v>0</v>
      </c>
      <c r="K425" s="1207">
        <f t="shared" si="434"/>
        <v>0</v>
      </c>
      <c r="L425" s="1096">
        <f t="shared" si="434"/>
        <v>0</v>
      </c>
      <c r="M425" s="1096">
        <f t="shared" si="434"/>
        <v>0</v>
      </c>
      <c r="N425" s="1096">
        <f t="shared" si="434"/>
        <v>0</v>
      </c>
      <c r="O425" s="1096">
        <f t="shared" si="434"/>
        <v>0</v>
      </c>
      <c r="P425" s="1096">
        <f t="shared" si="434"/>
        <v>0</v>
      </c>
      <c r="Q425" s="1207">
        <f t="shared" si="434"/>
        <v>0</v>
      </c>
      <c r="R425" s="1207">
        <f t="shared" si="434"/>
        <v>0</v>
      </c>
      <c r="S425" s="1096">
        <f t="shared" si="434"/>
        <v>0</v>
      </c>
      <c r="T425" s="1096">
        <f t="shared" si="434"/>
        <v>0</v>
      </c>
      <c r="U425" s="1096">
        <f t="shared" si="434"/>
        <v>0</v>
      </c>
      <c r="V425" s="1096">
        <f t="shared" si="434"/>
        <v>0</v>
      </c>
      <c r="W425" s="1096">
        <f t="shared" si="434"/>
        <v>0</v>
      </c>
      <c r="X425" s="1207">
        <f t="shared" si="434"/>
        <v>0</v>
      </c>
      <c r="Y425" s="1207">
        <f t="shared" si="434"/>
        <v>0</v>
      </c>
      <c r="Z425" s="1096">
        <f t="shared" si="434"/>
        <v>0</v>
      </c>
      <c r="AA425" s="1096">
        <f t="shared" si="434"/>
        <v>0</v>
      </c>
      <c r="AB425" s="1096">
        <f t="shared" si="434"/>
        <v>0</v>
      </c>
      <c r="AC425" s="1096">
        <f t="shared" si="434"/>
        <v>0</v>
      </c>
      <c r="AD425" s="1096">
        <f t="shared" si="434"/>
        <v>0</v>
      </c>
      <c r="AE425" s="1207">
        <f t="shared" si="434"/>
        <v>0</v>
      </c>
      <c r="AF425" s="1207">
        <f t="shared" si="434"/>
        <v>0</v>
      </c>
      <c r="AG425" s="1096">
        <f t="shared" si="434"/>
        <v>0</v>
      </c>
      <c r="AH425" s="1096">
        <f t="shared" si="434"/>
        <v>0</v>
      </c>
      <c r="AI425" s="1096">
        <f t="shared" si="434"/>
        <v>0</v>
      </c>
      <c r="AJ425" s="375"/>
      <c r="AK425" s="1023">
        <f t="shared" si="416"/>
        <v>0</v>
      </c>
      <c r="AL425" s="423"/>
      <c r="AM425" s="1040">
        <f t="shared" si="417"/>
        <v>0</v>
      </c>
      <c r="AN425" s="382"/>
      <c r="AO425" s="675"/>
      <c r="AP425" s="39" t="s">
        <v>91</v>
      </c>
      <c r="AQ425" s="40">
        <f>SUM(E424:I424)</f>
        <v>0</v>
      </c>
      <c r="AR425" s="41">
        <f>SUM(J424:P424)</f>
        <v>0</v>
      </c>
      <c r="AS425" s="41">
        <f>SUM(Q424:W424)</f>
        <v>0</v>
      </c>
      <c r="AT425" s="41">
        <f>SUM(X424:AD424)</f>
        <v>0</v>
      </c>
      <c r="AU425" s="41">
        <f>SUM(AE424:AI424)</f>
        <v>0</v>
      </c>
      <c r="AV425" s="34">
        <f t="shared" ref="AV425:AV430" si="435">SUM(AQ425:AU425)</f>
        <v>0</v>
      </c>
    </row>
    <row r="426" spans="1:48" ht="20.25" hidden="1">
      <c r="A426" s="438"/>
      <c r="B426" s="393" t="s">
        <v>246</v>
      </c>
      <c r="C426" s="379">
        <v>60000</v>
      </c>
      <c r="D426" s="43" t="s">
        <v>93</v>
      </c>
      <c r="E426" s="1108"/>
      <c r="F426" s="1089"/>
      <c r="G426" s="44"/>
      <c r="H426" s="1089"/>
      <c r="I426" s="1089"/>
      <c r="J426" s="44"/>
      <c r="K426" s="44"/>
      <c r="L426" s="1089"/>
      <c r="M426" s="1089"/>
      <c r="N426" s="1089"/>
      <c r="O426" s="1089"/>
      <c r="P426" s="1089"/>
      <c r="Q426" s="44"/>
      <c r="R426" s="44"/>
      <c r="S426" s="1089"/>
      <c r="T426" s="1089"/>
      <c r="U426" s="1089"/>
      <c r="V426" s="1089"/>
      <c r="W426" s="1089"/>
      <c r="X426" s="44"/>
      <c r="Y426" s="44"/>
      <c r="Z426" s="1089"/>
      <c r="AA426" s="1089"/>
      <c r="AB426" s="1089"/>
      <c r="AC426" s="1089"/>
      <c r="AD426" s="1089"/>
      <c r="AE426" s="44"/>
      <c r="AF426" s="44"/>
      <c r="AG426" s="1089"/>
      <c r="AH426" s="1089"/>
      <c r="AI426" s="1089"/>
      <c r="AJ426" s="380">
        <f>SUM(E426:AI426)</f>
        <v>0</v>
      </c>
      <c r="AK426" s="1024">
        <f t="shared" si="416"/>
        <v>0</v>
      </c>
      <c r="AL426" s="424">
        <f>+AJ426*AN424</f>
        <v>0</v>
      </c>
      <c r="AM426" s="1041">
        <f t="shared" si="417"/>
        <v>0</v>
      </c>
      <c r="AN426" s="382"/>
      <c r="AO426" s="632">
        <f>(AJ426+AJ428+AJ429+AJ430)*B428/1000</f>
        <v>0</v>
      </c>
      <c r="AP426" s="47" t="s">
        <v>94</v>
      </c>
      <c r="AQ426" s="48">
        <f>SUM(E426:I426)</f>
        <v>0</v>
      </c>
      <c r="AR426" s="49">
        <f>SUM(J426:P426)</f>
        <v>0</v>
      </c>
      <c r="AS426" s="49">
        <f>SUM(Q426:W426)</f>
        <v>0</v>
      </c>
      <c r="AT426" s="49">
        <f>SUM(X426:AD426)</f>
        <v>0</v>
      </c>
      <c r="AU426" s="49">
        <f>SUM(AE426:AI426)</f>
        <v>0</v>
      </c>
      <c r="AV426" s="50">
        <f t="shared" si="435"/>
        <v>0</v>
      </c>
    </row>
    <row r="427" spans="1:48" ht="20.25" hidden="1">
      <c r="A427" s="438"/>
      <c r="B427" s="638" t="s">
        <v>247</v>
      </c>
      <c r="C427" s="89" t="s">
        <v>108</v>
      </c>
      <c r="D427" s="53" t="s">
        <v>96</v>
      </c>
      <c r="E427" s="1137">
        <f t="shared" ref="E427:AJ427" si="436">+E426-E424</f>
        <v>0</v>
      </c>
      <c r="F427" s="1097">
        <f t="shared" si="436"/>
        <v>0</v>
      </c>
      <c r="G427" s="1205">
        <f t="shared" si="436"/>
        <v>0</v>
      </c>
      <c r="H427" s="1097">
        <f t="shared" si="436"/>
        <v>0</v>
      </c>
      <c r="I427" s="1097">
        <f t="shared" si="436"/>
        <v>0</v>
      </c>
      <c r="J427" s="1205">
        <f t="shared" si="436"/>
        <v>0</v>
      </c>
      <c r="K427" s="1205">
        <f t="shared" si="436"/>
        <v>0</v>
      </c>
      <c r="L427" s="1097">
        <f t="shared" si="436"/>
        <v>0</v>
      </c>
      <c r="M427" s="1097">
        <f t="shared" si="436"/>
        <v>0</v>
      </c>
      <c r="N427" s="1097">
        <f t="shared" si="436"/>
        <v>0</v>
      </c>
      <c r="O427" s="1097">
        <f t="shared" si="436"/>
        <v>0</v>
      </c>
      <c r="P427" s="1097">
        <f t="shared" si="436"/>
        <v>0</v>
      </c>
      <c r="Q427" s="1205">
        <f t="shared" si="436"/>
        <v>0</v>
      </c>
      <c r="R427" s="1205">
        <f t="shared" si="436"/>
        <v>0</v>
      </c>
      <c r="S427" s="1097">
        <f t="shared" si="436"/>
        <v>0</v>
      </c>
      <c r="T427" s="1097">
        <f t="shared" si="436"/>
        <v>0</v>
      </c>
      <c r="U427" s="1097">
        <f t="shared" si="436"/>
        <v>0</v>
      </c>
      <c r="V427" s="1097">
        <f t="shared" si="436"/>
        <v>0</v>
      </c>
      <c r="W427" s="1097">
        <f t="shared" si="436"/>
        <v>0</v>
      </c>
      <c r="X427" s="1205">
        <f t="shared" si="436"/>
        <v>0</v>
      </c>
      <c r="Y427" s="1205">
        <f t="shared" si="436"/>
        <v>0</v>
      </c>
      <c r="Z427" s="1097">
        <f t="shared" si="436"/>
        <v>0</v>
      </c>
      <c r="AA427" s="1097">
        <f t="shared" si="436"/>
        <v>0</v>
      </c>
      <c r="AB427" s="1097">
        <f t="shared" si="436"/>
        <v>0</v>
      </c>
      <c r="AC427" s="1097">
        <f t="shared" si="436"/>
        <v>0</v>
      </c>
      <c r="AD427" s="1097">
        <f t="shared" si="436"/>
        <v>0</v>
      </c>
      <c r="AE427" s="1205">
        <f t="shared" si="436"/>
        <v>0</v>
      </c>
      <c r="AF427" s="1205">
        <f t="shared" si="436"/>
        <v>0</v>
      </c>
      <c r="AG427" s="1097">
        <f t="shared" si="436"/>
        <v>0</v>
      </c>
      <c r="AH427" s="1097">
        <f t="shared" si="436"/>
        <v>0</v>
      </c>
      <c r="AI427" s="1097">
        <f t="shared" si="436"/>
        <v>0</v>
      </c>
      <c r="AJ427" s="381">
        <f t="shared" si="436"/>
        <v>0</v>
      </c>
      <c r="AK427" s="1024">
        <f t="shared" si="416"/>
        <v>0</v>
      </c>
      <c r="AL427" s="425">
        <f>+AJ427*AN424</f>
        <v>0</v>
      </c>
      <c r="AM427" s="1041">
        <f t="shared" si="417"/>
        <v>0</v>
      </c>
      <c r="AN427" s="382" t="s">
        <v>97</v>
      </c>
      <c r="AO427" s="622"/>
      <c r="AP427" s="39" t="s">
        <v>98</v>
      </c>
      <c r="AQ427" s="56">
        <f>AQ426-AQ425</f>
        <v>0</v>
      </c>
      <c r="AR427" s="70">
        <f>AR426-AR425</f>
        <v>0</v>
      </c>
      <c r="AS427" s="70">
        <f>AS426-AS425</f>
        <v>0</v>
      </c>
      <c r="AT427" s="70">
        <f>AT426-AT425</f>
        <v>0</v>
      </c>
      <c r="AU427" s="70">
        <f>AU426-AU425</f>
        <v>0</v>
      </c>
      <c r="AV427" s="57">
        <f t="shared" si="435"/>
        <v>0</v>
      </c>
    </row>
    <row r="428" spans="1:48" ht="20.25" hidden="1">
      <c r="A428" s="438"/>
      <c r="B428" s="638">
        <v>2.6779999999999999</v>
      </c>
      <c r="C428" s="383">
        <f>+C426*0.8</f>
        <v>48000</v>
      </c>
      <c r="D428" s="61" t="s">
        <v>101</v>
      </c>
      <c r="E428" s="1098"/>
      <c r="F428" s="1099"/>
      <c r="G428" s="1208"/>
      <c r="H428" s="1099"/>
      <c r="I428" s="1099"/>
      <c r="J428" s="1208"/>
      <c r="K428" s="1208"/>
      <c r="L428" s="1099"/>
      <c r="M428" s="1099"/>
      <c r="N428" s="1099"/>
      <c r="O428" s="1099"/>
      <c r="P428" s="1099"/>
      <c r="Q428" s="1208"/>
      <c r="R428" s="1208"/>
      <c r="S428" s="1099"/>
      <c r="T428" s="1099"/>
      <c r="U428" s="1099"/>
      <c r="V428" s="1099"/>
      <c r="W428" s="1099"/>
      <c r="X428" s="1208"/>
      <c r="Y428" s="1208"/>
      <c r="Z428" s="1099"/>
      <c r="AA428" s="1099"/>
      <c r="AB428" s="1099"/>
      <c r="AC428" s="1099"/>
      <c r="AD428" s="1099"/>
      <c r="AE428" s="1208"/>
      <c r="AF428" s="1208"/>
      <c r="AG428" s="1099"/>
      <c r="AH428" s="1099"/>
      <c r="AI428" s="1099"/>
      <c r="AJ428" s="384">
        <f>SUM(E428:AI428)</f>
        <v>0</v>
      </c>
      <c r="AK428" s="1024">
        <f t="shared" si="416"/>
        <v>0</v>
      </c>
      <c r="AL428" s="420">
        <f>+AJ428*AN424</f>
        <v>0</v>
      </c>
      <c r="AM428" s="1040">
        <f t="shared" si="417"/>
        <v>0</v>
      </c>
      <c r="AN428" s="404" t="e">
        <f>+AJ428/AJ426*100</f>
        <v>#DIV/0!</v>
      </c>
      <c r="AO428" s="635" t="e">
        <f>AO426/AO424</f>
        <v>#DIV/0!</v>
      </c>
      <c r="AP428" s="39" t="s">
        <v>102</v>
      </c>
      <c r="AQ428" s="56">
        <f>SUM(E428:I428)</f>
        <v>0</v>
      </c>
      <c r="AR428" s="70">
        <f>SUM(J428:P428)</f>
        <v>0</v>
      </c>
      <c r="AS428" s="70">
        <f>SUM(Q428:W428)</f>
        <v>0</v>
      </c>
      <c r="AT428" s="70">
        <f>SUM(X428:AD428)</f>
        <v>0</v>
      </c>
      <c r="AU428" s="70">
        <f>SUM(AE428:AI428)</f>
        <v>0</v>
      </c>
      <c r="AV428" s="57">
        <f t="shared" si="435"/>
        <v>0</v>
      </c>
    </row>
    <row r="429" spans="1:48" ht="20.25" hidden="1">
      <c r="A429" s="438"/>
      <c r="B429" s="65"/>
      <c r="C429" s="383"/>
      <c r="D429" s="67" t="s">
        <v>103</v>
      </c>
      <c r="E429" s="1100"/>
      <c r="F429" s="1101"/>
      <c r="G429" s="1209"/>
      <c r="H429" s="1101"/>
      <c r="I429" s="1101"/>
      <c r="J429" s="1209"/>
      <c r="K429" s="1209"/>
      <c r="L429" s="1101"/>
      <c r="M429" s="1101"/>
      <c r="N429" s="1101"/>
      <c r="O429" s="1101"/>
      <c r="P429" s="1101"/>
      <c r="Q429" s="1209"/>
      <c r="R429" s="1209"/>
      <c r="S429" s="1101"/>
      <c r="T429" s="1101"/>
      <c r="U429" s="1101"/>
      <c r="V429" s="1101"/>
      <c r="W429" s="1101"/>
      <c r="X429" s="1209"/>
      <c r="Y429" s="1209"/>
      <c r="Z429" s="1101"/>
      <c r="AA429" s="1101"/>
      <c r="AB429" s="1101"/>
      <c r="AC429" s="1101"/>
      <c r="AD429" s="1101"/>
      <c r="AE429" s="1209"/>
      <c r="AF429" s="1209"/>
      <c r="AG429" s="1101"/>
      <c r="AH429" s="1101"/>
      <c r="AI429" s="1101"/>
      <c r="AJ429" s="386">
        <f>SUM(E429:AI429)</f>
        <v>0</v>
      </c>
      <c r="AK429" s="1024">
        <f t="shared" si="416"/>
        <v>0</v>
      </c>
      <c r="AL429" s="426">
        <f>+AJ429*AN424</f>
        <v>0</v>
      </c>
      <c r="AM429" s="1040">
        <f t="shared" si="417"/>
        <v>0</v>
      </c>
      <c r="AN429" s="382"/>
      <c r="AO429" s="622"/>
      <c r="AP429" s="39" t="s">
        <v>19</v>
      </c>
      <c r="AQ429" s="56">
        <f>AQ428*AN424</f>
        <v>0</v>
      </c>
      <c r="AR429" s="56">
        <f>AR428*AN424</f>
        <v>0</v>
      </c>
      <c r="AS429" s="56">
        <f>AS428*AN424</f>
        <v>0</v>
      </c>
      <c r="AT429" s="56">
        <f>AT428*AN424</f>
        <v>0</v>
      </c>
      <c r="AU429" s="56">
        <f>AU428*AN424</f>
        <v>0</v>
      </c>
      <c r="AV429" s="57">
        <f t="shared" si="435"/>
        <v>0</v>
      </c>
    </row>
    <row r="430" spans="1:48" ht="20.25" hidden="1">
      <c r="A430" s="438"/>
      <c r="B430" s="65"/>
      <c r="C430" s="387" t="s">
        <v>435</v>
      </c>
      <c r="D430" s="73" t="s">
        <v>105</v>
      </c>
      <c r="E430" s="1102"/>
      <c r="F430" s="1103"/>
      <c r="G430" s="1210"/>
      <c r="H430" s="1103"/>
      <c r="I430" s="1103"/>
      <c r="J430" s="1210"/>
      <c r="K430" s="1210"/>
      <c r="L430" s="1103"/>
      <c r="M430" s="1103"/>
      <c r="N430" s="1103"/>
      <c r="O430" s="1103"/>
      <c r="P430" s="1103"/>
      <c r="Q430" s="1210"/>
      <c r="R430" s="1210"/>
      <c r="S430" s="1103"/>
      <c r="T430" s="1103"/>
      <c r="U430" s="1103"/>
      <c r="V430" s="1103"/>
      <c r="W430" s="1103"/>
      <c r="X430" s="1210"/>
      <c r="Y430" s="1210"/>
      <c r="Z430" s="1103"/>
      <c r="AA430" s="1103"/>
      <c r="AB430" s="1103"/>
      <c r="AC430" s="1103"/>
      <c r="AD430" s="1103"/>
      <c r="AE430" s="1210"/>
      <c r="AF430" s="1210"/>
      <c r="AG430" s="1103"/>
      <c r="AH430" s="1103"/>
      <c r="AI430" s="1103"/>
      <c r="AJ430" s="388">
        <f>SUM(E430:AI430)</f>
        <v>0</v>
      </c>
      <c r="AK430" s="1024">
        <f t="shared" si="416"/>
        <v>0</v>
      </c>
      <c r="AL430" s="427">
        <f>+AJ430*AN424</f>
        <v>0</v>
      </c>
      <c r="AM430" s="1040">
        <f t="shared" si="417"/>
        <v>0</v>
      </c>
      <c r="AN430" s="382"/>
      <c r="AO430" s="622"/>
      <c r="AP430" s="47" t="s">
        <v>106</v>
      </c>
      <c r="AQ430" s="48">
        <f>AQ426*AN424</f>
        <v>0</v>
      </c>
      <c r="AR430" s="48">
        <f>AR426*AN424</f>
        <v>0</v>
      </c>
      <c r="AS430" s="48">
        <f>AS426*AN424</f>
        <v>0</v>
      </c>
      <c r="AT430" s="48">
        <f>AT426*AN424</f>
        <v>0</v>
      </c>
      <c r="AU430" s="48">
        <f>AU426*AN424</f>
        <v>0</v>
      </c>
      <c r="AV430" s="50">
        <f t="shared" si="435"/>
        <v>0</v>
      </c>
    </row>
    <row r="431" spans="1:48" ht="20.25" hidden="1">
      <c r="A431" s="438"/>
      <c r="B431" s="390"/>
      <c r="C431" s="379">
        <v>50000</v>
      </c>
      <c r="D431" s="78" t="s">
        <v>107</v>
      </c>
      <c r="E431" s="1137">
        <v>4</v>
      </c>
      <c r="F431" s="1097">
        <v>4</v>
      </c>
      <c r="G431" s="1205">
        <v>4</v>
      </c>
      <c r="H431" s="1097">
        <v>4</v>
      </c>
      <c r="I431" s="1097">
        <v>4</v>
      </c>
      <c r="J431" s="1205">
        <v>4</v>
      </c>
      <c r="K431" s="1205">
        <v>4</v>
      </c>
      <c r="L431" s="1097">
        <v>4</v>
      </c>
      <c r="M431" s="1097">
        <v>4</v>
      </c>
      <c r="N431" s="1097">
        <v>4</v>
      </c>
      <c r="O431" s="1097">
        <v>4</v>
      </c>
      <c r="P431" s="1097">
        <v>4</v>
      </c>
      <c r="Q431" s="1205">
        <v>4</v>
      </c>
      <c r="R431" s="1205">
        <v>4</v>
      </c>
      <c r="S431" s="1097">
        <v>4</v>
      </c>
      <c r="T431" s="1097">
        <v>4</v>
      </c>
      <c r="U431" s="1097">
        <v>4</v>
      </c>
      <c r="V431" s="1097">
        <v>4</v>
      </c>
      <c r="W431" s="1097">
        <v>4</v>
      </c>
      <c r="X431" s="1205">
        <v>4</v>
      </c>
      <c r="Y431" s="1205">
        <v>4</v>
      </c>
      <c r="Z431" s="1097">
        <v>4</v>
      </c>
      <c r="AA431" s="1097">
        <v>4</v>
      </c>
      <c r="AB431" s="1097">
        <v>4</v>
      </c>
      <c r="AC431" s="1097">
        <v>4</v>
      </c>
      <c r="AD431" s="1097">
        <v>4</v>
      </c>
      <c r="AE431" s="1205">
        <v>4</v>
      </c>
      <c r="AF431" s="1205">
        <v>4</v>
      </c>
      <c r="AG431" s="1097">
        <v>4</v>
      </c>
      <c r="AH431" s="1097">
        <v>4</v>
      </c>
      <c r="AI431" s="1097">
        <v>4</v>
      </c>
      <c r="AJ431" s="381"/>
      <c r="AK431" s="1024">
        <f t="shared" si="416"/>
        <v>0</v>
      </c>
      <c r="AL431" s="425"/>
      <c r="AM431" s="1041">
        <f t="shared" si="417"/>
        <v>0</v>
      </c>
      <c r="AN431" s="382"/>
      <c r="AO431" s="622"/>
      <c r="AP431" s="391"/>
      <c r="AQ431" s="391"/>
      <c r="AR431" s="4"/>
      <c r="AS431" s="4"/>
      <c r="AT431" s="392"/>
      <c r="AU431" s="4"/>
      <c r="AV431" s="4"/>
    </row>
    <row r="432" spans="1:48" ht="20.25" hidden="1">
      <c r="A432" s="438"/>
      <c r="B432" s="390"/>
      <c r="C432" s="89" t="s">
        <v>108</v>
      </c>
      <c r="D432" s="81" t="s">
        <v>109</v>
      </c>
      <c r="E432" s="1125">
        <f>SUM(E426+E428+E429+E430)/E431</f>
        <v>0</v>
      </c>
      <c r="F432" s="1125">
        <f>SUM(F426+F428+F429+F430)/F431</f>
        <v>0</v>
      </c>
      <c r="G432" s="1233">
        <f t="shared" ref="G432:AI432" si="437">SUM(G426+G428+G429+G430)/G431</f>
        <v>0</v>
      </c>
      <c r="H432" s="1125">
        <f t="shared" si="437"/>
        <v>0</v>
      </c>
      <c r="I432" s="1125">
        <f t="shared" si="437"/>
        <v>0</v>
      </c>
      <c r="J432" s="1233">
        <f t="shared" si="437"/>
        <v>0</v>
      </c>
      <c r="K432" s="1233">
        <f t="shared" si="437"/>
        <v>0</v>
      </c>
      <c r="L432" s="1125">
        <f>SUM(L426+L428+L429+L430)/L431</f>
        <v>0</v>
      </c>
      <c r="M432" s="1125">
        <f t="shared" si="437"/>
        <v>0</v>
      </c>
      <c r="N432" s="1125">
        <f t="shared" si="437"/>
        <v>0</v>
      </c>
      <c r="O432" s="1125">
        <f t="shared" si="437"/>
        <v>0</v>
      </c>
      <c r="P432" s="1125">
        <f t="shared" si="437"/>
        <v>0</v>
      </c>
      <c r="Q432" s="1233">
        <f t="shared" si="437"/>
        <v>0</v>
      </c>
      <c r="R432" s="1233">
        <f t="shared" si="437"/>
        <v>0</v>
      </c>
      <c r="S432" s="1125">
        <f t="shared" si="437"/>
        <v>0</v>
      </c>
      <c r="T432" s="1125">
        <f t="shared" si="437"/>
        <v>0</v>
      </c>
      <c r="U432" s="1125">
        <f t="shared" si="437"/>
        <v>0</v>
      </c>
      <c r="V432" s="1125">
        <f t="shared" si="437"/>
        <v>0</v>
      </c>
      <c r="W432" s="1125">
        <f t="shared" si="437"/>
        <v>0</v>
      </c>
      <c r="X432" s="1233">
        <f>SUM(X426+X428+X429+X430)/X431</f>
        <v>0</v>
      </c>
      <c r="Y432" s="1233">
        <f>SUM(Y426+Y428+Y429+Y430)/Y431</f>
        <v>0</v>
      </c>
      <c r="Z432" s="1125">
        <f t="shared" si="437"/>
        <v>0</v>
      </c>
      <c r="AA432" s="1125">
        <f t="shared" si="437"/>
        <v>0</v>
      </c>
      <c r="AB432" s="1125">
        <f t="shared" si="437"/>
        <v>0</v>
      </c>
      <c r="AC432" s="1125">
        <f t="shared" si="437"/>
        <v>0</v>
      </c>
      <c r="AD432" s="1125">
        <f t="shared" si="437"/>
        <v>0</v>
      </c>
      <c r="AE432" s="1233">
        <f t="shared" si="437"/>
        <v>0</v>
      </c>
      <c r="AF432" s="1233">
        <f t="shared" si="437"/>
        <v>0</v>
      </c>
      <c r="AG432" s="1125">
        <f t="shared" si="437"/>
        <v>0</v>
      </c>
      <c r="AH432" s="1125">
        <f t="shared" si="437"/>
        <v>0</v>
      </c>
      <c r="AI432" s="1125">
        <f t="shared" si="437"/>
        <v>0</v>
      </c>
      <c r="AJ432" s="380">
        <f>SUM(E432:AI432)</f>
        <v>0</v>
      </c>
      <c r="AK432" s="1025">
        <f t="shared" si="416"/>
        <v>0</v>
      </c>
      <c r="AL432" s="419"/>
      <c r="AM432" s="1040">
        <f t="shared" si="417"/>
        <v>0</v>
      </c>
      <c r="AN432" s="382"/>
      <c r="AO432" s="622"/>
      <c r="AP432" s="391"/>
      <c r="AQ432" s="391"/>
      <c r="AR432" s="4"/>
      <c r="AS432" s="4"/>
      <c r="AT432" s="392"/>
      <c r="AU432" s="4"/>
      <c r="AV432" s="4"/>
    </row>
    <row r="433" spans="1:48" ht="20.25" hidden="1">
      <c r="A433" s="439"/>
      <c r="B433" s="59"/>
      <c r="C433" s="84">
        <f>+C431*0.8</f>
        <v>40000</v>
      </c>
      <c r="D433" s="85" t="s">
        <v>110</v>
      </c>
      <c r="E433" s="1173"/>
      <c r="F433" s="1126"/>
      <c r="G433" s="1263"/>
      <c r="H433" s="1172"/>
      <c r="I433" s="1172"/>
      <c r="J433" s="1281"/>
      <c r="K433" s="1235"/>
      <c r="L433" s="1126"/>
      <c r="M433" s="1172"/>
      <c r="N433" s="1174"/>
      <c r="O433" s="1173"/>
      <c r="P433" s="1173"/>
      <c r="Q433" s="1281"/>
      <c r="R433" s="1281"/>
      <c r="S433" s="1173"/>
      <c r="T433" s="1107"/>
      <c r="U433" s="1173"/>
      <c r="V433" s="1173"/>
      <c r="W433" s="1173"/>
      <c r="X433" s="1281"/>
      <c r="Y433" s="1281"/>
      <c r="Z433" s="1155"/>
      <c r="AA433" s="1173"/>
      <c r="AB433" s="1175"/>
      <c r="AC433" s="1173"/>
      <c r="AD433" s="1173"/>
      <c r="AE433" s="1281"/>
      <c r="AF433" s="1281"/>
      <c r="AG433" s="1173"/>
      <c r="AH433" s="1173"/>
      <c r="AI433" s="1173"/>
      <c r="AJ433" s="394"/>
      <c r="AK433" s="1025">
        <f t="shared" si="416"/>
        <v>0</v>
      </c>
      <c r="AL433" s="419"/>
      <c r="AM433" s="1040">
        <f t="shared" si="417"/>
        <v>0</v>
      </c>
      <c r="AN433" s="382"/>
      <c r="AO433" s="622"/>
      <c r="AP433" s="391"/>
      <c r="AQ433" s="391"/>
      <c r="AR433" s="4"/>
      <c r="AS433" s="4"/>
      <c r="AT433" s="392"/>
      <c r="AU433" s="4"/>
      <c r="AV433" s="4"/>
    </row>
    <row r="434" spans="1:48" ht="20.25" hidden="1">
      <c r="A434" s="438"/>
      <c r="B434" s="59"/>
      <c r="C434" s="89"/>
      <c r="D434" s="88" t="s">
        <v>111</v>
      </c>
      <c r="E434" s="1156">
        <f>IF(E433="O/H",E432,+E432)</f>
        <v>0</v>
      </c>
      <c r="F434" s="1156">
        <f t="shared" ref="F434:AI434" si="438">IF(F433="O/H",F432,+F432)</f>
        <v>0</v>
      </c>
      <c r="G434" s="1227">
        <f t="shared" si="438"/>
        <v>0</v>
      </c>
      <c r="H434" s="1156">
        <f t="shared" si="438"/>
        <v>0</v>
      </c>
      <c r="I434" s="1156">
        <f t="shared" si="438"/>
        <v>0</v>
      </c>
      <c r="J434" s="1227">
        <f t="shared" si="438"/>
        <v>0</v>
      </c>
      <c r="K434" s="1227">
        <f t="shared" si="438"/>
        <v>0</v>
      </c>
      <c r="L434" s="1156">
        <f t="shared" si="438"/>
        <v>0</v>
      </c>
      <c r="M434" s="1156">
        <f t="shared" si="438"/>
        <v>0</v>
      </c>
      <c r="N434" s="1156">
        <f t="shared" si="438"/>
        <v>0</v>
      </c>
      <c r="O434" s="1156">
        <f t="shared" si="438"/>
        <v>0</v>
      </c>
      <c r="P434" s="1156">
        <f t="shared" si="438"/>
        <v>0</v>
      </c>
      <c r="Q434" s="1227">
        <f t="shared" si="438"/>
        <v>0</v>
      </c>
      <c r="R434" s="1227">
        <f t="shared" si="438"/>
        <v>0</v>
      </c>
      <c r="S434" s="1156">
        <f t="shared" si="438"/>
        <v>0</v>
      </c>
      <c r="T434" s="1156">
        <f t="shared" si="438"/>
        <v>0</v>
      </c>
      <c r="U434" s="1156">
        <f t="shared" si="438"/>
        <v>0</v>
      </c>
      <c r="V434" s="1156">
        <f t="shared" si="438"/>
        <v>0</v>
      </c>
      <c r="W434" s="1156">
        <f t="shared" si="438"/>
        <v>0</v>
      </c>
      <c r="X434" s="1227">
        <f t="shared" si="438"/>
        <v>0</v>
      </c>
      <c r="Y434" s="1227">
        <f t="shared" si="438"/>
        <v>0</v>
      </c>
      <c r="Z434" s="1156">
        <f t="shared" si="438"/>
        <v>0</v>
      </c>
      <c r="AA434" s="1156">
        <f t="shared" si="438"/>
        <v>0</v>
      </c>
      <c r="AB434" s="1156">
        <f t="shared" si="438"/>
        <v>0</v>
      </c>
      <c r="AC434" s="1156">
        <f t="shared" si="438"/>
        <v>0</v>
      </c>
      <c r="AD434" s="1156">
        <f t="shared" si="438"/>
        <v>0</v>
      </c>
      <c r="AE434" s="1227">
        <f t="shared" si="438"/>
        <v>0</v>
      </c>
      <c r="AF434" s="1227">
        <f t="shared" si="438"/>
        <v>0</v>
      </c>
      <c r="AG434" s="1156">
        <f t="shared" si="438"/>
        <v>0</v>
      </c>
      <c r="AH434" s="1156">
        <f t="shared" si="438"/>
        <v>0</v>
      </c>
      <c r="AI434" s="1156">
        <f t="shared" si="438"/>
        <v>0</v>
      </c>
      <c r="AJ434" s="394"/>
      <c r="AK434" s="1025">
        <f t="shared" si="416"/>
        <v>0</v>
      </c>
      <c r="AL434" s="419"/>
      <c r="AM434" s="1040">
        <f t="shared" si="417"/>
        <v>0</v>
      </c>
      <c r="AN434" s="382"/>
      <c r="AO434" s="622"/>
      <c r="AP434" s="391"/>
      <c r="AQ434" s="391"/>
    </row>
    <row r="435" spans="1:48" ht="20.25" hidden="1">
      <c r="A435" s="438"/>
      <c r="B435" s="59"/>
      <c r="C435" s="387"/>
      <c r="D435" s="395" t="s">
        <v>435</v>
      </c>
      <c r="E435" s="1107"/>
      <c r="F435" s="1104"/>
      <c r="G435" s="1228"/>
      <c r="H435" s="1176"/>
      <c r="I435" s="1107"/>
      <c r="J435" s="1211"/>
      <c r="K435" s="1273"/>
      <c r="L435" s="1104"/>
      <c r="M435" s="1107"/>
      <c r="N435" s="1177"/>
      <c r="O435" s="1104"/>
      <c r="P435" s="1177"/>
      <c r="Q435" s="1273"/>
      <c r="R435" s="1211"/>
      <c r="S435" s="1104"/>
      <c r="T435" s="1107"/>
      <c r="U435" s="1107"/>
      <c r="V435" s="1107"/>
      <c r="W435" s="1104"/>
      <c r="X435" s="1228"/>
      <c r="Y435" s="1211"/>
      <c r="Z435" s="1155"/>
      <c r="AA435" s="1104"/>
      <c r="AB435" s="1107"/>
      <c r="AC435" s="1107"/>
      <c r="AD435" s="1104"/>
      <c r="AE435" s="1211"/>
      <c r="AF435" s="1211"/>
      <c r="AG435" s="1104"/>
      <c r="AH435" s="1104"/>
      <c r="AI435" s="1104"/>
      <c r="AJ435" s="396"/>
      <c r="AK435" s="1024">
        <f t="shared" si="416"/>
        <v>0</v>
      </c>
      <c r="AL435" s="420"/>
      <c r="AM435" s="1040">
        <f t="shared" si="417"/>
        <v>0</v>
      </c>
      <c r="AN435" s="382"/>
      <c r="AO435" s="622"/>
      <c r="AP435" s="391"/>
      <c r="AQ435" s="391"/>
    </row>
    <row r="436" spans="1:48" s="23" customFormat="1" ht="20.25" hidden="1">
      <c r="A436" s="438"/>
      <c r="B436" s="59"/>
      <c r="C436" s="387" t="s">
        <v>104</v>
      </c>
      <c r="D436" s="88" t="s">
        <v>111</v>
      </c>
      <c r="E436" s="1156">
        <f>IF(E435="O/H",E432,+E432)</f>
        <v>0</v>
      </c>
      <c r="F436" s="1156">
        <f t="shared" ref="F436:AI436" si="439">IF(F435="O/H",F432,+F432)</f>
        <v>0</v>
      </c>
      <c r="G436" s="1227">
        <f t="shared" si="439"/>
        <v>0</v>
      </c>
      <c r="H436" s="1156">
        <f t="shared" si="439"/>
        <v>0</v>
      </c>
      <c r="I436" s="1156">
        <f t="shared" si="439"/>
        <v>0</v>
      </c>
      <c r="J436" s="1227">
        <f t="shared" si="439"/>
        <v>0</v>
      </c>
      <c r="K436" s="1227">
        <f t="shared" si="439"/>
        <v>0</v>
      </c>
      <c r="L436" s="1156">
        <f t="shared" si="439"/>
        <v>0</v>
      </c>
      <c r="M436" s="1156">
        <f t="shared" si="439"/>
        <v>0</v>
      </c>
      <c r="N436" s="1156">
        <f t="shared" si="439"/>
        <v>0</v>
      </c>
      <c r="O436" s="1156">
        <f t="shared" si="439"/>
        <v>0</v>
      </c>
      <c r="P436" s="1156">
        <f t="shared" si="439"/>
        <v>0</v>
      </c>
      <c r="Q436" s="1227">
        <f t="shared" si="439"/>
        <v>0</v>
      </c>
      <c r="R436" s="1227">
        <f t="shared" si="439"/>
        <v>0</v>
      </c>
      <c r="S436" s="1156">
        <f t="shared" si="439"/>
        <v>0</v>
      </c>
      <c r="T436" s="1156">
        <f t="shared" si="439"/>
        <v>0</v>
      </c>
      <c r="U436" s="1156">
        <f t="shared" si="439"/>
        <v>0</v>
      </c>
      <c r="V436" s="1156">
        <f t="shared" si="439"/>
        <v>0</v>
      </c>
      <c r="W436" s="1156">
        <f t="shared" si="439"/>
        <v>0</v>
      </c>
      <c r="X436" s="1227">
        <f t="shared" si="439"/>
        <v>0</v>
      </c>
      <c r="Y436" s="1227">
        <f t="shared" si="439"/>
        <v>0</v>
      </c>
      <c r="Z436" s="1156">
        <f t="shared" si="439"/>
        <v>0</v>
      </c>
      <c r="AA436" s="1156">
        <f t="shared" si="439"/>
        <v>0</v>
      </c>
      <c r="AB436" s="1156">
        <f t="shared" si="439"/>
        <v>0</v>
      </c>
      <c r="AC436" s="1156">
        <f t="shared" si="439"/>
        <v>0</v>
      </c>
      <c r="AD436" s="1156">
        <f t="shared" si="439"/>
        <v>0</v>
      </c>
      <c r="AE436" s="1227">
        <f t="shared" si="439"/>
        <v>0</v>
      </c>
      <c r="AF436" s="1227">
        <f t="shared" si="439"/>
        <v>0</v>
      </c>
      <c r="AG436" s="1156">
        <f t="shared" si="439"/>
        <v>0</v>
      </c>
      <c r="AH436" s="1156">
        <f t="shared" si="439"/>
        <v>0</v>
      </c>
      <c r="AI436" s="1156">
        <f t="shared" si="439"/>
        <v>0</v>
      </c>
      <c r="AJ436" s="394"/>
      <c r="AK436" s="1025">
        <f t="shared" si="416"/>
        <v>0</v>
      </c>
      <c r="AL436" s="419"/>
      <c r="AM436" s="1040">
        <f t="shared" si="417"/>
        <v>0</v>
      </c>
      <c r="AN436" s="382"/>
      <c r="AO436" s="622"/>
      <c r="AP436" s="285"/>
      <c r="AQ436" s="285"/>
      <c r="AR436" s="285"/>
      <c r="AS436" s="285"/>
      <c r="AT436" s="286"/>
      <c r="AU436" s="285"/>
      <c r="AV436" s="287"/>
    </row>
    <row r="437" spans="1:48" ht="15.75" hidden="1">
      <c r="A437" s="312"/>
      <c r="B437" s="312"/>
      <c r="C437" s="379">
        <v>150000</v>
      </c>
      <c r="D437" s="795" t="s">
        <v>112</v>
      </c>
      <c r="E437" s="1117" t="b">
        <f>IF(AND(ISNUMBER(E426)),1539941+E432)</f>
        <v>0</v>
      </c>
      <c r="F437" s="1118" t="str">
        <f>IF(AND(ISNUMBER(F426)),E437+F432,"")</f>
        <v/>
      </c>
      <c r="G437" s="1216" t="str">
        <f>IF(AND(ISNUMBER(G426)),F437+G432,"")</f>
        <v/>
      </c>
      <c r="H437" s="1118" t="str">
        <f t="shared" ref="H437:AI437" si="440">IF(AND(ISNUMBER(H426)),G437+H432,"")</f>
        <v/>
      </c>
      <c r="I437" s="1118" t="str">
        <f t="shared" si="440"/>
        <v/>
      </c>
      <c r="J437" s="1216" t="str">
        <f t="shared" si="440"/>
        <v/>
      </c>
      <c r="K437" s="1216" t="str">
        <f t="shared" si="440"/>
        <v/>
      </c>
      <c r="L437" s="1118" t="str">
        <f t="shared" si="440"/>
        <v/>
      </c>
      <c r="M437" s="1118" t="str">
        <f t="shared" si="440"/>
        <v/>
      </c>
      <c r="N437" s="1118" t="str">
        <f t="shared" si="440"/>
        <v/>
      </c>
      <c r="O437" s="1118" t="str">
        <f t="shared" si="440"/>
        <v/>
      </c>
      <c r="P437" s="1118" t="str">
        <f t="shared" si="440"/>
        <v/>
      </c>
      <c r="Q437" s="1216" t="str">
        <f t="shared" si="440"/>
        <v/>
      </c>
      <c r="R437" s="1216" t="str">
        <f t="shared" si="440"/>
        <v/>
      </c>
      <c r="S437" s="1118" t="str">
        <f t="shared" si="440"/>
        <v/>
      </c>
      <c r="T437" s="1118" t="str">
        <f t="shared" si="440"/>
        <v/>
      </c>
      <c r="U437" s="1118" t="str">
        <f t="shared" si="440"/>
        <v/>
      </c>
      <c r="V437" s="1118" t="str">
        <f t="shared" si="440"/>
        <v/>
      </c>
      <c r="W437" s="1118" t="str">
        <f t="shared" si="440"/>
        <v/>
      </c>
      <c r="X437" s="1216" t="str">
        <f t="shared" si="440"/>
        <v/>
      </c>
      <c r="Y437" s="1216" t="str">
        <f t="shared" si="440"/>
        <v/>
      </c>
      <c r="Z437" s="1118" t="str">
        <f t="shared" si="440"/>
        <v/>
      </c>
      <c r="AA437" s="1118" t="str">
        <f t="shared" si="440"/>
        <v/>
      </c>
      <c r="AB437" s="1118" t="str">
        <f t="shared" si="440"/>
        <v/>
      </c>
      <c r="AC437" s="1118" t="str">
        <f t="shared" si="440"/>
        <v/>
      </c>
      <c r="AD437" s="1118" t="str">
        <f t="shared" si="440"/>
        <v/>
      </c>
      <c r="AE437" s="1216" t="str">
        <f t="shared" si="440"/>
        <v/>
      </c>
      <c r="AF437" s="1216" t="str">
        <f t="shared" si="440"/>
        <v/>
      </c>
      <c r="AG437" s="1118" t="str">
        <f t="shared" si="440"/>
        <v/>
      </c>
      <c r="AH437" s="1118" t="str">
        <f t="shared" si="440"/>
        <v/>
      </c>
      <c r="AI437" s="1118" t="str">
        <f t="shared" si="440"/>
        <v/>
      </c>
      <c r="AJ437" s="793"/>
      <c r="AK437" s="1026">
        <f t="shared" si="416"/>
        <v>0</v>
      </c>
      <c r="AL437" s="897"/>
      <c r="AM437" s="1042">
        <f t="shared" si="417"/>
        <v>0</v>
      </c>
      <c r="AN437" s="468"/>
      <c r="AO437" s="675"/>
      <c r="AP437" s="391"/>
      <c r="AQ437" s="391"/>
    </row>
    <row r="438" spans="1:48" ht="20.25" hidden="1">
      <c r="A438" s="438"/>
      <c r="B438" s="393" t="s">
        <v>478</v>
      </c>
      <c r="C438" s="89" t="s">
        <v>108</v>
      </c>
      <c r="D438" s="90" t="s">
        <v>104</v>
      </c>
      <c r="E438" s="1365"/>
      <c r="F438" s="1104"/>
      <c r="G438" s="1228"/>
      <c r="H438" s="1176"/>
      <c r="I438" s="1104"/>
      <c r="J438" s="1211"/>
      <c r="K438" s="1273"/>
      <c r="L438" s="1104"/>
      <c r="M438" s="1107"/>
      <c r="N438" s="1177"/>
      <c r="O438" s="1104"/>
      <c r="P438" s="1177"/>
      <c r="Q438" s="1228"/>
      <c r="R438" s="1211"/>
      <c r="S438" s="1104"/>
      <c r="T438" s="1107"/>
      <c r="U438" s="1104"/>
      <c r="V438" s="1104"/>
      <c r="W438" s="1104"/>
      <c r="X438" s="1228"/>
      <c r="Y438" s="1211"/>
      <c r="Z438" s="1106"/>
      <c r="AA438" s="1104"/>
      <c r="AB438" s="1107"/>
      <c r="AC438" s="1107"/>
      <c r="AD438" s="1104"/>
      <c r="AE438" s="1211"/>
      <c r="AF438" s="1211"/>
      <c r="AG438" s="1104"/>
      <c r="AH438" s="1104"/>
      <c r="AI438" s="1104"/>
      <c r="AJ438" s="396"/>
      <c r="AK438" s="1024">
        <f t="shared" si="416"/>
        <v>0</v>
      </c>
      <c r="AL438" s="420"/>
      <c r="AM438" s="1040">
        <f t="shared" si="417"/>
        <v>0</v>
      </c>
      <c r="AN438" s="382"/>
      <c r="AO438" s="622"/>
      <c r="AP438" s="391"/>
      <c r="AQ438" s="391"/>
    </row>
    <row r="439" spans="1:48" ht="21" hidden="1" thickBot="1">
      <c r="A439" s="440"/>
      <c r="B439" s="398"/>
      <c r="C439" s="407">
        <f>+C437*0.8</f>
        <v>120000</v>
      </c>
      <c r="D439" s="95" t="s">
        <v>111</v>
      </c>
      <c r="E439" s="1109">
        <f>IF(E438="O/H",E432,0+E432)</f>
        <v>0</v>
      </c>
      <c r="F439" s="1109">
        <f t="shared" ref="F439:AI439" si="441">IF(F438="O/H",F432,0+F432)</f>
        <v>0</v>
      </c>
      <c r="G439" s="1200">
        <f t="shared" si="441"/>
        <v>0</v>
      </c>
      <c r="H439" s="1109">
        <f t="shared" si="441"/>
        <v>0</v>
      </c>
      <c r="I439" s="1109">
        <f t="shared" si="441"/>
        <v>0</v>
      </c>
      <c r="J439" s="1200">
        <f t="shared" si="441"/>
        <v>0</v>
      </c>
      <c r="K439" s="1200">
        <f t="shared" si="441"/>
        <v>0</v>
      </c>
      <c r="L439" s="1109">
        <f t="shared" si="441"/>
        <v>0</v>
      </c>
      <c r="M439" s="1109">
        <f t="shared" si="441"/>
        <v>0</v>
      </c>
      <c r="N439" s="1109">
        <f t="shared" si="441"/>
        <v>0</v>
      </c>
      <c r="O439" s="1109">
        <f t="shared" si="441"/>
        <v>0</v>
      </c>
      <c r="P439" s="1109">
        <f t="shared" si="441"/>
        <v>0</v>
      </c>
      <c r="Q439" s="1200">
        <f t="shared" si="441"/>
        <v>0</v>
      </c>
      <c r="R439" s="1200">
        <f t="shared" si="441"/>
        <v>0</v>
      </c>
      <c r="S439" s="1109">
        <f t="shared" si="441"/>
        <v>0</v>
      </c>
      <c r="T439" s="1109">
        <f t="shared" si="441"/>
        <v>0</v>
      </c>
      <c r="U439" s="1109">
        <f t="shared" si="441"/>
        <v>0</v>
      </c>
      <c r="V439" s="1109">
        <f t="shared" si="441"/>
        <v>0</v>
      </c>
      <c r="W439" s="1109">
        <f t="shared" si="441"/>
        <v>0</v>
      </c>
      <c r="X439" s="1200">
        <f t="shared" si="441"/>
        <v>0</v>
      </c>
      <c r="Y439" s="1200">
        <f t="shared" si="441"/>
        <v>0</v>
      </c>
      <c r="Z439" s="1109">
        <f t="shared" si="441"/>
        <v>0</v>
      </c>
      <c r="AA439" s="1109">
        <f t="shared" si="441"/>
        <v>0</v>
      </c>
      <c r="AB439" s="1109">
        <f t="shared" si="441"/>
        <v>0</v>
      </c>
      <c r="AC439" s="1109">
        <f t="shared" si="441"/>
        <v>0</v>
      </c>
      <c r="AD439" s="1109">
        <f t="shared" si="441"/>
        <v>0</v>
      </c>
      <c r="AE439" s="1200">
        <f t="shared" si="441"/>
        <v>0</v>
      </c>
      <c r="AF439" s="1200">
        <f t="shared" si="441"/>
        <v>0</v>
      </c>
      <c r="AG439" s="1109">
        <f t="shared" si="441"/>
        <v>0</v>
      </c>
      <c r="AH439" s="1109">
        <f t="shared" si="441"/>
        <v>0</v>
      </c>
      <c r="AI439" s="1109">
        <f t="shared" si="441"/>
        <v>0</v>
      </c>
      <c r="AJ439" s="399"/>
      <c r="AK439" s="1027">
        <f t="shared" si="416"/>
        <v>0</v>
      </c>
      <c r="AL439" s="421"/>
      <c r="AM439" s="1043">
        <f t="shared" si="417"/>
        <v>0</v>
      </c>
      <c r="AN439" s="894"/>
      <c r="AO439" s="625"/>
      <c r="AP439" s="32"/>
      <c r="AQ439" s="33"/>
      <c r="AR439" s="33"/>
      <c r="AS439" s="33"/>
      <c r="AT439" s="33"/>
      <c r="AU439" s="33"/>
      <c r="AV439" s="34"/>
    </row>
    <row r="440" spans="1:48" ht="21" hidden="1" thickTop="1">
      <c r="A440" s="442" t="s">
        <v>602</v>
      </c>
      <c r="B440" s="411" t="s">
        <v>665</v>
      </c>
      <c r="C440" s="518" t="str">
        <f>Table37[[#This Row],[M/C No.]]</f>
        <v>R22(50ton)</v>
      </c>
      <c r="D440" s="28" t="s">
        <v>82</v>
      </c>
      <c r="E440" s="1111"/>
      <c r="F440" s="1111"/>
      <c r="G440" s="1201"/>
      <c r="H440" s="1111"/>
      <c r="I440" s="1111"/>
      <c r="J440" s="1201"/>
      <c r="K440" s="1201"/>
      <c r="L440" s="1111"/>
      <c r="M440" s="1111"/>
      <c r="N440" s="1111"/>
      <c r="O440" s="1111"/>
      <c r="P440" s="1111"/>
      <c r="Q440" s="1201"/>
      <c r="R440" s="1201"/>
      <c r="S440" s="1111"/>
      <c r="T440" s="1111"/>
      <c r="U440" s="1111"/>
      <c r="V440" s="1111"/>
      <c r="W440" s="1111"/>
      <c r="X440" s="1201"/>
      <c r="Y440" s="1201"/>
      <c r="Z440" s="1111"/>
      <c r="AA440" s="1111"/>
      <c r="AB440" s="1111"/>
      <c r="AC440" s="1111"/>
      <c r="AD440" s="1111"/>
      <c r="AE440" s="1201"/>
      <c r="AF440" s="1201"/>
      <c r="AG440" s="1111"/>
      <c r="AH440" s="1111"/>
      <c r="AI440" s="1111"/>
      <c r="AJ440" s="375">
        <f>SUM(E440:AI440)</f>
        <v>0</v>
      </c>
      <c r="AK440" s="1047">
        <f t="shared" si="416"/>
        <v>0</v>
      </c>
      <c r="AL440" s="422">
        <f>+AJ440*AN440</f>
        <v>0</v>
      </c>
      <c r="AM440" s="1046">
        <f t="shared" si="417"/>
        <v>0</v>
      </c>
      <c r="AN440" s="402">
        <v>6.8677200000000003</v>
      </c>
      <c r="AO440" s="622">
        <f>Table37[[#This Row],[Total]]*B444/1000</f>
        <v>0</v>
      </c>
      <c r="AP440" s="32" t="s">
        <v>487</v>
      </c>
      <c r="AQ440" s="33" t="s">
        <v>84</v>
      </c>
      <c r="AR440" s="33" t="s">
        <v>85</v>
      </c>
      <c r="AS440" s="33" t="s">
        <v>86</v>
      </c>
      <c r="AT440" s="33" t="s">
        <v>87</v>
      </c>
      <c r="AU440" s="33" t="s">
        <v>88</v>
      </c>
      <c r="AV440" s="34" t="s">
        <v>68</v>
      </c>
    </row>
    <row r="441" spans="1:48" ht="20.25" hidden="1">
      <c r="A441" s="441"/>
      <c r="B441" s="393" t="s">
        <v>462</v>
      </c>
      <c r="C441" s="52" t="s">
        <v>95</v>
      </c>
      <c r="D441" s="37" t="s">
        <v>90</v>
      </c>
      <c r="E441" s="1373">
        <f>IF(E440="",0,+E440/E447)</f>
        <v>0</v>
      </c>
      <c r="F441" s="1096">
        <f t="shared" ref="F441:AI441" si="442">IF(F440="",0, E441+F440/F447)</f>
        <v>0</v>
      </c>
      <c r="G441" s="1207">
        <f t="shared" si="442"/>
        <v>0</v>
      </c>
      <c r="H441" s="1096">
        <f t="shared" si="442"/>
        <v>0</v>
      </c>
      <c r="I441" s="1096">
        <f t="shared" si="442"/>
        <v>0</v>
      </c>
      <c r="J441" s="1207">
        <f t="shared" si="442"/>
        <v>0</v>
      </c>
      <c r="K441" s="1207">
        <f t="shared" si="442"/>
        <v>0</v>
      </c>
      <c r="L441" s="1096">
        <f t="shared" si="442"/>
        <v>0</v>
      </c>
      <c r="M441" s="1096">
        <f t="shared" si="442"/>
        <v>0</v>
      </c>
      <c r="N441" s="1096">
        <f t="shared" si="442"/>
        <v>0</v>
      </c>
      <c r="O441" s="1096">
        <f t="shared" si="442"/>
        <v>0</v>
      </c>
      <c r="P441" s="1096">
        <f t="shared" si="442"/>
        <v>0</v>
      </c>
      <c r="Q441" s="1207">
        <f t="shared" si="442"/>
        <v>0</v>
      </c>
      <c r="R441" s="1207">
        <f t="shared" si="442"/>
        <v>0</v>
      </c>
      <c r="S441" s="1096">
        <f t="shared" si="442"/>
        <v>0</v>
      </c>
      <c r="T441" s="1096">
        <f t="shared" si="442"/>
        <v>0</v>
      </c>
      <c r="U441" s="1096">
        <f t="shared" si="442"/>
        <v>0</v>
      </c>
      <c r="V441" s="1096">
        <f t="shared" si="442"/>
        <v>0</v>
      </c>
      <c r="W441" s="1096">
        <f t="shared" si="442"/>
        <v>0</v>
      </c>
      <c r="X441" s="1207">
        <f t="shared" si="442"/>
        <v>0</v>
      </c>
      <c r="Y441" s="1207">
        <f t="shared" si="442"/>
        <v>0</v>
      </c>
      <c r="Z441" s="1096">
        <f t="shared" si="442"/>
        <v>0</v>
      </c>
      <c r="AA441" s="1096">
        <f t="shared" si="442"/>
        <v>0</v>
      </c>
      <c r="AB441" s="1096">
        <f t="shared" si="442"/>
        <v>0</v>
      </c>
      <c r="AC441" s="1096">
        <f t="shared" si="442"/>
        <v>0</v>
      </c>
      <c r="AD441" s="1096">
        <f>IF(AD440="",0, AC441+AD440/AD446)</f>
        <v>0</v>
      </c>
      <c r="AE441" s="1207">
        <f t="shared" si="442"/>
        <v>0</v>
      </c>
      <c r="AF441" s="1207">
        <f t="shared" si="442"/>
        <v>0</v>
      </c>
      <c r="AG441" s="1096">
        <f t="shared" si="442"/>
        <v>0</v>
      </c>
      <c r="AH441" s="1096">
        <f t="shared" si="442"/>
        <v>0</v>
      </c>
      <c r="AI441" s="1096">
        <f t="shared" si="442"/>
        <v>0</v>
      </c>
      <c r="AJ441" s="375"/>
      <c r="AK441" s="1023">
        <f t="shared" si="416"/>
        <v>0</v>
      </c>
      <c r="AL441" s="423"/>
      <c r="AM441" s="1040">
        <f t="shared" si="417"/>
        <v>0</v>
      </c>
      <c r="AN441" s="382"/>
      <c r="AO441" s="675"/>
      <c r="AP441" s="39" t="s">
        <v>91</v>
      </c>
      <c r="AQ441" s="40">
        <f>SUM(E440:I440)</f>
        <v>0</v>
      </c>
      <c r="AR441" s="41">
        <f>SUM(J440:P440)</f>
        <v>0</v>
      </c>
      <c r="AS441" s="41">
        <f>SUM(Q440:W440)</f>
        <v>0</v>
      </c>
      <c r="AT441" s="41">
        <f>SUM(X440:AD440)</f>
        <v>0</v>
      </c>
      <c r="AU441" s="41">
        <f>SUM(AE440:AI440)</f>
        <v>0</v>
      </c>
      <c r="AV441" s="34">
        <f t="shared" ref="AV441:AV446" si="443">SUM(AQ441:AU441)</f>
        <v>0</v>
      </c>
    </row>
    <row r="442" spans="1:48" ht="20.25" hidden="1">
      <c r="A442" s="441"/>
      <c r="B442" s="393" t="s">
        <v>246</v>
      </c>
      <c r="C442" s="379">
        <v>60000</v>
      </c>
      <c r="D442" s="43" t="s">
        <v>93</v>
      </c>
      <c r="E442" s="1325"/>
      <c r="F442" s="1089"/>
      <c r="G442" s="44"/>
      <c r="H442" s="1089"/>
      <c r="I442" s="1089"/>
      <c r="J442" s="44"/>
      <c r="K442" s="44"/>
      <c r="L442" s="1089"/>
      <c r="M442" s="1089"/>
      <c r="N442" s="1089"/>
      <c r="O442" s="1089"/>
      <c r="P442" s="1089"/>
      <c r="Q442" s="44"/>
      <c r="R442" s="44"/>
      <c r="S442" s="1089"/>
      <c r="T442" s="1089"/>
      <c r="U442" s="1089"/>
      <c r="V442" s="1089"/>
      <c r="W442" s="1089"/>
      <c r="X442" s="44"/>
      <c r="Y442" s="44"/>
      <c r="Z442" s="1089"/>
      <c r="AA442" s="1089"/>
      <c r="AB442" s="1089"/>
      <c r="AC442" s="1089"/>
      <c r="AD442" s="1089"/>
      <c r="AE442" s="44"/>
      <c r="AF442" s="44"/>
      <c r="AG442" s="1089"/>
      <c r="AH442" s="1089"/>
      <c r="AI442" s="1089"/>
      <c r="AJ442" s="380">
        <f>SUM(E442:AI442)</f>
        <v>0</v>
      </c>
      <c r="AK442" s="1024">
        <f t="shared" si="416"/>
        <v>0</v>
      </c>
      <c r="AL442" s="424">
        <f>+AJ442*AN440</f>
        <v>0</v>
      </c>
      <c r="AM442" s="1041">
        <f t="shared" si="417"/>
        <v>0</v>
      </c>
      <c r="AN442" s="382"/>
      <c r="AO442" s="632">
        <f>(AJ442+AJ444+AJ445+AJ446)*B444/1000</f>
        <v>0</v>
      </c>
      <c r="AP442" s="47" t="s">
        <v>94</v>
      </c>
      <c r="AQ442" s="48">
        <f>SUM(E442:I442)</f>
        <v>0</v>
      </c>
      <c r="AR442" s="49">
        <f>SUM(J442:P442)</f>
        <v>0</v>
      </c>
      <c r="AS442" s="49">
        <f>SUM(Q442:W442)</f>
        <v>0</v>
      </c>
      <c r="AT442" s="49">
        <f>SUM(X442:AD442)</f>
        <v>0</v>
      </c>
      <c r="AU442" s="49">
        <f>SUM(AE442:AI442)</f>
        <v>0</v>
      </c>
      <c r="AV442" s="50">
        <f t="shared" si="443"/>
        <v>0</v>
      </c>
    </row>
    <row r="443" spans="1:48" ht="20.25" hidden="1">
      <c r="A443" s="441"/>
      <c r="B443" s="767" t="s">
        <v>247</v>
      </c>
      <c r="C443" s="89" t="s">
        <v>108</v>
      </c>
      <c r="D443" s="53" t="s">
        <v>96</v>
      </c>
      <c r="E443" s="1327">
        <f t="shared" ref="E443" si="444">+E442-E440</f>
        <v>0</v>
      </c>
      <c r="F443" s="1097">
        <f>+F442-F440</f>
        <v>0</v>
      </c>
      <c r="G443" s="1205">
        <f t="shared" ref="G443:P443" si="445">+G442-G440</f>
        <v>0</v>
      </c>
      <c r="H443" s="1097">
        <f t="shared" si="445"/>
        <v>0</v>
      </c>
      <c r="I443" s="1097">
        <f t="shared" si="445"/>
        <v>0</v>
      </c>
      <c r="J443" s="1205">
        <f t="shared" si="445"/>
        <v>0</v>
      </c>
      <c r="K443" s="1205">
        <f t="shared" si="445"/>
        <v>0</v>
      </c>
      <c r="L443" s="1097">
        <f t="shared" si="445"/>
        <v>0</v>
      </c>
      <c r="M443" s="1097">
        <f t="shared" si="445"/>
        <v>0</v>
      </c>
      <c r="N443" s="1097">
        <f t="shared" si="445"/>
        <v>0</v>
      </c>
      <c r="O443" s="1097">
        <f t="shared" si="445"/>
        <v>0</v>
      </c>
      <c r="P443" s="1097">
        <f t="shared" si="445"/>
        <v>0</v>
      </c>
      <c r="Q443" s="1205">
        <f>+Q442-Q440</f>
        <v>0</v>
      </c>
      <c r="R443" s="1205">
        <f t="shared" ref="R443:AI443" si="446">+R442-R440</f>
        <v>0</v>
      </c>
      <c r="S443" s="1097">
        <f t="shared" si="446"/>
        <v>0</v>
      </c>
      <c r="T443" s="1097">
        <f t="shared" si="446"/>
        <v>0</v>
      </c>
      <c r="U443" s="1097">
        <f t="shared" si="446"/>
        <v>0</v>
      </c>
      <c r="V443" s="1097">
        <f t="shared" si="446"/>
        <v>0</v>
      </c>
      <c r="W443" s="1097">
        <f t="shared" si="446"/>
        <v>0</v>
      </c>
      <c r="X443" s="1205">
        <f t="shared" si="446"/>
        <v>0</v>
      </c>
      <c r="Y443" s="1205">
        <f t="shared" si="446"/>
        <v>0</v>
      </c>
      <c r="Z443" s="1097">
        <f t="shared" si="446"/>
        <v>0</v>
      </c>
      <c r="AA443" s="1097">
        <f t="shared" si="446"/>
        <v>0</v>
      </c>
      <c r="AB443" s="1097">
        <f t="shared" si="446"/>
        <v>0</v>
      </c>
      <c r="AC443" s="1097">
        <f t="shared" si="446"/>
        <v>0</v>
      </c>
      <c r="AD443" s="1097">
        <f t="shared" si="446"/>
        <v>0</v>
      </c>
      <c r="AE443" s="1205">
        <f t="shared" si="446"/>
        <v>0</v>
      </c>
      <c r="AF443" s="1205">
        <f t="shared" si="446"/>
        <v>0</v>
      </c>
      <c r="AG443" s="1097">
        <f t="shared" si="446"/>
        <v>0</v>
      </c>
      <c r="AH443" s="1097">
        <f t="shared" si="446"/>
        <v>0</v>
      </c>
      <c r="AI443" s="1097">
        <f t="shared" si="446"/>
        <v>0</v>
      </c>
      <c r="AJ443" s="381">
        <f>+AJ442-AJ440</f>
        <v>0</v>
      </c>
      <c r="AK443" s="1024">
        <f t="shared" si="416"/>
        <v>0</v>
      </c>
      <c r="AL443" s="425">
        <f>+AJ443*AN440</f>
        <v>0</v>
      </c>
      <c r="AM443" s="1041">
        <f t="shared" si="417"/>
        <v>0</v>
      </c>
      <c r="AN443" s="382" t="s">
        <v>97</v>
      </c>
      <c r="AO443" s="622"/>
      <c r="AP443" s="39" t="s">
        <v>98</v>
      </c>
      <c r="AQ443" s="56">
        <f>AQ442-AQ441</f>
        <v>0</v>
      </c>
      <c r="AR443" s="70">
        <f>AR442-AR441</f>
        <v>0</v>
      </c>
      <c r="AS443" s="70">
        <f>AS442-AS441</f>
        <v>0</v>
      </c>
      <c r="AT443" s="70">
        <f>AT442-AT441</f>
        <v>0</v>
      </c>
      <c r="AU443" s="70">
        <f>AU442-AU441</f>
        <v>0</v>
      </c>
      <c r="AV443" s="57">
        <f t="shared" si="443"/>
        <v>0</v>
      </c>
    </row>
    <row r="444" spans="1:48" ht="20.25" hidden="1">
      <c r="A444" s="441"/>
      <c r="B444" s="767">
        <v>2.6150000000000002</v>
      </c>
      <c r="C444" s="383">
        <f>+C442*0.8</f>
        <v>48000</v>
      </c>
      <c r="D444" s="61" t="s">
        <v>101</v>
      </c>
      <c r="E444" s="1367"/>
      <c r="F444" s="1099"/>
      <c r="G444" s="1208"/>
      <c r="H444" s="1099"/>
      <c r="I444" s="1099"/>
      <c r="J444" s="1208"/>
      <c r="K444" s="1208"/>
      <c r="L444" s="1099"/>
      <c r="M444" s="1099"/>
      <c r="N444" s="1099"/>
      <c r="O444" s="1099"/>
      <c r="P444" s="1099"/>
      <c r="Q444" s="1208"/>
      <c r="R444" s="1208"/>
      <c r="S444" s="1099"/>
      <c r="T444" s="1099"/>
      <c r="U444" s="1099"/>
      <c r="V444" s="1099"/>
      <c r="W444" s="1099"/>
      <c r="X444" s="1208"/>
      <c r="Y444" s="1208"/>
      <c r="Z444" s="1099"/>
      <c r="AA444" s="1099"/>
      <c r="AB444" s="1099"/>
      <c r="AC444" s="1099"/>
      <c r="AD444" s="1099"/>
      <c r="AE444" s="1208"/>
      <c r="AF444" s="1208"/>
      <c r="AG444" s="1099"/>
      <c r="AH444" s="1099"/>
      <c r="AI444" s="1099"/>
      <c r="AJ444" s="384">
        <f>SUM(E444:AI444)</f>
        <v>0</v>
      </c>
      <c r="AK444" s="1024">
        <f t="shared" si="416"/>
        <v>0</v>
      </c>
      <c r="AL444" s="420">
        <f>+AJ444*AN440</f>
        <v>0</v>
      </c>
      <c r="AM444" s="1040">
        <f t="shared" si="417"/>
        <v>0</v>
      </c>
      <c r="AN444" s="404" t="e">
        <f>+AJ444/AJ442*100</f>
        <v>#DIV/0!</v>
      </c>
      <c r="AO444" s="635" t="e">
        <f>AO442/AO440</f>
        <v>#DIV/0!</v>
      </c>
      <c r="AP444" s="39" t="s">
        <v>102</v>
      </c>
      <c r="AQ444" s="56">
        <f>SUM(E444:I444)</f>
        <v>0</v>
      </c>
      <c r="AR444" s="70">
        <f>SUM(J444:P444)</f>
        <v>0</v>
      </c>
      <c r="AS444" s="70">
        <f>SUM(Q444:W444)</f>
        <v>0</v>
      </c>
      <c r="AT444" s="70">
        <f>SUM(X444:AD444)</f>
        <v>0</v>
      </c>
      <c r="AU444" s="70">
        <f>SUM(AE444:AI444)</f>
        <v>0</v>
      </c>
      <c r="AV444" s="57">
        <f t="shared" si="443"/>
        <v>0</v>
      </c>
    </row>
    <row r="445" spans="1:48" ht="20.25" hidden="1">
      <c r="A445" s="441"/>
      <c r="B445" s="65"/>
      <c r="C445" s="387"/>
      <c r="D445" s="67" t="s">
        <v>103</v>
      </c>
      <c r="E445" s="1113"/>
      <c r="F445" s="1101"/>
      <c r="G445" s="1209"/>
      <c r="H445" s="1101"/>
      <c r="I445" s="1101"/>
      <c r="J445" s="1209"/>
      <c r="K445" s="1209"/>
      <c r="L445" s="1101"/>
      <c r="M445" s="1101"/>
      <c r="N445" s="1101"/>
      <c r="O445" s="1101"/>
      <c r="P445" s="1101"/>
      <c r="Q445" s="1209"/>
      <c r="R445" s="1209"/>
      <c r="S445" s="1101"/>
      <c r="T445" s="1101"/>
      <c r="U445" s="1101"/>
      <c r="V445" s="1101"/>
      <c r="W445" s="1101"/>
      <c r="X445" s="1209"/>
      <c r="Y445" s="1209"/>
      <c r="Z445" s="1101"/>
      <c r="AA445" s="1101"/>
      <c r="AB445" s="1101"/>
      <c r="AC445" s="1101"/>
      <c r="AD445" s="1101"/>
      <c r="AE445" s="1209"/>
      <c r="AF445" s="1209"/>
      <c r="AG445" s="1101"/>
      <c r="AH445" s="1101"/>
      <c r="AI445" s="1101"/>
      <c r="AJ445" s="386">
        <f>SUM(E445:AI445)</f>
        <v>0</v>
      </c>
      <c r="AK445" s="1024">
        <f t="shared" si="416"/>
        <v>0</v>
      </c>
      <c r="AL445" s="426">
        <f>+AJ445*AN440</f>
        <v>0</v>
      </c>
      <c r="AM445" s="1040">
        <f t="shared" si="417"/>
        <v>0</v>
      </c>
      <c r="AN445" s="382"/>
      <c r="AO445" s="622"/>
      <c r="AP445" s="39" t="s">
        <v>19</v>
      </c>
      <c r="AQ445" s="56">
        <f>AQ444*AN440</f>
        <v>0</v>
      </c>
      <c r="AR445" s="56">
        <f>AR444*AN440</f>
        <v>0</v>
      </c>
      <c r="AS445" s="56">
        <f>AS444*AN440</f>
        <v>0</v>
      </c>
      <c r="AT445" s="56">
        <f>AT444*AN440</f>
        <v>0</v>
      </c>
      <c r="AU445" s="56">
        <f>AU444*AN440</f>
        <v>0</v>
      </c>
      <c r="AV445" s="57">
        <f t="shared" si="443"/>
        <v>0</v>
      </c>
    </row>
    <row r="446" spans="1:48" ht="20.25" hidden="1">
      <c r="A446" s="441"/>
      <c r="B446" s="65"/>
      <c r="C446" s="387" t="s">
        <v>435</v>
      </c>
      <c r="D446" s="73" t="s">
        <v>105</v>
      </c>
      <c r="E446" s="1115"/>
      <c r="F446" s="1103"/>
      <c r="G446" s="1210"/>
      <c r="H446" s="1103"/>
      <c r="I446" s="1103"/>
      <c r="J446" s="1210"/>
      <c r="K446" s="1210"/>
      <c r="L446" s="1103"/>
      <c r="M446" s="1103"/>
      <c r="N446" s="1103"/>
      <c r="O446" s="1103"/>
      <c r="P446" s="1103"/>
      <c r="Q446" s="1210"/>
      <c r="R446" s="1210"/>
      <c r="S446" s="1103"/>
      <c r="T446" s="1103"/>
      <c r="U446" s="1103"/>
      <c r="V446" s="1103"/>
      <c r="W446" s="1103"/>
      <c r="X446" s="1210"/>
      <c r="Y446" s="1210"/>
      <c r="Z446" s="1103"/>
      <c r="AA446" s="1103"/>
      <c r="AB446" s="1103"/>
      <c r="AC446" s="1103"/>
      <c r="AD446" s="1103"/>
      <c r="AE446" s="1210"/>
      <c r="AF446" s="1210"/>
      <c r="AG446" s="1103"/>
      <c r="AH446" s="1103"/>
      <c r="AI446" s="1103"/>
      <c r="AJ446" s="388">
        <f>SUM(E446:AI446)</f>
        <v>0</v>
      </c>
      <c r="AK446" s="1024">
        <f t="shared" si="416"/>
        <v>0</v>
      </c>
      <c r="AL446" s="427">
        <f>+AJ446*AN440</f>
        <v>0</v>
      </c>
      <c r="AM446" s="1040">
        <f t="shared" si="417"/>
        <v>0</v>
      </c>
      <c r="AN446" s="382"/>
      <c r="AO446" s="622"/>
      <c r="AP446" s="47" t="s">
        <v>106</v>
      </c>
      <c r="AQ446" s="48">
        <f>AQ442*AN440</f>
        <v>0</v>
      </c>
      <c r="AR446" s="48">
        <f>AR442*AN440</f>
        <v>0</v>
      </c>
      <c r="AS446" s="48">
        <f>AS442*AN440</f>
        <v>0</v>
      </c>
      <c r="AT446" s="48">
        <f>AT442*AN440</f>
        <v>0</v>
      </c>
      <c r="AU446" s="48">
        <f>AU442*AN440</f>
        <v>0</v>
      </c>
      <c r="AV446" s="50">
        <f t="shared" si="443"/>
        <v>0</v>
      </c>
    </row>
    <row r="447" spans="1:48" ht="20.25" hidden="1">
      <c r="A447" s="442"/>
      <c r="B447" s="390"/>
      <c r="C447" s="379">
        <v>50000</v>
      </c>
      <c r="D447" s="78" t="s">
        <v>107</v>
      </c>
      <c r="E447" s="1327">
        <v>4</v>
      </c>
      <c r="F447" s="1097">
        <v>4</v>
      </c>
      <c r="G447" s="1205">
        <v>4</v>
      </c>
      <c r="H447" s="1097">
        <v>4</v>
      </c>
      <c r="I447" s="1097">
        <v>4</v>
      </c>
      <c r="J447" s="1205">
        <v>4</v>
      </c>
      <c r="K447" s="1205">
        <v>4</v>
      </c>
      <c r="L447" s="1097">
        <v>4</v>
      </c>
      <c r="M447" s="1097">
        <v>4</v>
      </c>
      <c r="N447" s="1097">
        <v>4</v>
      </c>
      <c r="O447" s="1097">
        <v>4</v>
      </c>
      <c r="P447" s="1097">
        <v>4</v>
      </c>
      <c r="Q447" s="1205">
        <v>4</v>
      </c>
      <c r="R447" s="1205">
        <v>4</v>
      </c>
      <c r="S447" s="1097">
        <v>4</v>
      </c>
      <c r="T447" s="1097">
        <v>4</v>
      </c>
      <c r="U447" s="1097">
        <v>4</v>
      </c>
      <c r="V447" s="1097">
        <v>4</v>
      </c>
      <c r="W447" s="1097">
        <v>4</v>
      </c>
      <c r="X447" s="1205">
        <v>4</v>
      </c>
      <c r="Y447" s="1205">
        <v>4</v>
      </c>
      <c r="Z447" s="1097">
        <v>4</v>
      </c>
      <c r="AA447" s="1097">
        <v>4</v>
      </c>
      <c r="AB447" s="1097">
        <v>4</v>
      </c>
      <c r="AC447" s="1097">
        <v>4</v>
      </c>
      <c r="AD447" s="1097">
        <v>4</v>
      </c>
      <c r="AE447" s="1205">
        <v>4</v>
      </c>
      <c r="AF447" s="1205">
        <v>4</v>
      </c>
      <c r="AG447" s="1097">
        <v>4</v>
      </c>
      <c r="AH447" s="1097">
        <v>4</v>
      </c>
      <c r="AI447" s="1097">
        <v>4</v>
      </c>
      <c r="AJ447" s="381"/>
      <c r="AK447" s="1024">
        <f t="shared" si="416"/>
        <v>0</v>
      </c>
      <c r="AL447" s="425"/>
      <c r="AM447" s="1041">
        <f t="shared" si="417"/>
        <v>0</v>
      </c>
      <c r="AN447" s="382"/>
      <c r="AO447" s="622"/>
      <c r="AP447" s="391"/>
      <c r="AQ447" s="391"/>
      <c r="AR447" s="4"/>
      <c r="AS447" s="4"/>
      <c r="AT447" s="392"/>
      <c r="AU447" s="4"/>
      <c r="AV447" s="4"/>
    </row>
    <row r="448" spans="1:48" ht="20.25" hidden="1">
      <c r="A448" s="442"/>
      <c r="B448" s="334" t="s">
        <v>30</v>
      </c>
      <c r="C448" s="89" t="s">
        <v>108</v>
      </c>
      <c r="D448" s="81" t="s">
        <v>109</v>
      </c>
      <c r="E448" s="1374">
        <f>SUM(E442+E444+E445+E446)/E447</f>
        <v>0</v>
      </c>
      <c r="F448" s="1104">
        <f t="shared" ref="F448:AI448" si="447">SUM(F442+F444+F445+F446)/F447</f>
        <v>0</v>
      </c>
      <c r="G448" s="1211">
        <f t="shared" si="447"/>
        <v>0</v>
      </c>
      <c r="H448" s="1104">
        <f t="shared" si="447"/>
        <v>0</v>
      </c>
      <c r="I448" s="1104">
        <f t="shared" si="447"/>
        <v>0</v>
      </c>
      <c r="J448" s="1211">
        <f t="shared" si="447"/>
        <v>0</v>
      </c>
      <c r="K448" s="1211">
        <f>SUM(K442+K444+K445+K446)/K447</f>
        <v>0</v>
      </c>
      <c r="L448" s="1104">
        <f t="shared" si="447"/>
        <v>0</v>
      </c>
      <c r="M448" s="1104">
        <f t="shared" si="447"/>
        <v>0</v>
      </c>
      <c r="N448" s="1104">
        <f t="shared" si="447"/>
        <v>0</v>
      </c>
      <c r="O448" s="1104">
        <f t="shared" si="447"/>
        <v>0</v>
      </c>
      <c r="P448" s="1104">
        <f t="shared" si="447"/>
        <v>0</v>
      </c>
      <c r="Q448" s="1211">
        <f t="shared" si="447"/>
        <v>0</v>
      </c>
      <c r="R448" s="1211">
        <f t="shared" si="447"/>
        <v>0</v>
      </c>
      <c r="S448" s="1104">
        <f t="shared" si="447"/>
        <v>0</v>
      </c>
      <c r="T448" s="1104">
        <f t="shared" si="447"/>
        <v>0</v>
      </c>
      <c r="U448" s="1104">
        <f t="shared" si="447"/>
        <v>0</v>
      </c>
      <c r="V448" s="1104">
        <f t="shared" si="447"/>
        <v>0</v>
      </c>
      <c r="W448" s="1104">
        <f t="shared" si="447"/>
        <v>0</v>
      </c>
      <c r="X448" s="1211">
        <f t="shared" si="447"/>
        <v>0</v>
      </c>
      <c r="Y448" s="1211">
        <f t="shared" si="447"/>
        <v>0</v>
      </c>
      <c r="Z448" s="1104">
        <f t="shared" si="447"/>
        <v>0</v>
      </c>
      <c r="AA448" s="1104">
        <f t="shared" si="447"/>
        <v>0</v>
      </c>
      <c r="AB448" s="1104">
        <f t="shared" si="447"/>
        <v>0</v>
      </c>
      <c r="AC448" s="1104">
        <f t="shared" si="447"/>
        <v>0</v>
      </c>
      <c r="AD448" s="1104">
        <f t="shared" si="447"/>
        <v>0</v>
      </c>
      <c r="AE448" s="1211">
        <f t="shared" si="447"/>
        <v>0</v>
      </c>
      <c r="AF448" s="1211">
        <f t="shared" si="447"/>
        <v>0</v>
      </c>
      <c r="AG448" s="1104">
        <f t="shared" si="447"/>
        <v>0</v>
      </c>
      <c r="AH448" s="1104">
        <f t="shared" si="447"/>
        <v>0</v>
      </c>
      <c r="AI448" s="1104">
        <f t="shared" si="447"/>
        <v>0</v>
      </c>
      <c r="AJ448" s="380">
        <f>SUM(E448:AI448)</f>
        <v>0</v>
      </c>
      <c r="AK448" s="1025">
        <f t="shared" si="416"/>
        <v>0</v>
      </c>
      <c r="AL448" s="419"/>
      <c r="AM448" s="1040">
        <f t="shared" si="417"/>
        <v>0</v>
      </c>
      <c r="AN448" s="382"/>
      <c r="AO448" s="622"/>
      <c r="AP448" s="391"/>
      <c r="AQ448" s="391"/>
      <c r="AR448" s="4"/>
      <c r="AS448" s="4"/>
      <c r="AT448" s="392"/>
      <c r="AU448" s="4"/>
      <c r="AV448" s="4"/>
    </row>
    <row r="449" spans="1:48" ht="20.25" hidden="1">
      <c r="A449" s="441"/>
      <c r="B449" s="390"/>
      <c r="C449" s="84">
        <f>+C447*0.8</f>
        <v>40000</v>
      </c>
      <c r="D449" s="85" t="s">
        <v>110</v>
      </c>
      <c r="E449" s="1375"/>
      <c r="F449" s="1172"/>
      <c r="G449" s="1263"/>
      <c r="H449" s="1172"/>
      <c r="I449" s="1126"/>
      <c r="J449" s="1281"/>
      <c r="K449" s="1263"/>
      <c r="L449" s="1172"/>
      <c r="M449" s="1172"/>
      <c r="N449" s="1174"/>
      <c r="O449" s="1173"/>
      <c r="P449" s="1173"/>
      <c r="Q449" s="1281"/>
      <c r="R449" s="1281"/>
      <c r="S449" s="1173"/>
      <c r="T449" s="1107"/>
      <c r="U449" s="1173"/>
      <c r="V449" s="1173"/>
      <c r="W449" s="1173"/>
      <c r="X449" s="1281"/>
      <c r="Y449" s="1281"/>
      <c r="Z449" s="1155"/>
      <c r="AA449" s="1173"/>
      <c r="AB449" s="1173"/>
      <c r="AC449" s="1173"/>
      <c r="AD449" s="1173"/>
      <c r="AE449" s="1281"/>
      <c r="AF449" s="1281"/>
      <c r="AG449" s="1173"/>
      <c r="AH449" s="1173"/>
      <c r="AI449" s="1173"/>
      <c r="AJ449" s="394"/>
      <c r="AK449" s="1025">
        <f t="shared" si="416"/>
        <v>0</v>
      </c>
      <c r="AL449" s="419"/>
      <c r="AM449" s="1040">
        <f t="shared" si="417"/>
        <v>0</v>
      </c>
      <c r="AN449" s="382"/>
      <c r="AO449" s="622"/>
      <c r="AP449" s="391"/>
      <c r="AQ449" s="391"/>
      <c r="AR449" s="4"/>
      <c r="AS449" s="4"/>
      <c r="AT449" s="392"/>
      <c r="AU449" s="4"/>
      <c r="AV449" s="4"/>
    </row>
    <row r="450" spans="1:48" ht="20.25" hidden="1">
      <c r="A450" s="441"/>
      <c r="B450" s="390"/>
      <c r="C450" s="387"/>
      <c r="D450" s="88" t="s">
        <v>111</v>
      </c>
      <c r="E450" s="1157">
        <f>IF(E449="O/H",E448,0+E448)</f>
        <v>0</v>
      </c>
      <c r="F450" s="1157">
        <f t="shared" ref="F450:AI450" si="448">IF(F449="O/H",F448,0+F448)</f>
        <v>0</v>
      </c>
      <c r="G450" s="1264">
        <f t="shared" si="448"/>
        <v>0</v>
      </c>
      <c r="H450" s="1157">
        <f t="shared" si="448"/>
        <v>0</v>
      </c>
      <c r="I450" s="1157">
        <f t="shared" si="448"/>
        <v>0</v>
      </c>
      <c r="J450" s="1264">
        <f t="shared" si="448"/>
        <v>0</v>
      </c>
      <c r="K450" s="1264">
        <f t="shared" si="448"/>
        <v>0</v>
      </c>
      <c r="L450" s="1157">
        <f t="shared" si="448"/>
        <v>0</v>
      </c>
      <c r="M450" s="1157">
        <f t="shared" si="448"/>
        <v>0</v>
      </c>
      <c r="N450" s="1157">
        <f t="shared" si="448"/>
        <v>0</v>
      </c>
      <c r="O450" s="1157">
        <f t="shared" si="448"/>
        <v>0</v>
      </c>
      <c r="P450" s="1157">
        <f t="shared" si="448"/>
        <v>0</v>
      </c>
      <c r="Q450" s="1264">
        <f t="shared" si="448"/>
        <v>0</v>
      </c>
      <c r="R450" s="1264">
        <f t="shared" si="448"/>
        <v>0</v>
      </c>
      <c r="S450" s="1157">
        <f t="shared" si="448"/>
        <v>0</v>
      </c>
      <c r="T450" s="1157">
        <f t="shared" si="448"/>
        <v>0</v>
      </c>
      <c r="U450" s="1157">
        <f t="shared" si="448"/>
        <v>0</v>
      </c>
      <c r="V450" s="1157">
        <f t="shared" si="448"/>
        <v>0</v>
      </c>
      <c r="W450" s="1157">
        <f t="shared" si="448"/>
        <v>0</v>
      </c>
      <c r="X450" s="1264">
        <f t="shared" si="448"/>
        <v>0</v>
      </c>
      <c r="Y450" s="1264">
        <f t="shared" si="448"/>
        <v>0</v>
      </c>
      <c r="Z450" s="1157">
        <f t="shared" si="448"/>
        <v>0</v>
      </c>
      <c r="AA450" s="1157">
        <f t="shared" si="448"/>
        <v>0</v>
      </c>
      <c r="AB450" s="1157">
        <f t="shared" si="448"/>
        <v>0</v>
      </c>
      <c r="AC450" s="1157">
        <f t="shared" si="448"/>
        <v>0</v>
      </c>
      <c r="AD450" s="1157">
        <f t="shared" si="448"/>
        <v>0</v>
      </c>
      <c r="AE450" s="1264">
        <f t="shared" si="448"/>
        <v>0</v>
      </c>
      <c r="AF450" s="1264">
        <f t="shared" si="448"/>
        <v>0</v>
      </c>
      <c r="AG450" s="1157">
        <f t="shared" si="448"/>
        <v>0</v>
      </c>
      <c r="AH450" s="1157">
        <f t="shared" si="448"/>
        <v>0</v>
      </c>
      <c r="AI450" s="1157">
        <f t="shared" si="448"/>
        <v>0</v>
      </c>
      <c r="AJ450" s="394"/>
      <c r="AK450" s="1025">
        <f t="shared" si="416"/>
        <v>0</v>
      </c>
      <c r="AL450" s="419"/>
      <c r="AM450" s="1040">
        <f t="shared" si="417"/>
        <v>0</v>
      </c>
      <c r="AN450" s="382"/>
      <c r="AO450" s="622"/>
      <c r="AP450" s="391"/>
      <c r="AQ450" s="391"/>
    </row>
    <row r="451" spans="1:48" ht="20.25" hidden="1">
      <c r="A451" s="441"/>
      <c r="B451" s="59"/>
      <c r="C451" s="89"/>
      <c r="D451" s="395" t="s">
        <v>435</v>
      </c>
      <c r="E451" s="1376"/>
      <c r="F451" s="1107"/>
      <c r="G451" s="1228"/>
      <c r="H451" s="1176"/>
      <c r="I451" s="1107"/>
      <c r="J451" s="1228"/>
      <c r="K451" s="1273"/>
      <c r="L451" s="1107"/>
      <c r="M451" s="1107"/>
      <c r="N451" s="1177"/>
      <c r="O451" s="1107"/>
      <c r="P451" s="1177"/>
      <c r="Q451" s="1228"/>
      <c r="R451" s="1228"/>
      <c r="S451" s="1107"/>
      <c r="T451" s="1107"/>
      <c r="U451" s="1107"/>
      <c r="V451" s="1107"/>
      <c r="W451" s="1107"/>
      <c r="X451" s="1228"/>
      <c r="Y451" s="1228"/>
      <c r="Z451" s="1155"/>
      <c r="AA451" s="1173"/>
      <c r="AB451" s="1107"/>
      <c r="AC451" s="1107"/>
      <c r="AD451" s="1107"/>
      <c r="AE451" s="1228"/>
      <c r="AF451" s="1228"/>
      <c r="AG451" s="1107"/>
      <c r="AH451" s="1107"/>
      <c r="AI451" s="1104"/>
      <c r="AJ451" s="396"/>
      <c r="AK451" s="1024">
        <f t="shared" si="416"/>
        <v>0</v>
      </c>
      <c r="AL451" s="420"/>
      <c r="AM451" s="1040">
        <f t="shared" si="417"/>
        <v>0</v>
      </c>
      <c r="AN451" s="382"/>
      <c r="AO451" s="622"/>
      <c r="AP451" s="391"/>
      <c r="AQ451" s="391"/>
    </row>
    <row r="452" spans="1:48" s="23" customFormat="1" ht="20.25" hidden="1">
      <c r="A452" s="441"/>
      <c r="B452" s="59"/>
      <c r="C452" s="387" t="s">
        <v>104</v>
      </c>
      <c r="D452" s="88" t="s">
        <v>111</v>
      </c>
      <c r="E452" s="1157">
        <f>IF(E451="O/H",E448,0+E448)</f>
        <v>0</v>
      </c>
      <c r="F452" s="1157">
        <f t="shared" ref="F452:AI452" si="449">IF(F451="O/H",F448,0+F448)</f>
        <v>0</v>
      </c>
      <c r="G452" s="1264">
        <f t="shared" si="449"/>
        <v>0</v>
      </c>
      <c r="H452" s="1157">
        <f t="shared" si="449"/>
        <v>0</v>
      </c>
      <c r="I452" s="1157">
        <f t="shared" si="449"/>
        <v>0</v>
      </c>
      <c r="J452" s="1264">
        <f t="shared" si="449"/>
        <v>0</v>
      </c>
      <c r="K452" s="1264">
        <f t="shared" si="449"/>
        <v>0</v>
      </c>
      <c r="L452" s="1157">
        <f t="shared" si="449"/>
        <v>0</v>
      </c>
      <c r="M452" s="1157">
        <f t="shared" si="449"/>
        <v>0</v>
      </c>
      <c r="N452" s="1157">
        <f t="shared" si="449"/>
        <v>0</v>
      </c>
      <c r="O452" s="1157">
        <f t="shared" si="449"/>
        <v>0</v>
      </c>
      <c r="P452" s="1157">
        <f t="shared" si="449"/>
        <v>0</v>
      </c>
      <c r="Q452" s="1264">
        <f t="shared" si="449"/>
        <v>0</v>
      </c>
      <c r="R452" s="1264">
        <f t="shared" si="449"/>
        <v>0</v>
      </c>
      <c r="S452" s="1157">
        <f t="shared" si="449"/>
        <v>0</v>
      </c>
      <c r="T452" s="1157">
        <f t="shared" si="449"/>
        <v>0</v>
      </c>
      <c r="U452" s="1157">
        <f t="shared" si="449"/>
        <v>0</v>
      </c>
      <c r="V452" s="1157">
        <f t="shared" si="449"/>
        <v>0</v>
      </c>
      <c r="W452" s="1157">
        <f t="shared" si="449"/>
        <v>0</v>
      </c>
      <c r="X452" s="1264">
        <f t="shared" si="449"/>
        <v>0</v>
      </c>
      <c r="Y452" s="1264">
        <f t="shared" si="449"/>
        <v>0</v>
      </c>
      <c r="Z452" s="1157">
        <f t="shared" si="449"/>
        <v>0</v>
      </c>
      <c r="AA452" s="1157">
        <f t="shared" si="449"/>
        <v>0</v>
      </c>
      <c r="AB452" s="1157">
        <f t="shared" si="449"/>
        <v>0</v>
      </c>
      <c r="AC452" s="1157">
        <f t="shared" si="449"/>
        <v>0</v>
      </c>
      <c r="AD452" s="1157">
        <f t="shared" si="449"/>
        <v>0</v>
      </c>
      <c r="AE452" s="1264">
        <f t="shared" si="449"/>
        <v>0</v>
      </c>
      <c r="AF452" s="1264">
        <f t="shared" si="449"/>
        <v>0</v>
      </c>
      <c r="AG452" s="1157">
        <f t="shared" si="449"/>
        <v>0</v>
      </c>
      <c r="AH452" s="1157">
        <f t="shared" si="449"/>
        <v>0</v>
      </c>
      <c r="AI452" s="1157">
        <f t="shared" si="449"/>
        <v>0</v>
      </c>
      <c r="AJ452" s="396"/>
      <c r="AK452" s="1024">
        <f t="shared" si="416"/>
        <v>0</v>
      </c>
      <c r="AL452" s="420"/>
      <c r="AM452" s="1040">
        <f t="shared" si="417"/>
        <v>0</v>
      </c>
      <c r="AN452" s="382"/>
      <c r="AO452" s="622"/>
      <c r="AP452" s="285"/>
      <c r="AQ452" s="285"/>
      <c r="AR452" s="285"/>
      <c r="AS452" s="285"/>
      <c r="AT452" s="286"/>
      <c r="AU452" s="285"/>
      <c r="AV452" s="287"/>
    </row>
    <row r="453" spans="1:48" ht="15.75" hidden="1">
      <c r="A453" s="312"/>
      <c r="B453" s="312"/>
      <c r="C453" s="379">
        <v>150000</v>
      </c>
      <c r="D453" s="795" t="s">
        <v>112</v>
      </c>
      <c r="E453" s="1117" t="b">
        <f>IF(AND(ISNUMBER(E442)),336539+E448)</f>
        <v>0</v>
      </c>
      <c r="F453" s="1118" t="str">
        <f>IF(AND(ISNUMBER(F442)),E453+F448,"")</f>
        <v/>
      </c>
      <c r="G453" s="1216" t="str">
        <f>IF(AND(ISNUMBER(G442)),F453+G448,"")</f>
        <v/>
      </c>
      <c r="H453" s="1118" t="str">
        <f t="shared" ref="H453:AI453" si="450">IF(AND(ISNUMBER(H442)),G453+H448,"")</f>
        <v/>
      </c>
      <c r="I453" s="1118" t="str">
        <f t="shared" si="450"/>
        <v/>
      </c>
      <c r="J453" s="1216" t="str">
        <f t="shared" si="450"/>
        <v/>
      </c>
      <c r="K453" s="1216" t="str">
        <f t="shared" si="450"/>
        <v/>
      </c>
      <c r="L453" s="1118" t="str">
        <f t="shared" si="450"/>
        <v/>
      </c>
      <c r="M453" s="1118" t="str">
        <f t="shared" si="450"/>
        <v/>
      </c>
      <c r="N453" s="1118" t="str">
        <f t="shared" si="450"/>
        <v/>
      </c>
      <c r="O453" s="1118" t="str">
        <f t="shared" si="450"/>
        <v/>
      </c>
      <c r="P453" s="1118" t="str">
        <f t="shared" si="450"/>
        <v/>
      </c>
      <c r="Q453" s="1216" t="str">
        <f t="shared" si="450"/>
        <v/>
      </c>
      <c r="R453" s="1216" t="str">
        <f t="shared" si="450"/>
        <v/>
      </c>
      <c r="S453" s="1118" t="str">
        <f t="shared" si="450"/>
        <v/>
      </c>
      <c r="T453" s="1118" t="str">
        <f t="shared" si="450"/>
        <v/>
      </c>
      <c r="U453" s="1118" t="str">
        <f t="shared" si="450"/>
        <v/>
      </c>
      <c r="V453" s="1118" t="str">
        <f t="shared" si="450"/>
        <v/>
      </c>
      <c r="W453" s="1118" t="str">
        <f t="shared" si="450"/>
        <v/>
      </c>
      <c r="X453" s="1216" t="str">
        <f t="shared" si="450"/>
        <v/>
      </c>
      <c r="Y453" s="1216" t="str">
        <f t="shared" si="450"/>
        <v/>
      </c>
      <c r="Z453" s="1118" t="str">
        <f t="shared" si="450"/>
        <v/>
      </c>
      <c r="AA453" s="1118" t="str">
        <f t="shared" si="450"/>
        <v/>
      </c>
      <c r="AB453" s="1118" t="str">
        <f t="shared" si="450"/>
        <v/>
      </c>
      <c r="AC453" s="1118" t="str">
        <f t="shared" si="450"/>
        <v/>
      </c>
      <c r="AD453" s="1118" t="str">
        <f t="shared" si="450"/>
        <v/>
      </c>
      <c r="AE453" s="1216" t="str">
        <f t="shared" si="450"/>
        <v/>
      </c>
      <c r="AF453" s="1216" t="str">
        <f t="shared" si="450"/>
        <v/>
      </c>
      <c r="AG453" s="1118" t="str">
        <f t="shared" si="450"/>
        <v/>
      </c>
      <c r="AH453" s="1118" t="str">
        <f t="shared" si="450"/>
        <v/>
      </c>
      <c r="AI453" s="1118" t="str">
        <f t="shared" si="450"/>
        <v/>
      </c>
      <c r="AJ453" s="793"/>
      <c r="AK453" s="1026">
        <f t="shared" si="416"/>
        <v>0</v>
      </c>
      <c r="AL453" s="897"/>
      <c r="AM453" s="1042">
        <f t="shared" si="417"/>
        <v>0</v>
      </c>
      <c r="AN453" s="468"/>
      <c r="AO453" s="675"/>
      <c r="AP453" s="391"/>
      <c r="AQ453" s="391"/>
    </row>
    <row r="454" spans="1:48" ht="20.25" hidden="1">
      <c r="A454" s="443"/>
      <c r="B454" s="393" t="s">
        <v>469</v>
      </c>
      <c r="C454" s="89" t="s">
        <v>108</v>
      </c>
      <c r="D454" s="90" t="s">
        <v>104</v>
      </c>
      <c r="E454" s="1376"/>
      <c r="F454" s="1107"/>
      <c r="G454" s="1228"/>
      <c r="H454" s="1176"/>
      <c r="I454" s="1107"/>
      <c r="J454" s="1228"/>
      <c r="K454" s="1273"/>
      <c r="L454" s="1107"/>
      <c r="M454" s="1107"/>
      <c r="N454" s="1177"/>
      <c r="O454" s="1107"/>
      <c r="P454" s="1177"/>
      <c r="Q454" s="1228"/>
      <c r="R454" s="1228"/>
      <c r="S454" s="1107"/>
      <c r="T454" s="1107"/>
      <c r="U454" s="1107"/>
      <c r="V454" s="1107"/>
      <c r="W454" s="1107"/>
      <c r="X454" s="1228"/>
      <c r="Y454" s="1228"/>
      <c r="Z454" s="1106"/>
      <c r="AA454" s="1107"/>
      <c r="AB454" s="1107"/>
      <c r="AC454" s="1107"/>
      <c r="AD454" s="1107"/>
      <c r="AE454" s="1228"/>
      <c r="AF454" s="1228"/>
      <c r="AG454" s="1107"/>
      <c r="AH454" s="1107"/>
      <c r="AI454" s="1104"/>
      <c r="AJ454" s="396"/>
      <c r="AK454" s="1024">
        <f t="shared" si="416"/>
        <v>200000</v>
      </c>
      <c r="AL454" s="420"/>
      <c r="AM454" s="1040">
        <f t="shared" si="417"/>
        <v>1411684</v>
      </c>
      <c r="AN454" s="382"/>
      <c r="AO454" s="622"/>
      <c r="AP454" s="391"/>
      <c r="AQ454" s="391"/>
    </row>
    <row r="455" spans="1:48" ht="21" hidden="1" thickBot="1">
      <c r="A455" s="444"/>
      <c r="B455" s="398"/>
      <c r="C455" s="407">
        <f>+C453*0.8</f>
        <v>120000</v>
      </c>
      <c r="D455" s="95" t="s">
        <v>111</v>
      </c>
      <c r="E455" s="1377">
        <f>IF(E454="O/H",E448,0+E448)</f>
        <v>0</v>
      </c>
      <c r="F455" s="1110">
        <f t="shared" ref="F455:K455" si="451">IF(F454="O/H",F448,0+F448)</f>
        <v>0</v>
      </c>
      <c r="G455" s="1212">
        <f t="shared" si="451"/>
        <v>0</v>
      </c>
      <c r="H455" s="1110">
        <f t="shared" si="451"/>
        <v>0</v>
      </c>
      <c r="I455" s="1110">
        <f t="shared" si="451"/>
        <v>0</v>
      </c>
      <c r="J455" s="1212">
        <f t="shared" si="451"/>
        <v>0</v>
      </c>
      <c r="K455" s="1212">
        <f t="shared" si="451"/>
        <v>0</v>
      </c>
      <c r="L455" s="1110">
        <f t="shared" ref="L455:AI455" si="452">IF(L454="O/H",L448,0+L448)</f>
        <v>0</v>
      </c>
      <c r="M455" s="1110">
        <f t="shared" si="452"/>
        <v>0</v>
      </c>
      <c r="N455" s="1110">
        <f t="shared" si="452"/>
        <v>0</v>
      </c>
      <c r="O455" s="1110">
        <f t="shared" si="452"/>
        <v>0</v>
      </c>
      <c r="P455" s="1110">
        <f t="shared" si="452"/>
        <v>0</v>
      </c>
      <c r="Q455" s="1212">
        <f t="shared" si="452"/>
        <v>0</v>
      </c>
      <c r="R455" s="1212">
        <f t="shared" si="452"/>
        <v>0</v>
      </c>
      <c r="S455" s="1110">
        <f t="shared" si="452"/>
        <v>0</v>
      </c>
      <c r="T455" s="1110">
        <f t="shared" si="452"/>
        <v>0</v>
      </c>
      <c r="U455" s="1110">
        <f t="shared" si="452"/>
        <v>0</v>
      </c>
      <c r="V455" s="1110">
        <f t="shared" si="452"/>
        <v>0</v>
      </c>
      <c r="W455" s="1110">
        <f t="shared" si="452"/>
        <v>0</v>
      </c>
      <c r="X455" s="1212">
        <f t="shared" si="452"/>
        <v>0</v>
      </c>
      <c r="Y455" s="1212">
        <f t="shared" si="452"/>
        <v>0</v>
      </c>
      <c r="Z455" s="1110">
        <f t="shared" si="452"/>
        <v>0</v>
      </c>
      <c r="AA455" s="1110">
        <f t="shared" si="452"/>
        <v>0</v>
      </c>
      <c r="AB455" s="1110">
        <f t="shared" si="452"/>
        <v>0</v>
      </c>
      <c r="AC455" s="1110">
        <f t="shared" si="452"/>
        <v>0</v>
      </c>
      <c r="AD455" s="1110">
        <f t="shared" si="452"/>
        <v>0</v>
      </c>
      <c r="AE455" s="1212">
        <f t="shared" si="452"/>
        <v>0</v>
      </c>
      <c r="AF455" s="1212">
        <f t="shared" si="452"/>
        <v>0</v>
      </c>
      <c r="AG455" s="1110">
        <f t="shared" si="452"/>
        <v>0</v>
      </c>
      <c r="AH455" s="1110">
        <f t="shared" si="452"/>
        <v>0</v>
      </c>
      <c r="AI455" s="1110">
        <f t="shared" si="452"/>
        <v>0</v>
      </c>
      <c r="AJ455" s="1224"/>
      <c r="AK455" s="1027">
        <f t="shared" ref="AK455:AK518" si="453">AJ457</f>
        <v>0</v>
      </c>
      <c r="AL455" s="421"/>
      <c r="AM455" s="1043">
        <f t="shared" ref="AM455:AM518" si="454">AL457</f>
        <v>0</v>
      </c>
      <c r="AN455" s="894"/>
      <c r="AO455" s="625"/>
      <c r="AP455" s="32"/>
      <c r="AQ455" s="33"/>
      <c r="AR455" s="33"/>
      <c r="AS455" s="33"/>
      <c r="AT455" s="33"/>
      <c r="AU455" s="33"/>
      <c r="AV455" s="34"/>
    </row>
    <row r="456" spans="1:48" ht="21" thickTop="1">
      <c r="A456" s="442" t="s">
        <v>602</v>
      </c>
      <c r="B456" s="378" t="s">
        <v>633</v>
      </c>
      <c r="C456" s="518" t="str">
        <f>Table37[[#This Row],[M/C No.]]</f>
        <v>R22(50ton)</v>
      </c>
      <c r="D456" s="28" t="s">
        <v>82</v>
      </c>
      <c r="E456" s="1095">
        <v>14000</v>
      </c>
      <c r="F456" s="1095">
        <v>14000</v>
      </c>
      <c r="G456" s="1194">
        <v>14000</v>
      </c>
      <c r="H456" s="1095">
        <v>14000</v>
      </c>
      <c r="I456" s="1095">
        <v>14000</v>
      </c>
      <c r="J456" s="1194">
        <v>14000</v>
      </c>
      <c r="K456" s="1194">
        <v>14000</v>
      </c>
      <c r="L456" s="1095">
        <v>14000</v>
      </c>
      <c r="M456" s="1095">
        <v>14000</v>
      </c>
      <c r="N456" s="1095">
        <v>14000</v>
      </c>
      <c r="O456" s="1095">
        <v>14000</v>
      </c>
      <c r="P456" s="1095">
        <v>14000</v>
      </c>
      <c r="Q456" s="1194">
        <v>14000</v>
      </c>
      <c r="R456" s="1194">
        <v>14000</v>
      </c>
      <c r="S456" s="1095">
        <v>4000</v>
      </c>
      <c r="T456" s="1095">
        <v>0</v>
      </c>
      <c r="U456" s="1095">
        <v>0</v>
      </c>
      <c r="V456" s="1095">
        <v>0</v>
      </c>
      <c r="W456" s="1095">
        <v>0</v>
      </c>
      <c r="X456" s="1194">
        <v>0</v>
      </c>
      <c r="Y456" s="1194">
        <v>0</v>
      </c>
      <c r="Z456" s="1095">
        <v>0</v>
      </c>
      <c r="AA456" s="1095">
        <v>0</v>
      </c>
      <c r="AB456" s="1095">
        <v>0</v>
      </c>
      <c r="AC456" s="1095">
        <v>0</v>
      </c>
      <c r="AD456" s="1095">
        <v>0</v>
      </c>
      <c r="AE456" s="1194">
        <v>0</v>
      </c>
      <c r="AF456" s="1194">
        <v>0</v>
      </c>
      <c r="AG456" s="1095">
        <v>0</v>
      </c>
      <c r="AH456" s="1095">
        <v>0</v>
      </c>
      <c r="AI456" s="1095"/>
      <c r="AJ456" s="375">
        <f>SUM(E456:AI456)</f>
        <v>200000</v>
      </c>
      <c r="AK456" s="1047">
        <f t="shared" si="453"/>
        <v>189180</v>
      </c>
      <c r="AL456" s="422">
        <f>+AJ456*AN456</f>
        <v>1411684</v>
      </c>
      <c r="AM456" s="1046">
        <f t="shared" si="454"/>
        <v>1335311.8955999999</v>
      </c>
      <c r="AN456" s="402">
        <v>7.0584199999999999</v>
      </c>
      <c r="AO456" s="622">
        <f>Table37[[#This Row],[Total]]*B460/1000</f>
        <v>0</v>
      </c>
      <c r="AP456" s="32" t="s">
        <v>488</v>
      </c>
      <c r="AQ456" s="33" t="s">
        <v>84</v>
      </c>
      <c r="AR456" s="33" t="s">
        <v>85</v>
      </c>
      <c r="AS456" s="33" t="s">
        <v>86</v>
      </c>
      <c r="AT456" s="33" t="s">
        <v>87</v>
      </c>
      <c r="AU456" s="33" t="s">
        <v>88</v>
      </c>
      <c r="AV456" s="34" t="s">
        <v>68</v>
      </c>
    </row>
    <row r="457" spans="1:48" ht="20.25">
      <c r="A457" s="441"/>
      <c r="B457" s="59" t="s">
        <v>472</v>
      </c>
      <c r="C457" s="52" t="s">
        <v>95</v>
      </c>
      <c r="D457" s="37" t="s">
        <v>90</v>
      </c>
      <c r="E457" s="1373">
        <f>IF(E456="",0,+E456/E463)</f>
        <v>3500</v>
      </c>
      <c r="F457" s="1096">
        <f t="shared" ref="F457:AI457" si="455">IF(F456="",0, E457+F456/F463)</f>
        <v>7000</v>
      </c>
      <c r="G457" s="1207">
        <f t="shared" si="455"/>
        <v>10500</v>
      </c>
      <c r="H457" s="1096">
        <f t="shared" si="455"/>
        <v>14000</v>
      </c>
      <c r="I457" s="1096">
        <f t="shared" si="455"/>
        <v>17500</v>
      </c>
      <c r="J457" s="1207">
        <f t="shared" si="455"/>
        <v>21000</v>
      </c>
      <c r="K457" s="1207">
        <f t="shared" si="455"/>
        <v>24500</v>
      </c>
      <c r="L457" s="1096">
        <f t="shared" si="455"/>
        <v>28000</v>
      </c>
      <c r="M457" s="1096">
        <f t="shared" si="455"/>
        <v>31500</v>
      </c>
      <c r="N457" s="1096">
        <f t="shared" si="455"/>
        <v>35000</v>
      </c>
      <c r="O457" s="1096">
        <f t="shared" si="455"/>
        <v>38500</v>
      </c>
      <c r="P457" s="1096">
        <f t="shared" si="455"/>
        <v>42000</v>
      </c>
      <c r="Q457" s="1207">
        <f t="shared" si="455"/>
        <v>45500</v>
      </c>
      <c r="R457" s="1207">
        <f t="shared" si="455"/>
        <v>49000</v>
      </c>
      <c r="S457" s="1096">
        <f t="shared" si="455"/>
        <v>50000</v>
      </c>
      <c r="T457" s="1096">
        <f t="shared" si="455"/>
        <v>50000</v>
      </c>
      <c r="U457" s="1096">
        <f t="shared" si="455"/>
        <v>50000</v>
      </c>
      <c r="V457" s="1096">
        <f t="shared" si="455"/>
        <v>50000</v>
      </c>
      <c r="W457" s="1096">
        <f t="shared" si="455"/>
        <v>50000</v>
      </c>
      <c r="X457" s="1207">
        <f t="shared" si="455"/>
        <v>50000</v>
      </c>
      <c r="Y457" s="1207">
        <f t="shared" si="455"/>
        <v>50000</v>
      </c>
      <c r="Z457" s="1096">
        <f t="shared" si="455"/>
        <v>50000</v>
      </c>
      <c r="AA457" s="1096">
        <f t="shared" si="455"/>
        <v>50000</v>
      </c>
      <c r="AB457" s="1096">
        <f t="shared" si="455"/>
        <v>50000</v>
      </c>
      <c r="AC457" s="1096">
        <f t="shared" si="455"/>
        <v>50000</v>
      </c>
      <c r="AD457" s="1096">
        <f t="shared" si="455"/>
        <v>50000</v>
      </c>
      <c r="AE457" s="1207">
        <f t="shared" si="455"/>
        <v>50000</v>
      </c>
      <c r="AF457" s="1207">
        <f t="shared" si="455"/>
        <v>50000</v>
      </c>
      <c r="AG457" s="1096">
        <f t="shared" si="455"/>
        <v>50000</v>
      </c>
      <c r="AH457" s="1096">
        <f t="shared" si="455"/>
        <v>50000</v>
      </c>
      <c r="AI457" s="1096">
        <f t="shared" si="455"/>
        <v>0</v>
      </c>
      <c r="AJ457" s="375"/>
      <c r="AK457" s="1023">
        <f t="shared" si="453"/>
        <v>-10820</v>
      </c>
      <c r="AL457" s="423"/>
      <c r="AM457" s="1040">
        <f t="shared" si="454"/>
        <v>-76372.104399999997</v>
      </c>
      <c r="AN457" s="382"/>
      <c r="AO457" s="675"/>
      <c r="AP457" s="39" t="s">
        <v>91</v>
      </c>
      <c r="AQ457" s="40">
        <f>SUM(E456:H456)</f>
        <v>56000</v>
      </c>
      <c r="AR457" s="41">
        <f>SUM(I456:O456)</f>
        <v>98000</v>
      </c>
      <c r="AS457" s="41">
        <f>SUM(P456:V456)</f>
        <v>46000</v>
      </c>
      <c r="AT457" s="41">
        <f>SUM(W456:AC456)</f>
        <v>0</v>
      </c>
      <c r="AU457" s="41">
        <f>SUM(AD456:AI456)</f>
        <v>0</v>
      </c>
      <c r="AV457" s="34">
        <f t="shared" ref="AV457:AV462" si="456">SUM(AQ457:AU457)</f>
        <v>200000</v>
      </c>
    </row>
    <row r="458" spans="1:48" ht="20.25">
      <c r="A458" s="441"/>
      <c r="B458" s="59" t="s">
        <v>246</v>
      </c>
      <c r="C458" s="379">
        <v>60000</v>
      </c>
      <c r="D458" s="43" t="s">
        <v>93</v>
      </c>
      <c r="E458" s="1325">
        <v>14850</v>
      </c>
      <c r="F458" s="1089">
        <v>14850</v>
      </c>
      <c r="G458" s="44">
        <v>12960</v>
      </c>
      <c r="H458" s="1089">
        <v>14040</v>
      </c>
      <c r="I458" s="1089">
        <v>14040</v>
      </c>
      <c r="J458" s="44">
        <v>15930</v>
      </c>
      <c r="K458" s="44">
        <v>14040</v>
      </c>
      <c r="L458" s="1089">
        <v>12960</v>
      </c>
      <c r="M458" s="1089">
        <v>12960</v>
      </c>
      <c r="N458" s="1089">
        <v>0</v>
      </c>
      <c r="O458" s="1089">
        <v>0</v>
      </c>
      <c r="P458" s="1089">
        <v>0</v>
      </c>
      <c r="Q458" s="44">
        <v>0</v>
      </c>
      <c r="R458" s="44">
        <v>0</v>
      </c>
      <c r="S458" s="1089">
        <v>0</v>
      </c>
      <c r="T458" s="1089">
        <v>0</v>
      </c>
      <c r="U458" s="1089">
        <v>3240</v>
      </c>
      <c r="V458" s="1089">
        <v>14040</v>
      </c>
      <c r="W458" s="1089">
        <v>11880</v>
      </c>
      <c r="X458" s="44">
        <v>15120</v>
      </c>
      <c r="Y458" s="44">
        <v>14040</v>
      </c>
      <c r="Z458" s="1089">
        <v>4230</v>
      </c>
      <c r="AA458" s="1089">
        <v>0</v>
      </c>
      <c r="AB458" s="1089"/>
      <c r="AC458" s="1089"/>
      <c r="AD458" s="1089"/>
      <c r="AE458" s="44"/>
      <c r="AF458" s="44"/>
      <c r="AG458" s="1089"/>
      <c r="AH458" s="1089"/>
      <c r="AI458" s="1089"/>
      <c r="AJ458" s="380">
        <f>SUM(E458:AI458)</f>
        <v>189180</v>
      </c>
      <c r="AK458" s="1024">
        <f t="shared" si="453"/>
        <v>5788</v>
      </c>
      <c r="AL458" s="424">
        <f>+AJ458*AN456</f>
        <v>1335311.8955999999</v>
      </c>
      <c r="AM458" s="1041">
        <f t="shared" si="454"/>
        <v>40854.134960000003</v>
      </c>
      <c r="AN458" s="382"/>
      <c r="AO458" s="632">
        <f>(AJ458+AJ460+AJ461+AJ462)*B460/1000</f>
        <v>0</v>
      </c>
      <c r="AP458" s="47" t="s">
        <v>94</v>
      </c>
      <c r="AQ458" s="48">
        <f>SUM(E458:H458)</f>
        <v>56700</v>
      </c>
      <c r="AR458" s="49">
        <f>SUM(I458:O458)</f>
        <v>69930</v>
      </c>
      <c r="AS458" s="49">
        <f>SUM(P458:V458)</f>
        <v>17280</v>
      </c>
      <c r="AT458" s="49">
        <f>SUM(W458:AC458)</f>
        <v>45270</v>
      </c>
      <c r="AU458" s="49">
        <f>SUM(AD458:AI458)</f>
        <v>0</v>
      </c>
      <c r="AV458" s="50">
        <f t="shared" si="456"/>
        <v>189180</v>
      </c>
    </row>
    <row r="459" spans="1:48" ht="20.25">
      <c r="A459" s="441"/>
      <c r="B459" s="767" t="s">
        <v>247</v>
      </c>
      <c r="C459" s="89" t="s">
        <v>108</v>
      </c>
      <c r="D459" s="53" t="s">
        <v>96</v>
      </c>
      <c r="E459" s="1327">
        <f>+E458-E456</f>
        <v>850</v>
      </c>
      <c r="F459" s="1097">
        <f>+F458-F456</f>
        <v>850</v>
      </c>
      <c r="G459" s="1205">
        <f t="shared" ref="G459:P459" si="457">+G458-G456</f>
        <v>-1040</v>
      </c>
      <c r="H459" s="1097">
        <f t="shared" si="457"/>
        <v>40</v>
      </c>
      <c r="I459" s="1097">
        <f t="shared" ref="I459" si="458">+I458-I456</f>
        <v>40</v>
      </c>
      <c r="J459" s="1205">
        <f t="shared" si="457"/>
        <v>1930</v>
      </c>
      <c r="K459" s="1205">
        <f t="shared" si="457"/>
        <v>40</v>
      </c>
      <c r="L459" s="1097">
        <f t="shared" si="457"/>
        <v>-1040</v>
      </c>
      <c r="M459" s="1097">
        <f t="shared" si="457"/>
        <v>-1040</v>
      </c>
      <c r="N459" s="1097">
        <v>0</v>
      </c>
      <c r="O459" s="1097">
        <f t="shared" si="457"/>
        <v>-14000</v>
      </c>
      <c r="P459" s="1097">
        <f t="shared" si="457"/>
        <v>-14000</v>
      </c>
      <c r="Q459" s="1205">
        <f>+Q458-Q456</f>
        <v>-14000</v>
      </c>
      <c r="R459" s="1205">
        <f t="shared" ref="R459:AJ459" si="459">+R458-R456</f>
        <v>-14000</v>
      </c>
      <c r="S459" s="1097">
        <f t="shared" si="459"/>
        <v>-4000</v>
      </c>
      <c r="T459" s="1097">
        <f t="shared" si="459"/>
        <v>0</v>
      </c>
      <c r="U459" s="1097">
        <f t="shared" si="459"/>
        <v>3240</v>
      </c>
      <c r="V459" s="1097">
        <f t="shared" si="459"/>
        <v>14040</v>
      </c>
      <c r="W459" s="1097">
        <f t="shared" si="459"/>
        <v>11880</v>
      </c>
      <c r="X459" s="1205">
        <f t="shared" si="459"/>
        <v>15120</v>
      </c>
      <c r="Y459" s="1205">
        <f t="shared" si="459"/>
        <v>14040</v>
      </c>
      <c r="Z459" s="1097">
        <f t="shared" si="459"/>
        <v>4230</v>
      </c>
      <c r="AA459" s="1097">
        <f t="shared" si="459"/>
        <v>0</v>
      </c>
      <c r="AB459" s="1097">
        <f t="shared" si="459"/>
        <v>0</v>
      </c>
      <c r="AC459" s="1097">
        <f t="shared" si="459"/>
        <v>0</v>
      </c>
      <c r="AD459" s="1097">
        <f t="shared" si="459"/>
        <v>0</v>
      </c>
      <c r="AE459" s="1205">
        <f t="shared" si="459"/>
        <v>0</v>
      </c>
      <c r="AF459" s="1205">
        <f t="shared" si="459"/>
        <v>0</v>
      </c>
      <c r="AG459" s="1097">
        <f t="shared" si="459"/>
        <v>0</v>
      </c>
      <c r="AH459" s="1097">
        <f t="shared" si="459"/>
        <v>0</v>
      </c>
      <c r="AI459" s="1097">
        <f t="shared" si="459"/>
        <v>0</v>
      </c>
      <c r="AJ459" s="381">
        <f t="shared" si="459"/>
        <v>-10820</v>
      </c>
      <c r="AK459" s="1024">
        <f t="shared" si="453"/>
        <v>3114</v>
      </c>
      <c r="AL459" s="425">
        <f>+AJ459*AN456</f>
        <v>-76372.104399999997</v>
      </c>
      <c r="AM459" s="1041">
        <f t="shared" si="454"/>
        <v>21979.919880000001</v>
      </c>
      <c r="AN459" s="382" t="s">
        <v>97</v>
      </c>
      <c r="AO459" s="622"/>
      <c r="AP459" s="39" t="s">
        <v>98</v>
      </c>
      <c r="AQ459" s="56">
        <f>AQ458-AQ457</f>
        <v>700</v>
      </c>
      <c r="AR459" s="70">
        <f>AR458-AR457</f>
        <v>-28070</v>
      </c>
      <c r="AS459" s="70">
        <f>AS458-AS457</f>
        <v>-28720</v>
      </c>
      <c r="AT459" s="70">
        <f>AT458-AT457</f>
        <v>45270</v>
      </c>
      <c r="AU459" s="70">
        <f>AU458-AU457</f>
        <v>0</v>
      </c>
      <c r="AV459" s="57">
        <f t="shared" si="456"/>
        <v>-10820</v>
      </c>
    </row>
    <row r="460" spans="1:48" ht="20.25">
      <c r="A460" s="441"/>
      <c r="B460" s="769"/>
      <c r="C460" s="383">
        <f>+C458*0.8</f>
        <v>48000</v>
      </c>
      <c r="D460" s="61" t="s">
        <v>101</v>
      </c>
      <c r="E460" s="1329">
        <v>160</v>
      </c>
      <c r="F460" s="1099">
        <v>300</v>
      </c>
      <c r="G460" s="1208">
        <v>120</v>
      </c>
      <c r="H460" s="1099">
        <v>280</v>
      </c>
      <c r="I460" s="1099">
        <v>80</v>
      </c>
      <c r="J460" s="1208">
        <v>0</v>
      </c>
      <c r="K460" s="1208">
        <v>80</v>
      </c>
      <c r="L460" s="1099">
        <v>200</v>
      </c>
      <c r="M460" s="1099">
        <v>120</v>
      </c>
      <c r="N460" s="1099">
        <v>0</v>
      </c>
      <c r="O460" s="1099">
        <v>0</v>
      </c>
      <c r="P460" s="1099">
        <v>0</v>
      </c>
      <c r="Q460" s="1208">
        <v>0</v>
      </c>
      <c r="R460" s="1208">
        <v>0</v>
      </c>
      <c r="S460" s="1099">
        <v>0</v>
      </c>
      <c r="T460" s="1099">
        <f>220+292</f>
        <v>512</v>
      </c>
      <c r="U460" s="1099">
        <f>320+260</f>
        <v>580</v>
      </c>
      <c r="V460" s="1099">
        <v>0</v>
      </c>
      <c r="W460" s="1099">
        <f>120+440</f>
        <v>560</v>
      </c>
      <c r="X460" s="1208">
        <v>160</v>
      </c>
      <c r="Y460" s="1208">
        <v>240</v>
      </c>
      <c r="Z460" s="1099">
        <f>240+620</f>
        <v>860</v>
      </c>
      <c r="AA460" s="1099">
        <f>472+1064</f>
        <v>1536</v>
      </c>
      <c r="AB460" s="1099"/>
      <c r="AC460" s="1099"/>
      <c r="AD460" s="1099"/>
      <c r="AE460" s="1208"/>
      <c r="AF460" s="1208"/>
      <c r="AG460" s="1099"/>
      <c r="AH460" s="1099"/>
      <c r="AI460" s="1099"/>
      <c r="AJ460" s="384">
        <f>SUM(E460:AI460)</f>
        <v>5788</v>
      </c>
      <c r="AK460" s="1024">
        <f t="shared" si="453"/>
        <v>1200</v>
      </c>
      <c r="AL460" s="420">
        <f>+AJ460*AN456</f>
        <v>40854.134960000003</v>
      </c>
      <c r="AM460" s="1040">
        <f t="shared" si="454"/>
        <v>8470.1039999999994</v>
      </c>
      <c r="AN460" s="404">
        <f>+AJ460/AJ458*100</f>
        <v>3.0595200338302146</v>
      </c>
      <c r="AO460" s="635" t="e">
        <f>AO458/AO456</f>
        <v>#DIV/0!</v>
      </c>
      <c r="AP460" s="39" t="s">
        <v>102</v>
      </c>
      <c r="AQ460" s="56">
        <f>SUM(E460:H460)</f>
        <v>860</v>
      </c>
      <c r="AR460" s="70">
        <f>SUM(I460:O460)</f>
        <v>480</v>
      </c>
      <c r="AS460" s="70">
        <f>SUM(P460:V460)</f>
        <v>1092</v>
      </c>
      <c r="AT460" s="70">
        <f>SUM(W460:AC460)</f>
        <v>3356</v>
      </c>
      <c r="AU460" s="70">
        <f>SUM(AD460:AI460)</f>
        <v>0</v>
      </c>
      <c r="AV460" s="57">
        <f t="shared" si="456"/>
        <v>5788</v>
      </c>
    </row>
    <row r="461" spans="1:48" ht="20.25">
      <c r="A461" s="441"/>
      <c r="B461" s="65"/>
      <c r="C461" s="383"/>
      <c r="D461" s="67" t="s">
        <v>103</v>
      </c>
      <c r="E461" s="1331">
        <v>222</v>
      </c>
      <c r="F461" s="1101">
        <v>222</v>
      </c>
      <c r="G461" s="1209">
        <v>162</v>
      </c>
      <c r="H461" s="1101">
        <v>162</v>
      </c>
      <c r="I461" s="1101">
        <v>240</v>
      </c>
      <c r="J461" s="1209">
        <v>240</v>
      </c>
      <c r="K461" s="1209">
        <v>222</v>
      </c>
      <c r="L461" s="1101">
        <v>222</v>
      </c>
      <c r="M461" s="1101">
        <v>222</v>
      </c>
      <c r="N461" s="1101">
        <v>0</v>
      </c>
      <c r="O461" s="1101">
        <v>0</v>
      </c>
      <c r="P461" s="1101">
        <v>0</v>
      </c>
      <c r="Q461" s="1209">
        <v>0</v>
      </c>
      <c r="R461" s="1209">
        <v>0</v>
      </c>
      <c r="S461" s="1101">
        <v>0</v>
      </c>
      <c r="T461" s="1101">
        <v>0</v>
      </c>
      <c r="U461" s="1101">
        <v>36</v>
      </c>
      <c r="V461" s="1101">
        <v>240</v>
      </c>
      <c r="W461" s="1101">
        <v>222</v>
      </c>
      <c r="X461" s="1209">
        <v>330</v>
      </c>
      <c r="Y461" s="1209">
        <v>222</v>
      </c>
      <c r="Z461" s="1101">
        <v>150</v>
      </c>
      <c r="AA461" s="1101">
        <v>0</v>
      </c>
      <c r="AB461" s="1101"/>
      <c r="AC461" s="1101"/>
      <c r="AD461" s="1101"/>
      <c r="AE461" s="1209"/>
      <c r="AF461" s="1209"/>
      <c r="AG461" s="1101"/>
      <c r="AH461" s="1101"/>
      <c r="AI461" s="1101"/>
      <c r="AJ461" s="386">
        <f>SUM(E461:AI461)</f>
        <v>3114</v>
      </c>
      <c r="AK461" s="1024">
        <f t="shared" si="453"/>
        <v>0</v>
      </c>
      <c r="AL461" s="426">
        <f>+AJ461*AN456</f>
        <v>21979.919880000001</v>
      </c>
      <c r="AM461" s="1040">
        <f t="shared" si="454"/>
        <v>0</v>
      </c>
      <c r="AN461" s="382"/>
      <c r="AO461" s="622"/>
      <c r="AP461" s="39" t="s">
        <v>19</v>
      </c>
      <c r="AQ461" s="56">
        <f>AQ460*AN456</f>
        <v>6070.2411999999995</v>
      </c>
      <c r="AR461" s="56">
        <f>AR460*AN456</f>
        <v>3388.0416</v>
      </c>
      <c r="AS461" s="56">
        <f>AS460*AN456</f>
        <v>7707.7946400000001</v>
      </c>
      <c r="AT461" s="56">
        <f>AT460*AN456</f>
        <v>23688.057519999998</v>
      </c>
      <c r="AU461" s="56">
        <f>AU460*AN456</f>
        <v>0</v>
      </c>
      <c r="AV461" s="57">
        <f t="shared" si="456"/>
        <v>40854.134959999996</v>
      </c>
    </row>
    <row r="462" spans="1:48" ht="20.25">
      <c r="A462" s="441"/>
      <c r="B462" s="65"/>
      <c r="C462" s="387" t="s">
        <v>435</v>
      </c>
      <c r="D462" s="73" t="s">
        <v>105</v>
      </c>
      <c r="E462" s="1378">
        <v>64</v>
      </c>
      <c r="F462" s="1103">
        <v>80</v>
      </c>
      <c r="G462" s="1210">
        <v>96</v>
      </c>
      <c r="H462" s="1103">
        <v>96</v>
      </c>
      <c r="I462" s="1103">
        <v>88</v>
      </c>
      <c r="J462" s="1210">
        <v>96</v>
      </c>
      <c r="K462" s="1210">
        <v>96</v>
      </c>
      <c r="L462" s="1103">
        <v>80</v>
      </c>
      <c r="M462" s="1103">
        <v>88</v>
      </c>
      <c r="N462" s="1103">
        <v>0</v>
      </c>
      <c r="O462" s="1103">
        <v>0</v>
      </c>
      <c r="P462" s="1103">
        <v>0</v>
      </c>
      <c r="Q462" s="1210">
        <v>0</v>
      </c>
      <c r="R462" s="1210">
        <v>0</v>
      </c>
      <c r="S462" s="1103">
        <v>0</v>
      </c>
      <c r="T462" s="1103">
        <v>0</v>
      </c>
      <c r="U462" s="1103">
        <v>32</v>
      </c>
      <c r="V462" s="1103">
        <v>80</v>
      </c>
      <c r="W462" s="1103">
        <v>80</v>
      </c>
      <c r="X462" s="1210">
        <v>96</v>
      </c>
      <c r="Y462" s="1210">
        <v>96</v>
      </c>
      <c r="Z462" s="1103">
        <v>32</v>
      </c>
      <c r="AA462" s="1103">
        <v>0</v>
      </c>
      <c r="AB462" s="1103"/>
      <c r="AC462" s="1103"/>
      <c r="AD462" s="1103"/>
      <c r="AE462" s="1210"/>
      <c r="AF462" s="1210"/>
      <c r="AG462" s="1103"/>
      <c r="AH462" s="1103"/>
      <c r="AI462" s="1103"/>
      <c r="AJ462" s="388">
        <f>SUM(E462:AI462)</f>
        <v>1200</v>
      </c>
      <c r="AK462" s="1024">
        <f t="shared" si="453"/>
        <v>49820.5</v>
      </c>
      <c r="AL462" s="427">
        <f>+AJ462*AN456</f>
        <v>8470.1039999999994</v>
      </c>
      <c r="AM462" s="1040">
        <f t="shared" si="454"/>
        <v>0</v>
      </c>
      <c r="AN462" s="382"/>
      <c r="AO462" s="622"/>
      <c r="AP462" s="47" t="s">
        <v>106</v>
      </c>
      <c r="AQ462" s="48">
        <f>AQ458*AN456</f>
        <v>400212.41399999999</v>
      </c>
      <c r="AR462" s="48">
        <f>AR458*AN456</f>
        <v>493595.31059999997</v>
      </c>
      <c r="AS462" s="48">
        <f>AS458*AN456</f>
        <v>121969.4976</v>
      </c>
      <c r="AT462" s="48">
        <f>AT458*AN456</f>
        <v>319534.67339999997</v>
      </c>
      <c r="AU462" s="48">
        <f>AU458*AN456</f>
        <v>0</v>
      </c>
      <c r="AV462" s="50">
        <f t="shared" si="456"/>
        <v>1335311.8955999999</v>
      </c>
    </row>
    <row r="463" spans="1:48" ht="20.25">
      <c r="A463" s="441"/>
      <c r="B463" s="390"/>
      <c r="C463" s="379">
        <v>50000</v>
      </c>
      <c r="D463" s="78" t="s">
        <v>107</v>
      </c>
      <c r="E463" s="1327">
        <v>4</v>
      </c>
      <c r="F463" s="1097">
        <v>4</v>
      </c>
      <c r="G463" s="1205">
        <v>4</v>
      </c>
      <c r="H463" s="1097">
        <v>4</v>
      </c>
      <c r="I463" s="1097">
        <v>4</v>
      </c>
      <c r="J463" s="1205">
        <v>4</v>
      </c>
      <c r="K463" s="1205">
        <v>4</v>
      </c>
      <c r="L463" s="1097">
        <v>4</v>
      </c>
      <c r="M463" s="1097">
        <v>4</v>
      </c>
      <c r="N463" s="1097">
        <v>4</v>
      </c>
      <c r="O463" s="1097">
        <v>4</v>
      </c>
      <c r="P463" s="1097">
        <v>4</v>
      </c>
      <c r="Q463" s="1205">
        <v>4</v>
      </c>
      <c r="R463" s="1205">
        <v>4</v>
      </c>
      <c r="S463" s="1097">
        <v>4</v>
      </c>
      <c r="T463" s="1097">
        <v>4</v>
      </c>
      <c r="U463" s="1097">
        <v>4</v>
      </c>
      <c r="V463" s="1097">
        <v>4</v>
      </c>
      <c r="W463" s="1097">
        <v>4</v>
      </c>
      <c r="X463" s="1205">
        <v>4</v>
      </c>
      <c r="Y463" s="1205">
        <v>4</v>
      </c>
      <c r="Z463" s="1097">
        <v>4</v>
      </c>
      <c r="AA463" s="1097">
        <v>4</v>
      </c>
      <c r="AB463" s="1097">
        <v>4</v>
      </c>
      <c r="AC463" s="1097">
        <v>4</v>
      </c>
      <c r="AD463" s="1097">
        <v>4</v>
      </c>
      <c r="AE463" s="1205">
        <v>4</v>
      </c>
      <c r="AF463" s="1205">
        <v>4</v>
      </c>
      <c r="AG463" s="1097">
        <v>4</v>
      </c>
      <c r="AH463" s="1097">
        <v>4</v>
      </c>
      <c r="AI463" s="1097">
        <v>4</v>
      </c>
      <c r="AJ463" s="381"/>
      <c r="AK463" s="1024">
        <f t="shared" si="453"/>
        <v>0</v>
      </c>
      <c r="AL463" s="425"/>
      <c r="AM463" s="1041">
        <f t="shared" si="454"/>
        <v>0</v>
      </c>
      <c r="AN463" s="382"/>
      <c r="AO463" s="622"/>
      <c r="AP463" s="391"/>
      <c r="AQ463" s="391"/>
      <c r="AV463" s="4"/>
    </row>
    <row r="464" spans="1:48" ht="20.25">
      <c r="A464" s="442"/>
      <c r="B464" s="390"/>
      <c r="C464" s="89" t="s">
        <v>108</v>
      </c>
      <c r="D464" s="81" t="s">
        <v>109</v>
      </c>
      <c r="E464" s="1374">
        <f>SUM(E458+E460+E461+E462)/E463</f>
        <v>3824</v>
      </c>
      <c r="F464" s="1104">
        <f t="shared" ref="F464:AI464" si="460">SUM(F458+F460+F461+F462)/F463</f>
        <v>3863</v>
      </c>
      <c r="G464" s="1211">
        <f t="shared" si="460"/>
        <v>3334.5</v>
      </c>
      <c r="H464" s="1104">
        <f t="shared" si="460"/>
        <v>3644.5</v>
      </c>
      <c r="I464" s="1104">
        <f t="shared" si="460"/>
        <v>3612</v>
      </c>
      <c r="J464" s="1211">
        <f t="shared" si="460"/>
        <v>4066.5</v>
      </c>
      <c r="K464" s="1211">
        <f t="shared" si="460"/>
        <v>3609.5</v>
      </c>
      <c r="L464" s="1104">
        <f t="shared" si="460"/>
        <v>3365.5</v>
      </c>
      <c r="M464" s="1104">
        <f t="shared" si="460"/>
        <v>3347.5</v>
      </c>
      <c r="N464" s="1104">
        <f t="shared" si="460"/>
        <v>0</v>
      </c>
      <c r="O464" s="1104">
        <f t="shared" si="460"/>
        <v>0</v>
      </c>
      <c r="P464" s="1104">
        <f t="shared" si="460"/>
        <v>0</v>
      </c>
      <c r="Q464" s="1211">
        <f t="shared" si="460"/>
        <v>0</v>
      </c>
      <c r="R464" s="1211">
        <f t="shared" si="460"/>
        <v>0</v>
      </c>
      <c r="S464" s="1104">
        <f t="shared" si="460"/>
        <v>0</v>
      </c>
      <c r="T464" s="1104">
        <f t="shared" si="460"/>
        <v>128</v>
      </c>
      <c r="U464" s="1104">
        <f t="shared" si="460"/>
        <v>972</v>
      </c>
      <c r="V464" s="1104">
        <f t="shared" si="460"/>
        <v>3590</v>
      </c>
      <c r="W464" s="1104">
        <f t="shared" si="460"/>
        <v>3185.5</v>
      </c>
      <c r="X464" s="1211">
        <f t="shared" si="460"/>
        <v>3926.5</v>
      </c>
      <c r="Y464" s="1211">
        <f t="shared" si="460"/>
        <v>3649.5</v>
      </c>
      <c r="Z464" s="1104">
        <f t="shared" si="460"/>
        <v>1318</v>
      </c>
      <c r="AA464" s="1104">
        <f t="shared" si="460"/>
        <v>384</v>
      </c>
      <c r="AB464" s="1104">
        <f t="shared" si="460"/>
        <v>0</v>
      </c>
      <c r="AC464" s="1104">
        <f t="shared" si="460"/>
        <v>0</v>
      </c>
      <c r="AD464" s="1104">
        <f t="shared" si="460"/>
        <v>0</v>
      </c>
      <c r="AE464" s="1211">
        <f t="shared" si="460"/>
        <v>0</v>
      </c>
      <c r="AF464" s="1211">
        <f t="shared" si="460"/>
        <v>0</v>
      </c>
      <c r="AG464" s="1104">
        <f t="shared" si="460"/>
        <v>0</v>
      </c>
      <c r="AH464" s="1104">
        <f t="shared" si="460"/>
        <v>0</v>
      </c>
      <c r="AI464" s="1379">
        <f t="shared" si="460"/>
        <v>0</v>
      </c>
      <c r="AJ464" s="380">
        <f>SUM(E464:AI464)</f>
        <v>49820.5</v>
      </c>
      <c r="AK464" s="1025">
        <f t="shared" si="453"/>
        <v>0</v>
      </c>
      <c r="AL464" s="419"/>
      <c r="AM464" s="1040">
        <f t="shared" si="454"/>
        <v>0</v>
      </c>
      <c r="AN464" s="382"/>
      <c r="AO464" s="622"/>
      <c r="AP464" s="391"/>
      <c r="AQ464" s="391"/>
      <c r="AR464" s="4"/>
      <c r="AS464" s="4"/>
      <c r="AT464" s="392"/>
      <c r="AU464" s="4"/>
      <c r="AV464" s="4"/>
    </row>
    <row r="465" spans="1:48" ht="20.25">
      <c r="A465" s="441"/>
      <c r="B465" s="334" t="s">
        <v>463</v>
      </c>
      <c r="C465" s="84">
        <f>+C463*0.8</f>
        <v>40000</v>
      </c>
      <c r="D465" s="85" t="s">
        <v>110</v>
      </c>
      <c r="E465" s="1375"/>
      <c r="F465" s="1172"/>
      <c r="G465" s="1235"/>
      <c r="H465" s="1172"/>
      <c r="I465" s="1126"/>
      <c r="J465" s="1281"/>
      <c r="K465" s="1235"/>
      <c r="L465" s="1172"/>
      <c r="M465" s="1126"/>
      <c r="N465" s="1174"/>
      <c r="O465" s="1155"/>
      <c r="P465" s="1173"/>
      <c r="Q465" s="1267"/>
      <c r="R465" s="1281"/>
      <c r="S465" s="1173"/>
      <c r="T465" s="1107"/>
      <c r="U465" s="1173"/>
      <c r="V465" s="1173"/>
      <c r="W465" s="1173"/>
      <c r="X465" s="1281"/>
      <c r="Y465" s="1267"/>
      <c r="Z465" s="1155"/>
      <c r="AA465" s="1173"/>
      <c r="AB465" s="1173"/>
      <c r="AC465" s="1173"/>
      <c r="AD465" s="1173"/>
      <c r="AE465" s="1281"/>
      <c r="AF465" s="1281"/>
      <c r="AG465" s="1173"/>
      <c r="AH465" s="1173"/>
      <c r="AI465" s="1173"/>
      <c r="AJ465" s="394"/>
      <c r="AK465" s="1025">
        <f t="shared" si="453"/>
        <v>0</v>
      </c>
      <c r="AL465" s="419"/>
      <c r="AM465" s="1040">
        <f t="shared" si="454"/>
        <v>0</v>
      </c>
      <c r="AN465" s="382"/>
      <c r="AO465" s="622"/>
      <c r="AP465" s="391"/>
      <c r="AQ465" s="391"/>
      <c r="AR465" s="4"/>
      <c r="AS465" s="4"/>
      <c r="AT465" s="392"/>
      <c r="AU465" s="4"/>
      <c r="AV465" s="4"/>
    </row>
    <row r="466" spans="1:48" ht="20.25">
      <c r="A466" s="441"/>
      <c r="B466" s="390"/>
      <c r="C466" s="89"/>
      <c r="D466" s="88" t="s">
        <v>111</v>
      </c>
      <c r="E466" s="1156">
        <f>IF(E465="O/H",E464,3300+E464)</f>
        <v>7124</v>
      </c>
      <c r="F466" s="1157">
        <f>IF(F465="O/H",F462,+E466+F462)</f>
        <v>7204</v>
      </c>
      <c r="G466" s="1264">
        <f t="shared" ref="G466:AH466" si="461">IF(G465="O/H",G462,+F466+G462)</f>
        <v>7300</v>
      </c>
      <c r="H466" s="1157">
        <f t="shared" si="461"/>
        <v>7396</v>
      </c>
      <c r="I466" s="1157">
        <f t="shared" si="461"/>
        <v>7484</v>
      </c>
      <c r="J466" s="1264">
        <f t="shared" si="461"/>
        <v>7580</v>
      </c>
      <c r="K466" s="1264">
        <f t="shared" si="461"/>
        <v>7676</v>
      </c>
      <c r="L466" s="1157">
        <f t="shared" si="461"/>
        <v>7756</v>
      </c>
      <c r="M466" s="1157">
        <f t="shared" si="461"/>
        <v>7844</v>
      </c>
      <c r="N466" s="1157">
        <f t="shared" si="461"/>
        <v>7844</v>
      </c>
      <c r="O466" s="1157">
        <f t="shared" si="461"/>
        <v>7844</v>
      </c>
      <c r="P466" s="1157">
        <f t="shared" si="461"/>
        <v>7844</v>
      </c>
      <c r="Q466" s="1264">
        <f t="shared" si="461"/>
        <v>7844</v>
      </c>
      <c r="R466" s="1264">
        <f t="shared" si="461"/>
        <v>7844</v>
      </c>
      <c r="S466" s="1157">
        <f t="shared" si="461"/>
        <v>7844</v>
      </c>
      <c r="T466" s="1157">
        <f t="shared" si="461"/>
        <v>7844</v>
      </c>
      <c r="U466" s="1157">
        <f t="shared" si="461"/>
        <v>7876</v>
      </c>
      <c r="V466" s="1157">
        <f t="shared" si="461"/>
        <v>7956</v>
      </c>
      <c r="W466" s="1157">
        <f t="shared" si="461"/>
        <v>8036</v>
      </c>
      <c r="X466" s="1264">
        <f t="shared" si="461"/>
        <v>8132</v>
      </c>
      <c r="Y466" s="1264">
        <f t="shared" si="461"/>
        <v>8228</v>
      </c>
      <c r="Z466" s="1157">
        <f t="shared" si="461"/>
        <v>8260</v>
      </c>
      <c r="AA466" s="1157">
        <f t="shared" si="461"/>
        <v>8260</v>
      </c>
      <c r="AB466" s="1157">
        <f t="shared" si="461"/>
        <v>8260</v>
      </c>
      <c r="AC466" s="1157">
        <f t="shared" si="461"/>
        <v>8260</v>
      </c>
      <c r="AD466" s="1157">
        <f t="shared" si="461"/>
        <v>8260</v>
      </c>
      <c r="AE466" s="1264">
        <f t="shared" si="461"/>
        <v>8260</v>
      </c>
      <c r="AF466" s="1264">
        <f t="shared" si="461"/>
        <v>8260</v>
      </c>
      <c r="AG466" s="1157">
        <f t="shared" si="461"/>
        <v>8260</v>
      </c>
      <c r="AH466" s="1157">
        <f t="shared" si="461"/>
        <v>8260</v>
      </c>
      <c r="AI466" s="1156">
        <f t="shared" ref="AI466" si="462">IF(AI465="O/H",AI464,0+AI464)</f>
        <v>0</v>
      </c>
      <c r="AJ466" s="394"/>
      <c r="AK466" s="1025">
        <f t="shared" si="453"/>
        <v>0</v>
      </c>
      <c r="AL466" s="419"/>
      <c r="AM466" s="1040">
        <f t="shared" si="454"/>
        <v>0</v>
      </c>
      <c r="AN466" s="382"/>
      <c r="AO466" s="622"/>
      <c r="AP466" s="391"/>
      <c r="AQ466" s="391"/>
    </row>
    <row r="467" spans="1:48" ht="20.25">
      <c r="A467" s="441"/>
      <c r="B467" s="59"/>
      <c r="C467" s="387"/>
      <c r="D467" s="395" t="s">
        <v>435</v>
      </c>
      <c r="E467" s="1376"/>
      <c r="F467" s="1107"/>
      <c r="G467" s="1211"/>
      <c r="H467" s="1176"/>
      <c r="I467" s="1104"/>
      <c r="J467" s="1228"/>
      <c r="K467" s="1273"/>
      <c r="L467" s="1107"/>
      <c r="M467" s="1107"/>
      <c r="N467" s="1177" t="s">
        <v>534</v>
      </c>
      <c r="O467" s="1107"/>
      <c r="P467" s="1177"/>
      <c r="Q467" s="1228"/>
      <c r="R467" s="1211"/>
      <c r="S467" s="1107"/>
      <c r="T467" s="1107"/>
      <c r="U467" s="1104"/>
      <c r="V467" s="1104"/>
      <c r="W467" s="1104"/>
      <c r="X467" s="1228"/>
      <c r="Y467" s="1211"/>
      <c r="Z467" s="1155"/>
      <c r="AA467" s="1104"/>
      <c r="AB467" s="1104"/>
      <c r="AC467" s="1104"/>
      <c r="AD467" s="1104"/>
      <c r="AE467" s="1211"/>
      <c r="AF467" s="1211"/>
      <c r="AG467" s="1104"/>
      <c r="AH467" s="1104"/>
      <c r="AI467" s="1104"/>
      <c r="AJ467" s="396"/>
      <c r="AK467" s="1024">
        <f t="shared" si="453"/>
        <v>0</v>
      </c>
      <c r="AL467" s="420"/>
      <c r="AM467" s="1040">
        <f t="shared" si="454"/>
        <v>0</v>
      </c>
      <c r="AN467" s="382"/>
      <c r="AO467" s="622"/>
      <c r="AP467" s="391"/>
      <c r="AQ467" s="391"/>
    </row>
    <row r="468" spans="1:48" s="23" customFormat="1" ht="20.25">
      <c r="A468" s="441"/>
      <c r="B468" s="59"/>
      <c r="C468" s="387" t="s">
        <v>104</v>
      </c>
      <c r="D468" s="88" t="s">
        <v>111</v>
      </c>
      <c r="E468" s="1157">
        <f>IF(E467="O/H",E464,3300+E464)</f>
        <v>7124</v>
      </c>
      <c r="F468" s="1157">
        <f>IF(F467="O/H",F464,+E468+F464)</f>
        <v>10987</v>
      </c>
      <c r="G468" s="1264">
        <f t="shared" ref="G468:AH468" si="463">IF(G467="O/H",G464,+F468+G464)</f>
        <v>14321.5</v>
      </c>
      <c r="H468" s="1157">
        <f t="shared" si="463"/>
        <v>17966</v>
      </c>
      <c r="I468" s="1157">
        <f t="shared" si="463"/>
        <v>21578</v>
      </c>
      <c r="J468" s="1264">
        <f t="shared" si="463"/>
        <v>25644.5</v>
      </c>
      <c r="K468" s="1264">
        <f t="shared" si="463"/>
        <v>29254</v>
      </c>
      <c r="L468" s="1157">
        <f t="shared" si="463"/>
        <v>32619.5</v>
      </c>
      <c r="M468" s="1157">
        <f t="shared" si="463"/>
        <v>35967</v>
      </c>
      <c r="N468" s="1157">
        <f t="shared" si="463"/>
        <v>0</v>
      </c>
      <c r="O468" s="1157">
        <f t="shared" si="463"/>
        <v>0</v>
      </c>
      <c r="P468" s="1157">
        <f t="shared" si="463"/>
        <v>0</v>
      </c>
      <c r="Q468" s="1264">
        <f t="shared" si="463"/>
        <v>0</v>
      </c>
      <c r="R468" s="1264">
        <f t="shared" si="463"/>
        <v>0</v>
      </c>
      <c r="S468" s="1157">
        <f t="shared" si="463"/>
        <v>0</v>
      </c>
      <c r="T468" s="1157">
        <f t="shared" si="463"/>
        <v>128</v>
      </c>
      <c r="U468" s="1157">
        <f t="shared" si="463"/>
        <v>1100</v>
      </c>
      <c r="V468" s="1157">
        <f t="shared" si="463"/>
        <v>4690</v>
      </c>
      <c r="W468" s="1157">
        <f t="shared" si="463"/>
        <v>7875.5</v>
      </c>
      <c r="X468" s="1264">
        <f t="shared" si="463"/>
        <v>11802</v>
      </c>
      <c r="Y468" s="1264">
        <f t="shared" si="463"/>
        <v>15451.5</v>
      </c>
      <c r="Z468" s="1157">
        <f t="shared" si="463"/>
        <v>16769.5</v>
      </c>
      <c r="AA468" s="1157">
        <f t="shared" si="463"/>
        <v>17153.5</v>
      </c>
      <c r="AB468" s="1157">
        <f t="shared" si="463"/>
        <v>17153.5</v>
      </c>
      <c r="AC468" s="1157">
        <f t="shared" si="463"/>
        <v>17153.5</v>
      </c>
      <c r="AD468" s="1157">
        <f t="shared" si="463"/>
        <v>17153.5</v>
      </c>
      <c r="AE468" s="1264">
        <f t="shared" si="463"/>
        <v>17153.5</v>
      </c>
      <c r="AF468" s="1264">
        <f t="shared" si="463"/>
        <v>17153.5</v>
      </c>
      <c r="AG468" s="1157">
        <f t="shared" si="463"/>
        <v>17153.5</v>
      </c>
      <c r="AH468" s="1157">
        <f t="shared" si="463"/>
        <v>17153.5</v>
      </c>
      <c r="AI468" s="1157">
        <f t="shared" ref="AI468" si="464">IF(AI467="O/H",AI464,0+AI464)</f>
        <v>0</v>
      </c>
      <c r="AJ468" s="396"/>
      <c r="AK468" s="1024">
        <f t="shared" si="453"/>
        <v>0</v>
      </c>
      <c r="AL468" s="420"/>
      <c r="AM468" s="1040">
        <f t="shared" si="454"/>
        <v>0</v>
      </c>
      <c r="AN468" s="382"/>
      <c r="AO468" s="622"/>
      <c r="AP468" s="285"/>
      <c r="AQ468" s="285"/>
      <c r="AR468" s="285"/>
      <c r="AS468" s="285"/>
      <c r="AT468" s="286"/>
      <c r="AU468" s="285"/>
      <c r="AV468" s="287"/>
    </row>
    <row r="469" spans="1:48" ht="15.75">
      <c r="A469" s="312"/>
      <c r="B469" s="312"/>
      <c r="C469" s="379">
        <v>150000</v>
      </c>
      <c r="D469" s="795" t="s">
        <v>112</v>
      </c>
      <c r="E469" s="1117">
        <f>IF(AND(ISNUMBER(E458)),757303+E464)</f>
        <v>761127</v>
      </c>
      <c r="F469" s="1118">
        <f>IF(AND(ISNUMBER(F458)),E469+F464,"")</f>
        <v>764990</v>
      </c>
      <c r="G469" s="1216">
        <f>IF(AND(ISNUMBER(G458)),F469+G464,"")</f>
        <v>768324.5</v>
      </c>
      <c r="H469" s="1118">
        <f t="shared" ref="H469:AI469" si="465">IF(AND(ISNUMBER(H458)),G469+H464,"")</f>
        <v>771969</v>
      </c>
      <c r="I469" s="1118">
        <f t="shared" si="465"/>
        <v>775581</v>
      </c>
      <c r="J469" s="1216">
        <f t="shared" si="465"/>
        <v>779647.5</v>
      </c>
      <c r="K469" s="1216">
        <f t="shared" si="465"/>
        <v>783257</v>
      </c>
      <c r="L469" s="1118">
        <f t="shared" si="465"/>
        <v>786622.5</v>
      </c>
      <c r="M469" s="1118">
        <f t="shared" si="465"/>
        <v>789970</v>
      </c>
      <c r="N469" s="1118">
        <f t="shared" si="465"/>
        <v>789970</v>
      </c>
      <c r="O469" s="1118">
        <f t="shared" si="465"/>
        <v>789970</v>
      </c>
      <c r="P469" s="1118">
        <f t="shared" si="465"/>
        <v>789970</v>
      </c>
      <c r="Q469" s="1216">
        <f t="shared" si="465"/>
        <v>789970</v>
      </c>
      <c r="R469" s="1216">
        <f t="shared" si="465"/>
        <v>789970</v>
      </c>
      <c r="S469" s="1118">
        <f t="shared" si="465"/>
        <v>789970</v>
      </c>
      <c r="T469" s="1118">
        <f t="shared" si="465"/>
        <v>790098</v>
      </c>
      <c r="U469" s="1118">
        <f t="shared" si="465"/>
        <v>791070</v>
      </c>
      <c r="V469" s="1118">
        <f t="shared" si="465"/>
        <v>794660</v>
      </c>
      <c r="W469" s="1118">
        <f t="shared" si="465"/>
        <v>797845.5</v>
      </c>
      <c r="X469" s="1216">
        <f t="shared" si="465"/>
        <v>801772</v>
      </c>
      <c r="Y469" s="1216">
        <f t="shared" si="465"/>
        <v>805421.5</v>
      </c>
      <c r="Z469" s="1118">
        <f t="shared" si="465"/>
        <v>806739.5</v>
      </c>
      <c r="AA469" s="1118">
        <f t="shared" si="465"/>
        <v>807123.5</v>
      </c>
      <c r="AB469" s="1118" t="str">
        <f t="shared" si="465"/>
        <v/>
      </c>
      <c r="AC469" s="1118" t="str">
        <f t="shared" si="465"/>
        <v/>
      </c>
      <c r="AD469" s="1118" t="str">
        <f t="shared" si="465"/>
        <v/>
      </c>
      <c r="AE469" s="1216" t="str">
        <f t="shared" si="465"/>
        <v/>
      </c>
      <c r="AF469" s="1216" t="str">
        <f t="shared" si="465"/>
        <v/>
      </c>
      <c r="AG469" s="1118" t="str">
        <f t="shared" si="465"/>
        <v/>
      </c>
      <c r="AH469" s="1118" t="str">
        <f t="shared" si="465"/>
        <v/>
      </c>
      <c r="AI469" s="1118" t="str">
        <f t="shared" si="465"/>
        <v/>
      </c>
      <c r="AJ469" s="793"/>
      <c r="AK469" s="1026">
        <f t="shared" si="453"/>
        <v>0</v>
      </c>
      <c r="AL469" s="897"/>
      <c r="AM469" s="1042">
        <f t="shared" si="454"/>
        <v>0</v>
      </c>
      <c r="AN469" s="468"/>
      <c r="AO469" s="675"/>
      <c r="AP469" s="391"/>
      <c r="AQ469" s="391"/>
    </row>
    <row r="470" spans="1:48" ht="20.25">
      <c r="A470" s="443"/>
      <c r="B470" s="393" t="s">
        <v>473</v>
      </c>
      <c r="C470" s="89" t="s">
        <v>108</v>
      </c>
      <c r="D470" s="90" t="s">
        <v>104</v>
      </c>
      <c r="E470" s="1376"/>
      <c r="F470" s="1104"/>
      <c r="G470" s="1211"/>
      <c r="H470" s="1176"/>
      <c r="I470" s="1104"/>
      <c r="J470" s="1211"/>
      <c r="K470" s="1273"/>
      <c r="L470" s="1107"/>
      <c r="M470" s="1104"/>
      <c r="N470" s="1177"/>
      <c r="O470" s="1104"/>
      <c r="P470" s="1177"/>
      <c r="Q470" s="1211"/>
      <c r="R470" s="1211"/>
      <c r="S470" s="1104"/>
      <c r="T470" s="1107"/>
      <c r="U470" s="1104"/>
      <c r="V470" s="1104"/>
      <c r="W470" s="1104"/>
      <c r="X470" s="1228"/>
      <c r="Y470" s="1211"/>
      <c r="Z470" s="1104"/>
      <c r="AA470" s="1104"/>
      <c r="AB470" s="1104"/>
      <c r="AC470" s="1104"/>
      <c r="AD470" s="1104"/>
      <c r="AE470" s="1211"/>
      <c r="AF470" s="1211"/>
      <c r="AG470" s="1104"/>
      <c r="AH470" s="1104"/>
      <c r="AI470" s="1104"/>
      <c r="AJ470" s="396"/>
      <c r="AK470" s="1024">
        <f t="shared" si="453"/>
        <v>0</v>
      </c>
      <c r="AL470" s="420"/>
      <c r="AM470" s="1040">
        <f t="shared" si="454"/>
        <v>0</v>
      </c>
      <c r="AN470" s="382"/>
      <c r="AO470" s="622"/>
      <c r="AP470" s="391"/>
      <c r="AQ470" s="391"/>
      <c r="AV470" s="154"/>
    </row>
    <row r="471" spans="1:48" ht="21" thickBot="1">
      <c r="A471" s="444"/>
      <c r="B471" s="398"/>
      <c r="C471" s="407">
        <f>+C469*0.8</f>
        <v>120000</v>
      </c>
      <c r="D471" s="95" t="s">
        <v>111</v>
      </c>
      <c r="E471" s="1377">
        <f>IF(E470="O/H",E464,91887+E464)</f>
        <v>95711</v>
      </c>
      <c r="F471" s="1110">
        <f t="shared" ref="F471:AI471" si="466">IF(F470="O/H",F464,91887+F464)</f>
        <v>95750</v>
      </c>
      <c r="G471" s="1110">
        <f t="shared" si="466"/>
        <v>95221.5</v>
      </c>
      <c r="H471" s="1110">
        <f t="shared" si="466"/>
        <v>95531.5</v>
      </c>
      <c r="I471" s="1110">
        <f t="shared" si="466"/>
        <v>95499</v>
      </c>
      <c r="J471" s="1110">
        <f t="shared" si="466"/>
        <v>95953.5</v>
      </c>
      <c r="K471" s="1109">
        <f t="shared" si="466"/>
        <v>95496.5</v>
      </c>
      <c r="L471" s="1110">
        <f t="shared" si="466"/>
        <v>95252.5</v>
      </c>
      <c r="M471" s="1110">
        <f t="shared" si="466"/>
        <v>95234.5</v>
      </c>
      <c r="N471" s="1110">
        <f t="shared" si="466"/>
        <v>91887</v>
      </c>
      <c r="O471" s="1110">
        <f t="shared" si="466"/>
        <v>91887</v>
      </c>
      <c r="P471" s="1110">
        <f t="shared" si="466"/>
        <v>91887</v>
      </c>
      <c r="Q471" s="1110">
        <f t="shared" si="466"/>
        <v>91887</v>
      </c>
      <c r="R471" s="1110">
        <f t="shared" si="466"/>
        <v>91887</v>
      </c>
      <c r="S471" s="1110">
        <f t="shared" si="466"/>
        <v>91887</v>
      </c>
      <c r="T471" s="1110">
        <f t="shared" si="466"/>
        <v>92015</v>
      </c>
      <c r="U471" s="1110">
        <f t="shared" si="466"/>
        <v>92859</v>
      </c>
      <c r="V471" s="1110">
        <f t="shared" si="466"/>
        <v>95477</v>
      </c>
      <c r="W471" s="1110">
        <f t="shared" si="466"/>
        <v>95072.5</v>
      </c>
      <c r="X471" s="1110">
        <f t="shared" si="466"/>
        <v>95813.5</v>
      </c>
      <c r="Y471" s="1110">
        <f t="shared" si="466"/>
        <v>95536.5</v>
      </c>
      <c r="Z471" s="1110">
        <f t="shared" si="466"/>
        <v>93205</v>
      </c>
      <c r="AA471" s="1110">
        <f t="shared" si="466"/>
        <v>92271</v>
      </c>
      <c r="AB471" s="1110">
        <f t="shared" si="466"/>
        <v>91887</v>
      </c>
      <c r="AC471" s="1110">
        <f t="shared" si="466"/>
        <v>91887</v>
      </c>
      <c r="AD471" s="1110">
        <f t="shared" si="466"/>
        <v>91887</v>
      </c>
      <c r="AE471" s="1110">
        <f t="shared" si="466"/>
        <v>91887</v>
      </c>
      <c r="AF471" s="1109">
        <f t="shared" si="466"/>
        <v>91887</v>
      </c>
      <c r="AG471" s="1110">
        <f t="shared" si="466"/>
        <v>91887</v>
      </c>
      <c r="AH471" s="1109">
        <f t="shared" si="466"/>
        <v>91887</v>
      </c>
      <c r="AI471" s="1109">
        <f t="shared" si="466"/>
        <v>91887</v>
      </c>
      <c r="AJ471" s="1224"/>
      <c r="AK471" s="1027">
        <f t="shared" si="453"/>
        <v>0</v>
      </c>
      <c r="AL471" s="421"/>
      <c r="AM471" s="1043">
        <f t="shared" si="454"/>
        <v>0</v>
      </c>
      <c r="AN471" s="894"/>
      <c r="AO471" s="625"/>
      <c r="AP471" s="32"/>
      <c r="AQ471" s="33"/>
      <c r="AR471" s="33"/>
      <c r="AS471" s="33"/>
      <c r="AT471" s="33"/>
      <c r="AU471" s="33"/>
      <c r="AV471" s="34"/>
    </row>
    <row r="472" spans="1:48" ht="21" hidden="1" thickTop="1">
      <c r="A472" s="442" t="s">
        <v>602</v>
      </c>
      <c r="B472" s="1309" t="s">
        <v>639</v>
      </c>
      <c r="C472" s="518" t="str">
        <f>Table37[[#This Row],[M/C No.]]</f>
        <v>R22(50ton)</v>
      </c>
      <c r="D472" s="28" t="s">
        <v>82</v>
      </c>
      <c r="E472" s="1111"/>
      <c r="F472" s="1111"/>
      <c r="G472" s="1201"/>
      <c r="H472" s="1111"/>
      <c r="I472" s="1111"/>
      <c r="J472" s="1201"/>
      <c r="K472" s="1201"/>
      <c r="L472" s="1111"/>
      <c r="M472" s="1111"/>
      <c r="N472" s="1111"/>
      <c r="O472" s="1111"/>
      <c r="P472" s="1111"/>
      <c r="Q472" s="1201"/>
      <c r="R472" s="1201"/>
      <c r="S472" s="1111"/>
      <c r="T472" s="1111"/>
      <c r="U472" s="1111"/>
      <c r="V472" s="1111"/>
      <c r="W472" s="1111"/>
      <c r="X472" s="1201"/>
      <c r="Y472" s="1201"/>
      <c r="Z472" s="1111"/>
      <c r="AA472" s="1111"/>
      <c r="AB472" s="1111"/>
      <c r="AC472" s="1111"/>
      <c r="AD472" s="1111"/>
      <c r="AE472" s="1201"/>
      <c r="AF472" s="1201"/>
      <c r="AG472" s="1111"/>
      <c r="AH472" s="1111"/>
      <c r="AI472" s="1111"/>
      <c r="AJ472" s="375">
        <f>SUM(E472:AI472)</f>
        <v>0</v>
      </c>
      <c r="AK472" s="1047">
        <f t="shared" si="453"/>
        <v>0</v>
      </c>
      <c r="AL472" s="422">
        <f>+AJ472*AN472</f>
        <v>0</v>
      </c>
      <c r="AM472" s="1046">
        <f t="shared" si="454"/>
        <v>0</v>
      </c>
      <c r="AN472" s="402">
        <v>7.0700399999999997</v>
      </c>
      <c r="AO472" s="622">
        <f>Table37[[#This Row],[Total]]*B476/1000</f>
        <v>0</v>
      </c>
      <c r="AP472" s="32" t="s">
        <v>488</v>
      </c>
      <c r="AQ472" s="33" t="s">
        <v>84</v>
      </c>
      <c r="AR472" s="33" t="s">
        <v>85</v>
      </c>
      <c r="AS472" s="33" t="s">
        <v>86</v>
      </c>
      <c r="AT472" s="33" t="s">
        <v>87</v>
      </c>
      <c r="AU472" s="33" t="s">
        <v>88</v>
      </c>
      <c r="AV472" s="34" t="s">
        <v>68</v>
      </c>
    </row>
    <row r="473" spans="1:48" ht="20.25" hidden="1">
      <c r="A473" s="441"/>
      <c r="B473" s="781" t="s">
        <v>470</v>
      </c>
      <c r="C473" s="52" t="s">
        <v>95</v>
      </c>
      <c r="D473" s="37" t="s">
        <v>90</v>
      </c>
      <c r="E473" s="1373">
        <f>IF(E472="",0,+E472/E479)</f>
        <v>0</v>
      </c>
      <c r="F473" s="1096">
        <f t="shared" ref="F473:AI473" si="467">IF(F472="",0, E473+F472/F479)</f>
        <v>0</v>
      </c>
      <c r="G473" s="1207">
        <f t="shared" si="467"/>
        <v>0</v>
      </c>
      <c r="H473" s="1096">
        <f t="shared" si="467"/>
        <v>0</v>
      </c>
      <c r="I473" s="1096">
        <f t="shared" si="467"/>
        <v>0</v>
      </c>
      <c r="J473" s="1207">
        <f t="shared" si="467"/>
        <v>0</v>
      </c>
      <c r="K473" s="1207">
        <f t="shared" si="467"/>
        <v>0</v>
      </c>
      <c r="L473" s="1096">
        <f t="shared" si="467"/>
        <v>0</v>
      </c>
      <c r="M473" s="1096">
        <f t="shared" si="467"/>
        <v>0</v>
      </c>
      <c r="N473" s="1096">
        <f t="shared" si="467"/>
        <v>0</v>
      </c>
      <c r="O473" s="1096">
        <f t="shared" si="467"/>
        <v>0</v>
      </c>
      <c r="P473" s="1096">
        <f t="shared" si="467"/>
        <v>0</v>
      </c>
      <c r="Q473" s="1207">
        <f t="shared" si="467"/>
        <v>0</v>
      </c>
      <c r="R473" s="1207">
        <f t="shared" si="467"/>
        <v>0</v>
      </c>
      <c r="S473" s="1096">
        <f t="shared" si="467"/>
        <v>0</v>
      </c>
      <c r="T473" s="1096">
        <f t="shared" si="467"/>
        <v>0</v>
      </c>
      <c r="U473" s="1096">
        <f t="shared" si="467"/>
        <v>0</v>
      </c>
      <c r="V473" s="1096">
        <f t="shared" si="467"/>
        <v>0</v>
      </c>
      <c r="W473" s="1096">
        <f t="shared" si="467"/>
        <v>0</v>
      </c>
      <c r="X473" s="1207">
        <f t="shared" si="467"/>
        <v>0</v>
      </c>
      <c r="Y473" s="1207">
        <f t="shared" si="467"/>
        <v>0</v>
      </c>
      <c r="Z473" s="1096">
        <f t="shared" si="467"/>
        <v>0</v>
      </c>
      <c r="AA473" s="1096">
        <f t="shared" si="467"/>
        <v>0</v>
      </c>
      <c r="AB473" s="1096">
        <f t="shared" si="467"/>
        <v>0</v>
      </c>
      <c r="AC473" s="1096">
        <f t="shared" si="467"/>
        <v>0</v>
      </c>
      <c r="AD473" s="1096">
        <f t="shared" si="467"/>
        <v>0</v>
      </c>
      <c r="AE473" s="1207">
        <f t="shared" si="467"/>
        <v>0</v>
      </c>
      <c r="AF473" s="1207">
        <f t="shared" si="467"/>
        <v>0</v>
      </c>
      <c r="AG473" s="1096">
        <f t="shared" si="467"/>
        <v>0</v>
      </c>
      <c r="AH473" s="1096">
        <f t="shared" si="467"/>
        <v>0</v>
      </c>
      <c r="AI473" s="1096">
        <f t="shared" si="467"/>
        <v>0</v>
      </c>
      <c r="AJ473" s="375"/>
      <c r="AK473" s="1023">
        <f t="shared" si="453"/>
        <v>0</v>
      </c>
      <c r="AL473" s="423"/>
      <c r="AM473" s="1040">
        <f t="shared" si="454"/>
        <v>0</v>
      </c>
      <c r="AN473" s="382"/>
      <c r="AO473" s="675"/>
      <c r="AP473" s="39" t="s">
        <v>91</v>
      </c>
      <c r="AQ473" s="40">
        <f>SUM(E472:K472)</f>
        <v>0</v>
      </c>
      <c r="AR473" s="41">
        <f>SUM(L472:R472)</f>
        <v>0</v>
      </c>
      <c r="AS473" s="41">
        <f>SUM(S472:Y472)</f>
        <v>0</v>
      </c>
      <c r="AT473" s="41">
        <f>SUM(Z472:AF472)</f>
        <v>0</v>
      </c>
      <c r="AU473" s="41">
        <f>SUM(AG472:AI472)</f>
        <v>0</v>
      </c>
      <c r="AV473" s="34">
        <f t="shared" ref="AV473:AV478" si="468">SUM(AQ473:AU473)</f>
        <v>0</v>
      </c>
    </row>
    <row r="474" spans="1:48" ht="20.25" hidden="1">
      <c r="A474" s="441"/>
      <c r="B474" s="393" t="s">
        <v>246</v>
      </c>
      <c r="C474" s="379">
        <v>60000</v>
      </c>
      <c r="D474" s="43" t="s">
        <v>93</v>
      </c>
      <c r="E474" s="1325"/>
      <c r="F474" s="1089"/>
      <c r="G474" s="44"/>
      <c r="H474" s="1089"/>
      <c r="I474" s="1089"/>
      <c r="J474" s="44"/>
      <c r="K474" s="44"/>
      <c r="L474" s="1089"/>
      <c r="M474" s="1089"/>
      <c r="N474" s="1089"/>
      <c r="O474" s="1089"/>
      <c r="P474" s="1089"/>
      <c r="Q474" s="44"/>
      <c r="R474" s="44"/>
      <c r="S474" s="1089"/>
      <c r="T474" s="1089"/>
      <c r="U474" s="1089"/>
      <c r="V474" s="1089"/>
      <c r="W474" s="1089"/>
      <c r="X474" s="44"/>
      <c r="Y474" s="44"/>
      <c r="Z474" s="1089"/>
      <c r="AA474" s="1089"/>
      <c r="AB474" s="1089"/>
      <c r="AC474" s="1089"/>
      <c r="AD474" s="1089"/>
      <c r="AE474" s="44"/>
      <c r="AF474" s="44"/>
      <c r="AG474" s="1089"/>
      <c r="AH474" s="1089"/>
      <c r="AI474" s="1089"/>
      <c r="AJ474" s="380">
        <f>SUM(E474:AI474)</f>
        <v>0</v>
      </c>
      <c r="AK474" s="1024">
        <f t="shared" si="453"/>
        <v>0</v>
      </c>
      <c r="AL474" s="424">
        <f>+AJ474*AN472</f>
        <v>0</v>
      </c>
      <c r="AM474" s="1041">
        <f t="shared" si="454"/>
        <v>0</v>
      </c>
      <c r="AN474" s="382"/>
      <c r="AO474" s="632">
        <f>(AJ474+AJ476+AJ477+AJ478)*B476/1000</f>
        <v>0</v>
      </c>
      <c r="AP474" s="47" t="s">
        <v>94</v>
      </c>
      <c r="AQ474" s="48">
        <f>SUM(E474:K474)</f>
        <v>0</v>
      </c>
      <c r="AR474" s="49">
        <f>SUM(L474:R474)</f>
        <v>0</v>
      </c>
      <c r="AS474" s="49">
        <f>SUM(S474:Y474)</f>
        <v>0</v>
      </c>
      <c r="AT474" s="49">
        <f>SUM(Z474:AF474)</f>
        <v>0</v>
      </c>
      <c r="AU474" s="49">
        <f>SUM(AG474:AI474)</f>
        <v>0</v>
      </c>
      <c r="AV474" s="50">
        <f t="shared" si="468"/>
        <v>0</v>
      </c>
    </row>
    <row r="475" spans="1:48" ht="20.25" hidden="1">
      <c r="A475" s="441"/>
      <c r="B475" s="767" t="s">
        <v>247</v>
      </c>
      <c r="C475" s="89" t="s">
        <v>108</v>
      </c>
      <c r="D475" s="53" t="s">
        <v>96</v>
      </c>
      <c r="E475" s="1327">
        <f>+E474-E472</f>
        <v>0</v>
      </c>
      <c r="F475" s="1097">
        <f>+F474-F472</f>
        <v>0</v>
      </c>
      <c r="G475" s="1205">
        <f t="shared" ref="G475:P475" si="469">+G474-G472</f>
        <v>0</v>
      </c>
      <c r="H475" s="1097">
        <f t="shared" si="469"/>
        <v>0</v>
      </c>
      <c r="I475" s="1097">
        <f t="shared" si="469"/>
        <v>0</v>
      </c>
      <c r="J475" s="1205">
        <f t="shared" si="469"/>
        <v>0</v>
      </c>
      <c r="K475" s="1205">
        <f t="shared" si="469"/>
        <v>0</v>
      </c>
      <c r="L475" s="1097">
        <f t="shared" si="469"/>
        <v>0</v>
      </c>
      <c r="M475" s="1097">
        <f t="shared" si="469"/>
        <v>0</v>
      </c>
      <c r="N475" s="1097">
        <f t="shared" si="469"/>
        <v>0</v>
      </c>
      <c r="O475" s="1097">
        <f t="shared" si="469"/>
        <v>0</v>
      </c>
      <c r="P475" s="1097">
        <f t="shared" si="469"/>
        <v>0</v>
      </c>
      <c r="Q475" s="1205">
        <f>+Q474-Q472</f>
        <v>0</v>
      </c>
      <c r="R475" s="1205">
        <f t="shared" ref="R475:AJ475" si="470">+R474-R472</f>
        <v>0</v>
      </c>
      <c r="S475" s="1097">
        <f t="shared" si="470"/>
        <v>0</v>
      </c>
      <c r="T475" s="1097">
        <f t="shared" si="470"/>
        <v>0</v>
      </c>
      <c r="U475" s="1097">
        <f t="shared" si="470"/>
        <v>0</v>
      </c>
      <c r="V475" s="1097">
        <f t="shared" si="470"/>
        <v>0</v>
      </c>
      <c r="W475" s="1097">
        <f t="shared" si="470"/>
        <v>0</v>
      </c>
      <c r="X475" s="1205">
        <f t="shared" si="470"/>
        <v>0</v>
      </c>
      <c r="Y475" s="1205">
        <f t="shared" si="470"/>
        <v>0</v>
      </c>
      <c r="Z475" s="1097">
        <f t="shared" si="470"/>
        <v>0</v>
      </c>
      <c r="AA475" s="1097">
        <f t="shared" si="470"/>
        <v>0</v>
      </c>
      <c r="AB475" s="1097">
        <f t="shared" si="470"/>
        <v>0</v>
      </c>
      <c r="AC475" s="1097">
        <f t="shared" si="470"/>
        <v>0</v>
      </c>
      <c r="AD475" s="1097">
        <f t="shared" si="470"/>
        <v>0</v>
      </c>
      <c r="AE475" s="1205">
        <f t="shared" si="470"/>
        <v>0</v>
      </c>
      <c r="AF475" s="1205">
        <f t="shared" si="470"/>
        <v>0</v>
      </c>
      <c r="AG475" s="1097">
        <f t="shared" si="470"/>
        <v>0</v>
      </c>
      <c r="AH475" s="1097">
        <f t="shared" si="470"/>
        <v>0</v>
      </c>
      <c r="AI475" s="1097">
        <f t="shared" si="470"/>
        <v>0</v>
      </c>
      <c r="AJ475" s="381">
        <f t="shared" si="470"/>
        <v>0</v>
      </c>
      <c r="AK475" s="1024">
        <f t="shared" si="453"/>
        <v>0</v>
      </c>
      <c r="AL475" s="425">
        <f>+AJ475*AN472</f>
        <v>0</v>
      </c>
      <c r="AM475" s="1041">
        <f t="shared" si="454"/>
        <v>0</v>
      </c>
      <c r="AN475" s="382" t="s">
        <v>97</v>
      </c>
      <c r="AO475" s="622"/>
      <c r="AP475" s="39" t="s">
        <v>98</v>
      </c>
      <c r="AQ475" s="56">
        <f>AQ474-AQ473</f>
        <v>0</v>
      </c>
      <c r="AR475" s="70">
        <f>AR474-AR473</f>
        <v>0</v>
      </c>
      <c r="AS475" s="70">
        <f>AS474-AS473</f>
        <v>0</v>
      </c>
      <c r="AT475" s="70">
        <f>AT474-AT473</f>
        <v>0</v>
      </c>
      <c r="AU475" s="70">
        <f>AU474-AU473</f>
        <v>0</v>
      </c>
      <c r="AV475" s="57">
        <f t="shared" si="468"/>
        <v>0</v>
      </c>
    </row>
    <row r="476" spans="1:48" ht="20.25" hidden="1">
      <c r="A476" s="441"/>
      <c r="B476" s="769"/>
      <c r="C476" s="383">
        <f>+C474*0.8</f>
        <v>48000</v>
      </c>
      <c r="D476" s="61" t="s">
        <v>101</v>
      </c>
      <c r="E476" s="1367"/>
      <c r="F476" s="1099"/>
      <c r="G476" s="1208"/>
      <c r="H476" s="1099"/>
      <c r="I476" s="1099"/>
      <c r="J476" s="1208"/>
      <c r="K476" s="1208"/>
      <c r="L476" s="1099"/>
      <c r="M476" s="1099"/>
      <c r="N476" s="1099"/>
      <c r="O476" s="1099"/>
      <c r="P476" s="1099"/>
      <c r="Q476" s="1208"/>
      <c r="R476" s="1208"/>
      <c r="S476" s="1099"/>
      <c r="T476" s="1099"/>
      <c r="U476" s="1099"/>
      <c r="V476" s="1099"/>
      <c r="W476" s="1099"/>
      <c r="X476" s="1208"/>
      <c r="Y476" s="1208"/>
      <c r="Z476" s="1099"/>
      <c r="AA476" s="1099"/>
      <c r="AB476" s="1099"/>
      <c r="AC476" s="1099"/>
      <c r="AD476" s="1099"/>
      <c r="AE476" s="1208"/>
      <c r="AF476" s="1208"/>
      <c r="AG476" s="1099"/>
      <c r="AH476" s="1099"/>
      <c r="AI476" s="1099"/>
      <c r="AJ476" s="384">
        <f>SUM(E476:AI476)</f>
        <v>0</v>
      </c>
      <c r="AK476" s="1024">
        <f t="shared" si="453"/>
        <v>0</v>
      </c>
      <c r="AL476" s="420">
        <f>+AJ476*AN472</f>
        <v>0</v>
      </c>
      <c r="AM476" s="1040">
        <f t="shared" si="454"/>
        <v>0</v>
      </c>
      <c r="AN476" s="404" t="e">
        <f>+AJ476/AJ474*100</f>
        <v>#DIV/0!</v>
      </c>
      <c r="AO476" s="635" t="e">
        <f>AO474/AO472</f>
        <v>#DIV/0!</v>
      </c>
      <c r="AP476" s="39" t="s">
        <v>102</v>
      </c>
      <c r="AQ476" s="56">
        <f>SUM(E476:K476)</f>
        <v>0</v>
      </c>
      <c r="AR476" s="70">
        <f>SUM(L476:R476)</f>
        <v>0</v>
      </c>
      <c r="AS476" s="70">
        <f>SUM(S476:Y476)</f>
        <v>0</v>
      </c>
      <c r="AT476" s="70">
        <f>SUM(Z476:AF476)</f>
        <v>0</v>
      </c>
      <c r="AU476" s="70">
        <f>SUM(AG476:AI476)</f>
        <v>0</v>
      </c>
      <c r="AV476" s="57">
        <f t="shared" si="468"/>
        <v>0</v>
      </c>
    </row>
    <row r="477" spans="1:48" ht="20.25" hidden="1">
      <c r="A477" s="441"/>
      <c r="B477" s="208" t="s">
        <v>463</v>
      </c>
      <c r="C477" s="383"/>
      <c r="D477" s="67" t="s">
        <v>103</v>
      </c>
      <c r="E477" s="1113"/>
      <c r="F477" s="1101"/>
      <c r="G477" s="1209"/>
      <c r="H477" s="1101"/>
      <c r="I477" s="1101"/>
      <c r="J477" s="1209"/>
      <c r="K477" s="1209"/>
      <c r="L477" s="1101"/>
      <c r="M477" s="1101"/>
      <c r="N477" s="1101"/>
      <c r="O477" s="1101"/>
      <c r="P477" s="1101"/>
      <c r="Q477" s="1209"/>
      <c r="R477" s="1209"/>
      <c r="S477" s="1101"/>
      <c r="T477" s="1101"/>
      <c r="U477" s="1101"/>
      <c r="V477" s="1101"/>
      <c r="W477" s="1101"/>
      <c r="X477" s="1209"/>
      <c r="Y477" s="1209"/>
      <c r="Z477" s="1101"/>
      <c r="AA477" s="1101"/>
      <c r="AB477" s="1101"/>
      <c r="AC477" s="1101"/>
      <c r="AD477" s="1101"/>
      <c r="AE477" s="1209"/>
      <c r="AF477" s="1209"/>
      <c r="AG477" s="1101"/>
      <c r="AH477" s="1101"/>
      <c r="AI477" s="1101"/>
      <c r="AJ477" s="386">
        <f>SUM(E477:AI477)</f>
        <v>0</v>
      </c>
      <c r="AK477" s="1024">
        <f t="shared" si="453"/>
        <v>0</v>
      </c>
      <c r="AL477" s="426">
        <f>+AJ477*AN472</f>
        <v>0</v>
      </c>
      <c r="AM477" s="1040">
        <f t="shared" si="454"/>
        <v>0</v>
      </c>
      <c r="AN477" s="382"/>
      <c r="AO477" s="622"/>
      <c r="AP477" s="39" t="s">
        <v>19</v>
      </c>
      <c r="AQ477" s="56">
        <f>AQ476*AN472</f>
        <v>0</v>
      </c>
      <c r="AR477" s="56">
        <f>AR476*AN472</f>
        <v>0</v>
      </c>
      <c r="AS477" s="56">
        <f>AS476*AN472</f>
        <v>0</v>
      </c>
      <c r="AT477" s="56">
        <f>AT476*AN472</f>
        <v>0</v>
      </c>
      <c r="AU477" s="56">
        <f>AU476*AN472</f>
        <v>0</v>
      </c>
      <c r="AV477" s="57">
        <f t="shared" si="468"/>
        <v>0</v>
      </c>
    </row>
    <row r="478" spans="1:48" ht="20.25" hidden="1">
      <c r="A478" s="441"/>
      <c r="B478" s="65"/>
      <c r="C478" s="387" t="s">
        <v>435</v>
      </c>
      <c r="D478" s="73" t="s">
        <v>105</v>
      </c>
      <c r="E478" s="1115"/>
      <c r="F478" s="1103"/>
      <c r="G478" s="1210"/>
      <c r="H478" s="1103"/>
      <c r="I478" s="1103"/>
      <c r="J478" s="1210"/>
      <c r="K478" s="1210"/>
      <c r="L478" s="1103"/>
      <c r="M478" s="1103"/>
      <c r="N478" s="1103"/>
      <c r="O478" s="1103"/>
      <c r="P478" s="1103"/>
      <c r="Q478" s="1210"/>
      <c r="R478" s="1210"/>
      <c r="S478" s="1103"/>
      <c r="T478" s="1103"/>
      <c r="U478" s="1103"/>
      <c r="V478" s="1103"/>
      <c r="W478" s="1103"/>
      <c r="X478" s="1210"/>
      <c r="Y478" s="1210"/>
      <c r="Z478" s="1103"/>
      <c r="AA478" s="1103"/>
      <c r="AB478" s="1103"/>
      <c r="AC478" s="1103"/>
      <c r="AD478" s="1103"/>
      <c r="AE478" s="1210"/>
      <c r="AF478" s="1210"/>
      <c r="AG478" s="1103"/>
      <c r="AH478" s="1103"/>
      <c r="AI478" s="1103"/>
      <c r="AJ478" s="388">
        <f>SUM(E478:AI478)</f>
        <v>0</v>
      </c>
      <c r="AK478" s="1024">
        <f t="shared" si="453"/>
        <v>0</v>
      </c>
      <c r="AL478" s="427">
        <f>+AJ478*AN472</f>
        <v>0</v>
      </c>
      <c r="AM478" s="1040">
        <f t="shared" si="454"/>
        <v>0</v>
      </c>
      <c r="AN478" s="382"/>
      <c r="AO478" s="622"/>
      <c r="AP478" s="47" t="s">
        <v>106</v>
      </c>
      <c r="AQ478" s="48">
        <f>AQ474*AN472</f>
        <v>0</v>
      </c>
      <c r="AR478" s="48">
        <f>AR474*AN472</f>
        <v>0</v>
      </c>
      <c r="AS478" s="48">
        <f>AS474*AN472</f>
        <v>0</v>
      </c>
      <c r="AT478" s="48">
        <f>AT474*AN472</f>
        <v>0</v>
      </c>
      <c r="AU478" s="48">
        <f>AU474*AN472</f>
        <v>0</v>
      </c>
      <c r="AV478" s="50">
        <f t="shared" si="468"/>
        <v>0</v>
      </c>
    </row>
    <row r="479" spans="1:48" ht="20.25" hidden="1">
      <c r="A479" s="441"/>
      <c r="B479" s="390"/>
      <c r="C479" s="379">
        <v>50000</v>
      </c>
      <c r="D479" s="78" t="s">
        <v>107</v>
      </c>
      <c r="E479" s="1327">
        <v>4</v>
      </c>
      <c r="F479" s="1097">
        <v>4</v>
      </c>
      <c r="G479" s="1205">
        <v>4</v>
      </c>
      <c r="H479" s="1097">
        <v>4</v>
      </c>
      <c r="I479" s="1097">
        <v>4</v>
      </c>
      <c r="J479" s="1205">
        <v>4</v>
      </c>
      <c r="K479" s="1205">
        <v>4</v>
      </c>
      <c r="L479" s="1097">
        <v>4</v>
      </c>
      <c r="M479" s="1097">
        <v>4</v>
      </c>
      <c r="N479" s="1097">
        <v>4</v>
      </c>
      <c r="O479" s="1097">
        <v>4</v>
      </c>
      <c r="P479" s="1097">
        <v>4</v>
      </c>
      <c r="Q479" s="1205">
        <v>4</v>
      </c>
      <c r="R479" s="1205">
        <v>4</v>
      </c>
      <c r="S479" s="1097">
        <v>4</v>
      </c>
      <c r="T479" s="1097">
        <v>4</v>
      </c>
      <c r="U479" s="1097">
        <v>4</v>
      </c>
      <c r="V479" s="1097">
        <v>4</v>
      </c>
      <c r="W479" s="1097">
        <v>4</v>
      </c>
      <c r="X479" s="1205">
        <v>4</v>
      </c>
      <c r="Y479" s="1205">
        <v>4</v>
      </c>
      <c r="Z479" s="1097">
        <v>4</v>
      </c>
      <c r="AA479" s="1097">
        <v>4</v>
      </c>
      <c r="AB479" s="1097">
        <v>4</v>
      </c>
      <c r="AC479" s="1097">
        <v>4</v>
      </c>
      <c r="AD479" s="1097">
        <v>4</v>
      </c>
      <c r="AE479" s="1205">
        <v>4</v>
      </c>
      <c r="AF479" s="1205">
        <v>4</v>
      </c>
      <c r="AG479" s="1097">
        <v>4</v>
      </c>
      <c r="AH479" s="1097">
        <v>4</v>
      </c>
      <c r="AI479" s="1097">
        <v>4</v>
      </c>
      <c r="AJ479" s="381"/>
      <c r="AK479" s="1024">
        <f t="shared" si="453"/>
        <v>0</v>
      </c>
      <c r="AL479" s="425"/>
      <c r="AM479" s="1041">
        <f t="shared" si="454"/>
        <v>0</v>
      </c>
      <c r="AN479" s="382"/>
      <c r="AO479" s="622"/>
      <c r="AP479" s="391"/>
      <c r="AQ479" s="391"/>
      <c r="AV479" s="4"/>
    </row>
    <row r="480" spans="1:48" ht="20.25" hidden="1">
      <c r="A480" s="442"/>
      <c r="B480" s="390"/>
      <c r="C480" s="89" t="s">
        <v>108</v>
      </c>
      <c r="D480" s="81" t="s">
        <v>109</v>
      </c>
      <c r="E480" s="1374">
        <f>SUM(E474+E476+E477+E478)/E479</f>
        <v>0</v>
      </c>
      <c r="F480" s="1104">
        <f t="shared" ref="F480:AI480" si="471">SUM(F474+F476+F477+F478)/F479</f>
        <v>0</v>
      </c>
      <c r="G480" s="1211">
        <f t="shared" si="471"/>
        <v>0</v>
      </c>
      <c r="H480" s="1104">
        <f t="shared" si="471"/>
        <v>0</v>
      </c>
      <c r="I480" s="1104">
        <f t="shared" si="471"/>
        <v>0</v>
      </c>
      <c r="J480" s="1211">
        <f t="shared" si="471"/>
        <v>0</v>
      </c>
      <c r="K480" s="1211">
        <f t="shared" si="471"/>
        <v>0</v>
      </c>
      <c r="L480" s="1104">
        <f t="shared" si="471"/>
        <v>0</v>
      </c>
      <c r="M480" s="1104">
        <f t="shared" si="471"/>
        <v>0</v>
      </c>
      <c r="N480" s="1104">
        <f t="shared" si="471"/>
        <v>0</v>
      </c>
      <c r="O480" s="1104">
        <f t="shared" si="471"/>
        <v>0</v>
      </c>
      <c r="P480" s="1104">
        <f t="shared" si="471"/>
        <v>0</v>
      </c>
      <c r="Q480" s="1211">
        <f t="shared" si="471"/>
        <v>0</v>
      </c>
      <c r="R480" s="1211">
        <f t="shared" si="471"/>
        <v>0</v>
      </c>
      <c r="S480" s="1104">
        <f t="shared" si="471"/>
        <v>0</v>
      </c>
      <c r="T480" s="1104">
        <f t="shared" si="471"/>
        <v>0</v>
      </c>
      <c r="U480" s="1104">
        <f t="shared" si="471"/>
        <v>0</v>
      </c>
      <c r="V480" s="1104">
        <f t="shared" si="471"/>
        <v>0</v>
      </c>
      <c r="W480" s="1104">
        <f t="shared" si="471"/>
        <v>0</v>
      </c>
      <c r="X480" s="1211">
        <f t="shared" si="471"/>
        <v>0</v>
      </c>
      <c r="Y480" s="1211">
        <f t="shared" si="471"/>
        <v>0</v>
      </c>
      <c r="Z480" s="1104">
        <f t="shared" si="471"/>
        <v>0</v>
      </c>
      <c r="AA480" s="1104">
        <f t="shared" si="471"/>
        <v>0</v>
      </c>
      <c r="AB480" s="1104">
        <f t="shared" si="471"/>
        <v>0</v>
      </c>
      <c r="AC480" s="1104">
        <f t="shared" si="471"/>
        <v>0</v>
      </c>
      <c r="AD480" s="1104">
        <f t="shared" si="471"/>
        <v>0</v>
      </c>
      <c r="AE480" s="1211">
        <f t="shared" si="471"/>
        <v>0</v>
      </c>
      <c r="AF480" s="1211">
        <f t="shared" si="471"/>
        <v>0</v>
      </c>
      <c r="AG480" s="1104">
        <f t="shared" si="471"/>
        <v>0</v>
      </c>
      <c r="AH480" s="1104">
        <f t="shared" si="471"/>
        <v>0</v>
      </c>
      <c r="AI480" s="1379">
        <f t="shared" si="471"/>
        <v>0</v>
      </c>
      <c r="AJ480" s="380">
        <f>SUM(E480:AI480)</f>
        <v>0</v>
      </c>
      <c r="AK480" s="1025">
        <f t="shared" si="453"/>
        <v>0</v>
      </c>
      <c r="AL480" s="419"/>
      <c r="AM480" s="1040">
        <f t="shared" si="454"/>
        <v>0</v>
      </c>
      <c r="AN480" s="382"/>
      <c r="AO480" s="622"/>
      <c r="AP480" s="391"/>
      <c r="AQ480" s="391"/>
      <c r="AR480" s="4"/>
      <c r="AS480" s="4"/>
      <c r="AT480" s="392"/>
      <c r="AU480" s="4"/>
      <c r="AV480" s="4"/>
    </row>
    <row r="481" spans="1:48" ht="20.25" hidden="1">
      <c r="A481" s="441"/>
      <c r="B481" s="390"/>
      <c r="C481" s="84">
        <f>+C479*0.8</f>
        <v>40000</v>
      </c>
      <c r="D481" s="85" t="s">
        <v>110</v>
      </c>
      <c r="E481" s="1375"/>
      <c r="F481" s="1172"/>
      <c r="G481" s="1235"/>
      <c r="H481" s="1172"/>
      <c r="I481" s="1126"/>
      <c r="J481" s="1281"/>
      <c r="K481" s="1235"/>
      <c r="L481" s="1126"/>
      <c r="M481" s="1126"/>
      <c r="N481" s="1174"/>
      <c r="O481" s="1173"/>
      <c r="P481" s="1173"/>
      <c r="Q481" s="1268"/>
      <c r="R481" s="1281"/>
      <c r="S481" s="1173"/>
      <c r="T481" s="1107"/>
      <c r="U481" s="1155"/>
      <c r="V481" s="1173"/>
      <c r="W481" s="1173"/>
      <c r="X481" s="1281"/>
      <c r="Y481" s="1281"/>
      <c r="Z481" s="1155"/>
      <c r="AA481" s="1173"/>
      <c r="AB481" s="1173"/>
      <c r="AC481" s="1173"/>
      <c r="AD481" s="1173"/>
      <c r="AE481" s="1281"/>
      <c r="AF481" s="1281"/>
      <c r="AG481" s="1173"/>
      <c r="AH481" s="1173"/>
      <c r="AI481" s="1173"/>
      <c r="AJ481" s="394"/>
      <c r="AK481" s="1025">
        <f t="shared" si="453"/>
        <v>0</v>
      </c>
      <c r="AL481" s="419"/>
      <c r="AM481" s="1040">
        <f t="shared" si="454"/>
        <v>0</v>
      </c>
      <c r="AN481" s="382"/>
      <c r="AO481" s="622"/>
      <c r="AP481" s="391"/>
      <c r="AQ481" s="391"/>
      <c r="AR481" s="4"/>
      <c r="AS481" s="4"/>
      <c r="AT481" s="392"/>
      <c r="AU481" s="4"/>
      <c r="AV481" s="4"/>
    </row>
    <row r="482" spans="1:48" ht="20.25" hidden="1">
      <c r="A482" s="441"/>
      <c r="B482" s="390"/>
      <c r="C482" s="89"/>
      <c r="D482" s="88" t="s">
        <v>111</v>
      </c>
      <c r="E482" s="1157">
        <f>IF(E481="O/H",E480,39047+E480)</f>
        <v>39047</v>
      </c>
      <c r="F482" s="1157">
        <f>IF(F481="O/H",F480,+E482+F480)</f>
        <v>39047</v>
      </c>
      <c r="G482" s="1264">
        <f t="shared" ref="G482:AF482" si="472">IF(G481="O/H",G480,+F482+G480)</f>
        <v>39047</v>
      </c>
      <c r="H482" s="1157">
        <f t="shared" si="472"/>
        <v>39047</v>
      </c>
      <c r="I482" s="1157">
        <f t="shared" si="472"/>
        <v>39047</v>
      </c>
      <c r="J482" s="1264">
        <f t="shared" si="472"/>
        <v>39047</v>
      </c>
      <c r="K482" s="1264">
        <f t="shared" si="472"/>
        <v>39047</v>
      </c>
      <c r="L482" s="1157">
        <f t="shared" si="472"/>
        <v>39047</v>
      </c>
      <c r="M482" s="1157">
        <f t="shared" si="472"/>
        <v>39047</v>
      </c>
      <c r="N482" s="1157">
        <f t="shared" si="472"/>
        <v>39047</v>
      </c>
      <c r="O482" s="1157">
        <f t="shared" si="472"/>
        <v>39047</v>
      </c>
      <c r="P482" s="1157">
        <f t="shared" si="472"/>
        <v>39047</v>
      </c>
      <c r="Q482" s="1264">
        <f t="shared" si="472"/>
        <v>39047</v>
      </c>
      <c r="R482" s="1264">
        <f t="shared" si="472"/>
        <v>39047</v>
      </c>
      <c r="S482" s="1157">
        <f t="shared" si="472"/>
        <v>39047</v>
      </c>
      <c r="T482" s="1157">
        <f t="shared" si="472"/>
        <v>39047</v>
      </c>
      <c r="U482" s="1157">
        <f t="shared" si="472"/>
        <v>39047</v>
      </c>
      <c r="V482" s="1157">
        <f t="shared" si="472"/>
        <v>39047</v>
      </c>
      <c r="W482" s="1157">
        <f t="shared" si="472"/>
        <v>39047</v>
      </c>
      <c r="X482" s="1264">
        <f t="shared" si="472"/>
        <v>39047</v>
      </c>
      <c r="Y482" s="1264">
        <f t="shared" si="472"/>
        <v>39047</v>
      </c>
      <c r="Z482" s="1157">
        <f t="shared" si="472"/>
        <v>39047</v>
      </c>
      <c r="AA482" s="1157">
        <f t="shared" si="472"/>
        <v>39047</v>
      </c>
      <c r="AB482" s="1157">
        <f t="shared" si="472"/>
        <v>39047</v>
      </c>
      <c r="AC482" s="1157">
        <f t="shared" si="472"/>
        <v>39047</v>
      </c>
      <c r="AD482" s="1157">
        <f t="shared" si="472"/>
        <v>39047</v>
      </c>
      <c r="AE482" s="1264">
        <f t="shared" si="472"/>
        <v>39047</v>
      </c>
      <c r="AF482" s="1264">
        <f t="shared" si="472"/>
        <v>39047</v>
      </c>
      <c r="AG482" s="1157">
        <f t="shared" ref="AG482" si="473">IF(AG481="O/H",AG480,+AF482+AG480)</f>
        <v>39047</v>
      </c>
      <c r="AH482" s="1157">
        <f t="shared" ref="AH482" si="474">IF(AH481="O/H",AH480,+AG482+AH480)</f>
        <v>39047</v>
      </c>
      <c r="AI482" s="1157">
        <f t="shared" ref="AI482" si="475">IF(AI481="O/H",AI480,+AH482+AI480)</f>
        <v>39047</v>
      </c>
      <c r="AJ482" s="394"/>
      <c r="AK482" s="1025">
        <f t="shared" si="453"/>
        <v>0</v>
      </c>
      <c r="AL482" s="419"/>
      <c r="AM482" s="1040">
        <f t="shared" si="454"/>
        <v>0</v>
      </c>
      <c r="AN482" s="382"/>
      <c r="AO482" s="622"/>
      <c r="AP482" s="391"/>
      <c r="AQ482" s="391"/>
    </row>
    <row r="483" spans="1:48" ht="20.45" hidden="1" customHeight="1">
      <c r="A483" s="441"/>
      <c r="B483" s="59"/>
      <c r="C483" s="387"/>
      <c r="D483" s="395" t="s">
        <v>435</v>
      </c>
      <c r="E483" s="1376"/>
      <c r="F483" s="1107"/>
      <c r="G483" s="1228"/>
      <c r="H483" s="1176"/>
      <c r="I483" s="1107"/>
      <c r="J483" s="1228"/>
      <c r="K483" s="1273"/>
      <c r="L483" s="1107"/>
      <c r="M483" s="1107"/>
      <c r="N483" s="1177"/>
      <c r="O483" s="1107"/>
      <c r="P483" s="1177"/>
      <c r="Q483" s="1228"/>
      <c r="R483" s="1228"/>
      <c r="S483" s="1107"/>
      <c r="T483" s="1107"/>
      <c r="U483" s="1107"/>
      <c r="V483" s="1107"/>
      <c r="W483" s="1107"/>
      <c r="X483" s="1228"/>
      <c r="Y483" s="1228"/>
      <c r="Z483" s="1155"/>
      <c r="AA483" s="1107"/>
      <c r="AB483" s="1107"/>
      <c r="AC483" s="1107"/>
      <c r="AD483" s="1107"/>
      <c r="AE483" s="1228"/>
      <c r="AF483" s="1228"/>
      <c r="AG483" s="1107"/>
      <c r="AH483" s="1107"/>
      <c r="AI483" s="1107"/>
      <c r="AJ483" s="396"/>
      <c r="AK483" s="1024">
        <f t="shared" si="453"/>
        <v>0</v>
      </c>
      <c r="AL483" s="420"/>
      <c r="AM483" s="1040">
        <f t="shared" si="454"/>
        <v>0</v>
      </c>
      <c r="AN483" s="382"/>
      <c r="AO483" s="622"/>
      <c r="AP483" s="391"/>
      <c r="AQ483" s="391"/>
    </row>
    <row r="484" spans="1:48" s="23" customFormat="1" ht="20.45" hidden="1" customHeight="1">
      <c r="A484" s="441"/>
      <c r="B484" s="59"/>
      <c r="C484" s="387" t="s">
        <v>104</v>
      </c>
      <c r="D484" s="88" t="s">
        <v>111</v>
      </c>
      <c r="E484" s="1157">
        <f>IF(E483="O/H",E480,39047+E480)</f>
        <v>39047</v>
      </c>
      <c r="F484" s="1157">
        <f>IF(F483="O/H",F480,+E484+F480)</f>
        <v>39047</v>
      </c>
      <c r="G484" s="1264">
        <f t="shared" ref="G484:AF484" si="476">IF(G483="O/H",G480,+F484+G480)</f>
        <v>39047</v>
      </c>
      <c r="H484" s="1157">
        <f t="shared" si="476"/>
        <v>39047</v>
      </c>
      <c r="I484" s="1157">
        <f t="shared" si="476"/>
        <v>39047</v>
      </c>
      <c r="J484" s="1264">
        <f t="shared" si="476"/>
        <v>39047</v>
      </c>
      <c r="K484" s="1264">
        <f t="shared" si="476"/>
        <v>39047</v>
      </c>
      <c r="L484" s="1157">
        <f t="shared" si="476"/>
        <v>39047</v>
      </c>
      <c r="M484" s="1157">
        <f t="shared" si="476"/>
        <v>39047</v>
      </c>
      <c r="N484" s="1157">
        <f t="shared" si="476"/>
        <v>39047</v>
      </c>
      <c r="O484" s="1157">
        <f t="shared" si="476"/>
        <v>39047</v>
      </c>
      <c r="P484" s="1157">
        <f t="shared" si="476"/>
        <v>39047</v>
      </c>
      <c r="Q484" s="1264">
        <f t="shared" si="476"/>
        <v>39047</v>
      </c>
      <c r="R484" s="1264">
        <f t="shared" si="476"/>
        <v>39047</v>
      </c>
      <c r="S484" s="1157">
        <f t="shared" si="476"/>
        <v>39047</v>
      </c>
      <c r="T484" s="1157">
        <f t="shared" si="476"/>
        <v>39047</v>
      </c>
      <c r="U484" s="1157">
        <f t="shared" si="476"/>
        <v>39047</v>
      </c>
      <c r="V484" s="1157">
        <f t="shared" si="476"/>
        <v>39047</v>
      </c>
      <c r="W484" s="1157">
        <f t="shared" si="476"/>
        <v>39047</v>
      </c>
      <c r="X484" s="1264">
        <f t="shared" si="476"/>
        <v>39047</v>
      </c>
      <c r="Y484" s="1264">
        <f t="shared" si="476"/>
        <v>39047</v>
      </c>
      <c r="Z484" s="1157">
        <f t="shared" si="476"/>
        <v>39047</v>
      </c>
      <c r="AA484" s="1157">
        <f t="shared" si="476"/>
        <v>39047</v>
      </c>
      <c r="AB484" s="1157">
        <f t="shared" si="476"/>
        <v>39047</v>
      </c>
      <c r="AC484" s="1157">
        <f t="shared" si="476"/>
        <v>39047</v>
      </c>
      <c r="AD484" s="1157">
        <f t="shared" si="476"/>
        <v>39047</v>
      </c>
      <c r="AE484" s="1264">
        <f t="shared" si="476"/>
        <v>39047</v>
      </c>
      <c r="AF484" s="1264">
        <f t="shared" si="476"/>
        <v>39047</v>
      </c>
      <c r="AG484" s="1157">
        <f t="shared" ref="AG484" si="477">IF(AG483="O/H",AG480,+AF484+AG480)</f>
        <v>39047</v>
      </c>
      <c r="AH484" s="1157">
        <f t="shared" ref="AH484" si="478">IF(AH483="O/H",AH480,+AG484+AH480)</f>
        <v>39047</v>
      </c>
      <c r="AI484" s="1157">
        <f t="shared" ref="AI484" si="479">IF(AI483="O/H",AI480,+AH484+AI480)</f>
        <v>39047</v>
      </c>
      <c r="AJ484" s="396"/>
      <c r="AK484" s="1024">
        <f t="shared" si="453"/>
        <v>0</v>
      </c>
      <c r="AL484" s="420"/>
      <c r="AM484" s="1040">
        <f t="shared" si="454"/>
        <v>0</v>
      </c>
      <c r="AN484" s="382"/>
      <c r="AO484" s="622"/>
      <c r="AP484" s="285"/>
      <c r="AQ484" s="285"/>
      <c r="AR484" s="285"/>
      <c r="AS484" s="285"/>
      <c r="AT484" s="286"/>
      <c r="AU484" s="285"/>
      <c r="AV484" s="287"/>
    </row>
    <row r="485" spans="1:48" ht="15.75" hidden="1">
      <c r="A485" s="312" t="s">
        <v>516</v>
      </c>
      <c r="B485" s="312"/>
      <c r="C485" s="379">
        <v>150000</v>
      </c>
      <c r="D485" s="795" t="s">
        <v>112</v>
      </c>
      <c r="E485" s="1117" t="b">
        <f>IF(AND(ISNUMBER(E474)),499770+E480)</f>
        <v>0</v>
      </c>
      <c r="F485" s="1118" t="str">
        <f>IF(AND(ISNUMBER(F474)),E485+F480,"")</f>
        <v/>
      </c>
      <c r="G485" s="1216" t="str">
        <f>IF(AND(ISNUMBER(G474)),F485+G480,"")</f>
        <v/>
      </c>
      <c r="H485" s="1118" t="str">
        <f t="shared" ref="H485:AI485" si="480">IF(AND(ISNUMBER(H474)),G485+H480,"")</f>
        <v/>
      </c>
      <c r="I485" s="1118" t="str">
        <f t="shared" si="480"/>
        <v/>
      </c>
      <c r="J485" s="1216" t="str">
        <f t="shared" si="480"/>
        <v/>
      </c>
      <c r="K485" s="1216" t="str">
        <f t="shared" si="480"/>
        <v/>
      </c>
      <c r="L485" s="1118" t="str">
        <f t="shared" si="480"/>
        <v/>
      </c>
      <c r="M485" s="1118" t="str">
        <f t="shared" si="480"/>
        <v/>
      </c>
      <c r="N485" s="1118" t="str">
        <f t="shared" si="480"/>
        <v/>
      </c>
      <c r="O485" s="1118" t="str">
        <f t="shared" si="480"/>
        <v/>
      </c>
      <c r="P485" s="1118" t="str">
        <f t="shared" si="480"/>
        <v/>
      </c>
      <c r="Q485" s="1216" t="str">
        <f t="shared" si="480"/>
        <v/>
      </c>
      <c r="R485" s="1216" t="str">
        <f t="shared" si="480"/>
        <v/>
      </c>
      <c r="S485" s="1118" t="str">
        <f t="shared" si="480"/>
        <v/>
      </c>
      <c r="T485" s="1118" t="str">
        <f t="shared" si="480"/>
        <v/>
      </c>
      <c r="U485" s="1118" t="str">
        <f t="shared" si="480"/>
        <v/>
      </c>
      <c r="V485" s="1118" t="str">
        <f t="shared" si="480"/>
        <v/>
      </c>
      <c r="W485" s="1118" t="str">
        <f t="shared" si="480"/>
        <v/>
      </c>
      <c r="X485" s="1216" t="str">
        <f t="shared" si="480"/>
        <v/>
      </c>
      <c r="Y485" s="1216" t="str">
        <f t="shared" si="480"/>
        <v/>
      </c>
      <c r="Z485" s="1118" t="str">
        <f t="shared" si="480"/>
        <v/>
      </c>
      <c r="AA485" s="1118" t="str">
        <f t="shared" si="480"/>
        <v/>
      </c>
      <c r="AB485" s="1118" t="str">
        <f t="shared" si="480"/>
        <v/>
      </c>
      <c r="AC485" s="1118" t="str">
        <f t="shared" si="480"/>
        <v/>
      </c>
      <c r="AD485" s="1118" t="str">
        <f t="shared" si="480"/>
        <v/>
      </c>
      <c r="AE485" s="1216" t="str">
        <f t="shared" si="480"/>
        <v/>
      </c>
      <c r="AF485" s="1216" t="str">
        <f t="shared" si="480"/>
        <v/>
      </c>
      <c r="AG485" s="1118" t="str">
        <f t="shared" si="480"/>
        <v/>
      </c>
      <c r="AH485" s="1118" t="str">
        <f t="shared" si="480"/>
        <v/>
      </c>
      <c r="AI485" s="1118" t="str">
        <f t="shared" si="480"/>
        <v/>
      </c>
      <c r="AJ485" s="793"/>
      <c r="AK485" s="1026">
        <f t="shared" si="453"/>
        <v>0</v>
      </c>
      <c r="AL485" s="897"/>
      <c r="AM485" s="1042">
        <f t="shared" si="454"/>
        <v>0</v>
      </c>
      <c r="AN485" s="468"/>
      <c r="AO485" s="675"/>
      <c r="AP485" s="391"/>
      <c r="AQ485" s="391"/>
    </row>
    <row r="486" spans="1:48" ht="20.25" hidden="1">
      <c r="A486" s="443"/>
      <c r="B486" s="393" t="s">
        <v>471</v>
      </c>
      <c r="C486" s="89" t="s">
        <v>108</v>
      </c>
      <c r="D486" s="90" t="s">
        <v>104</v>
      </c>
      <c r="E486" s="1376"/>
      <c r="F486" s="1107"/>
      <c r="G486" s="1228"/>
      <c r="H486" s="1176"/>
      <c r="I486" s="1107"/>
      <c r="J486" s="1228"/>
      <c r="K486" s="1273"/>
      <c r="L486" s="1107"/>
      <c r="M486" s="1107"/>
      <c r="N486" s="1177"/>
      <c r="O486" s="1107"/>
      <c r="P486" s="1177"/>
      <c r="Q486" s="1228"/>
      <c r="R486" s="1228"/>
      <c r="S486" s="1107"/>
      <c r="T486" s="1107"/>
      <c r="U486" s="1107"/>
      <c r="V486" s="1107"/>
      <c r="W486" s="1107"/>
      <c r="X486" s="1228"/>
      <c r="Y486" s="1228"/>
      <c r="Z486" s="1106"/>
      <c r="AA486" s="1107"/>
      <c r="AB486" s="1107"/>
      <c r="AC486" s="1107"/>
      <c r="AD486" s="1107"/>
      <c r="AE486" s="1228"/>
      <c r="AF486" s="1228"/>
      <c r="AG486" s="1107"/>
      <c r="AH486" s="1107"/>
      <c r="AI486" s="1107"/>
      <c r="AJ486" s="396"/>
      <c r="AK486" s="1024">
        <f t="shared" si="453"/>
        <v>100000</v>
      </c>
      <c r="AL486" s="420"/>
      <c r="AM486" s="1040">
        <f t="shared" si="454"/>
        <v>686772</v>
      </c>
      <c r="AN486" s="382"/>
      <c r="AO486" s="622"/>
      <c r="AP486" s="391"/>
      <c r="AQ486" s="391"/>
    </row>
    <row r="487" spans="1:48" ht="19.5" hidden="1" customHeight="1" thickBot="1">
      <c r="A487" s="444"/>
      <c r="B487" s="398"/>
      <c r="C487" s="407">
        <f>+C485*0.8</f>
        <v>120000</v>
      </c>
      <c r="D487" s="1225" t="s">
        <v>111</v>
      </c>
      <c r="E487" s="1377">
        <f>IF(E486="O/H",E480,166918+E480)</f>
        <v>166918</v>
      </c>
      <c r="F487" s="1110">
        <f>IF(F486="O/H",F480,+E487+F480)</f>
        <v>166918</v>
      </c>
      <c r="G487" s="1212">
        <f t="shared" ref="G487:AI487" si="481">IF(G486="O/H",G480,+F487+G480)</f>
        <v>166918</v>
      </c>
      <c r="H487" s="1110">
        <f t="shared" si="481"/>
        <v>166918</v>
      </c>
      <c r="I487" s="1110">
        <f t="shared" si="481"/>
        <v>166918</v>
      </c>
      <c r="J487" s="1212">
        <f t="shared" si="481"/>
        <v>166918</v>
      </c>
      <c r="K487" s="1212">
        <f t="shared" si="481"/>
        <v>166918</v>
      </c>
      <c r="L487" s="1110">
        <f t="shared" si="481"/>
        <v>166918</v>
      </c>
      <c r="M487" s="1110">
        <f t="shared" si="481"/>
        <v>166918</v>
      </c>
      <c r="N487" s="1110">
        <f t="shared" si="481"/>
        <v>166918</v>
      </c>
      <c r="O487" s="1110">
        <f t="shared" si="481"/>
        <v>166918</v>
      </c>
      <c r="P487" s="1110">
        <f t="shared" si="481"/>
        <v>166918</v>
      </c>
      <c r="Q487" s="1212">
        <f t="shared" si="481"/>
        <v>166918</v>
      </c>
      <c r="R487" s="1212">
        <f t="shared" si="481"/>
        <v>166918</v>
      </c>
      <c r="S487" s="1110">
        <f t="shared" si="481"/>
        <v>166918</v>
      </c>
      <c r="T487" s="1110">
        <f t="shared" si="481"/>
        <v>166918</v>
      </c>
      <c r="U487" s="1110">
        <f t="shared" si="481"/>
        <v>166918</v>
      </c>
      <c r="V487" s="1110">
        <f t="shared" si="481"/>
        <v>166918</v>
      </c>
      <c r="W487" s="1110">
        <f t="shared" si="481"/>
        <v>166918</v>
      </c>
      <c r="X487" s="1212">
        <f t="shared" si="481"/>
        <v>166918</v>
      </c>
      <c r="Y487" s="1212">
        <f t="shared" si="481"/>
        <v>166918</v>
      </c>
      <c r="Z487" s="1110">
        <f t="shared" si="481"/>
        <v>166918</v>
      </c>
      <c r="AA487" s="1110">
        <f t="shared" si="481"/>
        <v>166918</v>
      </c>
      <c r="AB487" s="1110">
        <f t="shared" si="481"/>
        <v>166918</v>
      </c>
      <c r="AC487" s="1110">
        <f t="shared" si="481"/>
        <v>166918</v>
      </c>
      <c r="AD487" s="1110">
        <f t="shared" si="481"/>
        <v>166918</v>
      </c>
      <c r="AE487" s="1212">
        <f t="shared" si="481"/>
        <v>166918</v>
      </c>
      <c r="AF487" s="1212">
        <f t="shared" si="481"/>
        <v>166918</v>
      </c>
      <c r="AG487" s="1110">
        <f t="shared" si="481"/>
        <v>166918</v>
      </c>
      <c r="AH487" s="1110">
        <f t="shared" si="481"/>
        <v>166918</v>
      </c>
      <c r="AI487" s="1110">
        <f t="shared" si="481"/>
        <v>166918</v>
      </c>
      <c r="AJ487" s="399"/>
      <c r="AK487" s="1027">
        <f t="shared" si="453"/>
        <v>0</v>
      </c>
      <c r="AL487" s="421"/>
      <c r="AM487" s="1043">
        <f t="shared" si="454"/>
        <v>0</v>
      </c>
      <c r="AN487" s="894"/>
      <c r="AO487" s="625"/>
      <c r="AP487" s="32"/>
      <c r="AQ487" s="33"/>
      <c r="AR487" s="33"/>
      <c r="AS487" s="33"/>
      <c r="AT487" s="33"/>
      <c r="AU487" s="33"/>
      <c r="AV487" s="34"/>
    </row>
    <row r="488" spans="1:48" ht="19.899999999999999" customHeight="1" thickTop="1">
      <c r="A488" s="442" t="s">
        <v>603</v>
      </c>
      <c r="B488" s="378" t="s">
        <v>634</v>
      </c>
      <c r="C488" s="518" t="str">
        <f>Table37[[#This Row],[M/C No.]]</f>
        <v>R24(50ton)</v>
      </c>
      <c r="D488" s="28" t="s">
        <v>82</v>
      </c>
      <c r="E488" s="1095">
        <v>12000</v>
      </c>
      <c r="F488" s="1095">
        <v>12000</v>
      </c>
      <c r="G488" s="1194">
        <v>12000</v>
      </c>
      <c r="H488" s="1095">
        <v>12000</v>
      </c>
      <c r="I488" s="1095">
        <v>12000</v>
      </c>
      <c r="J488" s="1194">
        <v>12000</v>
      </c>
      <c r="K488" s="1194">
        <v>12000</v>
      </c>
      <c r="L488" s="1095">
        <v>12000</v>
      </c>
      <c r="M488" s="1095">
        <v>4000</v>
      </c>
      <c r="N488" s="1095">
        <v>0</v>
      </c>
      <c r="O488" s="1095">
        <v>0</v>
      </c>
      <c r="P488" s="1095">
        <v>0</v>
      </c>
      <c r="Q488" s="1194">
        <v>0</v>
      </c>
      <c r="R488" s="1194">
        <v>0</v>
      </c>
      <c r="S488" s="1095">
        <v>0</v>
      </c>
      <c r="T488" s="1095">
        <v>0</v>
      </c>
      <c r="U488" s="1095">
        <v>0</v>
      </c>
      <c r="V488" s="1095">
        <v>0</v>
      </c>
      <c r="W488" s="1095">
        <v>0</v>
      </c>
      <c r="X488" s="1194">
        <v>0</v>
      </c>
      <c r="Y488" s="1194">
        <v>0</v>
      </c>
      <c r="Z488" s="1095">
        <v>0</v>
      </c>
      <c r="AA488" s="1095">
        <v>0</v>
      </c>
      <c r="AB488" s="1095">
        <v>0</v>
      </c>
      <c r="AC488" s="1095">
        <v>0</v>
      </c>
      <c r="AD488" s="1095">
        <v>0</v>
      </c>
      <c r="AE488" s="1194">
        <v>0</v>
      </c>
      <c r="AF488" s="1194">
        <v>0</v>
      </c>
      <c r="AG488" s="1111">
        <v>0</v>
      </c>
      <c r="AH488" s="1111">
        <v>0</v>
      </c>
      <c r="AI488" s="1111"/>
      <c r="AJ488" s="375">
        <f>SUM(E488:AI488)</f>
        <v>100000</v>
      </c>
      <c r="AK488" s="1047">
        <f t="shared" si="453"/>
        <v>15300</v>
      </c>
      <c r="AL488" s="422">
        <f>+AJ488*AN488</f>
        <v>686772</v>
      </c>
      <c r="AM488" s="1046">
        <f t="shared" si="454"/>
        <v>105076.11600000001</v>
      </c>
      <c r="AN488" s="382">
        <v>6.8677200000000003</v>
      </c>
      <c r="AO488" s="622">
        <f>Table37[[#This Row],[Total]]*B492/1000</f>
        <v>269.5</v>
      </c>
      <c r="AP488" s="32" t="s">
        <v>559</v>
      </c>
      <c r="AQ488" s="33" t="s">
        <v>84</v>
      </c>
      <c r="AR488" s="33" t="s">
        <v>85</v>
      </c>
      <c r="AS488" s="33" t="s">
        <v>86</v>
      </c>
      <c r="AT488" s="33" t="s">
        <v>87</v>
      </c>
      <c r="AU488" s="33" t="s">
        <v>88</v>
      </c>
      <c r="AV488" s="34" t="s">
        <v>68</v>
      </c>
    </row>
    <row r="489" spans="1:48" ht="19.899999999999999" customHeight="1">
      <c r="A489" s="441"/>
      <c r="B489" s="59" t="s">
        <v>462</v>
      </c>
      <c r="C489" s="52" t="s">
        <v>95</v>
      </c>
      <c r="D489" s="37" t="s">
        <v>90</v>
      </c>
      <c r="E489" s="1373">
        <f>IF(E488="",0,+E488/E495)</f>
        <v>3000</v>
      </c>
      <c r="F489" s="1096">
        <f t="shared" ref="F489:AI489" si="482">IF(F488="",0, E489+F488/F495)</f>
        <v>6000</v>
      </c>
      <c r="G489" s="1207">
        <f t="shared" si="482"/>
        <v>9000</v>
      </c>
      <c r="H489" s="1096">
        <f t="shared" si="482"/>
        <v>12000</v>
      </c>
      <c r="I489" s="1096">
        <f t="shared" si="482"/>
        <v>15000</v>
      </c>
      <c r="J489" s="1207">
        <f t="shared" si="482"/>
        <v>18000</v>
      </c>
      <c r="K489" s="1207">
        <f t="shared" si="482"/>
        <v>21000</v>
      </c>
      <c r="L489" s="1096">
        <f t="shared" si="482"/>
        <v>24000</v>
      </c>
      <c r="M489" s="1096">
        <f t="shared" si="482"/>
        <v>25000</v>
      </c>
      <c r="N489" s="1096">
        <f t="shared" si="482"/>
        <v>25000</v>
      </c>
      <c r="O489" s="1096">
        <f t="shared" si="482"/>
        <v>25000</v>
      </c>
      <c r="P489" s="1096">
        <f t="shared" si="482"/>
        <v>25000</v>
      </c>
      <c r="Q489" s="1207">
        <f t="shared" si="482"/>
        <v>25000</v>
      </c>
      <c r="R489" s="1207">
        <f t="shared" si="482"/>
        <v>25000</v>
      </c>
      <c r="S489" s="1096">
        <f t="shared" si="482"/>
        <v>25000</v>
      </c>
      <c r="T489" s="1096">
        <f t="shared" si="482"/>
        <v>25000</v>
      </c>
      <c r="U489" s="1096">
        <f t="shared" si="482"/>
        <v>25000</v>
      </c>
      <c r="V489" s="1096">
        <f t="shared" si="482"/>
        <v>25000</v>
      </c>
      <c r="W489" s="1096">
        <f t="shared" si="482"/>
        <v>25000</v>
      </c>
      <c r="X489" s="1207">
        <f t="shared" si="482"/>
        <v>25000</v>
      </c>
      <c r="Y489" s="1207">
        <f t="shared" si="482"/>
        <v>25000</v>
      </c>
      <c r="Z489" s="1096">
        <f t="shared" si="482"/>
        <v>25000</v>
      </c>
      <c r="AA489" s="1096">
        <f t="shared" si="482"/>
        <v>25000</v>
      </c>
      <c r="AB489" s="1096">
        <f t="shared" si="482"/>
        <v>25000</v>
      </c>
      <c r="AC489" s="1096">
        <f t="shared" si="482"/>
        <v>25000</v>
      </c>
      <c r="AD489" s="1096">
        <f t="shared" si="482"/>
        <v>25000</v>
      </c>
      <c r="AE489" s="1207">
        <f t="shared" si="482"/>
        <v>25000</v>
      </c>
      <c r="AF489" s="1207">
        <f t="shared" si="482"/>
        <v>25000</v>
      </c>
      <c r="AG489" s="1096">
        <f t="shared" si="482"/>
        <v>25000</v>
      </c>
      <c r="AH489" s="1096">
        <f t="shared" si="482"/>
        <v>25000</v>
      </c>
      <c r="AI489" s="1096">
        <f t="shared" si="482"/>
        <v>0</v>
      </c>
      <c r="AJ489" s="375"/>
      <c r="AK489" s="1023">
        <f t="shared" si="453"/>
        <v>-84700</v>
      </c>
      <c r="AL489" s="423"/>
      <c r="AM489" s="1040">
        <f t="shared" si="454"/>
        <v>-581695.88400000008</v>
      </c>
      <c r="AN489" s="382"/>
      <c r="AO489" s="675"/>
      <c r="AP489" s="39" t="s">
        <v>91</v>
      </c>
      <c r="AQ489" s="40">
        <f>SUM(E488:H488)</f>
        <v>48000</v>
      </c>
      <c r="AR489" s="41">
        <f>SUM(I488:O488)</f>
        <v>52000</v>
      </c>
      <c r="AS489" s="41">
        <f>SUM(P488:V488)</f>
        <v>0</v>
      </c>
      <c r="AT489" s="41">
        <f>SUM(W488:AC488)</f>
        <v>0</v>
      </c>
      <c r="AU489" s="41">
        <f>SUM(AD488:AI488)</f>
        <v>0</v>
      </c>
      <c r="AV489" s="34">
        <f t="shared" ref="AV489:AV494" si="483">SUM(AQ489:AU489)</f>
        <v>100000</v>
      </c>
    </row>
    <row r="490" spans="1:48" ht="19.899999999999999" customHeight="1">
      <c r="A490" s="441"/>
      <c r="B490" s="59" t="s">
        <v>246</v>
      </c>
      <c r="C490" s="297">
        <v>60000</v>
      </c>
      <c r="D490" s="43" t="s">
        <v>93</v>
      </c>
      <c r="E490" s="1325">
        <v>7920</v>
      </c>
      <c r="F490" s="1089">
        <v>1980</v>
      </c>
      <c r="G490" s="44">
        <v>0</v>
      </c>
      <c r="H490" s="1089">
        <v>0</v>
      </c>
      <c r="I490" s="1089">
        <v>0</v>
      </c>
      <c r="J490" s="44">
        <v>0</v>
      </c>
      <c r="K490" s="44">
        <v>0</v>
      </c>
      <c r="L490" s="1089">
        <v>0</v>
      </c>
      <c r="M490" s="1089">
        <v>0</v>
      </c>
      <c r="N490" s="1089">
        <v>0</v>
      </c>
      <c r="O490" s="1089">
        <v>0</v>
      </c>
      <c r="P490" s="1089">
        <v>0</v>
      </c>
      <c r="Q490" s="44">
        <v>0</v>
      </c>
      <c r="R490" s="44">
        <v>0</v>
      </c>
      <c r="S490" s="1089">
        <v>0</v>
      </c>
      <c r="T490" s="1089">
        <v>0</v>
      </c>
      <c r="U490" s="1089">
        <v>0</v>
      </c>
      <c r="V490" s="1089">
        <v>0</v>
      </c>
      <c r="W490" s="1089">
        <v>0</v>
      </c>
      <c r="X490" s="44">
        <v>0</v>
      </c>
      <c r="Y490" s="44">
        <v>0</v>
      </c>
      <c r="Z490" s="1089">
        <v>0</v>
      </c>
      <c r="AA490" s="1089">
        <v>5400</v>
      </c>
      <c r="AB490" s="1089"/>
      <c r="AC490" s="1089"/>
      <c r="AD490" s="1089"/>
      <c r="AE490" s="44"/>
      <c r="AF490" s="44"/>
      <c r="AG490" s="1089"/>
      <c r="AH490" s="1089"/>
      <c r="AI490" s="1089"/>
      <c r="AJ490" s="380">
        <f>SUM(E490:AI490)</f>
        <v>15300</v>
      </c>
      <c r="AK490" s="1024">
        <f t="shared" si="453"/>
        <v>7008</v>
      </c>
      <c r="AL490" s="424">
        <f>+AJ490*AN488</f>
        <v>105076.11600000001</v>
      </c>
      <c r="AM490" s="1041">
        <f t="shared" si="454"/>
        <v>48128.981760000002</v>
      </c>
      <c r="AN490" s="382"/>
      <c r="AO490" s="632">
        <f>(AJ490+AJ492+AJ493+AJ494)*B492/1000</f>
        <v>61.036359999999995</v>
      </c>
      <c r="AP490" s="47" t="s">
        <v>94</v>
      </c>
      <c r="AQ490" s="48">
        <f>SUM(E490:H490)</f>
        <v>9900</v>
      </c>
      <c r="AR490" s="49">
        <f>SUM(I490:O490)</f>
        <v>0</v>
      </c>
      <c r="AS490" s="49">
        <f>SUM(P490:V490)</f>
        <v>0</v>
      </c>
      <c r="AT490" s="49">
        <f>SUM(W490:AC490)</f>
        <v>5400</v>
      </c>
      <c r="AU490" s="49">
        <f>SUM(AD490:AI490)</f>
        <v>0</v>
      </c>
      <c r="AV490" s="50">
        <f t="shared" si="483"/>
        <v>15300</v>
      </c>
    </row>
    <row r="491" spans="1:48" ht="19.899999999999999" customHeight="1">
      <c r="A491" s="441"/>
      <c r="B491" s="767" t="s">
        <v>247</v>
      </c>
      <c r="C491" s="89" t="s">
        <v>108</v>
      </c>
      <c r="D491" s="53" t="s">
        <v>96</v>
      </c>
      <c r="E491" s="1327">
        <f t="shared" ref="E491" si="484">+E490-E488</f>
        <v>-4080</v>
      </c>
      <c r="F491" s="1097">
        <f>+F490-F488</f>
        <v>-10020</v>
      </c>
      <c r="G491" s="1205">
        <f t="shared" ref="G491:AJ491" si="485">+G490-G488</f>
        <v>-12000</v>
      </c>
      <c r="H491" s="1097">
        <f t="shared" si="485"/>
        <v>-12000</v>
      </c>
      <c r="I491" s="1097">
        <f t="shared" si="485"/>
        <v>-12000</v>
      </c>
      <c r="J491" s="1205">
        <f t="shared" si="485"/>
        <v>-12000</v>
      </c>
      <c r="K491" s="1205">
        <f t="shared" si="485"/>
        <v>-12000</v>
      </c>
      <c r="L491" s="1097">
        <f t="shared" si="485"/>
        <v>-12000</v>
      </c>
      <c r="M491" s="1097">
        <f t="shared" si="485"/>
        <v>-4000</v>
      </c>
      <c r="N491" s="1097">
        <f t="shared" si="485"/>
        <v>0</v>
      </c>
      <c r="O491" s="1097">
        <f t="shared" si="485"/>
        <v>0</v>
      </c>
      <c r="P491" s="1097">
        <f t="shared" si="485"/>
        <v>0</v>
      </c>
      <c r="Q491" s="1205">
        <f>+Q490-Q488</f>
        <v>0</v>
      </c>
      <c r="R491" s="1205">
        <f t="shared" si="485"/>
        <v>0</v>
      </c>
      <c r="S491" s="1097">
        <f t="shared" si="485"/>
        <v>0</v>
      </c>
      <c r="T491" s="1097">
        <f t="shared" si="485"/>
        <v>0</v>
      </c>
      <c r="U491" s="1097">
        <f t="shared" si="485"/>
        <v>0</v>
      </c>
      <c r="V491" s="1097">
        <f t="shared" si="485"/>
        <v>0</v>
      </c>
      <c r="W491" s="1097">
        <f t="shared" si="485"/>
        <v>0</v>
      </c>
      <c r="X491" s="1205">
        <f t="shared" si="485"/>
        <v>0</v>
      </c>
      <c r="Y491" s="1205">
        <f t="shared" si="485"/>
        <v>0</v>
      </c>
      <c r="Z491" s="1097">
        <f t="shared" si="485"/>
        <v>0</v>
      </c>
      <c r="AA491" s="1097">
        <f t="shared" si="485"/>
        <v>5400</v>
      </c>
      <c r="AB491" s="1097">
        <f t="shared" si="485"/>
        <v>0</v>
      </c>
      <c r="AC491" s="1097">
        <f t="shared" si="485"/>
        <v>0</v>
      </c>
      <c r="AD491" s="1097">
        <f t="shared" si="485"/>
        <v>0</v>
      </c>
      <c r="AE491" s="1205">
        <f t="shared" si="485"/>
        <v>0</v>
      </c>
      <c r="AF491" s="1205">
        <f t="shared" ref="AF491" si="486">+AF490-AF488</f>
        <v>0</v>
      </c>
      <c r="AG491" s="1097">
        <f t="shared" si="485"/>
        <v>0</v>
      </c>
      <c r="AH491" s="1097">
        <f t="shared" si="485"/>
        <v>0</v>
      </c>
      <c r="AI491" s="1097">
        <f t="shared" si="485"/>
        <v>0</v>
      </c>
      <c r="AJ491" s="381">
        <f t="shared" si="485"/>
        <v>-84700</v>
      </c>
      <c r="AK491" s="1024">
        <f t="shared" si="453"/>
        <v>276</v>
      </c>
      <c r="AL491" s="425">
        <f>+AJ491*AN488</f>
        <v>-581695.88400000008</v>
      </c>
      <c r="AM491" s="1041">
        <f t="shared" si="454"/>
        <v>1895.49072</v>
      </c>
      <c r="AN491" s="382" t="s">
        <v>97</v>
      </c>
      <c r="AO491" s="622"/>
      <c r="AP491" s="39" t="s">
        <v>98</v>
      </c>
      <c r="AQ491" s="56">
        <f>AQ490-AQ489</f>
        <v>-38100</v>
      </c>
      <c r="AR491" s="70">
        <f>AR490-AR489</f>
        <v>-52000</v>
      </c>
      <c r="AS491" s="70">
        <f>AS490-AS489</f>
        <v>0</v>
      </c>
      <c r="AT491" s="70">
        <f>AT490-AT489</f>
        <v>5400</v>
      </c>
      <c r="AU491" s="70">
        <f>AU490-AU489</f>
        <v>0</v>
      </c>
      <c r="AV491" s="57">
        <f t="shared" si="483"/>
        <v>-84700</v>
      </c>
    </row>
    <row r="492" spans="1:48" ht="19.899999999999999" customHeight="1">
      <c r="A492" s="441"/>
      <c r="B492" s="767">
        <v>2.6949999999999998</v>
      </c>
      <c r="C492" s="383">
        <f>+C490*0.8</f>
        <v>48000</v>
      </c>
      <c r="D492" s="61" t="s">
        <v>101</v>
      </c>
      <c r="E492" s="1367">
        <f>120+2460</f>
        <v>2580</v>
      </c>
      <c r="F492" s="1099">
        <f>120+440</f>
        <v>560</v>
      </c>
      <c r="G492" s="1208">
        <v>0</v>
      </c>
      <c r="H492" s="1099">
        <f>120+436</f>
        <v>556</v>
      </c>
      <c r="I492" s="1099">
        <f>280+1300</f>
        <v>1580</v>
      </c>
      <c r="J492" s="1208">
        <v>0</v>
      </c>
      <c r="K492" s="1208">
        <v>0</v>
      </c>
      <c r="L492" s="1099">
        <f>120+200</f>
        <v>320</v>
      </c>
      <c r="M492" s="1099">
        <v>0</v>
      </c>
      <c r="N492" s="1099">
        <f>400+40</f>
        <v>440</v>
      </c>
      <c r="O492" s="1099">
        <v>0</v>
      </c>
      <c r="P492" s="1099">
        <v>0</v>
      </c>
      <c r="Q492" s="1208">
        <v>0</v>
      </c>
      <c r="R492" s="1208">
        <v>0</v>
      </c>
      <c r="S492" s="1099">
        <f>120+212</f>
        <v>332</v>
      </c>
      <c r="T492" s="1099">
        <v>0</v>
      </c>
      <c r="U492" s="1099">
        <v>0</v>
      </c>
      <c r="V492" s="1099">
        <v>0</v>
      </c>
      <c r="W492" s="1099">
        <v>0</v>
      </c>
      <c r="X492" s="1208">
        <v>0</v>
      </c>
      <c r="Y492" s="1208">
        <v>0</v>
      </c>
      <c r="Z492" s="1099">
        <v>0</v>
      </c>
      <c r="AA492" s="1099">
        <f>320+320</f>
        <v>640</v>
      </c>
      <c r="AB492" s="1099"/>
      <c r="AC492" s="1099"/>
      <c r="AD492" s="1099"/>
      <c r="AE492" s="1208"/>
      <c r="AF492" s="1208"/>
      <c r="AG492" s="1099"/>
      <c r="AH492" s="1099"/>
      <c r="AI492" s="1099"/>
      <c r="AJ492" s="384">
        <f>SUM(E492:AI492)</f>
        <v>7008</v>
      </c>
      <c r="AK492" s="1024">
        <f t="shared" si="453"/>
        <v>64</v>
      </c>
      <c r="AL492" s="420">
        <f>+AJ492*AN488</f>
        <v>48128.981760000002</v>
      </c>
      <c r="AM492" s="1040">
        <f t="shared" si="454"/>
        <v>439.53408000000002</v>
      </c>
      <c r="AN492" s="404">
        <f>+AJ492/AJ490*100</f>
        <v>45.803921568627452</v>
      </c>
      <c r="AO492" s="635">
        <f>AO490/AO488</f>
        <v>0.22647999999999999</v>
      </c>
      <c r="AP492" s="39" t="s">
        <v>102</v>
      </c>
      <c r="AQ492" s="56">
        <f>SUM(E492:H492)</f>
        <v>3696</v>
      </c>
      <c r="AR492" s="70">
        <f>SUM(I492:O492)</f>
        <v>2340</v>
      </c>
      <c r="AS492" s="70">
        <f>SUM(P492:V492)</f>
        <v>332</v>
      </c>
      <c r="AT492" s="70">
        <f>SUM(W492:AC492)</f>
        <v>640</v>
      </c>
      <c r="AU492" s="70">
        <f>SUM(AD492:AI492)</f>
        <v>0</v>
      </c>
      <c r="AV492" s="57">
        <f t="shared" si="483"/>
        <v>7008</v>
      </c>
    </row>
    <row r="493" spans="1:48" ht="19.899999999999999" customHeight="1">
      <c r="A493" s="441"/>
      <c r="B493" s="65"/>
      <c r="C493" s="383"/>
      <c r="D493" s="67" t="s">
        <v>103</v>
      </c>
      <c r="E493" s="1113">
        <v>162</v>
      </c>
      <c r="F493" s="1101">
        <v>90</v>
      </c>
      <c r="G493" s="1209">
        <v>0</v>
      </c>
      <c r="H493" s="1101">
        <v>0</v>
      </c>
      <c r="I493" s="1101">
        <v>0</v>
      </c>
      <c r="J493" s="1209">
        <v>0</v>
      </c>
      <c r="K493" s="1209">
        <v>0</v>
      </c>
      <c r="L493" s="1101">
        <v>0</v>
      </c>
      <c r="M493" s="1101">
        <v>0</v>
      </c>
      <c r="N493" s="1101">
        <v>0</v>
      </c>
      <c r="O493" s="1101">
        <v>0</v>
      </c>
      <c r="P493" s="1101">
        <v>0</v>
      </c>
      <c r="Q493" s="1209">
        <v>0</v>
      </c>
      <c r="R493" s="1209">
        <v>0</v>
      </c>
      <c r="S493" s="1101">
        <v>0</v>
      </c>
      <c r="T493" s="1101">
        <v>0</v>
      </c>
      <c r="U493" s="1101">
        <v>0</v>
      </c>
      <c r="V493" s="1101">
        <v>0</v>
      </c>
      <c r="W493" s="1101">
        <v>0</v>
      </c>
      <c r="X493" s="1209">
        <v>0</v>
      </c>
      <c r="Y493" s="1209">
        <v>0</v>
      </c>
      <c r="Z493" s="1101">
        <v>0</v>
      </c>
      <c r="AA493" s="1101">
        <v>24</v>
      </c>
      <c r="AB493" s="1101"/>
      <c r="AC493" s="1101"/>
      <c r="AD493" s="1101"/>
      <c r="AE493" s="1209"/>
      <c r="AF493" s="1209"/>
      <c r="AG493" s="1101"/>
      <c r="AH493" s="1101"/>
      <c r="AI493" s="1101"/>
      <c r="AJ493" s="386">
        <f>SUM(E493:AI493)</f>
        <v>276</v>
      </c>
      <c r="AK493" s="1024">
        <f t="shared" si="453"/>
        <v>0</v>
      </c>
      <c r="AL493" s="426">
        <f>+AJ493*AN488</f>
        <v>1895.49072</v>
      </c>
      <c r="AM493" s="1040">
        <f t="shared" si="454"/>
        <v>0</v>
      </c>
      <c r="AN493" s="382"/>
      <c r="AO493" s="622"/>
      <c r="AP493" s="39" t="s">
        <v>19</v>
      </c>
      <c r="AQ493" s="56">
        <f>AQ492*AN488</f>
        <v>25383.093120000001</v>
      </c>
      <c r="AR493" s="56">
        <f>AR492*AN488</f>
        <v>16070.4648</v>
      </c>
      <c r="AS493" s="56">
        <f>AS492*AN488</f>
        <v>2280.08304</v>
      </c>
      <c r="AT493" s="56">
        <f>AT492*AN488</f>
        <v>4395.3407999999999</v>
      </c>
      <c r="AU493" s="56">
        <f>AU492*AN488</f>
        <v>0</v>
      </c>
      <c r="AV493" s="57">
        <f t="shared" si="483"/>
        <v>48128.981759999995</v>
      </c>
    </row>
    <row r="494" spans="1:48" ht="19.899999999999999" customHeight="1">
      <c r="A494" s="442"/>
      <c r="B494" s="65"/>
      <c r="C494" s="387" t="s">
        <v>435</v>
      </c>
      <c r="D494" s="73" t="s">
        <v>105</v>
      </c>
      <c r="E494" s="1115">
        <v>40</v>
      </c>
      <c r="F494" s="1103">
        <v>8</v>
      </c>
      <c r="G494" s="1210">
        <v>0</v>
      </c>
      <c r="H494" s="1103">
        <v>0</v>
      </c>
      <c r="I494" s="1103">
        <v>0</v>
      </c>
      <c r="J494" s="1210">
        <v>0</v>
      </c>
      <c r="K494" s="1210">
        <v>0</v>
      </c>
      <c r="L494" s="1103">
        <v>0</v>
      </c>
      <c r="M494" s="1103">
        <v>0</v>
      </c>
      <c r="N494" s="1103">
        <v>0</v>
      </c>
      <c r="O494" s="1103">
        <v>0</v>
      </c>
      <c r="P494" s="1103">
        <v>0</v>
      </c>
      <c r="Q494" s="1210">
        <v>0</v>
      </c>
      <c r="R494" s="1210">
        <v>0</v>
      </c>
      <c r="S494" s="1103">
        <v>0</v>
      </c>
      <c r="T494" s="1103">
        <v>0</v>
      </c>
      <c r="U494" s="1103">
        <v>0</v>
      </c>
      <c r="V494" s="1103">
        <v>0</v>
      </c>
      <c r="W494" s="1103">
        <v>0</v>
      </c>
      <c r="X494" s="1210">
        <v>0</v>
      </c>
      <c r="Y494" s="1210">
        <v>0</v>
      </c>
      <c r="Z494" s="1103">
        <v>0</v>
      </c>
      <c r="AA494" s="1103">
        <v>16</v>
      </c>
      <c r="AB494" s="1103"/>
      <c r="AC494" s="1103"/>
      <c r="AD494" s="1103"/>
      <c r="AE494" s="1210"/>
      <c r="AF494" s="1210"/>
      <c r="AG494" s="1103"/>
      <c r="AH494" s="1103"/>
      <c r="AI494" s="1103"/>
      <c r="AJ494" s="388">
        <f>SUM(E494:AI494)</f>
        <v>64</v>
      </c>
      <c r="AK494" s="1024">
        <f t="shared" si="453"/>
        <v>5662</v>
      </c>
      <c r="AL494" s="427">
        <f>+AJ494*AN488</f>
        <v>439.53408000000002</v>
      </c>
      <c r="AM494" s="1040">
        <f t="shared" si="454"/>
        <v>0</v>
      </c>
      <c r="AN494" s="382"/>
      <c r="AO494" s="622"/>
      <c r="AP494" s="47" t="s">
        <v>106</v>
      </c>
      <c r="AQ494" s="48">
        <f>AQ490*AN488</f>
        <v>67990.428</v>
      </c>
      <c r="AR494" s="48">
        <f>AR490*AN488</f>
        <v>0</v>
      </c>
      <c r="AS494" s="48">
        <f>AS490*AN488</f>
        <v>0</v>
      </c>
      <c r="AT494" s="48">
        <f>AT490*AN488</f>
        <v>37085.688000000002</v>
      </c>
      <c r="AU494" s="48">
        <f>AU490*AN488</f>
        <v>0</v>
      </c>
      <c r="AV494" s="50">
        <f t="shared" si="483"/>
        <v>105076.11600000001</v>
      </c>
    </row>
    <row r="495" spans="1:48" ht="19.899999999999999" customHeight="1">
      <c r="A495" s="441"/>
      <c r="B495" s="390"/>
      <c r="C495" s="297">
        <v>50000</v>
      </c>
      <c r="D495" s="78" t="s">
        <v>107</v>
      </c>
      <c r="E495" s="1327">
        <v>4</v>
      </c>
      <c r="F495" s="1097">
        <v>4</v>
      </c>
      <c r="G495" s="1205">
        <v>4</v>
      </c>
      <c r="H495" s="1097">
        <v>4</v>
      </c>
      <c r="I495" s="1097">
        <v>4</v>
      </c>
      <c r="J495" s="1205">
        <v>4</v>
      </c>
      <c r="K495" s="1205">
        <v>4</v>
      </c>
      <c r="L495" s="1097">
        <v>4</v>
      </c>
      <c r="M495" s="1097">
        <v>4</v>
      </c>
      <c r="N495" s="1097">
        <v>4</v>
      </c>
      <c r="O495" s="1097">
        <v>4</v>
      </c>
      <c r="P495" s="1097">
        <v>4</v>
      </c>
      <c r="Q495" s="1205">
        <v>4</v>
      </c>
      <c r="R495" s="1205">
        <v>4</v>
      </c>
      <c r="S495" s="1097">
        <v>4</v>
      </c>
      <c r="T495" s="1097">
        <v>4</v>
      </c>
      <c r="U495" s="1097">
        <v>4</v>
      </c>
      <c r="V495" s="1097">
        <v>4</v>
      </c>
      <c r="W495" s="1097">
        <v>4</v>
      </c>
      <c r="X495" s="1205">
        <v>4</v>
      </c>
      <c r="Y495" s="1205">
        <v>4</v>
      </c>
      <c r="Z495" s="1097">
        <v>4</v>
      </c>
      <c r="AA495" s="1097">
        <v>4</v>
      </c>
      <c r="AB495" s="1097">
        <v>4</v>
      </c>
      <c r="AC495" s="1097">
        <v>4</v>
      </c>
      <c r="AD495" s="1097">
        <v>4</v>
      </c>
      <c r="AE495" s="1205">
        <v>4</v>
      </c>
      <c r="AF495" s="1205">
        <v>4</v>
      </c>
      <c r="AG495" s="1097">
        <v>4</v>
      </c>
      <c r="AH495" s="1097">
        <v>4</v>
      </c>
      <c r="AI495" s="1097">
        <v>4</v>
      </c>
      <c r="AJ495" s="381"/>
      <c r="AK495" s="1024">
        <f t="shared" si="453"/>
        <v>0</v>
      </c>
      <c r="AL495" s="425"/>
      <c r="AM495" s="1041">
        <f t="shared" si="454"/>
        <v>0</v>
      </c>
      <c r="AN495" s="382"/>
      <c r="AO495" s="622"/>
      <c r="AP495" s="391"/>
      <c r="AQ495" s="391"/>
      <c r="AR495" s="4"/>
      <c r="AS495" s="4"/>
      <c r="AT495" s="392"/>
      <c r="AU495" s="4"/>
      <c r="AV495" s="4"/>
    </row>
    <row r="496" spans="1:48" ht="19.899999999999999" customHeight="1">
      <c r="A496" s="442"/>
      <c r="B496" s="334"/>
      <c r="C496" s="89" t="s">
        <v>108</v>
      </c>
      <c r="D496" s="81" t="s">
        <v>109</v>
      </c>
      <c r="E496" s="1374">
        <f>SUM(E490+E492+E493+E494)/E495</f>
        <v>2675.5</v>
      </c>
      <c r="F496" s="1104">
        <f>SUM(F490+F492+F493+F494)/F495</f>
        <v>659.5</v>
      </c>
      <c r="G496" s="1211">
        <f t="shared" ref="G496:AI496" si="487">SUM(G490+G492+G493+G494)/G495</f>
        <v>0</v>
      </c>
      <c r="H496" s="1104">
        <f t="shared" si="487"/>
        <v>139</v>
      </c>
      <c r="I496" s="1104">
        <f t="shared" si="487"/>
        <v>395</v>
      </c>
      <c r="J496" s="1211">
        <f t="shared" si="487"/>
        <v>0</v>
      </c>
      <c r="K496" s="1211">
        <f t="shared" si="487"/>
        <v>0</v>
      </c>
      <c r="L496" s="1104">
        <f t="shared" si="487"/>
        <v>80</v>
      </c>
      <c r="M496" s="1104">
        <f t="shared" si="487"/>
        <v>0</v>
      </c>
      <c r="N496" s="1104">
        <f t="shared" si="487"/>
        <v>110</v>
      </c>
      <c r="O496" s="1104">
        <f t="shared" si="487"/>
        <v>0</v>
      </c>
      <c r="P496" s="1104">
        <f t="shared" si="487"/>
        <v>0</v>
      </c>
      <c r="Q496" s="1211">
        <f t="shared" si="487"/>
        <v>0</v>
      </c>
      <c r="R496" s="1211">
        <f t="shared" si="487"/>
        <v>0</v>
      </c>
      <c r="S496" s="1104">
        <f t="shared" si="487"/>
        <v>83</v>
      </c>
      <c r="T496" s="1104">
        <f t="shared" si="487"/>
        <v>0</v>
      </c>
      <c r="U496" s="1104">
        <f t="shared" si="487"/>
        <v>0</v>
      </c>
      <c r="V496" s="1104">
        <f t="shared" si="487"/>
        <v>0</v>
      </c>
      <c r="W496" s="1104">
        <f t="shared" si="487"/>
        <v>0</v>
      </c>
      <c r="X496" s="1211">
        <f t="shared" si="487"/>
        <v>0</v>
      </c>
      <c r="Y496" s="1211">
        <f t="shared" si="487"/>
        <v>0</v>
      </c>
      <c r="Z496" s="1104">
        <f t="shared" si="487"/>
        <v>0</v>
      </c>
      <c r="AA496" s="1104">
        <f t="shared" si="487"/>
        <v>1520</v>
      </c>
      <c r="AB496" s="1104">
        <f>SUM(AB490+AB492+AB493+AB494)/AB495</f>
        <v>0</v>
      </c>
      <c r="AC496" s="1104">
        <f>SUM(AC490+AC492+AC493+AC494)/AC495</f>
        <v>0</v>
      </c>
      <c r="AD496" s="1104">
        <f t="shared" si="487"/>
        <v>0</v>
      </c>
      <c r="AE496" s="1211">
        <f t="shared" si="487"/>
        <v>0</v>
      </c>
      <c r="AF496" s="1211">
        <f t="shared" si="487"/>
        <v>0</v>
      </c>
      <c r="AG496" s="1104">
        <f t="shared" si="487"/>
        <v>0</v>
      </c>
      <c r="AH496" s="1104">
        <f t="shared" si="487"/>
        <v>0</v>
      </c>
      <c r="AI496" s="1379">
        <f t="shared" si="487"/>
        <v>0</v>
      </c>
      <c r="AJ496" s="380">
        <f>SUM(E496:AI496)</f>
        <v>5662</v>
      </c>
      <c r="AK496" s="1025">
        <f t="shared" si="453"/>
        <v>0</v>
      </c>
      <c r="AL496" s="419"/>
      <c r="AM496" s="1040">
        <f t="shared" si="454"/>
        <v>0</v>
      </c>
      <c r="AN496" s="382"/>
      <c r="AO496" s="622"/>
      <c r="AP496" s="391"/>
      <c r="AQ496" s="391"/>
      <c r="AR496" s="4"/>
      <c r="AS496" s="4"/>
      <c r="AT496" s="392"/>
      <c r="AU496" s="4"/>
      <c r="AV496" s="4"/>
    </row>
    <row r="497" spans="1:48" ht="19.899999999999999" customHeight="1">
      <c r="A497" s="441"/>
      <c r="B497" s="334" t="s">
        <v>463</v>
      </c>
      <c r="C497" s="84">
        <f>+C495*0.8</f>
        <v>40000</v>
      </c>
      <c r="D497" s="85" t="s">
        <v>110</v>
      </c>
      <c r="E497" s="1375"/>
      <c r="F497" s="1172"/>
      <c r="G497" s="1235"/>
      <c r="H497" s="1172"/>
      <c r="I497" s="1172"/>
      <c r="J497" s="1281"/>
      <c r="K497" s="1235"/>
      <c r="L497" s="1126"/>
      <c r="M497" s="1126"/>
      <c r="N497" s="1174"/>
      <c r="O497" s="1173"/>
      <c r="P497" s="1173"/>
      <c r="Q497" s="1281"/>
      <c r="R497" s="1281"/>
      <c r="S497" s="1173"/>
      <c r="T497" s="1107"/>
      <c r="U497" s="1173"/>
      <c r="V497" s="1173"/>
      <c r="W497" s="1173"/>
      <c r="X497" s="1281"/>
      <c r="Y497" s="1281"/>
      <c r="Z497" s="1155"/>
      <c r="AA497" s="1173"/>
      <c r="AB497" s="1173"/>
      <c r="AC497" s="1173"/>
      <c r="AD497" s="1173"/>
      <c r="AE497" s="1281"/>
      <c r="AF497" s="1281"/>
      <c r="AG497" s="1173"/>
      <c r="AH497" s="1173"/>
      <c r="AI497" s="1173"/>
      <c r="AJ497" s="394"/>
      <c r="AK497" s="1025">
        <f t="shared" si="453"/>
        <v>0</v>
      </c>
      <c r="AL497" s="419"/>
      <c r="AM497" s="1040">
        <f t="shared" si="454"/>
        <v>0</v>
      </c>
      <c r="AN497" s="382"/>
      <c r="AO497" s="622"/>
      <c r="AP497" s="391"/>
      <c r="AQ497" s="391"/>
      <c r="AR497" s="4"/>
      <c r="AS497" s="4"/>
      <c r="AT497" s="392"/>
      <c r="AU497" s="4"/>
      <c r="AV497" s="4"/>
    </row>
    <row r="498" spans="1:48" ht="19.899999999999999" customHeight="1">
      <c r="A498" s="441"/>
      <c r="B498" s="390"/>
      <c r="C498" s="89"/>
      <c r="D498" s="88" t="s">
        <v>111</v>
      </c>
      <c r="E498" s="1157">
        <f>IF(E497="O/H",E496,2965+E496)</f>
        <v>5640.5</v>
      </c>
      <c r="F498" s="1157">
        <f>IF(F497="O/H",F494,+E498+F494)</f>
        <v>5648.5</v>
      </c>
      <c r="G498" s="1264">
        <f t="shared" ref="G498:AH498" si="488">IF(G497="O/H",G494,+F498+G494)</f>
        <v>5648.5</v>
      </c>
      <c r="H498" s="1157">
        <f t="shared" si="488"/>
        <v>5648.5</v>
      </c>
      <c r="I498" s="1157">
        <f t="shared" si="488"/>
        <v>5648.5</v>
      </c>
      <c r="J498" s="1264">
        <f t="shared" si="488"/>
        <v>5648.5</v>
      </c>
      <c r="K498" s="1264">
        <f t="shared" si="488"/>
        <v>5648.5</v>
      </c>
      <c r="L498" s="1157">
        <f t="shared" si="488"/>
        <v>5648.5</v>
      </c>
      <c r="M498" s="1157">
        <f t="shared" si="488"/>
        <v>5648.5</v>
      </c>
      <c r="N498" s="1157">
        <f t="shared" si="488"/>
        <v>5648.5</v>
      </c>
      <c r="O498" s="1157">
        <f t="shared" si="488"/>
        <v>5648.5</v>
      </c>
      <c r="P498" s="1157">
        <f t="shared" si="488"/>
        <v>5648.5</v>
      </c>
      <c r="Q498" s="1264">
        <f t="shared" si="488"/>
        <v>5648.5</v>
      </c>
      <c r="R498" s="1264">
        <f t="shared" si="488"/>
        <v>5648.5</v>
      </c>
      <c r="S498" s="1157">
        <f t="shared" si="488"/>
        <v>5648.5</v>
      </c>
      <c r="T498" s="1157">
        <f t="shared" si="488"/>
        <v>5648.5</v>
      </c>
      <c r="U498" s="1157">
        <f t="shared" si="488"/>
        <v>5648.5</v>
      </c>
      <c r="V498" s="1157">
        <f t="shared" si="488"/>
        <v>5648.5</v>
      </c>
      <c r="W498" s="1157">
        <f t="shared" si="488"/>
        <v>5648.5</v>
      </c>
      <c r="X498" s="1264">
        <f t="shared" si="488"/>
        <v>5648.5</v>
      </c>
      <c r="Y498" s="1264">
        <f t="shared" si="488"/>
        <v>5648.5</v>
      </c>
      <c r="Z498" s="1157">
        <f t="shared" si="488"/>
        <v>5648.5</v>
      </c>
      <c r="AA498" s="1157">
        <f t="shared" si="488"/>
        <v>5664.5</v>
      </c>
      <c r="AB498" s="1157">
        <f t="shared" si="488"/>
        <v>5664.5</v>
      </c>
      <c r="AC498" s="1157">
        <f t="shared" si="488"/>
        <v>5664.5</v>
      </c>
      <c r="AD498" s="1157">
        <f t="shared" si="488"/>
        <v>5664.5</v>
      </c>
      <c r="AE498" s="1264">
        <f t="shared" si="488"/>
        <v>5664.5</v>
      </c>
      <c r="AF498" s="1264">
        <f t="shared" si="488"/>
        <v>5664.5</v>
      </c>
      <c r="AG498" s="1157">
        <f t="shared" si="488"/>
        <v>5664.5</v>
      </c>
      <c r="AH498" s="1157">
        <f t="shared" si="488"/>
        <v>5664.5</v>
      </c>
      <c r="AI498" s="1157">
        <f t="shared" ref="AI498" si="489">IF(AI497="O/H",AI496,0+AI496)</f>
        <v>0</v>
      </c>
      <c r="AJ498" s="394"/>
      <c r="AK498" s="1025">
        <f t="shared" si="453"/>
        <v>0</v>
      </c>
      <c r="AL498" s="419"/>
      <c r="AM498" s="1040">
        <f t="shared" si="454"/>
        <v>0</v>
      </c>
      <c r="AN498" s="382"/>
      <c r="AO498" s="622"/>
      <c r="AP498" s="391"/>
      <c r="AQ498" s="391"/>
    </row>
    <row r="499" spans="1:48" ht="19.899999999999999" customHeight="1">
      <c r="A499" s="441"/>
      <c r="B499" s="59"/>
      <c r="C499" s="387"/>
      <c r="D499" s="395" t="s">
        <v>435</v>
      </c>
      <c r="E499" s="1376"/>
      <c r="F499" s="1107"/>
      <c r="G499" s="1211"/>
      <c r="H499" s="1176"/>
      <c r="I499" s="1107"/>
      <c r="J499" s="1228"/>
      <c r="K499" s="1273"/>
      <c r="L499" s="1104"/>
      <c r="M499" s="1107"/>
      <c r="N499" s="1177"/>
      <c r="O499" s="1107"/>
      <c r="P499" s="1177"/>
      <c r="Q499" s="1228"/>
      <c r="R499" s="1211"/>
      <c r="S499" s="1107"/>
      <c r="T499" s="1107"/>
      <c r="U499" s="1107"/>
      <c r="V499" s="1107"/>
      <c r="W499" s="1104"/>
      <c r="X499" s="1228"/>
      <c r="Y499" s="1228"/>
      <c r="Z499" s="1155"/>
      <c r="AA499" s="1107"/>
      <c r="AB499" s="1104"/>
      <c r="AC499" s="1104"/>
      <c r="AD499" s="1104"/>
      <c r="AE499" s="1211"/>
      <c r="AF499" s="1211"/>
      <c r="AG499" s="1107"/>
      <c r="AH499" s="1104"/>
      <c r="AI499" s="1104"/>
      <c r="AJ499" s="396"/>
      <c r="AK499" s="1024">
        <f t="shared" si="453"/>
        <v>0</v>
      </c>
      <c r="AL499" s="420"/>
      <c r="AM499" s="1040">
        <f t="shared" si="454"/>
        <v>0</v>
      </c>
      <c r="AN499" s="382"/>
      <c r="AO499" s="622"/>
      <c r="AP499" s="391"/>
      <c r="AQ499" s="391"/>
    </row>
    <row r="500" spans="1:48" s="23" customFormat="1" ht="20.45" customHeight="1">
      <c r="A500" s="441"/>
      <c r="B500" s="59"/>
      <c r="C500" s="387" t="s">
        <v>104</v>
      </c>
      <c r="D500" s="88" t="s">
        <v>111</v>
      </c>
      <c r="E500" s="1157">
        <f>IF(E499="O/H",E496,2965+E496)</f>
        <v>5640.5</v>
      </c>
      <c r="F500" s="1157">
        <f>IF(F499="O/H",F496,+E500+F496)</f>
        <v>6300</v>
      </c>
      <c r="G500" s="1264">
        <f t="shared" ref="G500:AI500" si="490">IF(G499="O/H",G496,+F500+G496)</f>
        <v>6300</v>
      </c>
      <c r="H500" s="1157">
        <f t="shared" si="490"/>
        <v>6439</v>
      </c>
      <c r="I500" s="1157">
        <f t="shared" si="490"/>
        <v>6834</v>
      </c>
      <c r="J500" s="1264">
        <f t="shared" si="490"/>
        <v>6834</v>
      </c>
      <c r="K500" s="1264">
        <f t="shared" si="490"/>
        <v>6834</v>
      </c>
      <c r="L500" s="1157">
        <f t="shared" si="490"/>
        <v>6914</v>
      </c>
      <c r="M500" s="1157">
        <f t="shared" si="490"/>
        <v>6914</v>
      </c>
      <c r="N500" s="1157">
        <f t="shared" si="490"/>
        <v>7024</v>
      </c>
      <c r="O500" s="1157">
        <f t="shared" si="490"/>
        <v>7024</v>
      </c>
      <c r="P500" s="1157">
        <f t="shared" si="490"/>
        <v>7024</v>
      </c>
      <c r="Q500" s="1264">
        <f t="shared" si="490"/>
        <v>7024</v>
      </c>
      <c r="R500" s="1264">
        <f t="shared" si="490"/>
        <v>7024</v>
      </c>
      <c r="S500" s="1157">
        <f t="shared" si="490"/>
        <v>7107</v>
      </c>
      <c r="T500" s="1157">
        <f t="shared" si="490"/>
        <v>7107</v>
      </c>
      <c r="U500" s="1157">
        <f t="shared" si="490"/>
        <v>7107</v>
      </c>
      <c r="V500" s="1157">
        <f t="shared" si="490"/>
        <v>7107</v>
      </c>
      <c r="W500" s="1157">
        <f t="shared" si="490"/>
        <v>7107</v>
      </c>
      <c r="X500" s="1264">
        <f t="shared" si="490"/>
        <v>7107</v>
      </c>
      <c r="Y500" s="1264">
        <f t="shared" si="490"/>
        <v>7107</v>
      </c>
      <c r="Z500" s="1157">
        <f t="shared" si="490"/>
        <v>7107</v>
      </c>
      <c r="AA500" s="1157">
        <f t="shared" si="490"/>
        <v>8627</v>
      </c>
      <c r="AB500" s="1157">
        <f t="shared" si="490"/>
        <v>8627</v>
      </c>
      <c r="AC500" s="1157">
        <f t="shared" si="490"/>
        <v>8627</v>
      </c>
      <c r="AD500" s="1157">
        <f t="shared" si="490"/>
        <v>8627</v>
      </c>
      <c r="AE500" s="1264">
        <f t="shared" si="490"/>
        <v>8627</v>
      </c>
      <c r="AF500" s="1264">
        <f t="shared" si="490"/>
        <v>8627</v>
      </c>
      <c r="AG500" s="1157">
        <f t="shared" si="490"/>
        <v>8627</v>
      </c>
      <c r="AH500" s="1157">
        <f t="shared" si="490"/>
        <v>8627</v>
      </c>
      <c r="AI500" s="1157">
        <f t="shared" si="490"/>
        <v>8627</v>
      </c>
      <c r="AJ500" s="396"/>
      <c r="AK500" s="1024">
        <f t="shared" si="453"/>
        <v>0</v>
      </c>
      <c r="AL500" s="420"/>
      <c r="AM500" s="1040">
        <f t="shared" si="454"/>
        <v>0</v>
      </c>
      <c r="AN500" s="382"/>
      <c r="AO500" s="622"/>
      <c r="AP500" s="285"/>
      <c r="AQ500" s="285"/>
      <c r="AR500" s="285"/>
      <c r="AS500" s="285"/>
      <c r="AT500" s="286"/>
      <c r="AU500" s="285"/>
      <c r="AV500" s="287"/>
    </row>
    <row r="501" spans="1:48" ht="19.899999999999999" customHeight="1">
      <c r="A501" s="312"/>
      <c r="B501" s="312"/>
      <c r="C501" s="379">
        <v>150000</v>
      </c>
      <c r="D501" s="795" t="s">
        <v>112</v>
      </c>
      <c r="E501" s="1367">
        <f>IF(AND(ISNUMBER(E490)),0+E496)</f>
        <v>2675.5</v>
      </c>
      <c r="F501" s="1112">
        <f>IF(AND(ISNUMBER(F490)),E501+F496,"")</f>
        <v>3335</v>
      </c>
      <c r="G501" s="1213">
        <f>IF(AND(ISNUMBER(G490)),F501+G496,"")</f>
        <v>3335</v>
      </c>
      <c r="H501" s="1112">
        <f t="shared" ref="H501:AI501" si="491">IF(AND(ISNUMBER(H490)),G501+H496,"")</f>
        <v>3474</v>
      </c>
      <c r="I501" s="1112">
        <f t="shared" si="491"/>
        <v>3869</v>
      </c>
      <c r="J501" s="1213">
        <f t="shared" si="491"/>
        <v>3869</v>
      </c>
      <c r="K501" s="1213">
        <f t="shared" si="491"/>
        <v>3869</v>
      </c>
      <c r="L501" s="1112">
        <f t="shared" si="491"/>
        <v>3949</v>
      </c>
      <c r="M501" s="1112">
        <f t="shared" si="491"/>
        <v>3949</v>
      </c>
      <c r="N501" s="1112">
        <f t="shared" si="491"/>
        <v>4059</v>
      </c>
      <c r="O501" s="1112">
        <f t="shared" si="491"/>
        <v>4059</v>
      </c>
      <c r="P501" s="1112">
        <f t="shared" si="491"/>
        <v>4059</v>
      </c>
      <c r="Q501" s="1213">
        <f t="shared" si="491"/>
        <v>4059</v>
      </c>
      <c r="R501" s="1213">
        <f t="shared" si="491"/>
        <v>4059</v>
      </c>
      <c r="S501" s="1112">
        <f t="shared" si="491"/>
        <v>4142</v>
      </c>
      <c r="T501" s="1112">
        <f t="shared" si="491"/>
        <v>4142</v>
      </c>
      <c r="U501" s="1112">
        <f t="shared" si="491"/>
        <v>4142</v>
      </c>
      <c r="V501" s="1112">
        <f t="shared" si="491"/>
        <v>4142</v>
      </c>
      <c r="W501" s="1112">
        <f t="shared" si="491"/>
        <v>4142</v>
      </c>
      <c r="X501" s="1213">
        <f t="shared" si="491"/>
        <v>4142</v>
      </c>
      <c r="Y501" s="1213">
        <f t="shared" si="491"/>
        <v>4142</v>
      </c>
      <c r="Z501" s="1112">
        <f t="shared" si="491"/>
        <v>4142</v>
      </c>
      <c r="AA501" s="1112">
        <f t="shared" si="491"/>
        <v>5662</v>
      </c>
      <c r="AB501" s="1112" t="str">
        <f t="shared" si="491"/>
        <v/>
      </c>
      <c r="AC501" s="1112" t="str">
        <f t="shared" si="491"/>
        <v/>
      </c>
      <c r="AD501" s="1112" t="str">
        <f t="shared" si="491"/>
        <v/>
      </c>
      <c r="AE501" s="1213" t="str">
        <f t="shared" si="491"/>
        <v/>
      </c>
      <c r="AF501" s="1213" t="str">
        <f t="shared" si="491"/>
        <v/>
      </c>
      <c r="AG501" s="1112" t="str">
        <f t="shared" si="491"/>
        <v/>
      </c>
      <c r="AH501" s="1112" t="str">
        <f t="shared" si="491"/>
        <v/>
      </c>
      <c r="AI501" s="1112" t="str">
        <f t="shared" si="491"/>
        <v/>
      </c>
      <c r="AJ501" s="793"/>
      <c r="AK501" s="1026">
        <f t="shared" si="453"/>
        <v>0</v>
      </c>
      <c r="AL501" s="897"/>
      <c r="AM501" s="1042">
        <f t="shared" si="454"/>
        <v>0</v>
      </c>
      <c r="AN501" s="468"/>
      <c r="AO501" s="675"/>
      <c r="AP501" s="391"/>
      <c r="AQ501" s="391"/>
    </row>
    <row r="502" spans="1:48" ht="19.899999999999999" customHeight="1">
      <c r="A502" s="443"/>
      <c r="B502" s="59" t="s">
        <v>469</v>
      </c>
      <c r="C502" s="89" t="s">
        <v>108</v>
      </c>
      <c r="D502" s="90" t="s">
        <v>104</v>
      </c>
      <c r="E502" s="1376"/>
      <c r="F502" s="1104"/>
      <c r="G502" s="1211"/>
      <c r="H502" s="1176"/>
      <c r="I502" s="1107"/>
      <c r="J502" s="1211"/>
      <c r="K502" s="1273"/>
      <c r="L502" s="1104"/>
      <c r="M502" s="1104"/>
      <c r="N502" s="1177"/>
      <c r="O502" s="1107"/>
      <c r="P502" s="1177"/>
      <c r="Q502" s="1228"/>
      <c r="R502" s="1211"/>
      <c r="S502" s="1104"/>
      <c r="T502" s="1107"/>
      <c r="U502" s="1104"/>
      <c r="V502" s="1107"/>
      <c r="W502" s="1104"/>
      <c r="X502" s="1228"/>
      <c r="Y502" s="1211"/>
      <c r="Z502" s="1106"/>
      <c r="AA502" s="1104"/>
      <c r="AB502" s="1104"/>
      <c r="AC502" s="1104"/>
      <c r="AD502" s="1104"/>
      <c r="AE502" s="1211"/>
      <c r="AF502" s="1211"/>
      <c r="AG502" s="1107"/>
      <c r="AH502" s="1104"/>
      <c r="AI502" s="1104"/>
      <c r="AJ502" s="396"/>
      <c r="AK502" s="1024">
        <f t="shared" si="453"/>
        <v>0</v>
      </c>
      <c r="AL502" s="420"/>
      <c r="AM502" s="1040">
        <f t="shared" si="454"/>
        <v>0</v>
      </c>
      <c r="AN502" s="382"/>
      <c r="AO502" s="622"/>
      <c r="AP502" s="391"/>
      <c r="AQ502" s="391"/>
    </row>
    <row r="503" spans="1:48" ht="19.899999999999999" customHeight="1" thickBot="1">
      <c r="A503" s="443"/>
      <c r="B503" s="398"/>
      <c r="C503" s="407">
        <f>+C501*0.8</f>
        <v>120000</v>
      </c>
      <c r="D503" s="95" t="s">
        <v>111</v>
      </c>
      <c r="E503" s="1377">
        <f>IF(E502="O/H",E496,2965+E496)</f>
        <v>5640.5</v>
      </c>
      <c r="F503" s="1157">
        <f>IF(F502="O/H",F499,+E503+F499)</f>
        <v>5640.5</v>
      </c>
      <c r="G503" s="1264">
        <f t="shared" ref="G503:AH503" si="492">IF(G502="O/H",G499,+F503+G499)</f>
        <v>5640.5</v>
      </c>
      <c r="H503" s="1157">
        <f t="shared" si="492"/>
        <v>5640.5</v>
      </c>
      <c r="I503" s="1157">
        <f t="shared" si="492"/>
        <v>5640.5</v>
      </c>
      <c r="J503" s="1264">
        <f t="shared" si="492"/>
        <v>5640.5</v>
      </c>
      <c r="K503" s="1264">
        <f t="shared" si="492"/>
        <v>5640.5</v>
      </c>
      <c r="L503" s="1157">
        <f t="shared" si="492"/>
        <v>5640.5</v>
      </c>
      <c r="M503" s="1157">
        <f t="shared" si="492"/>
        <v>5640.5</v>
      </c>
      <c r="N503" s="1157">
        <f t="shared" si="492"/>
        <v>5640.5</v>
      </c>
      <c r="O503" s="1157">
        <f t="shared" si="492"/>
        <v>5640.5</v>
      </c>
      <c r="P503" s="1157">
        <f t="shared" si="492"/>
        <v>5640.5</v>
      </c>
      <c r="Q503" s="1264">
        <f t="shared" si="492"/>
        <v>5640.5</v>
      </c>
      <c r="R503" s="1264">
        <f t="shared" si="492"/>
        <v>5640.5</v>
      </c>
      <c r="S503" s="1157">
        <f t="shared" si="492"/>
        <v>5640.5</v>
      </c>
      <c r="T503" s="1157">
        <f t="shared" si="492"/>
        <v>5640.5</v>
      </c>
      <c r="U503" s="1157">
        <f t="shared" si="492"/>
        <v>5640.5</v>
      </c>
      <c r="V503" s="1157">
        <f t="shared" si="492"/>
        <v>5640.5</v>
      </c>
      <c r="W503" s="1157">
        <f t="shared" si="492"/>
        <v>5640.5</v>
      </c>
      <c r="X503" s="1264">
        <f t="shared" si="492"/>
        <v>5640.5</v>
      </c>
      <c r="Y503" s="1264">
        <f t="shared" si="492"/>
        <v>5640.5</v>
      </c>
      <c r="Z503" s="1157">
        <f t="shared" si="492"/>
        <v>5640.5</v>
      </c>
      <c r="AA503" s="1157">
        <f t="shared" si="492"/>
        <v>5640.5</v>
      </c>
      <c r="AB503" s="1157">
        <f t="shared" si="492"/>
        <v>5640.5</v>
      </c>
      <c r="AC503" s="1157">
        <f t="shared" si="492"/>
        <v>5640.5</v>
      </c>
      <c r="AD503" s="1157">
        <f t="shared" si="492"/>
        <v>5640.5</v>
      </c>
      <c r="AE503" s="1264">
        <f t="shared" si="492"/>
        <v>5640.5</v>
      </c>
      <c r="AF503" s="1264">
        <f t="shared" si="492"/>
        <v>5640.5</v>
      </c>
      <c r="AG503" s="1157">
        <f t="shared" si="492"/>
        <v>5640.5</v>
      </c>
      <c r="AH503" s="1157">
        <f t="shared" si="492"/>
        <v>5640.5</v>
      </c>
      <c r="AI503" s="1110">
        <f t="shared" ref="AI503" si="493">IF(AI502="O/H",AI496,116+AI496)</f>
        <v>116</v>
      </c>
      <c r="AJ503" s="1224"/>
      <c r="AK503" s="1027">
        <f t="shared" si="453"/>
        <v>0</v>
      </c>
      <c r="AL503" s="421"/>
      <c r="AM503" s="1043">
        <f t="shared" si="454"/>
        <v>0</v>
      </c>
      <c r="AN503" s="894"/>
      <c r="AO503" s="625"/>
      <c r="AP503" s="32"/>
      <c r="AQ503" s="33"/>
      <c r="AR503" s="33"/>
      <c r="AS503" s="33"/>
      <c r="AT503" s="33"/>
      <c r="AU503" s="33"/>
      <c r="AV503" s="34"/>
    </row>
    <row r="504" spans="1:48" ht="19.899999999999999" hidden="1" customHeight="1" thickTop="1">
      <c r="A504" s="445" t="s">
        <v>489</v>
      </c>
      <c r="B504" s="430"/>
      <c r="C504" s="518" t="str">
        <f>Table37[[#This Row],[M/C No.]]</f>
        <v>Form</v>
      </c>
      <c r="D504" s="28" t="s">
        <v>82</v>
      </c>
      <c r="E504" s="1368"/>
      <c r="F504" s="1111"/>
      <c r="G504" s="1201"/>
      <c r="H504" s="1111"/>
      <c r="I504" s="1111"/>
      <c r="J504" s="1201"/>
      <c r="K504" s="1201"/>
      <c r="L504" s="1111"/>
      <c r="M504" s="1111"/>
      <c r="N504" s="1111"/>
      <c r="O504" s="1111"/>
      <c r="P504" s="1111"/>
      <c r="Q504" s="1201"/>
      <c r="R504" s="1201"/>
      <c r="S504" s="1111"/>
      <c r="T504" s="1111"/>
      <c r="U504" s="1111"/>
      <c r="V504" s="1111"/>
      <c r="W504" s="1111"/>
      <c r="X504" s="1201"/>
      <c r="Y504" s="1201"/>
      <c r="Z504" s="1111"/>
      <c r="AA504" s="1111"/>
      <c r="AB504" s="1111"/>
      <c r="AC504" s="1111"/>
      <c r="AD504" s="1111"/>
      <c r="AE504" s="1201"/>
      <c r="AF504" s="1201"/>
      <c r="AG504" s="1111"/>
      <c r="AH504" s="1111"/>
      <c r="AI504" s="1111"/>
      <c r="AJ504" s="375">
        <f>SUM(E504:AI504)</f>
        <v>0</v>
      </c>
      <c r="AK504" s="1047">
        <f t="shared" si="453"/>
        <v>0</v>
      </c>
      <c r="AL504" s="422">
        <f>+AJ504*AN504</f>
        <v>0</v>
      </c>
      <c r="AM504" s="1046">
        <f t="shared" si="454"/>
        <v>0</v>
      </c>
      <c r="AN504" s="446">
        <v>0</v>
      </c>
      <c r="AO504" s="622"/>
      <c r="AP504" s="32" t="s">
        <v>490</v>
      </c>
      <c r="AQ504" s="33" t="s">
        <v>84</v>
      </c>
      <c r="AR504" s="33" t="s">
        <v>85</v>
      </c>
      <c r="AS504" s="33" t="s">
        <v>86</v>
      </c>
      <c r="AT504" s="33" t="s">
        <v>87</v>
      </c>
      <c r="AU504" s="33" t="s">
        <v>88</v>
      </c>
      <c r="AV504" s="34" t="s">
        <v>68</v>
      </c>
    </row>
    <row r="505" spans="1:48" ht="19.899999999999999" hidden="1" customHeight="1">
      <c r="A505" s="447"/>
      <c r="B505" s="378"/>
      <c r="C505" s="52" t="s">
        <v>95</v>
      </c>
      <c r="D505" s="37" t="s">
        <v>90</v>
      </c>
      <c r="E505" s="1373">
        <f>IF(E504="",0,+E504/E511)</f>
        <v>0</v>
      </c>
      <c r="F505" s="1096">
        <f t="shared" ref="F505:AB505" si="494">IF(F504="",0, E505+F504/F511)</f>
        <v>0</v>
      </c>
      <c r="G505" s="1207">
        <f t="shared" si="494"/>
        <v>0</v>
      </c>
      <c r="H505" s="1096">
        <f t="shared" si="494"/>
        <v>0</v>
      </c>
      <c r="I505" s="1096">
        <f t="shared" si="494"/>
        <v>0</v>
      </c>
      <c r="J505" s="1207">
        <f t="shared" si="494"/>
        <v>0</v>
      </c>
      <c r="K505" s="1207">
        <f t="shared" si="494"/>
        <v>0</v>
      </c>
      <c r="L505" s="1096">
        <f t="shared" si="494"/>
        <v>0</v>
      </c>
      <c r="M505" s="1096">
        <f t="shared" si="494"/>
        <v>0</v>
      </c>
      <c r="N505" s="1096">
        <f t="shared" si="494"/>
        <v>0</v>
      </c>
      <c r="O505" s="1096">
        <f t="shared" si="494"/>
        <v>0</v>
      </c>
      <c r="P505" s="1096">
        <f t="shared" si="494"/>
        <v>0</v>
      </c>
      <c r="Q505" s="1207">
        <f t="shared" si="494"/>
        <v>0</v>
      </c>
      <c r="R505" s="1207">
        <f t="shared" si="494"/>
        <v>0</v>
      </c>
      <c r="S505" s="1096">
        <f t="shared" si="494"/>
        <v>0</v>
      </c>
      <c r="T505" s="1096">
        <f t="shared" si="494"/>
        <v>0</v>
      </c>
      <c r="U505" s="1096">
        <f t="shared" si="494"/>
        <v>0</v>
      </c>
      <c r="V505" s="1096">
        <f t="shared" si="494"/>
        <v>0</v>
      </c>
      <c r="W505" s="1096">
        <f t="shared" si="494"/>
        <v>0</v>
      </c>
      <c r="X505" s="1207">
        <f t="shared" si="494"/>
        <v>0</v>
      </c>
      <c r="Y505" s="1207">
        <f t="shared" si="494"/>
        <v>0</v>
      </c>
      <c r="Z505" s="1096">
        <f t="shared" si="494"/>
        <v>0</v>
      </c>
      <c r="AA505" s="1096">
        <f t="shared" si="494"/>
        <v>0</v>
      </c>
      <c r="AB505" s="1096">
        <f t="shared" si="494"/>
        <v>0</v>
      </c>
      <c r="AC505" s="1096">
        <f>IF(AC504="",0, Y505+AC504/AC511)</f>
        <v>0</v>
      </c>
      <c r="AD505" s="1096">
        <f>IF(AD504="",0, Z505+AD504/AD511)</f>
        <v>0</v>
      </c>
      <c r="AE505" s="1207">
        <f>IF(AE504="",0, AA505+AE504/AE511)</f>
        <v>0</v>
      </c>
      <c r="AF505" s="1207">
        <f>IF(AF504="",0, AB505+AF504/AF511)</f>
        <v>0</v>
      </c>
      <c r="AG505" s="1096">
        <f>IF(AG504="",0, AF505+AG504/AG511)</f>
        <v>0</v>
      </c>
      <c r="AH505" s="1096">
        <f>IF(AH504="",0, AG505+AH504/AH511)</f>
        <v>0</v>
      </c>
      <c r="AI505" s="1096">
        <f>IF(AI504="",0, AH505+AI504/AI511)</f>
        <v>0</v>
      </c>
      <c r="AJ505" s="375"/>
      <c r="AK505" s="1023">
        <f t="shared" si="453"/>
        <v>0</v>
      </c>
      <c r="AL505" s="423"/>
      <c r="AM505" s="1040">
        <f t="shared" si="454"/>
        <v>0</v>
      </c>
      <c r="AN505" s="448"/>
      <c r="AO505" s="622"/>
      <c r="AP505" s="39" t="s">
        <v>91</v>
      </c>
      <c r="AQ505" s="40">
        <f>SUM(E504:I504)</f>
        <v>0</v>
      </c>
      <c r="AR505" s="41">
        <f>SUM(J504:P504)</f>
        <v>0</v>
      </c>
      <c r="AS505" s="41">
        <f>SUM(Q504:W504)</f>
        <v>0</v>
      </c>
      <c r="AT505" s="41">
        <f>SUM(X504:AD504)</f>
        <v>0</v>
      </c>
      <c r="AU505" s="41">
        <f>SUM(AE504:AI504)</f>
        <v>0</v>
      </c>
      <c r="AV505" s="34">
        <f t="shared" ref="AV505:AV510" si="495">SUM(AQ505:AU505)</f>
        <v>0</v>
      </c>
    </row>
    <row r="506" spans="1:48" ht="19.899999999999999" hidden="1" customHeight="1">
      <c r="A506" s="447"/>
      <c r="B506" s="59"/>
      <c r="C506" s="297" t="s">
        <v>491</v>
      </c>
      <c r="D506" s="43" t="s">
        <v>93</v>
      </c>
      <c r="E506" s="1325"/>
      <c r="F506" s="1089"/>
      <c r="G506" s="44"/>
      <c r="H506" s="1089"/>
      <c r="I506" s="1089"/>
      <c r="J506" s="44"/>
      <c r="K506" s="44"/>
      <c r="L506" s="1089"/>
      <c r="M506" s="1089"/>
      <c r="N506" s="1089"/>
      <c r="O506" s="1089"/>
      <c r="P506" s="1089"/>
      <c r="Q506" s="44"/>
      <c r="R506" s="44"/>
      <c r="S506" s="1089"/>
      <c r="T506" s="1089"/>
      <c r="U506" s="1089"/>
      <c r="V506" s="1089"/>
      <c r="W506" s="1089"/>
      <c r="X506" s="44"/>
      <c r="Y506" s="44"/>
      <c r="Z506" s="1089"/>
      <c r="AA506" s="1089"/>
      <c r="AB506" s="1089"/>
      <c r="AC506" s="1089"/>
      <c r="AD506" s="1089"/>
      <c r="AE506" s="44"/>
      <c r="AF506" s="44"/>
      <c r="AG506" s="1089"/>
      <c r="AH506" s="1089"/>
      <c r="AI506" s="1089"/>
      <c r="AJ506" s="380">
        <f>SUM(E506:AI506)</f>
        <v>0</v>
      </c>
      <c r="AK506" s="1024">
        <f t="shared" si="453"/>
        <v>0</v>
      </c>
      <c r="AL506" s="424">
        <f>+AJ506*AN504</f>
        <v>0</v>
      </c>
      <c r="AM506" s="1041">
        <f t="shared" si="454"/>
        <v>0</v>
      </c>
      <c r="AN506" s="449"/>
      <c r="AO506" s="622"/>
      <c r="AP506" s="47" t="s">
        <v>94</v>
      </c>
      <c r="AQ506" s="48">
        <f>SUM(E506:I506)</f>
        <v>0</v>
      </c>
      <c r="AR506" s="49">
        <f>SUM(J506:P506)</f>
        <v>0</v>
      </c>
      <c r="AS506" s="49">
        <f>SUM(Q506:W506)</f>
        <v>0</v>
      </c>
      <c r="AT506" s="49">
        <f>SUM(X506:AD506)</f>
        <v>0</v>
      </c>
      <c r="AU506" s="49">
        <f>SUM(AE506:AI506)</f>
        <v>0</v>
      </c>
      <c r="AV506" s="50">
        <f t="shared" si="495"/>
        <v>0</v>
      </c>
    </row>
    <row r="507" spans="1:48" ht="19.899999999999999" hidden="1" customHeight="1">
      <c r="A507" s="447"/>
      <c r="B507" s="59"/>
      <c r="C507" s="89" t="s">
        <v>108</v>
      </c>
      <c r="D507" s="53" t="s">
        <v>96</v>
      </c>
      <c r="E507" s="1327">
        <f t="shared" ref="E507:P507" si="496">+E506-E504</f>
        <v>0</v>
      </c>
      <c r="F507" s="1097">
        <f t="shared" si="496"/>
        <v>0</v>
      </c>
      <c r="G507" s="1205">
        <f t="shared" si="496"/>
        <v>0</v>
      </c>
      <c r="H507" s="1097">
        <f t="shared" si="496"/>
        <v>0</v>
      </c>
      <c r="I507" s="1097">
        <f t="shared" si="496"/>
        <v>0</v>
      </c>
      <c r="J507" s="1205">
        <f t="shared" si="496"/>
        <v>0</v>
      </c>
      <c r="K507" s="1205">
        <f t="shared" si="496"/>
        <v>0</v>
      </c>
      <c r="L507" s="1097">
        <f t="shared" si="496"/>
        <v>0</v>
      </c>
      <c r="M507" s="1097">
        <f t="shared" si="496"/>
        <v>0</v>
      </c>
      <c r="N507" s="1097">
        <f t="shared" si="496"/>
        <v>0</v>
      </c>
      <c r="O507" s="1097">
        <f t="shared" si="496"/>
        <v>0</v>
      </c>
      <c r="P507" s="1097">
        <f t="shared" si="496"/>
        <v>0</v>
      </c>
      <c r="Q507" s="1205">
        <f>+Q506-Q504</f>
        <v>0</v>
      </c>
      <c r="R507" s="1205">
        <f t="shared" ref="R507:AJ507" si="497">+R506-R504</f>
        <v>0</v>
      </c>
      <c r="S507" s="1097">
        <f t="shared" si="497"/>
        <v>0</v>
      </c>
      <c r="T507" s="1097">
        <f t="shared" si="497"/>
        <v>0</v>
      </c>
      <c r="U507" s="1097">
        <f t="shared" si="497"/>
        <v>0</v>
      </c>
      <c r="V507" s="1097">
        <f t="shared" si="497"/>
        <v>0</v>
      </c>
      <c r="W507" s="1097">
        <f t="shared" si="497"/>
        <v>0</v>
      </c>
      <c r="X507" s="1205">
        <f t="shared" si="497"/>
        <v>0</v>
      </c>
      <c r="Y507" s="1205">
        <f t="shared" si="497"/>
        <v>0</v>
      </c>
      <c r="Z507" s="1097">
        <f t="shared" si="497"/>
        <v>0</v>
      </c>
      <c r="AA507" s="1097">
        <f t="shared" si="497"/>
        <v>0</v>
      </c>
      <c r="AB507" s="1097">
        <f t="shared" si="497"/>
        <v>0</v>
      </c>
      <c r="AC507" s="1097">
        <f t="shared" si="497"/>
        <v>0</v>
      </c>
      <c r="AD507" s="1097">
        <f t="shared" si="497"/>
        <v>0</v>
      </c>
      <c r="AE507" s="1205">
        <f t="shared" si="497"/>
        <v>0</v>
      </c>
      <c r="AF507" s="1205">
        <f t="shared" si="497"/>
        <v>0</v>
      </c>
      <c r="AG507" s="1097">
        <f t="shared" si="497"/>
        <v>0</v>
      </c>
      <c r="AH507" s="1097">
        <f t="shared" si="497"/>
        <v>0</v>
      </c>
      <c r="AI507" s="1097">
        <f t="shared" si="497"/>
        <v>0</v>
      </c>
      <c r="AJ507" s="381">
        <f t="shared" si="497"/>
        <v>0</v>
      </c>
      <c r="AK507" s="1024">
        <f t="shared" si="453"/>
        <v>0</v>
      </c>
      <c r="AL507" s="425">
        <f>+AJ507*AN504</f>
        <v>0</v>
      </c>
      <c r="AM507" s="1041">
        <f t="shared" si="454"/>
        <v>0</v>
      </c>
      <c r="AN507" s="449"/>
      <c r="AO507" s="622"/>
      <c r="AP507" s="39" t="s">
        <v>98</v>
      </c>
      <c r="AQ507" s="56">
        <f>AQ506-AQ505</f>
        <v>0</v>
      </c>
      <c r="AR507" s="70">
        <f>AR506-AR505</f>
        <v>0</v>
      </c>
      <c r="AS507" s="70">
        <f>AS506-AS505</f>
        <v>0</v>
      </c>
      <c r="AT507" s="70">
        <f>AT506-AT505</f>
        <v>0</v>
      </c>
      <c r="AU507" s="70">
        <f>AU506-AU505</f>
        <v>0</v>
      </c>
      <c r="AV507" s="57">
        <f t="shared" si="495"/>
        <v>0</v>
      </c>
    </row>
    <row r="508" spans="1:48" ht="19.899999999999999" hidden="1" customHeight="1">
      <c r="A508" s="447"/>
      <c r="B508" s="65"/>
      <c r="C508" s="383" t="e">
        <f>+C506*0.8</f>
        <v>#VALUE!</v>
      </c>
      <c r="D508" s="61" t="s">
        <v>101</v>
      </c>
      <c r="E508" s="1329"/>
      <c r="F508" s="1099"/>
      <c r="G508" s="1208"/>
      <c r="H508" s="1099"/>
      <c r="I508" s="1099"/>
      <c r="J508" s="1208"/>
      <c r="K508" s="1208"/>
      <c r="L508" s="1099"/>
      <c r="M508" s="1099"/>
      <c r="N508" s="1099"/>
      <c r="O508" s="1099"/>
      <c r="P508" s="1099"/>
      <c r="Q508" s="1208"/>
      <c r="R508" s="1208"/>
      <c r="S508" s="1099"/>
      <c r="T508" s="1099"/>
      <c r="U508" s="1099"/>
      <c r="V508" s="1099"/>
      <c r="W508" s="1099"/>
      <c r="X508" s="1208"/>
      <c r="Y508" s="1208"/>
      <c r="Z508" s="1099"/>
      <c r="AA508" s="1099"/>
      <c r="AB508" s="1099"/>
      <c r="AC508" s="1099"/>
      <c r="AD508" s="1099"/>
      <c r="AE508" s="1208"/>
      <c r="AF508" s="1208"/>
      <c r="AG508" s="1099"/>
      <c r="AH508" s="1099"/>
      <c r="AI508" s="1099"/>
      <c r="AJ508" s="384">
        <f>SUM(E508:AI508)</f>
        <v>0</v>
      </c>
      <c r="AK508" s="1024">
        <f t="shared" si="453"/>
        <v>0</v>
      </c>
      <c r="AL508" s="420">
        <f>+AJ508*AN504</f>
        <v>0</v>
      </c>
      <c r="AM508" s="1040">
        <f t="shared" si="454"/>
        <v>0</v>
      </c>
      <c r="AN508" s="449"/>
      <c r="AO508" s="622"/>
      <c r="AP508" s="39" t="s">
        <v>102</v>
      </c>
      <c r="AQ508" s="56">
        <f>SUM(E508:I508)</f>
        <v>0</v>
      </c>
      <c r="AR508" s="70">
        <f>SUM(J508:P508)</f>
        <v>0</v>
      </c>
      <c r="AS508" s="70">
        <f>SUM(Q508:W508)</f>
        <v>0</v>
      </c>
      <c r="AT508" s="70">
        <f>SUM(X508:AD508)</f>
        <v>0</v>
      </c>
      <c r="AU508" s="70">
        <f>SUM(AE508:AI508)</f>
        <v>0</v>
      </c>
      <c r="AV508" s="57">
        <f t="shared" si="495"/>
        <v>0</v>
      </c>
    </row>
    <row r="509" spans="1:48" ht="19.899999999999999" hidden="1" customHeight="1">
      <c r="A509" s="447"/>
      <c r="B509" s="65"/>
      <c r="C509" s="383"/>
      <c r="D509" s="67" t="s">
        <v>103</v>
      </c>
      <c r="E509" s="1331"/>
      <c r="F509" s="1101"/>
      <c r="G509" s="1209"/>
      <c r="H509" s="1101"/>
      <c r="I509" s="1101"/>
      <c r="J509" s="1209"/>
      <c r="K509" s="1209"/>
      <c r="L509" s="1101"/>
      <c r="M509" s="1101"/>
      <c r="N509" s="1101"/>
      <c r="O509" s="1101"/>
      <c r="P509" s="1101"/>
      <c r="Q509" s="1209"/>
      <c r="R509" s="1209"/>
      <c r="S509" s="1101"/>
      <c r="T509" s="1101"/>
      <c r="U509" s="1101"/>
      <c r="V509" s="1101"/>
      <c r="W509" s="1101"/>
      <c r="X509" s="1209"/>
      <c r="Y509" s="1209"/>
      <c r="Z509" s="1101"/>
      <c r="AA509" s="1101"/>
      <c r="AB509" s="1101"/>
      <c r="AC509" s="1101"/>
      <c r="AD509" s="1101"/>
      <c r="AE509" s="1209"/>
      <c r="AF509" s="1209"/>
      <c r="AG509" s="1101"/>
      <c r="AH509" s="1101"/>
      <c r="AI509" s="1101"/>
      <c r="AJ509" s="386">
        <f>SUM(E509:AI509)</f>
        <v>0</v>
      </c>
      <c r="AK509" s="1024">
        <f t="shared" si="453"/>
        <v>0</v>
      </c>
      <c r="AL509" s="426">
        <f>+AJ509*AN504</f>
        <v>0</v>
      </c>
      <c r="AM509" s="1040">
        <f t="shared" si="454"/>
        <v>0</v>
      </c>
      <c r="AN509" s="449"/>
      <c r="AO509" s="622"/>
      <c r="AP509" s="39" t="s">
        <v>19</v>
      </c>
      <c r="AQ509" s="56">
        <f>AQ508*AN504</f>
        <v>0</v>
      </c>
      <c r="AR509" s="56">
        <f>AR508*AN504</f>
        <v>0</v>
      </c>
      <c r="AS509" s="56">
        <f>AS508*AN504</f>
        <v>0</v>
      </c>
      <c r="AT509" s="56">
        <f>AT508*AN504</f>
        <v>0</v>
      </c>
      <c r="AU509" s="56">
        <f>AU508*AN504</f>
        <v>0</v>
      </c>
      <c r="AV509" s="57">
        <f t="shared" si="495"/>
        <v>0</v>
      </c>
    </row>
    <row r="510" spans="1:48" ht="19.899999999999999" hidden="1" customHeight="1">
      <c r="A510" s="447"/>
      <c r="B510" s="65"/>
      <c r="C510" s="387" t="s">
        <v>435</v>
      </c>
      <c r="D510" s="73" t="s">
        <v>105</v>
      </c>
      <c r="E510" s="1378"/>
      <c r="F510" s="1103"/>
      <c r="G510" s="1210"/>
      <c r="H510" s="1103"/>
      <c r="I510" s="1103"/>
      <c r="J510" s="1210"/>
      <c r="K510" s="1210"/>
      <c r="L510" s="1103"/>
      <c r="M510" s="1103"/>
      <c r="N510" s="1103"/>
      <c r="O510" s="1103"/>
      <c r="P510" s="1103"/>
      <c r="Q510" s="1210"/>
      <c r="R510" s="1210"/>
      <c r="S510" s="1103"/>
      <c r="T510" s="1103"/>
      <c r="U510" s="1103"/>
      <c r="V510" s="1103"/>
      <c r="W510" s="1103"/>
      <c r="X510" s="1210"/>
      <c r="Y510" s="1210"/>
      <c r="Z510" s="1103"/>
      <c r="AA510" s="1103"/>
      <c r="AB510" s="1103"/>
      <c r="AC510" s="1103"/>
      <c r="AD510" s="1103"/>
      <c r="AE510" s="1210"/>
      <c r="AF510" s="1210"/>
      <c r="AG510" s="1103"/>
      <c r="AH510" s="1103"/>
      <c r="AI510" s="1103"/>
      <c r="AJ510" s="388">
        <f>SUM(E510:AI510)</f>
        <v>0</v>
      </c>
      <c r="AK510" s="1024">
        <f t="shared" si="453"/>
        <v>0</v>
      </c>
      <c r="AL510" s="427">
        <f>+AJ510*AN504</f>
        <v>0</v>
      </c>
      <c r="AM510" s="1040">
        <f t="shared" si="454"/>
        <v>0</v>
      </c>
      <c r="AN510" s="449"/>
      <c r="AO510" s="622"/>
      <c r="AP510" s="47" t="s">
        <v>106</v>
      </c>
      <c r="AQ510" s="48">
        <f>AQ506*AN504</f>
        <v>0</v>
      </c>
      <c r="AR510" s="48">
        <f>AR506*AN504</f>
        <v>0</v>
      </c>
      <c r="AS510" s="48">
        <f>AS506*AN504</f>
        <v>0</v>
      </c>
      <c r="AT510" s="48">
        <f>AT506*AN504</f>
        <v>0</v>
      </c>
      <c r="AU510" s="48">
        <f>AU506*AN504</f>
        <v>0</v>
      </c>
      <c r="AV510" s="50">
        <f t="shared" si="495"/>
        <v>0</v>
      </c>
    </row>
    <row r="511" spans="1:48" ht="19.899999999999999" hidden="1" customHeight="1">
      <c r="A511" s="447"/>
      <c r="B511" s="390"/>
      <c r="C511" s="297" t="s">
        <v>491</v>
      </c>
      <c r="D511" s="78" t="s">
        <v>107</v>
      </c>
      <c r="E511" s="1327">
        <v>4</v>
      </c>
      <c r="F511" s="1097">
        <v>4</v>
      </c>
      <c r="G511" s="1205">
        <v>4</v>
      </c>
      <c r="H511" s="1097">
        <v>4</v>
      </c>
      <c r="I511" s="1097">
        <v>4</v>
      </c>
      <c r="J511" s="1205">
        <v>4</v>
      </c>
      <c r="K511" s="1205">
        <v>4</v>
      </c>
      <c r="L511" s="1097">
        <v>4</v>
      </c>
      <c r="M511" s="1097">
        <v>4</v>
      </c>
      <c r="N511" s="1097">
        <v>4</v>
      </c>
      <c r="O511" s="1097">
        <v>4</v>
      </c>
      <c r="P511" s="1097">
        <v>4</v>
      </c>
      <c r="Q511" s="1205">
        <v>4</v>
      </c>
      <c r="R511" s="1205">
        <v>4</v>
      </c>
      <c r="S511" s="1097">
        <v>4</v>
      </c>
      <c r="T511" s="1097">
        <v>4</v>
      </c>
      <c r="U511" s="1097">
        <v>4</v>
      </c>
      <c r="V511" s="1097">
        <v>4</v>
      </c>
      <c r="W511" s="1097">
        <v>4</v>
      </c>
      <c r="X511" s="1205">
        <v>4</v>
      </c>
      <c r="Y511" s="1205">
        <v>4</v>
      </c>
      <c r="Z511" s="1097">
        <v>4</v>
      </c>
      <c r="AA511" s="1097">
        <v>4</v>
      </c>
      <c r="AB511" s="1097">
        <v>4</v>
      </c>
      <c r="AC511" s="1097">
        <v>4</v>
      </c>
      <c r="AD511" s="1097">
        <v>4</v>
      </c>
      <c r="AE511" s="1205">
        <v>4</v>
      </c>
      <c r="AF511" s="1205">
        <v>4</v>
      </c>
      <c r="AG511" s="1097">
        <v>4</v>
      </c>
      <c r="AH511" s="1097">
        <v>4</v>
      </c>
      <c r="AI511" s="1097">
        <v>4</v>
      </c>
      <c r="AJ511" s="381"/>
      <c r="AK511" s="1024">
        <f t="shared" si="453"/>
        <v>0</v>
      </c>
      <c r="AL511" s="425"/>
      <c r="AM511" s="1041">
        <f t="shared" si="454"/>
        <v>0</v>
      </c>
      <c r="AN511" s="449"/>
      <c r="AO511" s="622"/>
      <c r="AP511" s="391"/>
      <c r="AQ511" s="391"/>
      <c r="AR511" s="4"/>
      <c r="AS511" s="4"/>
      <c r="AT511" s="392"/>
      <c r="AU511" s="4"/>
      <c r="AV511" s="4"/>
    </row>
    <row r="512" spans="1:48" ht="19.899999999999999" hidden="1" customHeight="1">
      <c r="A512" s="447"/>
      <c r="B512" s="390"/>
      <c r="C512" s="89" t="s">
        <v>108</v>
      </c>
      <c r="D512" s="81" t="s">
        <v>109</v>
      </c>
      <c r="E512" s="1380">
        <f t="shared" ref="E512:AI512" si="498">SUM(E506+E508+E509)/E511</f>
        <v>0</v>
      </c>
      <c r="F512" s="1126">
        <f t="shared" si="498"/>
        <v>0</v>
      </c>
      <c r="G512" s="1235">
        <f t="shared" si="498"/>
        <v>0</v>
      </c>
      <c r="H512" s="1126">
        <f t="shared" si="498"/>
        <v>0</v>
      </c>
      <c r="I512" s="1126">
        <f t="shared" si="498"/>
        <v>0</v>
      </c>
      <c r="J512" s="1235">
        <f t="shared" si="498"/>
        <v>0</v>
      </c>
      <c r="K512" s="1235">
        <f t="shared" si="498"/>
        <v>0</v>
      </c>
      <c r="L512" s="1126">
        <f t="shared" si="498"/>
        <v>0</v>
      </c>
      <c r="M512" s="1126">
        <f t="shared" si="498"/>
        <v>0</v>
      </c>
      <c r="N512" s="1126">
        <f t="shared" si="498"/>
        <v>0</v>
      </c>
      <c r="O512" s="1126">
        <f t="shared" si="498"/>
        <v>0</v>
      </c>
      <c r="P512" s="1126">
        <f t="shared" si="498"/>
        <v>0</v>
      </c>
      <c r="Q512" s="1235">
        <f t="shared" si="498"/>
        <v>0</v>
      </c>
      <c r="R512" s="1235">
        <f t="shared" si="498"/>
        <v>0</v>
      </c>
      <c r="S512" s="1126">
        <f t="shared" si="498"/>
        <v>0</v>
      </c>
      <c r="T512" s="1126">
        <f t="shared" si="498"/>
        <v>0</v>
      </c>
      <c r="U512" s="1126">
        <f t="shared" si="498"/>
        <v>0</v>
      </c>
      <c r="V512" s="1126">
        <f t="shared" si="498"/>
        <v>0</v>
      </c>
      <c r="W512" s="1126">
        <f t="shared" si="498"/>
        <v>0</v>
      </c>
      <c r="X512" s="1235">
        <f t="shared" si="498"/>
        <v>0</v>
      </c>
      <c r="Y512" s="1235">
        <f t="shared" si="498"/>
        <v>0</v>
      </c>
      <c r="Z512" s="1126">
        <f t="shared" si="498"/>
        <v>0</v>
      </c>
      <c r="AA512" s="1126">
        <f t="shared" si="498"/>
        <v>0</v>
      </c>
      <c r="AB512" s="1126">
        <f t="shared" si="498"/>
        <v>0</v>
      </c>
      <c r="AC512" s="1126">
        <f>SUM(AC506+AC508+AC509)/AC511</f>
        <v>0</v>
      </c>
      <c r="AD512" s="1126">
        <f>SUM(AD506+AD508+AD509)/AD511</f>
        <v>0</v>
      </c>
      <c r="AE512" s="1235">
        <f>SUM(AE506+AE508+AE509)/AE511</f>
        <v>0</v>
      </c>
      <c r="AF512" s="1235">
        <f t="shared" si="498"/>
        <v>0</v>
      </c>
      <c r="AG512" s="1126">
        <f t="shared" si="498"/>
        <v>0</v>
      </c>
      <c r="AH512" s="1126">
        <f t="shared" si="498"/>
        <v>0</v>
      </c>
      <c r="AI512" s="1126">
        <f t="shared" si="498"/>
        <v>0</v>
      </c>
      <c r="AJ512" s="415">
        <f>SUM(E512:AI512)</f>
        <v>0</v>
      </c>
      <c r="AK512" s="1025">
        <f t="shared" si="453"/>
        <v>0</v>
      </c>
      <c r="AL512" s="419"/>
      <c r="AM512" s="1040">
        <f t="shared" si="454"/>
        <v>0</v>
      </c>
      <c r="AN512" s="450"/>
      <c r="AO512" s="622"/>
      <c r="AP512" s="391"/>
      <c r="AQ512" s="391"/>
      <c r="AR512" s="4"/>
      <c r="AS512" s="4"/>
      <c r="AT512" s="392"/>
      <c r="AU512" s="4"/>
      <c r="AV512" s="4"/>
    </row>
    <row r="513" spans="1:50" ht="19.899999999999999" hidden="1" customHeight="1">
      <c r="A513" s="447"/>
      <c r="B513" s="390"/>
      <c r="C513" s="84" t="e">
        <f>+C511*0.8</f>
        <v>#VALUE!</v>
      </c>
      <c r="D513" s="85" t="s">
        <v>110</v>
      </c>
      <c r="E513" s="1375"/>
      <c r="F513" s="1126"/>
      <c r="G513" s="1235"/>
      <c r="H513" s="1172"/>
      <c r="I513" s="1126"/>
      <c r="J513" s="1281"/>
      <c r="K513" s="1235"/>
      <c r="L513" s="1126"/>
      <c r="M513" s="1126"/>
      <c r="N513" s="1174"/>
      <c r="O513" s="1173"/>
      <c r="P513" s="1173"/>
      <c r="Q513" s="1281"/>
      <c r="R513" s="1281"/>
      <c r="S513" s="1173"/>
      <c r="T513" s="1107"/>
      <c r="U513" s="1173"/>
      <c r="V513" s="1173"/>
      <c r="W513" s="1173"/>
      <c r="X513" s="1281"/>
      <c r="Y513" s="1281"/>
      <c r="Z513" s="1155"/>
      <c r="AA513" s="1173"/>
      <c r="AB513" s="1173"/>
      <c r="AC513" s="1173"/>
      <c r="AD513" s="1173"/>
      <c r="AE513" s="1281"/>
      <c r="AF513" s="1281"/>
      <c r="AG513" s="1173"/>
      <c r="AH513" s="1173"/>
      <c r="AI513" s="1173"/>
      <c r="AJ513" s="394"/>
      <c r="AK513" s="1025">
        <f t="shared" si="453"/>
        <v>0</v>
      </c>
      <c r="AL513" s="419"/>
      <c r="AM513" s="1040">
        <f t="shared" si="454"/>
        <v>0</v>
      </c>
      <c r="AN513" s="382"/>
      <c r="AO513" s="622"/>
      <c r="AP513" s="391"/>
      <c r="AQ513" s="391"/>
      <c r="AR513" s="4"/>
      <c r="AS513" s="4"/>
      <c r="AT513" s="392"/>
      <c r="AU513" s="4"/>
      <c r="AV513" s="4"/>
    </row>
    <row r="514" spans="1:50" ht="19.899999999999999" hidden="1" customHeight="1">
      <c r="A514" s="447"/>
      <c r="B514" s="390"/>
      <c r="C514" s="89"/>
      <c r="D514" s="88" t="s">
        <v>111</v>
      </c>
      <c r="E514" s="1157">
        <f>IF(E513="",E512,+E512)</f>
        <v>0</v>
      </c>
      <c r="F514" s="1157">
        <f t="shared" ref="F514:AB514" si="499">IF(F513="",F512,+E514+F512)</f>
        <v>0</v>
      </c>
      <c r="G514" s="1264">
        <f t="shared" si="499"/>
        <v>0</v>
      </c>
      <c r="H514" s="1157">
        <f t="shared" si="499"/>
        <v>0</v>
      </c>
      <c r="I514" s="1157">
        <f t="shared" si="499"/>
        <v>0</v>
      </c>
      <c r="J514" s="1264">
        <f t="shared" si="499"/>
        <v>0</v>
      </c>
      <c r="K514" s="1264">
        <f t="shared" si="499"/>
        <v>0</v>
      </c>
      <c r="L514" s="1157">
        <f t="shared" si="499"/>
        <v>0</v>
      </c>
      <c r="M514" s="1157">
        <f t="shared" si="499"/>
        <v>0</v>
      </c>
      <c r="N514" s="1157">
        <f t="shared" si="499"/>
        <v>0</v>
      </c>
      <c r="O514" s="1157">
        <f t="shared" si="499"/>
        <v>0</v>
      </c>
      <c r="P514" s="1157">
        <f t="shared" si="499"/>
        <v>0</v>
      </c>
      <c r="Q514" s="1264">
        <f t="shared" si="499"/>
        <v>0</v>
      </c>
      <c r="R514" s="1264">
        <f t="shared" si="499"/>
        <v>0</v>
      </c>
      <c r="S514" s="1157">
        <f t="shared" si="499"/>
        <v>0</v>
      </c>
      <c r="T514" s="1157">
        <f t="shared" si="499"/>
        <v>0</v>
      </c>
      <c r="U514" s="1157">
        <f t="shared" si="499"/>
        <v>0</v>
      </c>
      <c r="V514" s="1157">
        <f t="shared" si="499"/>
        <v>0</v>
      </c>
      <c r="W514" s="1157">
        <f t="shared" si="499"/>
        <v>0</v>
      </c>
      <c r="X514" s="1264">
        <f t="shared" si="499"/>
        <v>0</v>
      </c>
      <c r="Y514" s="1264">
        <f t="shared" si="499"/>
        <v>0</v>
      </c>
      <c r="Z514" s="1157">
        <f t="shared" si="499"/>
        <v>0</v>
      </c>
      <c r="AA514" s="1157">
        <f t="shared" si="499"/>
        <v>0</v>
      </c>
      <c r="AB514" s="1157">
        <f t="shared" si="499"/>
        <v>0</v>
      </c>
      <c r="AC514" s="1157">
        <f>IF(AC513="",AC512,+Y514+AC512)</f>
        <v>0</v>
      </c>
      <c r="AD514" s="1157">
        <f>IF(AD513="",AD512,+Z514+AD512)</f>
        <v>0</v>
      </c>
      <c r="AE514" s="1264">
        <f>IF(AE513="",AE512,+AA514+AE512)</f>
        <v>0</v>
      </c>
      <c r="AF514" s="1264">
        <f>IF(AF513="",AF512,+AB514+AF512)</f>
        <v>0</v>
      </c>
      <c r="AG514" s="1157">
        <f>IF(AG513="",AG512,+AF514+AG512)</f>
        <v>0</v>
      </c>
      <c r="AH514" s="1157">
        <f>IF(AH513="",AH512,+AG514+AH512)</f>
        <v>0</v>
      </c>
      <c r="AI514" s="1157">
        <f>IF(AI513="",AI512,+AH514+AI512)</f>
        <v>0</v>
      </c>
      <c r="AJ514" s="394"/>
      <c r="AK514" s="1025">
        <f t="shared" si="453"/>
        <v>0</v>
      </c>
      <c r="AL514" s="419"/>
      <c r="AM514" s="1040">
        <f t="shared" si="454"/>
        <v>0</v>
      </c>
      <c r="AN514" s="382" t="s">
        <v>97</v>
      </c>
      <c r="AO514" s="622"/>
      <c r="AP514" s="391"/>
      <c r="AQ514" s="391"/>
    </row>
    <row r="515" spans="1:50" ht="19.899999999999999" hidden="1" customHeight="1">
      <c r="A515" s="447"/>
      <c r="B515" s="59"/>
      <c r="C515" s="387"/>
      <c r="D515" s="395" t="s">
        <v>435</v>
      </c>
      <c r="E515" s="1376"/>
      <c r="F515" s="1104"/>
      <c r="G515" s="1211"/>
      <c r="H515" s="1176"/>
      <c r="I515" s="1104"/>
      <c r="J515" s="1211"/>
      <c r="K515" s="1273"/>
      <c r="L515" s="1104"/>
      <c r="M515" s="1104"/>
      <c r="N515" s="1177"/>
      <c r="O515" s="1104"/>
      <c r="P515" s="1177"/>
      <c r="Q515" s="1211"/>
      <c r="R515" s="1211"/>
      <c r="S515" s="1104"/>
      <c r="T515" s="1107"/>
      <c r="U515" s="1104"/>
      <c r="V515" s="1104"/>
      <c r="W515" s="1104"/>
      <c r="X515" s="1228"/>
      <c r="Y515" s="1211"/>
      <c r="Z515" s="1155"/>
      <c r="AA515" s="1104"/>
      <c r="AB515" s="1104"/>
      <c r="AC515" s="1104"/>
      <c r="AD515" s="1104"/>
      <c r="AE515" s="1211"/>
      <c r="AF515" s="1211"/>
      <c r="AG515" s="1104"/>
      <c r="AH515" s="1104"/>
      <c r="AI515" s="1104"/>
      <c r="AJ515" s="396"/>
      <c r="AK515" s="1024">
        <f t="shared" si="453"/>
        <v>0</v>
      </c>
      <c r="AL515" s="420"/>
      <c r="AM515" s="1040">
        <f t="shared" si="454"/>
        <v>0</v>
      </c>
      <c r="AN515" s="382"/>
      <c r="AO515" s="622"/>
      <c r="AP515" s="391"/>
      <c r="AQ515" s="391"/>
    </row>
    <row r="516" spans="1:50" s="23" customFormat="1" ht="20.45" hidden="1" customHeight="1">
      <c r="A516" s="447"/>
      <c r="B516" s="59"/>
      <c r="C516" s="387" t="s">
        <v>104</v>
      </c>
      <c r="D516" s="88" t="s">
        <v>111</v>
      </c>
      <c r="E516" s="1157">
        <f>IF(E515="",E512,+E512)</f>
        <v>0</v>
      </c>
      <c r="F516" s="1157">
        <f t="shared" ref="F516:AB516" si="500">IF(F515="",F512,+E516+F512)</f>
        <v>0</v>
      </c>
      <c r="G516" s="1264">
        <f t="shared" si="500"/>
        <v>0</v>
      </c>
      <c r="H516" s="1157">
        <f t="shared" si="500"/>
        <v>0</v>
      </c>
      <c r="I516" s="1157">
        <f t="shared" si="500"/>
        <v>0</v>
      </c>
      <c r="J516" s="1264">
        <f t="shared" si="500"/>
        <v>0</v>
      </c>
      <c r="K516" s="1264">
        <f t="shared" si="500"/>
        <v>0</v>
      </c>
      <c r="L516" s="1157">
        <f t="shared" si="500"/>
        <v>0</v>
      </c>
      <c r="M516" s="1157">
        <f t="shared" si="500"/>
        <v>0</v>
      </c>
      <c r="N516" s="1157">
        <f t="shared" si="500"/>
        <v>0</v>
      </c>
      <c r="O516" s="1157">
        <f t="shared" si="500"/>
        <v>0</v>
      </c>
      <c r="P516" s="1157">
        <f t="shared" si="500"/>
        <v>0</v>
      </c>
      <c r="Q516" s="1264">
        <f t="shared" si="500"/>
        <v>0</v>
      </c>
      <c r="R516" s="1264">
        <f t="shared" si="500"/>
        <v>0</v>
      </c>
      <c r="S516" s="1157">
        <f t="shared" si="500"/>
        <v>0</v>
      </c>
      <c r="T516" s="1157">
        <f t="shared" si="500"/>
        <v>0</v>
      </c>
      <c r="U516" s="1157">
        <f t="shared" si="500"/>
        <v>0</v>
      </c>
      <c r="V516" s="1157">
        <f t="shared" si="500"/>
        <v>0</v>
      </c>
      <c r="W516" s="1157">
        <f t="shared" si="500"/>
        <v>0</v>
      </c>
      <c r="X516" s="1264">
        <f t="shared" si="500"/>
        <v>0</v>
      </c>
      <c r="Y516" s="1264">
        <f t="shared" si="500"/>
        <v>0</v>
      </c>
      <c r="Z516" s="1157">
        <f t="shared" si="500"/>
        <v>0</v>
      </c>
      <c r="AA516" s="1157">
        <f t="shared" si="500"/>
        <v>0</v>
      </c>
      <c r="AB516" s="1157">
        <f t="shared" si="500"/>
        <v>0</v>
      </c>
      <c r="AC516" s="1157">
        <f>IF(AC515="",AC512,+Y516+AC512)</f>
        <v>0</v>
      </c>
      <c r="AD516" s="1157">
        <f>IF(AD515="",AD512,+Z516+AD512)</f>
        <v>0</v>
      </c>
      <c r="AE516" s="1264">
        <f>IF(AE515="",AE512,+AA516+AE512)</f>
        <v>0</v>
      </c>
      <c r="AF516" s="1264">
        <f>IF(AF515="",AF512,+AB516+AF512)</f>
        <v>0</v>
      </c>
      <c r="AG516" s="1157">
        <f>IF(AG515="",AG512,+AF516+AG512)</f>
        <v>0</v>
      </c>
      <c r="AH516" s="1157">
        <f>IF(AH515="",AH512,+AG516+AH512)</f>
        <v>0</v>
      </c>
      <c r="AI516" s="1157">
        <f>IF(AI515="",AI512,+AH516+AI512)</f>
        <v>0</v>
      </c>
      <c r="AJ516" s="396"/>
      <c r="AK516" s="1024">
        <f t="shared" si="453"/>
        <v>0</v>
      </c>
      <c r="AL516" s="420"/>
      <c r="AM516" s="1040">
        <f t="shared" si="454"/>
        <v>0</v>
      </c>
      <c r="AN516" s="382"/>
      <c r="AO516" s="622"/>
      <c r="AP516" s="285"/>
      <c r="AQ516" s="285"/>
      <c r="AR516" s="285"/>
      <c r="AS516" s="285"/>
      <c r="AT516" s="286"/>
      <c r="AU516" s="285"/>
      <c r="AV516" s="287"/>
    </row>
    <row r="517" spans="1:50" ht="19.899999999999999" hidden="1" customHeight="1">
      <c r="A517" s="447"/>
      <c r="B517" s="312"/>
      <c r="C517" s="379" t="s">
        <v>491</v>
      </c>
      <c r="D517" s="795" t="s">
        <v>112</v>
      </c>
      <c r="E517" s="1117" t="b">
        <f>IF(AND(ISNUMBER(E508)),786981+E514)</f>
        <v>0</v>
      </c>
      <c r="F517" s="1118" t="str">
        <f>IF(AND(ISNUMBER(F508)),E517+F514,"")</f>
        <v/>
      </c>
      <c r="G517" s="1216" t="str">
        <f t="shared" ref="G517" si="501">IF(AND(ISNUMBER(G508)),F517+G514,"")</f>
        <v/>
      </c>
      <c r="H517" s="1118" t="str">
        <f t="shared" ref="H517" si="502">IF(AND(ISNUMBER(H508)),G517+H514,"")</f>
        <v/>
      </c>
      <c r="I517" s="1118" t="str">
        <f>IF(AND(ISNUMBER(I508)),H517+I514,"")</f>
        <v/>
      </c>
      <c r="J517" s="1216" t="str">
        <f>IF(AND(ISNUMBER(J508)),I517+J514,"")</f>
        <v/>
      </c>
      <c r="K517" s="1216" t="str">
        <f>IF(AND(ISNUMBER(K508)),J517+K514,"")</f>
        <v/>
      </c>
      <c r="L517" s="1118" t="str">
        <f t="shared" ref="L517" si="503">IF(AND(ISNUMBER(L508)),K517+L514,"")</f>
        <v/>
      </c>
      <c r="M517" s="1118" t="str">
        <f t="shared" ref="M517" si="504">IF(AND(ISNUMBER(M508)),L517+M514,"")</f>
        <v/>
      </c>
      <c r="N517" s="1118" t="str">
        <f t="shared" ref="N517" si="505">IF(AND(ISNUMBER(N508)),M517+N514,"")</f>
        <v/>
      </c>
      <c r="O517" s="1118" t="str">
        <f t="shared" ref="O517" si="506">IF(AND(ISNUMBER(O508)),N517+O514,"")</f>
        <v/>
      </c>
      <c r="P517" s="1118" t="str">
        <f t="shared" ref="P517" si="507">IF(AND(ISNUMBER(P508)),O517+P514,"")</f>
        <v/>
      </c>
      <c r="Q517" s="1216" t="str">
        <f t="shared" ref="Q517" si="508">IF(AND(ISNUMBER(Q508)),P517+Q514,"")</f>
        <v/>
      </c>
      <c r="R517" s="1216" t="str">
        <f t="shared" ref="R517" si="509">IF(AND(ISNUMBER(R508)),Q517+R514,"")</f>
        <v/>
      </c>
      <c r="S517" s="1118" t="str">
        <f t="shared" ref="S517" si="510">IF(AND(ISNUMBER(S508)),R517+S514,"")</f>
        <v/>
      </c>
      <c r="T517" s="1118" t="str">
        <f t="shared" ref="T517" si="511">IF(AND(ISNUMBER(T508)),S517+T514,"")</f>
        <v/>
      </c>
      <c r="U517" s="1118" t="str">
        <f t="shared" ref="U517" si="512">IF(AND(ISNUMBER(U508)),T517+U514,"")</f>
        <v/>
      </c>
      <c r="V517" s="1118" t="str">
        <f t="shared" ref="V517" si="513">IF(AND(ISNUMBER(V508)),U517+V514,"")</f>
        <v/>
      </c>
      <c r="W517" s="1118" t="str">
        <f t="shared" ref="W517" si="514">IF(AND(ISNUMBER(W508)),V517+W514,"")</f>
        <v/>
      </c>
      <c r="X517" s="1216" t="str">
        <f t="shared" ref="X517" si="515">IF(AND(ISNUMBER(X508)),W517+X514,"")</f>
        <v/>
      </c>
      <c r="Y517" s="1216" t="str">
        <f t="shared" ref="Y517" si="516">IF(AND(ISNUMBER(Y508)),X517+Y514,"")</f>
        <v/>
      </c>
      <c r="Z517" s="1118" t="str">
        <f t="shared" ref="Z517" si="517">IF(AND(ISNUMBER(Z508)),Y517+Z514,"")</f>
        <v/>
      </c>
      <c r="AA517" s="1118" t="str">
        <f t="shared" ref="AA517" si="518">IF(AND(ISNUMBER(AA508)),Z517+AA514,"")</f>
        <v/>
      </c>
      <c r="AB517" s="1118" t="str">
        <f t="shared" ref="AB517" si="519">IF(AND(ISNUMBER(AB508)),AA517+AB514,"")</f>
        <v/>
      </c>
      <c r="AC517" s="1118" t="str">
        <f t="shared" ref="AC517" si="520">IF(AND(ISNUMBER(AC508)),AB517+AC514,"")</f>
        <v/>
      </c>
      <c r="AD517" s="1118" t="str">
        <f t="shared" ref="AD517" si="521">IF(AND(ISNUMBER(AD508)),AC517+AD514,"")</f>
        <v/>
      </c>
      <c r="AE517" s="1216" t="str">
        <f t="shared" ref="AE517" si="522">IF(AND(ISNUMBER(AE508)),AD517+AE514,"")</f>
        <v/>
      </c>
      <c r="AF517" s="1216" t="str">
        <f t="shared" ref="AF517" si="523">IF(AND(ISNUMBER(AF508)),AE517+AF514,"")</f>
        <v/>
      </c>
      <c r="AG517" s="1118" t="str">
        <f t="shared" ref="AG517" si="524">IF(AND(ISNUMBER(AG508)),AF517+AG514,"")</f>
        <v/>
      </c>
      <c r="AH517" s="1118" t="str">
        <f t="shared" ref="AH517" si="525">IF(AND(ISNUMBER(AH508)),AG517+AH514,"")</f>
        <v/>
      </c>
      <c r="AI517" s="1118" t="str">
        <f t="shared" ref="AI517" si="526">IF(AND(ISNUMBER(AI508)),AH517+AI514,"")</f>
        <v/>
      </c>
      <c r="AJ517" s="793"/>
      <c r="AK517" s="1026">
        <f t="shared" si="453"/>
        <v>0</v>
      </c>
      <c r="AL517" s="897"/>
      <c r="AM517" s="1042">
        <f t="shared" si="454"/>
        <v>0</v>
      </c>
      <c r="AN517" s="468"/>
      <c r="AO517" s="675"/>
      <c r="AP517" s="391"/>
      <c r="AQ517" s="391"/>
    </row>
    <row r="518" spans="1:50" ht="19.899999999999999" hidden="1" customHeight="1">
      <c r="A518" s="447"/>
      <c r="B518" s="59"/>
      <c r="C518" s="89" t="s">
        <v>108</v>
      </c>
      <c r="D518" s="90" t="s">
        <v>104</v>
      </c>
      <c r="E518" s="1376"/>
      <c r="F518" s="1104"/>
      <c r="G518" s="1211"/>
      <c r="H518" s="1176"/>
      <c r="I518" s="1104"/>
      <c r="J518" s="1211"/>
      <c r="K518" s="1273"/>
      <c r="L518" s="1104"/>
      <c r="M518" s="1104"/>
      <c r="N518" s="1177"/>
      <c r="O518" s="1104"/>
      <c r="P518" s="1177"/>
      <c r="Q518" s="1211"/>
      <c r="R518" s="1211"/>
      <c r="S518" s="1104"/>
      <c r="T518" s="1107"/>
      <c r="U518" s="1104"/>
      <c r="V518" s="1104"/>
      <c r="W518" s="1104"/>
      <c r="X518" s="1228"/>
      <c r="Y518" s="1211"/>
      <c r="Z518" s="1106"/>
      <c r="AA518" s="1104"/>
      <c r="AB518" s="1104"/>
      <c r="AC518" s="1104"/>
      <c r="AD518" s="1104"/>
      <c r="AE518" s="1211"/>
      <c r="AF518" s="1211"/>
      <c r="AG518" s="1104"/>
      <c r="AH518" s="1104"/>
      <c r="AI518" s="1104"/>
      <c r="AJ518" s="396"/>
      <c r="AK518" s="1024">
        <f t="shared" si="453"/>
        <v>3120000</v>
      </c>
      <c r="AL518" s="420"/>
      <c r="AM518" s="1040">
        <f t="shared" si="454"/>
        <v>16104081</v>
      </c>
      <c r="AN518" s="382"/>
      <c r="AO518" s="622"/>
      <c r="AP518" s="391"/>
      <c r="AQ518" s="391"/>
    </row>
    <row r="519" spans="1:50" s="23" customFormat="1" ht="23.25" hidden="1" customHeight="1" thickBot="1">
      <c r="A519" s="451"/>
      <c r="B519" s="398"/>
      <c r="C519" s="407" t="e">
        <f>+C517*0.8</f>
        <v>#VALUE!</v>
      </c>
      <c r="D519" s="95" t="s">
        <v>111</v>
      </c>
      <c r="E519" s="1377">
        <f>IF(E518="",E512,+E512)</f>
        <v>0</v>
      </c>
      <c r="F519" s="1110">
        <f t="shared" ref="F519:AB519" si="527">IF(F518="",F512,+E519+F512)</f>
        <v>0</v>
      </c>
      <c r="G519" s="1212">
        <f t="shared" si="527"/>
        <v>0</v>
      </c>
      <c r="H519" s="1110">
        <f t="shared" si="527"/>
        <v>0</v>
      </c>
      <c r="I519" s="1110">
        <f t="shared" si="527"/>
        <v>0</v>
      </c>
      <c r="J519" s="1212">
        <f t="shared" si="527"/>
        <v>0</v>
      </c>
      <c r="K519" s="1212">
        <f t="shared" si="527"/>
        <v>0</v>
      </c>
      <c r="L519" s="1110">
        <f t="shared" si="527"/>
        <v>0</v>
      </c>
      <c r="M519" s="1110">
        <f t="shared" si="527"/>
        <v>0</v>
      </c>
      <c r="N519" s="1110">
        <f t="shared" si="527"/>
        <v>0</v>
      </c>
      <c r="O519" s="1110">
        <f t="shared" si="527"/>
        <v>0</v>
      </c>
      <c r="P519" s="1110">
        <f t="shared" si="527"/>
        <v>0</v>
      </c>
      <c r="Q519" s="1212">
        <f t="shared" si="527"/>
        <v>0</v>
      </c>
      <c r="R519" s="1212">
        <f t="shared" si="527"/>
        <v>0</v>
      </c>
      <c r="S519" s="1110">
        <f t="shared" si="527"/>
        <v>0</v>
      </c>
      <c r="T519" s="1110">
        <f t="shared" si="527"/>
        <v>0</v>
      </c>
      <c r="U519" s="1110">
        <f t="shared" si="527"/>
        <v>0</v>
      </c>
      <c r="V519" s="1110">
        <f t="shared" si="527"/>
        <v>0</v>
      </c>
      <c r="W519" s="1110">
        <f t="shared" si="527"/>
        <v>0</v>
      </c>
      <c r="X519" s="1212">
        <f t="shared" si="527"/>
        <v>0</v>
      </c>
      <c r="Y519" s="1212">
        <f t="shared" si="527"/>
        <v>0</v>
      </c>
      <c r="Z519" s="1110">
        <f t="shared" si="527"/>
        <v>0</v>
      </c>
      <c r="AA519" s="1110">
        <f t="shared" si="527"/>
        <v>0</v>
      </c>
      <c r="AB519" s="1110">
        <f t="shared" si="527"/>
        <v>0</v>
      </c>
      <c r="AC519" s="1110">
        <f>IF(AC518="",AC512,+Y519+AC512)</f>
        <v>0</v>
      </c>
      <c r="AD519" s="1110">
        <f>IF(AD518="",AD512,+Z519+AD512)</f>
        <v>0</v>
      </c>
      <c r="AE519" s="1212">
        <f>IF(AE518="",AE512,+AA519+AE512)</f>
        <v>0</v>
      </c>
      <c r="AF519" s="1212">
        <f>IF(AF518="",AF512,+AB519+AF512)</f>
        <v>0</v>
      </c>
      <c r="AG519" s="1110">
        <f>IF(AG518="",AG512,+AF519+AG512)</f>
        <v>0</v>
      </c>
      <c r="AH519" s="1110">
        <f>IF(AH518="",AH512,+AG519+AH512)</f>
        <v>0</v>
      </c>
      <c r="AI519" s="1110">
        <f>IF(AI518="",AI512,+AH519+AI512)</f>
        <v>0</v>
      </c>
      <c r="AJ519" s="399"/>
      <c r="AK519" s="1027">
        <f t="shared" ref="AK519:AK525" si="528">AJ521</f>
        <v>2793222</v>
      </c>
      <c r="AL519" s="421"/>
      <c r="AM519" s="1043">
        <f t="shared" ref="AM519:AM525" si="529">AL521</f>
        <v>13371258.582500001</v>
      </c>
      <c r="AN519" s="894"/>
      <c r="AO519" s="625"/>
      <c r="AR519" s="456"/>
      <c r="AS519" s="456"/>
      <c r="AT519" s="457"/>
      <c r="AU519" s="456"/>
      <c r="AV519" s="458"/>
    </row>
    <row r="520" spans="1:50" s="23" customFormat="1" ht="23.25" customHeight="1" thickTop="1">
      <c r="A520" s="237"/>
      <c r="B520" s="237"/>
      <c r="C520" s="237"/>
      <c r="D520" s="452" t="s">
        <v>91</v>
      </c>
      <c r="E520" s="1186">
        <f>+E488+E8+E40+E408+E56+E72+E104+E24+E424+E152+E120+E264+E392+E360+E376+E312+E248+E328+E504+E472+E456+E440+E232+E88+E200+E184+E168+E136+E280+E296+E344+E216</f>
        <v>177000</v>
      </c>
      <c r="F520" s="1186">
        <f>+F488+F8+F40+F408+F56+F72+F104+F24+F424+F152+F120+F264+F392+F360+F376+F312+F248+F328+F504+F472+F456+F440+F232+F88+F200+F184+F168+F136+F280+F296+F344+F216</f>
        <v>177000</v>
      </c>
      <c r="G520" s="1275">
        <f t="shared" ref="G520:AI520" si="530">+G488+G8+G40+G408+G56+G72+G104+G24+G424+G152+G120+G264+G392+G360+G376+G312+G248+G328+G504+G472+G456+G440+G232+G88+G200+G184+G168+G136+G280+G296+G344+G216</f>
        <v>177000</v>
      </c>
      <c r="H520" s="1186">
        <f t="shared" si="530"/>
        <v>177000</v>
      </c>
      <c r="I520" s="1186">
        <f t="shared" si="530"/>
        <v>177000</v>
      </c>
      <c r="J520" s="1275">
        <f t="shared" si="530"/>
        <v>153000</v>
      </c>
      <c r="K520" s="1275">
        <f t="shared" si="530"/>
        <v>153000</v>
      </c>
      <c r="L520" s="1186">
        <f t="shared" si="530"/>
        <v>144000</v>
      </c>
      <c r="M520" s="1186">
        <f t="shared" si="530"/>
        <v>148000</v>
      </c>
      <c r="N520" s="1186">
        <f t="shared" si="530"/>
        <v>160000</v>
      </c>
      <c r="O520" s="1186">
        <f t="shared" si="530"/>
        <v>183000</v>
      </c>
      <c r="P520" s="1186">
        <f t="shared" si="530"/>
        <v>183000</v>
      </c>
      <c r="Q520" s="1275">
        <f t="shared" si="530"/>
        <v>177000</v>
      </c>
      <c r="R520" s="1275">
        <f t="shared" si="530"/>
        <v>161000</v>
      </c>
      <c r="S520" s="1186">
        <f t="shared" si="530"/>
        <v>137000</v>
      </c>
      <c r="T520" s="1186">
        <f t="shared" si="530"/>
        <v>143000</v>
      </c>
      <c r="U520" s="1186">
        <f t="shared" si="530"/>
        <v>111000</v>
      </c>
      <c r="V520" s="1186">
        <f t="shared" si="530"/>
        <v>102000</v>
      </c>
      <c r="W520" s="1186">
        <f t="shared" si="530"/>
        <v>92000</v>
      </c>
      <c r="X520" s="1275">
        <f t="shared" si="530"/>
        <v>46000</v>
      </c>
      <c r="Y520" s="1275">
        <f t="shared" si="530"/>
        <v>44000</v>
      </c>
      <c r="Z520" s="1186">
        <f t="shared" si="530"/>
        <v>30000</v>
      </c>
      <c r="AA520" s="1186">
        <f t="shared" si="530"/>
        <v>24000</v>
      </c>
      <c r="AB520" s="1186">
        <f t="shared" si="530"/>
        <v>15000</v>
      </c>
      <c r="AC520" s="1186">
        <f t="shared" si="530"/>
        <v>15000</v>
      </c>
      <c r="AD520" s="1186">
        <f t="shared" si="530"/>
        <v>14000</v>
      </c>
      <c r="AE520" s="1275">
        <f t="shared" si="530"/>
        <v>0</v>
      </c>
      <c r="AF520" s="1275">
        <f t="shared" si="530"/>
        <v>0</v>
      </c>
      <c r="AG520" s="1186">
        <f t="shared" si="530"/>
        <v>0</v>
      </c>
      <c r="AH520" s="1186">
        <f t="shared" si="530"/>
        <v>0</v>
      </c>
      <c r="AI520" s="1186">
        <f t="shared" si="530"/>
        <v>0</v>
      </c>
      <c r="AJ520" s="453">
        <f>+AJ488+AJ8+AJ40+AJ408+AJ56+AJ72+AJ104+AJ24+AJ424+AJ152+AJ120+AJ264+AJ392+AJ360+AJ376+AJ312+AJ248+AJ328+AJ504+AJ232+AJ88+AJ440+AJ472+AJ456+AJ168+AJ184+AJ136+AJ200+AJ280+AJ296+AJ344+AJ216</f>
        <v>3120000</v>
      </c>
      <c r="AK520" s="1082">
        <f>AJ521</f>
        <v>2793222</v>
      </c>
      <c r="AL520" s="454">
        <f>+AL488+AL8+AL40+AL408+AL56+AL72+AL104+AL24+AL424+AL152+AL120+AL264+AL392+AL360+AL376+AL312+AL248+AL328+AL504+AL232+AL88+AL440+AL472+AL456+AL168+AL184+AL136+AL200+AL280+AL296+AL344+AL216</f>
        <v>16104081</v>
      </c>
      <c r="AM520" s="1083">
        <f>AL521</f>
        <v>13371258.582500001</v>
      </c>
      <c r="AN520" s="455"/>
      <c r="AO520" s="636"/>
      <c r="AP520" s="458"/>
      <c r="AQ520" s="458"/>
      <c r="AR520" s="463"/>
      <c r="AS520" s="463"/>
      <c r="AT520" s="464"/>
      <c r="AU520" s="463"/>
      <c r="AV520" s="458"/>
    </row>
    <row r="521" spans="1:50" s="23" customFormat="1" ht="23.25" customHeight="1">
      <c r="A521" s="113"/>
      <c r="B521" s="113"/>
      <c r="C521" s="113"/>
      <c r="D521" s="459" t="s">
        <v>93</v>
      </c>
      <c r="E521" s="1187">
        <f>+E490+E10+E42+E410+E58+E74+E106+E26+E426+E154+E122+E266+E394+E362+E378+E314+E250+E330+E506+E234+E90+E474+E458+E442+E202+E186+E170+E138+E282+E298+E218</f>
        <v>124122</v>
      </c>
      <c r="F521" s="1187">
        <f>+F490+F10+F42+F410+F58+F74+F106+F26+F426+F154+F122+F266+F394+F362+F378+F314+F250+F330+F506+F234+F90+F474+F458+F442+F202+F186+F170+F138+F282+F298+F346+F218</f>
        <v>159210</v>
      </c>
      <c r="G521" s="1276">
        <f t="shared" ref="G521:AI521" si="531">+G490+G10+G42+G410+G58+G74+G106+G26+G426+G154+G122+G266+G394+G362+G378+G314+G250+G330+G506+G234+G90+G474+G458+G442+G202+G186+G170+G138+G282+G298+G346+G218</f>
        <v>145770</v>
      </c>
      <c r="H521" s="1187">
        <f t="shared" si="531"/>
        <v>133342</v>
      </c>
      <c r="I521" s="1187">
        <f t="shared" si="531"/>
        <v>113920</v>
      </c>
      <c r="J521" s="1276">
        <f t="shared" si="531"/>
        <v>126570</v>
      </c>
      <c r="K521" s="1276">
        <f t="shared" si="531"/>
        <v>134970</v>
      </c>
      <c r="L521" s="1187">
        <f t="shared" si="531"/>
        <v>122880</v>
      </c>
      <c r="M521" s="1187">
        <f t="shared" si="531"/>
        <v>112410</v>
      </c>
      <c r="N521" s="1187">
        <f t="shared" si="531"/>
        <v>112560</v>
      </c>
      <c r="O521" s="1187">
        <f t="shared" si="531"/>
        <v>87520</v>
      </c>
      <c r="P521" s="1187">
        <f t="shared" si="531"/>
        <v>87560</v>
      </c>
      <c r="Q521" s="1276">
        <f t="shared" si="531"/>
        <v>83970</v>
      </c>
      <c r="R521" s="1276">
        <f>+R490+R10+R42+R410+R58+R74+R106+R26+R426+R154+R122+R266+R394+R362+R378+R314+R250+R330+R506+R234+R90+R474+R458+R442+R202+R186+R170+R138+R282+R298+R346+R218</f>
        <v>72120</v>
      </c>
      <c r="S521" s="1187">
        <f>+S490+S10+S42+S410+S58+S74+S106+S26+S426+S154+S122+S266+S394+S362+S378+S314+S250+S330+S506+S234+S90+S474+S458+S442+S202+S186+S170+S138+S282+S298+S346+S218</f>
        <v>82630</v>
      </c>
      <c r="T521" s="1187">
        <f t="shared" si="531"/>
        <v>105000</v>
      </c>
      <c r="U521" s="1187">
        <f t="shared" si="531"/>
        <v>128520</v>
      </c>
      <c r="V521" s="1187">
        <f t="shared" si="531"/>
        <v>162360</v>
      </c>
      <c r="W521" s="1187">
        <f t="shared" si="531"/>
        <v>161484</v>
      </c>
      <c r="X521" s="1276">
        <f t="shared" si="531"/>
        <v>164696</v>
      </c>
      <c r="Y521" s="1276">
        <f t="shared" si="531"/>
        <v>153752</v>
      </c>
      <c r="Z521" s="1187">
        <f t="shared" si="531"/>
        <v>112554</v>
      </c>
      <c r="AA521" s="1187">
        <f t="shared" si="531"/>
        <v>105302</v>
      </c>
      <c r="AB521" s="1187">
        <f t="shared" si="531"/>
        <v>0</v>
      </c>
      <c r="AC521" s="1187">
        <f t="shared" si="531"/>
        <v>0</v>
      </c>
      <c r="AD521" s="1187">
        <f t="shared" si="531"/>
        <v>0</v>
      </c>
      <c r="AE521" s="1276">
        <f t="shared" si="531"/>
        <v>0</v>
      </c>
      <c r="AF521" s="1276">
        <f t="shared" si="531"/>
        <v>0</v>
      </c>
      <c r="AG521" s="1187">
        <f t="shared" si="531"/>
        <v>0</v>
      </c>
      <c r="AH521" s="1187">
        <f t="shared" si="531"/>
        <v>0</v>
      </c>
      <c r="AI521" s="1187">
        <f t="shared" si="531"/>
        <v>0</v>
      </c>
      <c r="AJ521" s="460">
        <f>AJ490+AJ426+AJ410+AJ394+AJ378+AJ362+AJ330+AJ314+AJ266+AJ250+AJ234+AJ154+AJ122+AJ106+AJ90+AJ74+AJ58+AJ42+AJ26+AJ10+AJ442+AJ474+AJ458+AJ170+AJ202+AJ186+AJ138+AJ282+AJ298+AJ346+AJ218</f>
        <v>2793222</v>
      </c>
      <c r="AK521" s="1038">
        <f t="shared" si="528"/>
        <v>31020</v>
      </c>
      <c r="AL521" s="461">
        <f>AL490+AL426+AL410+AL394+AL378+AL362+AL330+AL314+AL266+AL250+AL234+AL154+AL122+AL106+AL90+AL74+AL58+AL42+AL26+AL10+AL442+AL474+AL458+AL170+AL202+AL186+AL138+AL282+AL298+AL346+AL218</f>
        <v>13371258.582500001</v>
      </c>
      <c r="AM521" s="1044">
        <f t="shared" si="529"/>
        <v>158841.07441999999</v>
      </c>
      <c r="AN521" s="462"/>
      <c r="AO521" s="672"/>
      <c r="AR521" s="456"/>
      <c r="AS521" s="456"/>
      <c r="AT521" s="457"/>
      <c r="AU521" s="456"/>
      <c r="AV521" s="469"/>
    </row>
    <row r="522" spans="1:50" s="23" customFormat="1" ht="23.25" customHeight="1">
      <c r="A522" s="113"/>
      <c r="B522" s="742" t="s">
        <v>68</v>
      </c>
      <c r="C522" s="113"/>
      <c r="D522" s="465" t="s">
        <v>238</v>
      </c>
      <c r="E522" s="1188">
        <f>+E492+E12+E44+E412+E60+E76+E108+E28+E428+E156+E124+E268+E396+E364+E380+E316+E252+E332+E508+E236+E92+E476+E460+E444+E204+E188+E172+E140+E284+E300+E348+E220</f>
        <v>6028</v>
      </c>
      <c r="F522" s="1188">
        <f>+F492+F12+F44+F412+F60+F76+F108+F28+F428+F156+F124+F268+F396+F364+F380+F316+F252+F332+F508+F236+F92+F476+F460+F444+F204+F188+F172+F140+F284+F300+F348+F220</f>
        <v>3060</v>
      </c>
      <c r="G522" s="1277">
        <f t="shared" ref="G522:AI522" si="532">+G492+G12+G44+G412+G60+G76+G108+G28+G428+G156+G124+G268+G396+G364+G380+G316+G252+G332+G508+G236+G92+G476+G460+G444+G204+G188+G172+G140+G284+G300+G348+G220</f>
        <v>1944</v>
      </c>
      <c r="H522" s="1188">
        <f t="shared" si="532"/>
        <v>5072</v>
      </c>
      <c r="I522" s="1188">
        <f t="shared" si="532"/>
        <v>4938</v>
      </c>
      <c r="J522" s="1277">
        <f t="shared" si="532"/>
        <v>1580</v>
      </c>
      <c r="K522" s="1277">
        <f t="shared" si="532"/>
        <v>620</v>
      </c>
      <c r="L522" s="1188">
        <f t="shared" si="532"/>
        <v>3640</v>
      </c>
      <c r="M522" s="1188">
        <f t="shared" si="532"/>
        <v>4360</v>
      </c>
      <c r="N522" s="1188">
        <f t="shared" si="532"/>
        <v>4984</v>
      </c>
      <c r="O522" s="1188">
        <f t="shared" si="532"/>
        <v>6508</v>
      </c>
      <c r="P522" s="1188">
        <f t="shared" si="532"/>
        <v>7188</v>
      </c>
      <c r="Q522" s="1277">
        <f t="shared" si="532"/>
        <v>1580</v>
      </c>
      <c r="R522" s="1277">
        <f t="shared" si="532"/>
        <v>720</v>
      </c>
      <c r="S522" s="1188">
        <f t="shared" si="532"/>
        <v>6276</v>
      </c>
      <c r="T522" s="1188">
        <f t="shared" si="532"/>
        <v>5292</v>
      </c>
      <c r="U522" s="1188">
        <f t="shared" si="532"/>
        <v>4698</v>
      </c>
      <c r="V522" s="1188">
        <f t="shared" si="532"/>
        <v>3092</v>
      </c>
      <c r="W522" s="1188">
        <f t="shared" si="532"/>
        <v>5278</v>
      </c>
      <c r="X522" s="1277">
        <f t="shared" si="532"/>
        <v>860</v>
      </c>
      <c r="Y522" s="1277">
        <f t="shared" si="532"/>
        <v>3160</v>
      </c>
      <c r="Z522" s="1188">
        <f t="shared" si="532"/>
        <v>7136</v>
      </c>
      <c r="AA522" s="1188">
        <f t="shared" si="532"/>
        <v>11696</v>
      </c>
      <c r="AB522" s="1188">
        <f t="shared" si="532"/>
        <v>0</v>
      </c>
      <c r="AC522" s="1188">
        <f t="shared" si="532"/>
        <v>0</v>
      </c>
      <c r="AD522" s="1188">
        <f t="shared" si="532"/>
        <v>0</v>
      </c>
      <c r="AE522" s="1277">
        <f t="shared" si="532"/>
        <v>0</v>
      </c>
      <c r="AF522" s="1277">
        <f t="shared" si="532"/>
        <v>0</v>
      </c>
      <c r="AG522" s="1188">
        <f t="shared" si="532"/>
        <v>0</v>
      </c>
      <c r="AH522" s="1188">
        <f t="shared" si="532"/>
        <v>0</v>
      </c>
      <c r="AI522" s="1188">
        <f t="shared" si="532"/>
        <v>0</v>
      </c>
      <c r="AJ522" s="466">
        <f>+AJ492+AJ12+AJ44+AJ412+AJ60+AJ76+AJ108+AJ28+AJ428+AJ156+AJ124+AJ268+AJ396+AJ364+AJ380+AJ316+AJ252+AJ332+AJ508+AJ236+AJ92+AJ444+AJ476+AJ460+AJ172+AJ204+AJ188+AJ140+AJ284+AJ348+AJ300+AJ220</f>
        <v>99710</v>
      </c>
      <c r="AK522" s="1038">
        <f t="shared" si="528"/>
        <v>18234</v>
      </c>
      <c r="AL522" s="467">
        <f>+AL492+AL12+AL44+AL412+AL60+AL76+AL108+AL28+AL428+AL156+AL124+AL268+AL396+AL364+AL380+AL316+AL252+AL332+AL508+AL236+AL92+AL444+AL476+AL460+AL172+AL204+AL188+AL140+AL284+AL300+AL348+AL220</f>
        <v>559415.34746000008</v>
      </c>
      <c r="AM522" s="1044">
        <f t="shared" si="529"/>
        <v>85360.855899999995</v>
      </c>
      <c r="AN522" s="468"/>
      <c r="AO522" s="636"/>
      <c r="AR522" s="473"/>
      <c r="AS522" s="473"/>
      <c r="AT522" s="474"/>
      <c r="AU522" s="473"/>
      <c r="AV522" s="475"/>
    </row>
    <row r="523" spans="1:50" s="23" customFormat="1" ht="23.25" customHeight="1">
      <c r="A523" s="113"/>
      <c r="B523" s="113"/>
      <c r="C523" s="113"/>
      <c r="D523" s="470" t="s">
        <v>103</v>
      </c>
      <c r="E523" s="1381">
        <f>+E493+E13+E45+E413+E61+E77+E109+E29+E429+E157+E125+E269+E397+E365+E381+E317+E253+E333+E509+E237+E93+E477+E461+E445+E205+E189+E173+E141+E285+E301+E349+E221</f>
        <v>1650</v>
      </c>
      <c r="F523" s="1189">
        <f>+F493+F13+F45+F413+F61+F77+F109+F29+F429+F157+F125+F269+F397+F365+F381+F317+F253+F333+F509+F237+F93+F477+F461+F445+F205+F189+F173+F141+F285+F301+F349+F221</f>
        <v>1858</v>
      </c>
      <c r="G523" s="1278">
        <f t="shared" ref="G523:AI523" si="533">+G493+G13+G45+G413+G61+G77+G109+G29+G429+G157+G125+G269+G397+G365+G381+G317+G253+G333+G509+G237+G93+G477+G461+G445+G205+G189+G173+G141+G285+G301+G349+G221</f>
        <v>1542</v>
      </c>
      <c r="H523" s="1189">
        <f t="shared" si="533"/>
        <v>1292</v>
      </c>
      <c r="I523" s="1189">
        <f t="shared" si="533"/>
        <v>1368</v>
      </c>
      <c r="J523" s="1278">
        <f t="shared" si="533"/>
        <v>1302</v>
      </c>
      <c r="K523" s="1278">
        <f t="shared" si="533"/>
        <v>1296</v>
      </c>
      <c r="L523" s="1189">
        <f t="shared" si="533"/>
        <v>1362</v>
      </c>
      <c r="M523" s="1189">
        <f t="shared" si="533"/>
        <v>1242</v>
      </c>
      <c r="N523" s="1189">
        <f t="shared" si="533"/>
        <v>1150</v>
      </c>
      <c r="O523" s="1189">
        <f t="shared" si="533"/>
        <v>894</v>
      </c>
      <c r="P523" s="1189">
        <f t="shared" si="533"/>
        <v>838</v>
      </c>
      <c r="Q523" s="1278">
        <f t="shared" si="533"/>
        <v>870</v>
      </c>
      <c r="R523" s="1278">
        <f t="shared" si="533"/>
        <v>690</v>
      </c>
      <c r="S523" s="1189">
        <f t="shared" si="533"/>
        <v>746</v>
      </c>
      <c r="T523" s="1189">
        <f t="shared" si="533"/>
        <v>1002</v>
      </c>
      <c r="U523" s="1189">
        <f t="shared" si="533"/>
        <v>1272</v>
      </c>
      <c r="V523" s="1189">
        <f t="shared" si="533"/>
        <v>2082</v>
      </c>
      <c r="W523" s="1189">
        <f t="shared" si="533"/>
        <v>1878</v>
      </c>
      <c r="X523" s="1278">
        <f t="shared" si="533"/>
        <v>2564</v>
      </c>
      <c r="Y523" s="1278">
        <f t="shared" si="533"/>
        <v>1674</v>
      </c>
      <c r="Z523" s="1189">
        <f t="shared" si="533"/>
        <v>1422</v>
      </c>
      <c r="AA523" s="1189">
        <f t="shared" si="533"/>
        <v>1026</v>
      </c>
      <c r="AB523" s="1189">
        <f t="shared" si="533"/>
        <v>0</v>
      </c>
      <c r="AC523" s="1189">
        <f t="shared" si="533"/>
        <v>0</v>
      </c>
      <c r="AD523" s="1189">
        <f t="shared" si="533"/>
        <v>0</v>
      </c>
      <c r="AE523" s="1278">
        <f t="shared" si="533"/>
        <v>0</v>
      </c>
      <c r="AF523" s="1278">
        <f t="shared" si="533"/>
        <v>0</v>
      </c>
      <c r="AG523" s="1189">
        <f t="shared" si="533"/>
        <v>0</v>
      </c>
      <c r="AH523" s="1189">
        <f t="shared" si="533"/>
        <v>0</v>
      </c>
      <c r="AI523" s="1189">
        <f t="shared" si="533"/>
        <v>0</v>
      </c>
      <c r="AJ523" s="471">
        <f>+AJ493+AJ13+AJ45+AJ413+AJ61+AJ77+AJ109+AJ29+AJ429+AJ157+AJ125+AJ269+AJ397+AJ365+AJ381+AJ317+AJ253+AJ333+AJ509+AJ237+AJ93+AJ445+AJ477+AJ461+AJ173+AJ205+AJ189+AJ141+AJ285+AJ349+AJ301+AJ221</f>
        <v>31020</v>
      </c>
      <c r="AK523" s="1038">
        <f t="shared" si="528"/>
        <v>3.4466762440320063E-2</v>
      </c>
      <c r="AL523" s="472">
        <f>+AL493+AL13+AL45+AL413+AL61+AL77+AL109+AL29+AL429+AL157+AL125+AL269+AL397+AL365+AL381+AL317+AL253+AL333+AL509+AL237+AL93+AL445+AL477+AL461+AL173+AL205+AL189+AL141+AL285+AL301+AL349+AL221</f>
        <v>158841.07441999999</v>
      </c>
      <c r="AM523" s="1044">
        <f t="shared" si="529"/>
        <v>4.015709148549472E-2</v>
      </c>
      <c r="AN523" s="468"/>
      <c r="AO523" s="636"/>
      <c r="AR523" s="473"/>
      <c r="AS523" s="473"/>
      <c r="AT523" s="474"/>
      <c r="AU523" s="473"/>
      <c r="AV523" s="475"/>
    </row>
    <row r="524" spans="1:50" s="23" customFormat="1" ht="27.75" customHeight="1">
      <c r="A524" s="113"/>
      <c r="B524" s="113"/>
      <c r="C524" s="113"/>
      <c r="D524" s="476" t="s">
        <v>105</v>
      </c>
      <c r="E524" s="1190">
        <f>+E14+E30+E46+E62+E78+E94+E110+E126+E142+E158+E174+E190+E190+E206+E238+E254+E270+E318+E334+E366+E382+E398+E414+E430+E446+E462+E478+E494+E510+E286+E302+E350+E222</f>
        <v>696</v>
      </c>
      <c r="F524" s="1190">
        <f>+F14+F30+F46+F62+F78+F94+F110+F126+F142+F158+F174+F190+F190+F206+F238+F254+F270+F318+F334+F366+F382+F398+F414+F430+F446+F462+F478+F494+F510+F286+F302+F350+F222</f>
        <v>1060</v>
      </c>
      <c r="G524" s="1279">
        <f t="shared" ref="G524:AI524" si="534">+G14+G30+G46+G62+G78+G94+G110+G126+G142+G158+G174+G190+G190+G206+G238+G254+G270+G318+G334+G366+G382+G398+G414+G430+G446+G462+G478+G494+G510+G286+G302+G350+G222</f>
        <v>1168</v>
      </c>
      <c r="H524" s="1190">
        <f t="shared" si="534"/>
        <v>982</v>
      </c>
      <c r="I524" s="1190">
        <f t="shared" si="534"/>
        <v>792</v>
      </c>
      <c r="J524" s="1279">
        <f t="shared" si="534"/>
        <v>944</v>
      </c>
      <c r="K524" s="1279">
        <f t="shared" si="534"/>
        <v>960</v>
      </c>
      <c r="L524" s="1190">
        <f t="shared" si="534"/>
        <v>776</v>
      </c>
      <c r="M524" s="1190">
        <f t="shared" si="534"/>
        <v>808</v>
      </c>
      <c r="N524" s="1190">
        <f t="shared" si="534"/>
        <v>888</v>
      </c>
      <c r="O524" s="1190">
        <f t="shared" si="534"/>
        <v>560</v>
      </c>
      <c r="P524" s="1190">
        <f t="shared" si="534"/>
        <v>576</v>
      </c>
      <c r="Q524" s="1279">
        <f t="shared" si="534"/>
        <v>552</v>
      </c>
      <c r="R524" s="1279">
        <f t="shared" si="534"/>
        <v>480</v>
      </c>
      <c r="S524" s="1190">
        <f t="shared" si="534"/>
        <v>440</v>
      </c>
      <c r="T524" s="1190">
        <f t="shared" si="534"/>
        <v>544</v>
      </c>
      <c r="U524" s="1190">
        <f t="shared" si="534"/>
        <v>736</v>
      </c>
      <c r="V524" s="1190">
        <f t="shared" si="534"/>
        <v>936</v>
      </c>
      <c r="W524" s="1190">
        <f t="shared" si="534"/>
        <v>1004</v>
      </c>
      <c r="X524" s="1279">
        <f t="shared" si="534"/>
        <v>1176</v>
      </c>
      <c r="Y524" s="1279">
        <f t="shared" si="534"/>
        <v>1096</v>
      </c>
      <c r="Z524" s="1190">
        <f t="shared" si="534"/>
        <v>368</v>
      </c>
      <c r="AA524" s="1190">
        <f t="shared" si="534"/>
        <v>692</v>
      </c>
      <c r="AB524" s="1190">
        <f t="shared" si="534"/>
        <v>0</v>
      </c>
      <c r="AC524" s="1190">
        <f t="shared" si="534"/>
        <v>0</v>
      </c>
      <c r="AD524" s="1190">
        <f t="shared" si="534"/>
        <v>0</v>
      </c>
      <c r="AE524" s="1279">
        <f t="shared" si="534"/>
        <v>0</v>
      </c>
      <c r="AF524" s="1279">
        <f t="shared" si="534"/>
        <v>0</v>
      </c>
      <c r="AG524" s="1190">
        <f t="shared" si="534"/>
        <v>0</v>
      </c>
      <c r="AH524" s="1190">
        <f t="shared" si="534"/>
        <v>0</v>
      </c>
      <c r="AI524" s="1190">
        <f t="shared" si="534"/>
        <v>0</v>
      </c>
      <c r="AJ524" s="477">
        <f>+AJ494+AJ14+AJ46+AJ414+AJ62+AJ78+AJ110+AJ30+AJ430+AJ158+AJ126+AJ270+AJ398+AJ366+AJ382+AJ318+AJ254+AJ334+AJ510+AJ238+AJ94+AJ446+AJ478+AJ462+AJ174+AJ206+AJ190+AJ142+AJ286+AJ350+AJ302+AJ222</f>
        <v>18234</v>
      </c>
      <c r="AK524" s="1038">
        <f t="shared" si="528"/>
        <v>0</v>
      </c>
      <c r="AL524" s="1065">
        <f>+AL494+AL14+AL46+AL414+AL62+AL78+AL110+AL30+AL430+AL158+AL126+AL270+AL398+AL366+AL382+AL318+AL254+AL334+AL510+AL238+AL94+AL446+AL478+AL462+AL174+AL206+AL190+AL142+AL302+AL350+AL286+AL222</f>
        <v>85360.855899999995</v>
      </c>
      <c r="AM524" s="1044">
        <f t="shared" si="529"/>
        <v>0</v>
      </c>
      <c r="AN524" s="468"/>
      <c r="AO524" s="636"/>
      <c r="AR524" s="392"/>
      <c r="AS524" s="392"/>
      <c r="AT524" s="392"/>
      <c r="AU524" s="392"/>
      <c r="AV524" s="481"/>
    </row>
    <row r="525" spans="1:50" ht="17.25" customHeight="1" thickBot="1">
      <c r="A525" s="113"/>
      <c r="B525" s="113"/>
      <c r="C525" s="113"/>
      <c r="D525" s="478" t="s">
        <v>492</v>
      </c>
      <c r="E525" s="1191">
        <f t="shared" ref="E525:AL525" si="535">+E522/(E521+E522)</f>
        <v>4.6315789473684213E-2</v>
      </c>
      <c r="F525" s="1191">
        <f t="shared" si="535"/>
        <v>1.8857459789240156E-2</v>
      </c>
      <c r="G525" s="1280">
        <f t="shared" si="535"/>
        <v>1.3160567041715749E-2</v>
      </c>
      <c r="H525" s="1191">
        <f t="shared" si="535"/>
        <v>3.6643692112069588E-2</v>
      </c>
      <c r="I525" s="1191">
        <f t="shared" si="535"/>
        <v>4.1545373470864393E-2</v>
      </c>
      <c r="J525" s="1280">
        <f t="shared" si="535"/>
        <v>1.2329301599687866E-2</v>
      </c>
      <c r="K525" s="1280">
        <f t="shared" si="535"/>
        <v>4.5726085994542368E-3</v>
      </c>
      <c r="L525" s="1191">
        <f t="shared" si="535"/>
        <v>2.8770154916218781E-2</v>
      </c>
      <c r="M525" s="1191">
        <f t="shared" si="535"/>
        <v>3.7338357454825728E-2</v>
      </c>
      <c r="N525" s="1191">
        <f t="shared" si="535"/>
        <v>4.2401143401619816E-2</v>
      </c>
      <c r="O525" s="1191">
        <f t="shared" si="535"/>
        <v>6.9213425788063124E-2</v>
      </c>
      <c r="P525" s="1191">
        <f t="shared" si="535"/>
        <v>7.5864398193101701E-2</v>
      </c>
      <c r="Q525" s="1280">
        <f t="shared" si="535"/>
        <v>1.8468731735827002E-2</v>
      </c>
      <c r="R525" s="1280">
        <f t="shared" si="535"/>
        <v>9.8846787479406912E-3</v>
      </c>
      <c r="S525" s="1191">
        <f t="shared" si="535"/>
        <v>7.0591411153352976E-2</v>
      </c>
      <c r="T525" s="1191">
        <f t="shared" si="535"/>
        <v>4.7981721249047982E-2</v>
      </c>
      <c r="U525" s="1191">
        <f t="shared" si="535"/>
        <v>3.5265504661532228E-2</v>
      </c>
      <c r="V525" s="1191">
        <f t="shared" si="535"/>
        <v>1.8688199598675143E-2</v>
      </c>
      <c r="W525" s="1191">
        <f t="shared" si="535"/>
        <v>3.1649896259339658E-2</v>
      </c>
      <c r="X525" s="1280">
        <f t="shared" si="535"/>
        <v>5.1946169272028796E-3</v>
      </c>
      <c r="Y525" s="1280">
        <f t="shared" si="535"/>
        <v>2.0138676455592943E-2</v>
      </c>
      <c r="Z525" s="1191">
        <f t="shared" si="535"/>
        <v>5.9620686774166598E-2</v>
      </c>
      <c r="AA525" s="1191">
        <f t="shared" si="535"/>
        <v>9.9967520812321575E-2</v>
      </c>
      <c r="AB525" s="1191" t="e">
        <f t="shared" si="535"/>
        <v>#DIV/0!</v>
      </c>
      <c r="AC525" s="1191" t="e">
        <f t="shared" si="535"/>
        <v>#DIV/0!</v>
      </c>
      <c r="AD525" s="1191" t="e">
        <f t="shared" si="535"/>
        <v>#DIV/0!</v>
      </c>
      <c r="AE525" s="1280" t="e">
        <f t="shared" si="535"/>
        <v>#DIV/0!</v>
      </c>
      <c r="AF525" s="1280" t="e">
        <f t="shared" si="535"/>
        <v>#DIV/0!</v>
      </c>
      <c r="AG525" s="1191" t="e">
        <f t="shared" si="535"/>
        <v>#DIV/0!</v>
      </c>
      <c r="AH525" s="1191" t="e">
        <f t="shared" si="535"/>
        <v>#DIV/0!</v>
      </c>
      <c r="AI525" s="1382" t="e">
        <f t="shared" si="535"/>
        <v>#DIV/0!</v>
      </c>
      <c r="AJ525" s="479">
        <f t="shared" si="535"/>
        <v>3.4466762440320063E-2</v>
      </c>
      <c r="AK525" s="1039">
        <f t="shared" si="528"/>
        <v>0</v>
      </c>
      <c r="AL525" s="904">
        <f t="shared" si="535"/>
        <v>4.015709148549472E-2</v>
      </c>
      <c r="AM525" s="1045">
        <f t="shared" si="529"/>
        <v>0</v>
      </c>
      <c r="AN525" s="468"/>
      <c r="AO525" s="636"/>
      <c r="AR525" s="4"/>
      <c r="AS525" s="4"/>
      <c r="AT525" s="392"/>
      <c r="AU525" s="4"/>
    </row>
    <row r="526" spans="1:50" ht="23.25" customHeight="1" thickTop="1">
      <c r="AJ526" s="154"/>
      <c r="AK526" s="154"/>
      <c r="AP526" s="156" t="s">
        <v>494</v>
      </c>
      <c r="AQ526" s="157" t="s">
        <v>232</v>
      </c>
      <c r="AR526" s="157" t="s">
        <v>233</v>
      </c>
      <c r="AS526" s="157" t="s">
        <v>234</v>
      </c>
      <c r="AT526" s="157" t="s">
        <v>235</v>
      </c>
      <c r="AU526" s="157" t="s">
        <v>236</v>
      </c>
      <c r="AV526" s="158" t="s">
        <v>68</v>
      </c>
      <c r="AX526" s="152"/>
    </row>
    <row r="527" spans="1:50" ht="25.35" customHeight="1">
      <c r="B527" s="2" t="s">
        <v>493</v>
      </c>
      <c r="D527" s="150"/>
      <c r="E527" s="152"/>
      <c r="F527" s="152"/>
      <c r="G527" s="152"/>
      <c r="H527" s="152"/>
      <c r="I527" s="152"/>
      <c r="J527" s="152"/>
      <c r="K527" s="153"/>
      <c r="L527" s="482"/>
      <c r="M527" s="482"/>
      <c r="N527" s="482"/>
      <c r="O527" s="482"/>
      <c r="P527" s="482"/>
      <c r="Q527" s="482"/>
      <c r="R527" s="482"/>
      <c r="S527" s="482"/>
      <c r="T527" s="482"/>
      <c r="U527" s="482"/>
      <c r="V527" s="482"/>
      <c r="W527" s="482"/>
      <c r="X527" s="482"/>
      <c r="Y527" s="482"/>
      <c r="Z527" s="482"/>
      <c r="AA527" s="482"/>
      <c r="AB527" s="482"/>
      <c r="AC527" s="482"/>
      <c r="AD527" s="482"/>
      <c r="AE527" s="482"/>
      <c r="AF527" s="482"/>
      <c r="AG527" s="482"/>
      <c r="AH527" s="482"/>
      <c r="AI527" s="482"/>
      <c r="AJ527" s="482"/>
      <c r="AK527" s="482"/>
      <c r="AL527" s="347"/>
      <c r="AM527" s="347"/>
      <c r="AN527" s="347"/>
      <c r="AO527" s="347"/>
      <c r="AP527" s="165" t="s">
        <v>91</v>
      </c>
      <c r="AQ527" s="163">
        <f>AQ505+AQ489+AQ473+AQ457+AQ441+AQ425+AQ409+AQ393+AQ377+AQ361+AQ329+AQ313+AQ297+AQ281+AQ265+AQ249+AQ233+AQ201+AQ185+AQ169+AQ153+AQ137+AQ121+AQ105+AQ89+AQ73+AQ57+AQ41+AQ25+AQ9+AQ345+AQ217</f>
        <v>708000</v>
      </c>
      <c r="AR527" s="163">
        <f>AR505+AR489+AR473+AR457+AR441+AR425+AR409+AR393+AR377+AR361+AR329+AR313+AR297+AR281+AR265+AR249+AR233+AR201+AR185+AR169+AR153+AR137+AR121+AR105+AR89+AR73+AR57+AR41+AR25+AR9+AR345+AR217</f>
        <v>1118000</v>
      </c>
      <c r="AS527" s="163">
        <f>AS505+AS489+AS473+AS457+AS441+AS425+AS409+AS393+AS377+AS361+AS329+AS313+AS297+AS281+AS265+AS249+AS233+AS201+AS185+AS169+AS153+AS137+AS121+AS105+AS89+AS73+AS57+AS41+AS25+AS9+AS345+AS217</f>
        <v>1014000</v>
      </c>
      <c r="AT527" s="163">
        <f>AT505+AT489+AT473+AT457+AT441+AT425+AT409+AT393+AT377+AT361+AT329+AT313+AT297+AT281+AT265+AT249+AT233+AT201+AT185+AT169+AT153+AT137+AT121+AT105+AT89+AT73+AT57+AT41+AT25+AT9+AT345+AT217</f>
        <v>266000</v>
      </c>
      <c r="AU527" s="163">
        <f>AU505+AU489+AU473+AU457+AU441+AU425+AU409+AU393+AU377+AU361+AU329+AU313+AU297+AU281+AU265+AU249+AU233+AU201+AU185+AU169+AU153+AU137+AU121+AU105+AU89+AU73+AU57+AU41+AU25+AU9+AU345+AU217</f>
        <v>14000</v>
      </c>
      <c r="AV527" s="166">
        <f>SUM(AQ527:AU527)</f>
        <v>3120000</v>
      </c>
      <c r="AX527" s="163"/>
    </row>
    <row r="528" spans="1:50" ht="25.35" customHeight="1">
      <c r="D528" s="483"/>
      <c r="E528" s="163"/>
      <c r="F528" s="163"/>
      <c r="G528" s="163"/>
      <c r="H528" s="163"/>
      <c r="I528" s="163"/>
      <c r="J528" s="163"/>
      <c r="K528" s="163"/>
      <c r="L528" s="163"/>
      <c r="M528" s="164"/>
      <c r="N528" s="164"/>
      <c r="O528" s="164"/>
      <c r="P528" s="164"/>
      <c r="Q528" s="164"/>
      <c r="R528" s="164"/>
      <c r="S528" s="164"/>
      <c r="T528" s="164"/>
      <c r="U528" s="164"/>
      <c r="V528" s="164"/>
      <c r="W528" s="164"/>
      <c r="X528" s="164"/>
      <c r="Y528" s="164"/>
      <c r="Z528" s="164"/>
      <c r="AA528" s="164"/>
      <c r="AB528" s="164"/>
      <c r="AC528" s="164"/>
      <c r="AD528" s="164"/>
      <c r="AE528" s="164"/>
      <c r="AF528" s="164"/>
      <c r="AG528" s="164"/>
      <c r="AH528" s="164"/>
      <c r="AI528" s="164"/>
      <c r="AJ528" s="164"/>
      <c r="AK528" s="164"/>
      <c r="AL528" s="484"/>
      <c r="AM528" s="484"/>
      <c r="AN528" s="484"/>
      <c r="AO528" s="484"/>
      <c r="AP528" s="172" t="s">
        <v>94</v>
      </c>
      <c r="AQ528" s="171">
        <f>AQ490+AQ474+AQ458+AQ442+AQ426+AQ394+AQ378+AQ362+AQ330+AQ314+AQ298+AQ282+AQ266+AQ250+AQ234+AQ202+AQ186+AQ170+AQ154+AQ138+AQ122+AQ106+AQ90+AQ74+AQ58+AQ42+AQ26+AQ10+AQ346+AQ218</f>
        <v>562444</v>
      </c>
      <c r="AR528" s="171">
        <f t="shared" ref="AR528:AU528" si="536">AR490+AR474+AR458+AR442+AR426+AR394+AR378+AR362+AR330+AR314+AR298+AR282+AR266+AR250+AR234+AR202+AR186+AR170+AR154+AR138+AR122+AR106+AR90+AR74+AR58+AR42+AR26+AR10+AR346+AR218</f>
        <v>810830</v>
      </c>
      <c r="AS528" s="171">
        <f t="shared" si="536"/>
        <v>722160</v>
      </c>
      <c r="AT528" s="171">
        <f t="shared" si="536"/>
        <v>697788</v>
      </c>
      <c r="AU528" s="171">
        <f t="shared" si="536"/>
        <v>0</v>
      </c>
      <c r="AV528" s="173">
        <f>SUM(AQ528:AU528)</f>
        <v>2793222</v>
      </c>
      <c r="AX528" s="171"/>
    </row>
    <row r="529" spans="2:50" ht="25.35" customHeight="1">
      <c r="D529" s="485"/>
      <c r="E529" s="171"/>
      <c r="F529" s="171"/>
      <c r="G529" s="171"/>
      <c r="H529" s="171"/>
      <c r="I529" s="171"/>
      <c r="J529" s="171"/>
      <c r="K529" s="171"/>
      <c r="L529" s="163"/>
      <c r="M529" s="164"/>
      <c r="N529" s="164"/>
      <c r="O529" s="164"/>
      <c r="P529" s="164"/>
      <c r="Q529" s="164"/>
      <c r="R529" s="164"/>
      <c r="S529" s="164"/>
      <c r="T529" s="164"/>
      <c r="U529" s="164"/>
      <c r="V529" s="164"/>
      <c r="W529" s="164"/>
      <c r="X529" s="164"/>
      <c r="Y529" s="164"/>
      <c r="Z529" s="164"/>
      <c r="AA529" s="164"/>
      <c r="AB529" s="164"/>
      <c r="AC529" s="164"/>
      <c r="AD529" s="164"/>
      <c r="AE529" s="164"/>
      <c r="AF529" s="164"/>
      <c r="AG529" s="164"/>
      <c r="AH529" s="164"/>
      <c r="AI529" s="164"/>
      <c r="AJ529" s="164"/>
      <c r="AK529" s="164"/>
      <c r="AL529" s="486"/>
      <c r="AM529" s="486"/>
      <c r="AN529" s="486"/>
      <c r="AO529" s="486"/>
      <c r="AP529" s="176" t="s">
        <v>237</v>
      </c>
      <c r="AQ529" s="177">
        <f>AQ507+AQ491+AQ475+AQ459+AQ443+AQ427+AQ411+AQ395+AQ379+AQ363+AQ331+AQ315+AQ299+AQ283+AQ267+AQ251+AQ235+AQ203+AQ187+AQ171+AQ155+AQ139+AQ123+AQ107+AQ91+AQ75+AQ59+AQ43+AQ27+AQ11+AQ219+AQ347</f>
        <v>-145556</v>
      </c>
      <c r="AR529" s="177">
        <f>AR507+AR491+AR475+AR459+AR443+AR427+AR411+AR395+AR379+AR363+AR331+AR315+AR299+AR283+AR267+AR251+AR235+AR203+AR187+AR171+AR155+AR139+AR123+AR107+AR91+AR75+AR59+AR43+AR27+AR11+AR219+AR347</f>
        <v>-307170</v>
      </c>
      <c r="AS529" s="177">
        <f>AS507+AS491+AS475+AS459+AS443+AS427+AS411+AS395+AS379+AS363+AS331+AS315+AS299+AS283+AS267+AS251+AS235+AS203+AS187+AS171+AS155+AS139+AS123+AS107+AS91+AS75+AS59+AS43+AS27+AS11+AS219+AS347</f>
        <v>-291840</v>
      </c>
      <c r="AT529" s="177">
        <f>AT507+AT491+AT475+AT459+AT443+AT427+AT411+AT395+AT379+AT363+AT331+AT315+AT299+AT283+AT267+AT251+AT235+AT203+AT187+AT171+AT155+AT139+AT123+AT107+AT91+AT75+AT59+AT43+AT27+AT11+AT219+AT347</f>
        <v>431788</v>
      </c>
      <c r="AU529" s="177">
        <f>AU507+AU491+AU475+AU459+AU443+AU427+AU411+AU395+AU379+AU363+AU331+AU315+AU299+AU283+AU267+AU251+AU235+AU203+AU187+AU171+AU155+AU139+AU123+AU107+AU91+AU75+AU59+AU43+AU27+AU11+AU219+AU347</f>
        <v>-14000</v>
      </c>
      <c r="AV529" s="550">
        <f>AV528-AV527</f>
        <v>-326778</v>
      </c>
      <c r="AX529" s="175"/>
    </row>
    <row r="530" spans="2:50" ht="25.35" customHeight="1">
      <c r="D530" s="487"/>
      <c r="E530" s="175"/>
      <c r="F530" s="175"/>
      <c r="G530" s="175"/>
      <c r="H530" s="175"/>
      <c r="I530" s="175"/>
      <c r="J530" s="175"/>
      <c r="K530" s="175"/>
      <c r="L530" s="488"/>
      <c r="M530" s="489"/>
      <c r="N530" s="489"/>
      <c r="O530" s="489"/>
      <c r="P530" s="489"/>
      <c r="Q530" s="489"/>
      <c r="R530" s="489"/>
      <c r="S530" s="489"/>
      <c r="T530" s="489"/>
      <c r="U530" s="489"/>
      <c r="V530" s="489"/>
      <c r="W530" s="489"/>
      <c r="X530" s="489"/>
      <c r="Y530" s="489"/>
      <c r="Z530" s="489"/>
      <c r="AA530" s="489"/>
      <c r="AB530" s="489"/>
      <c r="AC530" s="489"/>
      <c r="AD530" s="489"/>
      <c r="AE530" s="489"/>
      <c r="AF530" s="489"/>
      <c r="AG530" s="489"/>
      <c r="AH530" s="489"/>
      <c r="AI530" s="489"/>
      <c r="AJ530" s="489"/>
      <c r="AK530" s="489"/>
      <c r="AL530" s="2"/>
      <c r="AM530" s="2"/>
      <c r="AN530" s="350"/>
      <c r="AO530" s="350"/>
      <c r="AP530" s="165" t="s">
        <v>238</v>
      </c>
      <c r="AQ530" s="177">
        <f>AQ508+AQ492+AQ476+AQ460+AQ444+AQ428+AQ412+AQ396+AQ380+AQ364+AQ332+AQ316+AQ300+AQ284+AQ268+AQ252+AQ236+AQ204+AQ188+AQ172+AQ156+AQ140+AQ124+AQ108+AQ92+AQ76+AQ60+AQ44+AQ28+AQ12+AQ348+AQ220</f>
        <v>16104</v>
      </c>
      <c r="AR530" s="177">
        <f>AR508+AR492+AR476+AR460+AR444+AR428+AR412+AR396+AR380+AR364+AR332+AR316+AR300+AR284+AR268+AR252+AR236+AR204+AR188+AR172+AR156+AR140+AR124+AR108+AR92+AR76+AR60+AR44+AR28+AR12+AR220+AR348</f>
        <v>26630</v>
      </c>
      <c r="AS530" s="177">
        <f>AS508+AS492+AS476+AS460+AS444+AS428+AS412+AS396+AS380+AS364+AS332+AS316+AS300+AS284+AS268+AS252+AS236+AS204+AS188+AS172+AS156+AS140+AS124+AS108+AS92+AS76+AS60+AS44+AS28+AS12+AS220+AS348</f>
        <v>28846</v>
      </c>
      <c r="AT530" s="177">
        <f>AT508+AT492+AT476+AT460+AT444+AT428+AT412+AT396+AT380+AT364+AT332+AT316+AT300+AT284+AT268+AT252+AT236+AT204+AT188+AT172+AT156+AT140+AT124+AT108+AT92+AT76+AT60+AT44+AT28+AT12+AT220+AT348</f>
        <v>28130</v>
      </c>
      <c r="AU530" s="177">
        <f>AU508+AU492+AU476+AU460+AU444+AU428+AU412+AU396+AU380+AU364+AU332+AU316+AU300+AU284+AU268+AU252+AU236+AU204+AU188+AU172+AU156+AU140+AU124+AU108+AU92+AU76+AU60+AU44+AU28+AU12+AU220+AU348</f>
        <v>0</v>
      </c>
      <c r="AV530" s="551">
        <f>SUM(AQ530:AU530)</f>
        <v>99710</v>
      </c>
      <c r="AX530" s="177"/>
    </row>
    <row r="531" spans="2:50" ht="25.35" customHeight="1">
      <c r="D531" s="483"/>
      <c r="E531" s="177"/>
      <c r="F531" s="177"/>
      <c r="G531" s="177"/>
      <c r="H531" s="177"/>
      <c r="I531" s="177"/>
      <c r="J531" s="171"/>
      <c r="K531" s="175"/>
      <c r="L531" s="163"/>
      <c r="M531" s="164"/>
      <c r="N531" s="164"/>
      <c r="O531" s="164"/>
      <c r="P531" s="183"/>
      <c r="Q531" s="164"/>
      <c r="R531" s="164"/>
      <c r="S531" s="164"/>
      <c r="T531" s="164"/>
      <c r="U531" s="164"/>
      <c r="V531" s="164"/>
      <c r="W531" s="164"/>
      <c r="X531" s="164"/>
      <c r="Y531" s="164"/>
      <c r="Z531" s="164"/>
      <c r="AA531" s="164"/>
      <c r="AB531" s="164"/>
      <c r="AC531" s="164"/>
      <c r="AD531" s="164"/>
      <c r="AE531" s="164"/>
      <c r="AF531" s="164"/>
      <c r="AG531" s="164"/>
      <c r="AH531" s="164"/>
      <c r="AI531" s="164"/>
      <c r="AJ531" s="164"/>
      <c r="AK531" s="164"/>
      <c r="AL531" s="352"/>
      <c r="AM531" s="352"/>
      <c r="AN531" s="187"/>
      <c r="AO531" s="187"/>
      <c r="AP531" s="188" t="s">
        <v>97</v>
      </c>
      <c r="AQ531" s="185">
        <f>AQ530/AQ528</f>
        <v>2.8632183826300929E-2</v>
      </c>
      <c r="AR531" s="185">
        <f t="shared" ref="AR531:AV531" si="537">AR530/AR528</f>
        <v>3.2842889384951224E-2</v>
      </c>
      <c r="AS531" s="185">
        <f t="shared" si="537"/>
        <v>3.994405671873269E-2</v>
      </c>
      <c r="AT531" s="185">
        <f t="shared" si="537"/>
        <v>4.0313103693385387E-2</v>
      </c>
      <c r="AU531" s="185" t="e">
        <f>AU530/AU528</f>
        <v>#DIV/0!</v>
      </c>
      <c r="AV531" s="189">
        <f t="shared" si="537"/>
        <v>3.5697126830592056E-2</v>
      </c>
      <c r="AX531" s="185"/>
    </row>
    <row r="532" spans="2:50" ht="25.15" customHeight="1">
      <c r="D532" s="490"/>
      <c r="E532" s="185"/>
      <c r="F532" s="185"/>
      <c r="G532" s="185"/>
      <c r="H532" s="185"/>
      <c r="I532" s="185"/>
      <c r="J532" s="185"/>
      <c r="K532" s="185"/>
      <c r="L532" s="163"/>
      <c r="M532" s="164"/>
      <c r="O532" s="164"/>
      <c r="P532" s="164"/>
      <c r="Q532" s="164"/>
      <c r="R532" s="164"/>
      <c r="S532" s="164"/>
      <c r="T532" s="164"/>
      <c r="U532" s="164"/>
      <c r="V532" s="164"/>
      <c r="W532" s="164"/>
      <c r="X532" s="164"/>
      <c r="Y532" s="164"/>
      <c r="Z532" s="164"/>
      <c r="AA532" s="164"/>
      <c r="AB532" s="164"/>
      <c r="AC532" s="164"/>
      <c r="AD532" s="164"/>
      <c r="AE532" s="164"/>
      <c r="AF532" s="164"/>
      <c r="AG532" s="164"/>
      <c r="AH532" s="164"/>
      <c r="AI532" s="164"/>
      <c r="AJ532" s="164"/>
      <c r="AK532" s="164"/>
      <c r="AL532" s="486"/>
      <c r="AM532" s="486"/>
      <c r="AN532" s="486"/>
      <c r="AO532" s="486"/>
      <c r="AP532" s="194" t="s">
        <v>19</v>
      </c>
      <c r="AQ532" s="177">
        <f>AQ509+AQ493+AQ477+AQ461+AQ445+AQ429+AQ413+AQ397+AQ381+AQ365+AQ333+AQ317+AQ301+AQ285+AQ269+AQ253+AQ237+AQ205+AQ189+AQ173+AQ157+AQ141+AQ125+AQ109+AQ93+AQ77+AQ61+AQ45+AQ29+AQ13+AQ349+AQ221</f>
        <v>91961.317320000016</v>
      </c>
      <c r="AR532" s="177">
        <f>AR509+AR493+AR477+AR461+AR445+AR429+AR413+AR397+AR381+AR365+AR333+AR317+AR301+AR285+AR269+AR253+AR237+AR205+AR189+AR173+AR157+AR141+AR125+AR109+AR93+AR77+AR61+AR45+AR29+AR13+AR221+AR349</f>
        <v>154121.09084000002</v>
      </c>
      <c r="AS532" s="177">
        <f>AS509+AS493+AS477+AS461+AS445+AS429+AS413+AS397+AS381+AS365+AS333+AS317+AS301+AS285+AS269+AS253+AS237+AS205+AS189+AS173+AS157+AS141+AS125+AS109+AS93+AS77+AS61+AS45+AS29+AS13+AS221+AS349</f>
        <v>154514.30128000001</v>
      </c>
      <c r="AT532" s="177">
        <f>AT509+AT493+AT477+AT461+AT445+AT429+AT413+AT397+AT381+AT365+AT333+AT317+AT301+AT285+AT269+AT253+AT237+AT205+AT189+AT173+AT157+AT141+AT125+AT109+AT93+AT77+AT61+AT45+AT29+AT13+AT221+AT349</f>
        <v>158818.63802000001</v>
      </c>
      <c r="AU532" s="177">
        <f>AU509+AU493+AU477+AU461+AU445+AU429+AU413+AU397+AU381+AU365+AU333+AU317+AU301+AU285+AU269+AU253+AU237+AU205+AU189+AU173+AU157+AU141+AU125+AU109+AU93+AU77+AU61+AU45+AU29+AU13+AU221+AU349</f>
        <v>0</v>
      </c>
      <c r="AV532" s="552">
        <f>SUM(AQ532:AU532)</f>
        <v>559415.34746000008</v>
      </c>
      <c r="AX532" s="192"/>
    </row>
    <row r="533" spans="2:50" ht="25.15" customHeight="1">
      <c r="D533" s="491"/>
      <c r="E533" s="192"/>
      <c r="F533" s="192"/>
      <c r="G533" s="192"/>
      <c r="H533" s="192"/>
      <c r="I533" s="192"/>
      <c r="J533" s="192"/>
      <c r="K533" s="193"/>
      <c r="L533" s="193"/>
      <c r="M533" s="482"/>
      <c r="N533" s="482"/>
      <c r="O533" s="482"/>
      <c r="P533" s="482"/>
      <c r="Q533" s="482"/>
      <c r="R533" s="482"/>
      <c r="S533" s="482"/>
      <c r="T533" s="482"/>
      <c r="U533" s="482"/>
      <c r="V533" s="482"/>
      <c r="W533" s="482"/>
      <c r="X533" s="482"/>
      <c r="Y533" s="482"/>
      <c r="Z533" s="482"/>
      <c r="AA533" s="482"/>
      <c r="AB533" s="482"/>
      <c r="AC533" s="482"/>
      <c r="AD533" s="482"/>
      <c r="AE533" s="482"/>
      <c r="AF533" s="482"/>
      <c r="AG533" s="482"/>
      <c r="AH533" s="482"/>
      <c r="AI533" s="482"/>
      <c r="AJ533" s="482"/>
      <c r="AK533" s="482"/>
      <c r="AL533" s="2"/>
      <c r="AM533" s="2"/>
      <c r="AN533" s="350"/>
      <c r="AO533" s="350"/>
      <c r="AP533" s="197" t="s">
        <v>106</v>
      </c>
      <c r="AQ533" s="171">
        <f>AQ509+AQ494+AQ478+AQ462+AQ445+AQ429+AQ413+AQ398+AQ382+AQ366+AQ334+AQ317+AQ302+AQ286+AQ270+AQ254+AQ238+AQ206+AQ190+AQ174+AQ158+AQ142+AQ126+AQ110+AQ94+AQ78+AQ62+AQ46+AQ30+AQ14+AQ349+AQ222</f>
        <v>2710498.3852400002</v>
      </c>
      <c r="AR533" s="171">
        <f t="shared" ref="AR533:AU533" si="538">AR509+AR494+AR478+AR462+AR445+AR429+AR413+AR398+AR382+AR366+AR334+AR317+AR302+AR286+AR270+AR254+AR238+AR206+AR190+AR174+AR158+AR142+AR126+AR110+AR94+AR78+AR62+AR46+AR30+AR14+AR349+AR222</f>
        <v>3816350.2763999999</v>
      </c>
      <c r="AS533" s="171">
        <f t="shared" si="538"/>
        <v>3533307.7285800003</v>
      </c>
      <c r="AT533" s="171">
        <f t="shared" si="538"/>
        <v>3311102.1922800005</v>
      </c>
      <c r="AU533" s="171">
        <f t="shared" si="538"/>
        <v>0</v>
      </c>
      <c r="AV533" s="553">
        <f>SUM(AQ533:AU533)</f>
        <v>13371258.5825</v>
      </c>
    </row>
    <row r="534" spans="2:50" ht="20.25">
      <c r="B534" s="159"/>
      <c r="C534" s="492"/>
      <c r="AJ534" s="164"/>
      <c r="AK534" s="164"/>
      <c r="AL534" s="1093"/>
      <c r="AM534" s="1093"/>
      <c r="AN534" s="1093"/>
      <c r="AO534" s="1093"/>
    </row>
    <row r="537" spans="2:50">
      <c r="K537" s="493"/>
    </row>
  </sheetData>
  <mergeCells count="1">
    <mergeCell ref="D3:D4"/>
  </mergeCells>
  <phoneticPr fontId="143" type="noConversion"/>
  <conditionalFormatting sqref="C450">
    <cfRule type="iconSet" priority="540">
      <iconSet iconSet="3Arrows">
        <cfvo type="percent" val="0"/>
        <cfvo type="percent" val="33"/>
        <cfvo type="percent" val="67"/>
      </iconSet>
    </cfRule>
  </conditionalFormatting>
  <conditionalFormatting sqref="E18">
    <cfRule type="cellIs" dxfId="399" priority="536" operator="greaterThan">
      <formula>100001</formula>
    </cfRule>
    <cfRule type="cellIs" dxfId="398" priority="537" operator="greaterThan">
      <formula>80001</formula>
    </cfRule>
    <cfRule type="cellIs" dxfId="397" priority="538" operator="greaterThan">
      <formula>50001</formula>
    </cfRule>
  </conditionalFormatting>
  <conditionalFormatting sqref="E20">
    <cfRule type="cellIs" dxfId="396" priority="532" operator="greaterThan">
      <formula>50001</formula>
    </cfRule>
    <cfRule type="cellIs" dxfId="395" priority="533" operator="greaterThan">
      <formula>40001</formula>
    </cfRule>
    <cfRule type="cellIs" dxfId="394" priority="534" operator="greaterThan">
      <formula>25001</formula>
    </cfRule>
  </conditionalFormatting>
  <conditionalFormatting sqref="E39">
    <cfRule type="cellIs" dxfId="393" priority="209" operator="greaterThan">
      <formula>120001</formula>
    </cfRule>
    <cfRule type="cellIs" dxfId="392" priority="210" operator="greaterThan">
      <formula>75001</formula>
    </cfRule>
  </conditionalFormatting>
  <conditionalFormatting sqref="E98">
    <cfRule type="cellIs" dxfId="391" priority="513" operator="greaterThan">
      <formula>75001</formula>
    </cfRule>
    <cfRule type="cellIs" dxfId="390" priority="514" operator="greaterThan">
      <formula>60001</formula>
    </cfRule>
    <cfRule type="cellIs" dxfId="389" priority="515" operator="greaterThan">
      <formula>35001</formula>
    </cfRule>
  </conditionalFormatting>
  <conditionalFormatting sqref="E100">
    <cfRule type="cellIs" dxfId="388" priority="509" operator="greaterThan">
      <formula>75001</formula>
    </cfRule>
    <cfRule type="cellIs" dxfId="387" priority="510" operator="greaterThan">
      <formula>60001</formula>
    </cfRule>
    <cfRule type="cellIs" dxfId="386" priority="511" operator="greaterThan">
      <formula>35001</formula>
    </cfRule>
  </conditionalFormatting>
  <conditionalFormatting sqref="E130">
    <cfRule type="cellIs" dxfId="385" priority="447" operator="greaterThan">
      <formula>67501</formula>
    </cfRule>
    <cfRule type="cellIs" dxfId="384" priority="448" operator="greaterThan">
      <formula>54001</formula>
    </cfRule>
    <cfRule type="cellIs" dxfId="383" priority="449" operator="greaterThan">
      <formula>33751</formula>
    </cfRule>
  </conditionalFormatting>
  <conditionalFormatting sqref="E132">
    <cfRule type="cellIs" dxfId="382" priority="444" operator="greaterThan">
      <formula>50001</formula>
    </cfRule>
    <cfRule type="cellIs" dxfId="381" priority="445" operator="greaterThan">
      <formula>40001</formula>
    </cfRule>
    <cfRule type="cellIs" dxfId="380" priority="446" operator="greaterThan">
      <formula>25001</formula>
    </cfRule>
  </conditionalFormatting>
  <conditionalFormatting sqref="E135 AI135">
    <cfRule type="cellIs" dxfId="379" priority="441" operator="greaterThan">
      <formula>150001</formula>
    </cfRule>
    <cfRule type="cellIs" dxfId="378" priority="442" operator="greaterThan">
      <formula>120001</formula>
    </cfRule>
    <cfRule type="cellIs" dxfId="377" priority="443" operator="greaterThan">
      <formula>75001</formula>
    </cfRule>
  </conditionalFormatting>
  <conditionalFormatting sqref="E311">
    <cfRule type="cellIs" dxfId="376" priority="99" operator="greaterThan">
      <formula>150001</formula>
    </cfRule>
    <cfRule type="cellIs" dxfId="375" priority="100" operator="greaterThan">
      <formula>120001</formula>
    </cfRule>
    <cfRule type="cellIs" dxfId="374" priority="101" operator="greaterThan">
      <formula>75001</formula>
    </cfRule>
  </conditionalFormatting>
  <conditionalFormatting sqref="E466 AI466">
    <cfRule type="cellIs" dxfId="373" priority="385" operator="greaterThan">
      <formula>60001</formula>
    </cfRule>
    <cfRule type="cellIs" dxfId="372" priority="386" operator="greaterThan">
      <formula>48000</formula>
    </cfRule>
    <cfRule type="cellIs" dxfId="371" priority="387" operator="greaterThan">
      <formula>30000</formula>
    </cfRule>
  </conditionalFormatting>
  <conditionalFormatting sqref="E468 AI468">
    <cfRule type="cellIs" dxfId="370" priority="382" operator="greaterThan">
      <formula>50001</formula>
    </cfRule>
    <cfRule type="cellIs" dxfId="369" priority="383" operator="greaterThan">
      <formula>40000</formula>
    </cfRule>
    <cfRule type="cellIs" dxfId="368" priority="384" operator="greaterThan">
      <formula>25000</formula>
    </cfRule>
  </conditionalFormatting>
  <conditionalFormatting sqref="E487">
    <cfRule type="cellIs" dxfId="367" priority="164" operator="greaterThan">
      <formula>150001</formula>
    </cfRule>
    <cfRule type="cellIs" dxfId="366" priority="168" operator="greaterThan">
      <formula>120001</formula>
    </cfRule>
    <cfRule type="cellIs" dxfId="365" priority="169" operator="greaterThan">
      <formula>75001</formula>
    </cfRule>
  </conditionalFormatting>
  <conditionalFormatting sqref="E498 AI498">
    <cfRule type="cellIs" dxfId="364" priority="346" operator="greaterThan">
      <formula>60001</formula>
    </cfRule>
    <cfRule type="cellIs" dxfId="363" priority="347" operator="greaterThan">
      <formula>48001</formula>
    </cfRule>
    <cfRule type="cellIs" dxfId="362" priority="348" operator="greaterThan">
      <formula>30001</formula>
    </cfRule>
  </conditionalFormatting>
  <conditionalFormatting sqref="E500">
    <cfRule type="cellIs" dxfId="361" priority="408" operator="greaterThan">
      <formula>50001</formula>
    </cfRule>
    <cfRule type="cellIs" dxfId="360" priority="409" operator="greaterThan">
      <formula>40001</formula>
    </cfRule>
    <cfRule type="cellIs" dxfId="359" priority="410" operator="greaterThan">
      <formula>25001</formula>
    </cfRule>
  </conditionalFormatting>
  <conditionalFormatting sqref="E503 AI503">
    <cfRule type="cellIs" dxfId="358" priority="405" operator="greaterThan">
      <formula>150001</formula>
    </cfRule>
    <cfRule type="cellIs" dxfId="357" priority="406" operator="greaterThan">
      <formula>120001</formula>
    </cfRule>
    <cfRule type="cellIs" dxfId="356" priority="407" operator="greaterThan">
      <formula>75001</formula>
    </cfRule>
  </conditionalFormatting>
  <conditionalFormatting sqref="E451:Z451 AB451:AH451">
    <cfRule type="containsText" dxfId="355" priority="470" operator="containsText" text="O/H">
      <formula>NOT(ISERROR(SEARCH("O/H",E451)))</formula>
    </cfRule>
  </conditionalFormatting>
  <conditionalFormatting sqref="E305:AF305">
    <cfRule type="containsText" dxfId="354" priority="132" operator="containsText" text="O/H">
      <formula>NOT(ISERROR(SEARCH("O/H",E305)))</formula>
    </cfRule>
  </conditionalFormatting>
  <conditionalFormatting sqref="E306:AF306">
    <cfRule type="cellIs" dxfId="353" priority="105" operator="greaterThan">
      <formula>70001</formula>
    </cfRule>
    <cfRule type="cellIs" dxfId="352" priority="106" operator="greaterThan">
      <formula>56001</formula>
    </cfRule>
    <cfRule type="cellIs" dxfId="351" priority="107" operator="greaterThan">
      <formula>35001</formula>
    </cfRule>
  </conditionalFormatting>
  <conditionalFormatting sqref="E307:AF307">
    <cfRule type="containsText" dxfId="350" priority="130" operator="containsText" text="O/H">
      <formula>NOT(ISERROR(SEARCH("O/H",E307)))</formula>
    </cfRule>
  </conditionalFormatting>
  <conditionalFormatting sqref="E308:AF308">
    <cfRule type="cellIs" dxfId="349" priority="102" operator="greaterThan">
      <formula>50001</formula>
    </cfRule>
    <cfRule type="cellIs" dxfId="348" priority="103" operator="greaterThan">
      <formula>40001</formula>
    </cfRule>
    <cfRule type="cellIs" dxfId="347" priority="104" operator="greaterThan">
      <formula>25001</formula>
    </cfRule>
  </conditionalFormatting>
  <conditionalFormatting sqref="E310:AF310">
    <cfRule type="containsText" dxfId="346" priority="129" operator="containsText" text="O/H">
      <formula>NOT(ISERROR(SEARCH("O/H",E310)))</formula>
    </cfRule>
  </conditionalFormatting>
  <conditionalFormatting sqref="E337:AF337">
    <cfRule type="containsText" dxfId="345" priority="88" operator="containsText" text="O/H">
      <formula>NOT(ISERROR(SEARCH("O/H",E337)))</formula>
    </cfRule>
  </conditionalFormatting>
  <conditionalFormatting sqref="E339:AF339">
    <cfRule type="containsText" dxfId="344" priority="87" operator="containsText" text="O/H">
      <formula>NOT(ISERROR(SEARCH("O/H",E339)))</formula>
    </cfRule>
  </conditionalFormatting>
  <conditionalFormatting sqref="E342:AF342">
    <cfRule type="containsText" dxfId="343" priority="86" operator="containsText" text="O/H">
      <formula>NOT(ISERROR(SEARCH("O/H",E342)))</formula>
    </cfRule>
  </conditionalFormatting>
  <conditionalFormatting sqref="E481:AF481">
    <cfRule type="cellIs" dxfId="342" priority="62" operator="greaterThan">
      <formula>"O/H"</formula>
    </cfRule>
  </conditionalFormatting>
  <conditionalFormatting sqref="E17:AH17">
    <cfRule type="containsText" dxfId="341" priority="539" operator="containsText" text="O/H">
      <formula>NOT(ISERROR(SEARCH("O/H",E17)))</formula>
    </cfRule>
  </conditionalFormatting>
  <conditionalFormatting sqref="E19:AH19">
    <cfRule type="containsText" dxfId="340" priority="535" operator="containsText" text="O/H">
      <formula>NOT(ISERROR(SEARCH("O/H",E19)))</formula>
    </cfRule>
  </conditionalFormatting>
  <conditionalFormatting sqref="E22:AH22">
    <cfRule type="containsText" dxfId="339" priority="531" operator="containsText" text="O/H">
      <formula>NOT(ISERROR(SEARCH("O/H",E22)))</formula>
    </cfRule>
  </conditionalFormatting>
  <conditionalFormatting sqref="E65:AH65">
    <cfRule type="containsText" dxfId="338" priority="527" operator="containsText" text="O/H">
      <formula>NOT(ISERROR(SEARCH("O/H",E65)))</formula>
    </cfRule>
  </conditionalFormatting>
  <conditionalFormatting sqref="E67:AH67">
    <cfRule type="containsText" dxfId="337" priority="504" operator="containsText" text="O/H">
      <formula>NOT(ISERROR(SEARCH("O/H",E67)))</formula>
    </cfRule>
  </conditionalFormatting>
  <conditionalFormatting sqref="E70:AH70">
    <cfRule type="containsText" dxfId="336" priority="520" operator="containsText" text="O/H">
      <formula>NOT(ISERROR(SEARCH("O/H",E70)))</formula>
    </cfRule>
  </conditionalFormatting>
  <conditionalFormatting sqref="E97:AH97">
    <cfRule type="containsText" dxfId="335" priority="516" operator="containsText" text="O/H">
      <formula>NOT(ISERROR(SEARCH("O/H",E97)))</formula>
    </cfRule>
  </conditionalFormatting>
  <conditionalFormatting sqref="E99:AH99">
    <cfRule type="containsText" dxfId="334" priority="512" operator="containsText" text="O/H">
      <formula>NOT(ISERROR(SEARCH("O/H",E99)))</formula>
    </cfRule>
  </conditionalFormatting>
  <conditionalFormatting sqref="E102:AH102">
    <cfRule type="containsText" dxfId="333" priority="508" operator="containsText" text="O/H">
      <formula>NOT(ISERROR(SEARCH("O/H",E102)))</formula>
    </cfRule>
  </conditionalFormatting>
  <conditionalFormatting sqref="E145:AH145">
    <cfRule type="containsText" dxfId="332" priority="491" operator="containsText" text="O/H">
      <formula>NOT(ISERROR(SEARCH("O/H",E145)))</formula>
    </cfRule>
  </conditionalFormatting>
  <conditionalFormatting sqref="E289:AH289">
    <cfRule type="containsText" dxfId="331" priority="342" operator="containsText" text="O/H">
      <formula>NOT(ISERROR(SEARCH("O/H",E289)))</formula>
    </cfRule>
  </conditionalFormatting>
  <conditionalFormatting sqref="E291:AH291">
    <cfRule type="containsText" dxfId="330" priority="341" operator="containsText" text="O/H">
      <formula>NOT(ISERROR(SEARCH("O/H",E291)))</formula>
    </cfRule>
  </conditionalFormatting>
  <conditionalFormatting sqref="E294:AH294">
    <cfRule type="containsText" dxfId="329" priority="340" operator="containsText" text="O/H">
      <formula>NOT(ISERROR(SEARCH("O/H",E294)))</formula>
    </cfRule>
  </conditionalFormatting>
  <conditionalFormatting sqref="E321:AH321">
    <cfRule type="containsText" dxfId="328" priority="484" operator="containsText" text="O/H">
      <formula>NOT(ISERROR(SEARCH("O/H",E321)))</formula>
    </cfRule>
  </conditionalFormatting>
  <conditionalFormatting sqref="E323:AH323">
    <cfRule type="containsText" dxfId="327" priority="483" operator="containsText" text="O/H">
      <formula>NOT(ISERROR(SEARCH("O/H",E323)))</formula>
    </cfRule>
  </conditionalFormatting>
  <conditionalFormatting sqref="E353:AH353">
    <cfRule type="containsText" dxfId="326" priority="281" operator="containsText" text="O/H">
      <formula>NOT(ISERROR(SEARCH("O/H",E353)))</formula>
    </cfRule>
  </conditionalFormatting>
  <conditionalFormatting sqref="E355:AH355">
    <cfRule type="containsText" dxfId="325" priority="280" operator="containsText" text="O/H">
      <formula>NOT(ISERROR(SEARCH("O/H",E355)))</formula>
    </cfRule>
  </conditionalFormatting>
  <conditionalFormatting sqref="E358:AH358">
    <cfRule type="containsText" dxfId="324" priority="279" operator="containsText" text="O/H">
      <formula>NOT(ISERROR(SEARCH("O/H",E358)))</formula>
    </cfRule>
  </conditionalFormatting>
  <conditionalFormatting sqref="E449:AH449">
    <cfRule type="containsText" dxfId="323" priority="474" operator="containsText" text="O/H">
      <formula>NOT(ISERROR(SEARCH("O/H",E449)))</formula>
    </cfRule>
  </conditionalFormatting>
  <conditionalFormatting sqref="E454:AH454">
    <cfRule type="containsText" dxfId="322" priority="466" operator="containsText" text="O/H">
      <formula>NOT(ISERROR(SEARCH("O/H",E454)))</formula>
    </cfRule>
  </conditionalFormatting>
  <conditionalFormatting sqref="E467:AH467">
    <cfRule type="containsText" dxfId="321" priority="1" operator="containsText" text="O/H">
      <formula>NOT(ISERROR(SEARCH("O/H",E467)))</formula>
    </cfRule>
  </conditionalFormatting>
  <conditionalFormatting sqref="E23:AI23">
    <cfRule type="cellIs" dxfId="320" priority="528" operator="greaterThan">
      <formula>250001</formula>
    </cfRule>
    <cfRule type="cellIs" dxfId="319" priority="529" operator="greaterThan">
      <formula>200001</formula>
    </cfRule>
    <cfRule type="cellIs" dxfId="318" priority="530" operator="greaterThan">
      <formula>150001</formula>
    </cfRule>
  </conditionalFormatting>
  <conditionalFormatting sqref="E33:AI33">
    <cfRule type="containsText" dxfId="317" priority="345" operator="containsText" text="O/H">
      <formula>NOT(ISERROR(SEARCH("O/H",E33)))</formula>
    </cfRule>
  </conditionalFormatting>
  <conditionalFormatting sqref="E35:AI35">
    <cfRule type="containsText" dxfId="316" priority="344" operator="containsText" text="O/H">
      <formula>NOT(ISERROR(SEARCH("O/H",E35)))</formula>
    </cfRule>
  </conditionalFormatting>
  <conditionalFormatting sqref="E36:AI36">
    <cfRule type="cellIs" dxfId="315" priority="203" operator="greaterThan">
      <formula>50001</formula>
    </cfRule>
    <cfRule type="cellIs" dxfId="314" priority="357" operator="greaterThan">
      <formula>40001</formula>
    </cfRule>
    <cfRule type="cellIs" dxfId="313" priority="358" operator="greaterThan">
      <formula>25001</formula>
    </cfRule>
  </conditionalFormatting>
  <conditionalFormatting sqref="E38:AI38">
    <cfRule type="containsText" dxfId="312" priority="343" operator="containsText" text="O/H">
      <formula>NOT(ISERROR(SEARCH("O/H",E38)))</formula>
    </cfRule>
  </conditionalFormatting>
  <conditionalFormatting sqref="E39:AI39">
    <cfRule type="cellIs" dxfId="311" priority="208" operator="greaterThan">
      <formula>150001</formula>
    </cfRule>
  </conditionalFormatting>
  <conditionalFormatting sqref="E66:AI66">
    <cfRule type="cellIs" dxfId="310" priority="524" operator="greaterThan">
      <formula>75001</formula>
    </cfRule>
    <cfRule type="cellIs" dxfId="309" priority="525" operator="greaterThan">
      <formula>60001</formula>
    </cfRule>
    <cfRule type="cellIs" dxfId="308" priority="526" operator="greaterThan">
      <formula>35001</formula>
    </cfRule>
  </conditionalFormatting>
  <conditionalFormatting sqref="E68:AI68">
    <cfRule type="cellIs" dxfId="307" priority="521" operator="greaterThan">
      <formula>75001</formula>
    </cfRule>
    <cfRule type="cellIs" dxfId="306" priority="522" operator="greaterThan">
      <formula>60001</formula>
    </cfRule>
    <cfRule type="cellIs" dxfId="305" priority="523" operator="greaterThan">
      <formula>35001</formula>
    </cfRule>
  </conditionalFormatting>
  <conditionalFormatting sqref="E81:AI81">
    <cfRule type="containsText" dxfId="304" priority="61" operator="containsText" text="O/H">
      <formula>NOT(ISERROR(SEARCH("O/H",E81)))</formula>
    </cfRule>
  </conditionalFormatting>
  <conditionalFormatting sqref="E82:AI82">
    <cfRule type="cellIs" dxfId="303" priority="58" operator="greaterThan">
      <formula>75001</formula>
    </cfRule>
    <cfRule type="cellIs" dxfId="302" priority="59" operator="greaterThan">
      <formula>60001</formula>
    </cfRule>
    <cfRule type="cellIs" dxfId="301" priority="60" operator="greaterThan">
      <formula>35001</formula>
    </cfRule>
  </conditionalFormatting>
  <conditionalFormatting sqref="E84:AI84">
    <cfRule type="cellIs" dxfId="300" priority="55" operator="greaterThan">
      <formula>75001</formula>
    </cfRule>
    <cfRule type="cellIs" dxfId="299" priority="56" operator="greaterThan">
      <formula>60001</formula>
    </cfRule>
    <cfRule type="cellIs" dxfId="298" priority="57" operator="greaterThan">
      <formula>35001</formula>
    </cfRule>
  </conditionalFormatting>
  <conditionalFormatting sqref="E86:AI86">
    <cfRule type="containsText" dxfId="297" priority="54" operator="containsText" text="O/H">
      <formula>NOT(ISERROR(SEARCH("O/H",E86)))</formula>
    </cfRule>
  </conditionalFormatting>
  <conditionalFormatting sqref="E87:AI87">
    <cfRule type="cellIs" dxfId="296" priority="51" operator="greaterThan">
      <formula>150001</formula>
    </cfRule>
    <cfRule type="cellIs" dxfId="295" priority="52" operator="greaterThan">
      <formula>120001</formula>
    </cfRule>
    <cfRule type="cellIs" dxfId="294" priority="53" operator="greaterThan">
      <formula>75001</formula>
    </cfRule>
  </conditionalFormatting>
  <conditionalFormatting sqref="E103:AI103">
    <cfRule type="cellIs" dxfId="293" priority="215" operator="greaterThan">
      <formula>150001</formula>
    </cfRule>
    <cfRule type="cellIs" dxfId="292" priority="216" operator="greaterThan">
      <formula>120001</formula>
    </cfRule>
    <cfRule type="cellIs" dxfId="291" priority="217" operator="greaterThan">
      <formula>75001</formula>
    </cfRule>
  </conditionalFormatting>
  <conditionalFormatting sqref="E129:AI129">
    <cfRule type="containsText" dxfId="290" priority="452" operator="containsText" text="O/H">
      <formula>NOT(ISERROR(SEARCH("O/H",E129)))</formula>
    </cfRule>
  </conditionalFormatting>
  <conditionalFormatting sqref="E131:AI131">
    <cfRule type="containsText" dxfId="289" priority="451" operator="containsText" text="O/H">
      <formula>NOT(ISERROR(SEARCH("O/H",E131)))</formula>
    </cfRule>
  </conditionalFormatting>
  <conditionalFormatting sqref="E134:AI134">
    <cfRule type="containsText" dxfId="288" priority="450" operator="containsText" text="O/H">
      <formula>NOT(ISERROR(SEARCH("O/H",E134)))</formula>
    </cfRule>
  </conditionalFormatting>
  <conditionalFormatting sqref="E146:AI146">
    <cfRule type="cellIs" dxfId="287" priority="498" operator="greaterThan">
      <formula>67501</formula>
    </cfRule>
    <cfRule type="cellIs" dxfId="286" priority="499" operator="greaterThan">
      <formula>54001</formula>
    </cfRule>
    <cfRule type="cellIs" dxfId="285" priority="500" operator="greaterThan">
      <formula>33751</formula>
    </cfRule>
  </conditionalFormatting>
  <conditionalFormatting sqref="E147:AI147">
    <cfRule type="containsText" dxfId="284" priority="206" operator="containsText" text="O/H">
      <formula>NOT(ISERROR(SEARCH("O/H",E147)))</formula>
    </cfRule>
  </conditionalFormatting>
  <conditionalFormatting sqref="E148:AI148">
    <cfRule type="cellIs" dxfId="283" priority="495" operator="greaterThan">
      <formula>50001</formula>
    </cfRule>
    <cfRule type="cellIs" dxfId="282" priority="496" operator="greaterThan">
      <formula>40001</formula>
    </cfRule>
    <cfRule type="cellIs" dxfId="281" priority="497" operator="greaterThan">
      <formula>25001</formula>
    </cfRule>
  </conditionalFormatting>
  <conditionalFormatting sqref="E150:AI150">
    <cfRule type="containsText" dxfId="280" priority="207" operator="containsText" text="O/H">
      <formula>NOT(ISERROR(SEARCH("O/H",E150)))</formula>
    </cfRule>
  </conditionalFormatting>
  <conditionalFormatting sqref="E151:AI151">
    <cfRule type="cellIs" dxfId="279" priority="492" operator="greaterThan">
      <formula>150001</formula>
    </cfRule>
    <cfRule type="cellIs" dxfId="278" priority="493" operator="greaterThan">
      <formula>120001</formula>
    </cfRule>
    <cfRule type="cellIs" dxfId="277" priority="494" operator="greaterThan">
      <formula>75001</formula>
    </cfRule>
  </conditionalFormatting>
  <conditionalFormatting sqref="E161:AI161">
    <cfRule type="containsText" dxfId="276" priority="229" operator="containsText" text="O/H">
      <formula>NOT(ISERROR(SEARCH("O/H",E161)))</formula>
    </cfRule>
  </conditionalFormatting>
  <conditionalFormatting sqref="E162:AI162">
    <cfRule type="cellIs" dxfId="275" priority="235" operator="greaterThan">
      <formula>60001</formula>
    </cfRule>
    <cfRule type="cellIs" dxfId="274" priority="236" operator="greaterThan">
      <formula>48001</formula>
    </cfRule>
    <cfRule type="cellIs" dxfId="273" priority="237" operator="greaterThan">
      <formula>30001</formula>
    </cfRule>
  </conditionalFormatting>
  <conditionalFormatting sqref="E163:AI163">
    <cfRule type="containsText" dxfId="272" priority="225" operator="containsText" text="O/H">
      <formula>NOT(ISERROR(SEARCH("O/H",E163)))</formula>
    </cfRule>
  </conditionalFormatting>
  <conditionalFormatting sqref="E164:AI164">
    <cfRule type="cellIs" dxfId="271" priority="226" operator="greaterThan">
      <formula>50001</formula>
    </cfRule>
    <cfRule type="cellIs" dxfId="270" priority="227" operator="greaterThan">
      <formula>40001</formula>
    </cfRule>
    <cfRule type="cellIs" dxfId="269" priority="228" operator="greaterThan">
      <formula>25001</formula>
    </cfRule>
  </conditionalFormatting>
  <conditionalFormatting sqref="E166:AI166">
    <cfRule type="containsText" dxfId="268" priority="223" operator="containsText" text="O/H">
      <formula>NOT(ISERROR(SEARCH("O/H",E166)))</formula>
    </cfRule>
  </conditionalFormatting>
  <conditionalFormatting sqref="E167:AI167">
    <cfRule type="cellIs" dxfId="267" priority="220" operator="greaterThan">
      <formula>150001</formula>
    </cfRule>
    <cfRule type="cellIs" dxfId="266" priority="221" operator="greaterThan">
      <formula>120001</formula>
    </cfRule>
    <cfRule type="cellIs" dxfId="265" priority="222" operator="notEqual">
      <formula>75001</formula>
    </cfRule>
  </conditionalFormatting>
  <conditionalFormatting sqref="E177:AI177">
    <cfRule type="containsText" dxfId="264" priority="317" operator="containsText" text="O/H">
      <formula>NOT(ISERROR(SEARCH("O/H",E177)))</formula>
    </cfRule>
  </conditionalFormatting>
  <conditionalFormatting sqref="E178:AI178">
    <cfRule type="cellIs" dxfId="263" priority="400" operator="greaterThan">
      <formula>60001</formula>
    </cfRule>
    <cfRule type="cellIs" dxfId="262" priority="401" operator="greaterThan">
      <formula>48001</formula>
    </cfRule>
    <cfRule type="cellIs" dxfId="261" priority="402" operator="greaterThan">
      <formula>30001</formula>
    </cfRule>
  </conditionalFormatting>
  <conditionalFormatting sqref="E179:AI179">
    <cfRule type="containsText" dxfId="260" priority="315" operator="containsText" text="O/H">
      <formula>NOT(ISERROR(SEARCH("O/H",E179)))</formula>
    </cfRule>
    <cfRule type="containsText" dxfId="259" priority="316" operator="containsText" text="O/H">
      <formula>NOT(ISERROR(SEARCH("O/H",E179)))</formula>
    </cfRule>
  </conditionalFormatting>
  <conditionalFormatting sqref="E180:AI180">
    <cfRule type="cellIs" dxfId="258" priority="397" operator="greaterThan">
      <formula>50001</formula>
    </cfRule>
    <cfRule type="cellIs" dxfId="257" priority="398" operator="greaterThan">
      <formula>40001</formula>
    </cfRule>
    <cfRule type="cellIs" dxfId="256" priority="399" operator="greaterThan">
      <formula>25001</formula>
    </cfRule>
  </conditionalFormatting>
  <conditionalFormatting sqref="E182:AI182">
    <cfRule type="containsText" dxfId="255" priority="314" operator="containsText" text="O/H">
      <formula>NOT(ISERROR(SEARCH("O/H",E182)))</formula>
    </cfRule>
  </conditionalFormatting>
  <conditionalFormatting sqref="E183:AI183">
    <cfRule type="cellIs" dxfId="254" priority="394" operator="greaterThan">
      <formula>150001</formula>
    </cfRule>
    <cfRule type="cellIs" dxfId="253" priority="395" operator="greaterThan">
      <formula>120001</formula>
    </cfRule>
    <cfRule type="cellIs" dxfId="252" priority="396" operator="greaterThan">
      <formula>75001</formula>
    </cfRule>
  </conditionalFormatting>
  <conditionalFormatting sqref="E208:AI208">
    <cfRule type="cellIs" dxfId="251" priority="254" operator="greaterThan">
      <formula>150001</formula>
    </cfRule>
    <cfRule type="cellIs" dxfId="250" priority="255" operator="greaterThan">
      <formula>50001</formula>
    </cfRule>
    <cfRule type="cellIs" priority="256" operator="greaterThan">
      <formula>50001</formula>
    </cfRule>
    <cfRule type="cellIs" dxfId="249" priority="257" operator="greaterThan">
      <formula>30001</formula>
    </cfRule>
  </conditionalFormatting>
  <conditionalFormatting sqref="E209:AI209">
    <cfRule type="containsText" dxfId="248" priority="265" operator="containsText" text="O/H">
      <formula>NOT(ISERROR(SEARCH("O/H",E209)))</formula>
    </cfRule>
  </conditionalFormatting>
  <conditionalFormatting sqref="E210:AI210">
    <cfRule type="cellIs" dxfId="247" priority="185" operator="greaterThan">
      <formula>60001</formula>
    </cfRule>
    <cfRule type="cellIs" dxfId="246" priority="186" operator="greaterThan">
      <formula>48001</formula>
    </cfRule>
    <cfRule type="cellIs" dxfId="245" priority="187" operator="greaterThan">
      <formula>30001</formula>
    </cfRule>
  </conditionalFormatting>
  <conditionalFormatting sqref="E211:AI211">
    <cfRule type="containsText" dxfId="244" priority="264" operator="containsText" text="O/H">
      <formula>NOT(ISERROR(SEARCH("O/H",E211)))</formula>
    </cfRule>
  </conditionalFormatting>
  <conditionalFormatting sqref="E212:AI212">
    <cfRule type="cellIs" dxfId="243" priority="135" operator="greaterThan">
      <formula>50001</formula>
    </cfRule>
    <cfRule type="cellIs" dxfId="242" priority="258" operator="greaterThan">
      <formula>50001</formula>
    </cfRule>
    <cfRule type="cellIs" dxfId="241" priority="259" operator="greaterThan">
      <formula>40001</formula>
    </cfRule>
    <cfRule type="cellIs" dxfId="240" priority="260" operator="greaterThan">
      <formula>25001</formula>
    </cfRule>
  </conditionalFormatting>
  <conditionalFormatting sqref="E214:AI214">
    <cfRule type="containsText" dxfId="239" priority="261" operator="containsText" text="O/H">
      <formula>NOT(ISERROR(SEARCH("O/H",E214)))</formula>
    </cfRule>
    <cfRule type="containsText" dxfId="238" priority="263" operator="containsText" text="O/H">
      <formula>NOT(ISERROR(SEARCH("O/H",E214)))</formula>
    </cfRule>
  </conditionalFormatting>
  <conditionalFormatting sqref="E215:AI215">
    <cfRule type="cellIs" dxfId="237" priority="250" operator="greaterThan">
      <formula>150001</formula>
    </cfRule>
    <cfRule type="cellIs" dxfId="236" priority="251" operator="greaterThan">
      <formula>120001</formula>
    </cfRule>
    <cfRule type="cellIs" dxfId="235" priority="252" operator="greaterThan">
      <formula>75001</formula>
    </cfRule>
  </conditionalFormatting>
  <conditionalFormatting sqref="E224:AI224">
    <cfRule type="cellIs" dxfId="234" priority="238" operator="greaterThan">
      <formula>150001</formula>
    </cfRule>
    <cfRule type="cellIs" dxfId="233" priority="239" operator="greaterThan">
      <formula>50001</formula>
    </cfRule>
    <cfRule type="cellIs" priority="240" operator="greaterThan">
      <formula>50001</formula>
    </cfRule>
    <cfRule type="cellIs" dxfId="232" priority="241" operator="greaterThan">
      <formula>30001</formula>
    </cfRule>
  </conditionalFormatting>
  <conditionalFormatting sqref="E225:AI225">
    <cfRule type="containsText" dxfId="231" priority="249" operator="containsText" text="O/H">
      <formula>NOT(ISERROR(SEARCH("O/H",E225)))</formula>
    </cfRule>
  </conditionalFormatting>
  <conditionalFormatting sqref="E227:AI227">
    <cfRule type="containsText" dxfId="230" priority="248" operator="containsText" text="O/H">
      <formula>NOT(ISERROR(SEARCH("O/H",E227)))</formula>
    </cfRule>
  </conditionalFormatting>
  <conditionalFormatting sqref="E228:AI228">
    <cfRule type="cellIs" dxfId="229" priority="242" operator="greaterThan">
      <formula>50001</formula>
    </cfRule>
    <cfRule type="cellIs" dxfId="228" priority="243" operator="greaterThan">
      <formula>40001</formula>
    </cfRule>
    <cfRule type="cellIs" dxfId="227" priority="244" operator="greaterThan">
      <formula>25001</formula>
    </cfRule>
  </conditionalFormatting>
  <conditionalFormatting sqref="E230:AI230">
    <cfRule type="containsText" dxfId="226" priority="245" operator="containsText" text="O/H">
      <formula>NOT(ISERROR(SEARCH("O/H",E230)))</formula>
    </cfRule>
    <cfRule type="containsText" dxfId="225" priority="247" operator="containsText" text="O/H">
      <formula>NOT(ISERROR(SEARCH("O/H",E230)))</formula>
    </cfRule>
  </conditionalFormatting>
  <conditionalFormatting sqref="E241:AI241">
    <cfRule type="containsText" dxfId="224" priority="323" operator="containsText" text="O/H">
      <formula>NOT(ISERROR(SEARCH("O/H",E241)))</formula>
    </cfRule>
  </conditionalFormatting>
  <conditionalFormatting sqref="E242:AI242">
    <cfRule type="cellIs" dxfId="223" priority="403" operator="greaterThan">
      <formula>30001</formula>
    </cfRule>
    <cfRule type="cellIs" dxfId="222" priority="456" operator="greaterThan">
      <formula>15001</formula>
    </cfRule>
    <cfRule type="cellIs" dxfId="221" priority="485" operator="greaterThan">
      <formula>24001</formula>
    </cfRule>
  </conditionalFormatting>
  <conditionalFormatting sqref="E243:AI243">
    <cfRule type="containsText" dxfId="220" priority="322" operator="containsText" text="O/H">
      <formula>NOT(ISERROR(SEARCH("O/H",E243)))</formula>
    </cfRule>
  </conditionalFormatting>
  <conditionalFormatting sqref="E244:AI244">
    <cfRule type="cellIs" dxfId="219" priority="457" operator="greaterThan">
      <formula>50001</formula>
    </cfRule>
    <cfRule type="cellIs" dxfId="218" priority="458" operator="greaterThan">
      <formula>40001</formula>
    </cfRule>
    <cfRule type="cellIs" dxfId="217" priority="459" operator="greaterThan">
      <formula>25001</formula>
    </cfRule>
  </conditionalFormatting>
  <conditionalFormatting sqref="E246:AI246">
    <cfRule type="containsText" dxfId="216" priority="321" operator="containsText" text="O/H">
      <formula>NOT(ISERROR(SEARCH("O/H",E246)))</formula>
    </cfRule>
  </conditionalFormatting>
  <conditionalFormatting sqref="E247:AI247">
    <cfRule type="cellIs" dxfId="215" priority="50" operator="greaterThan">
      <formula>150001</formula>
    </cfRule>
  </conditionalFormatting>
  <conditionalFormatting sqref="E257:AI257">
    <cfRule type="containsText" dxfId="214" priority="320" operator="containsText" text="O/H">
      <formula>NOT(ISERROR(SEARCH("O/H",E257)))</formula>
    </cfRule>
  </conditionalFormatting>
  <conditionalFormatting sqref="E258:AI258">
    <cfRule type="cellIs" dxfId="213" priority="375" operator="greaterThan">
      <formula>67501</formula>
    </cfRule>
    <cfRule type="cellIs" dxfId="212" priority="376" operator="greaterThan">
      <formula>54001</formula>
    </cfRule>
    <cfRule type="cellIs" dxfId="211" priority="377" operator="greaterThan">
      <formula>33751</formula>
    </cfRule>
  </conditionalFormatting>
  <conditionalFormatting sqref="E259:AI259">
    <cfRule type="containsText" dxfId="210" priority="319" operator="containsText" text="O/H">
      <formula>NOT(ISERROR(SEARCH("O/H",E259)))</formula>
    </cfRule>
  </conditionalFormatting>
  <conditionalFormatting sqref="E260:AI260">
    <cfRule type="cellIs" dxfId="209" priority="372" operator="greaterThan">
      <formula>50001</formula>
    </cfRule>
    <cfRule type="cellIs" dxfId="208" priority="373" operator="greaterThan">
      <formula>40001</formula>
    </cfRule>
    <cfRule type="cellIs" dxfId="207" priority="374" operator="greaterThan">
      <formula>25001</formula>
    </cfRule>
  </conditionalFormatting>
  <conditionalFormatting sqref="E262:AI262">
    <cfRule type="containsText" dxfId="206" priority="318" operator="containsText" text="O/H">
      <formula>NOT(ISERROR(SEARCH("O/H",E262)))</formula>
    </cfRule>
  </conditionalFormatting>
  <conditionalFormatting sqref="E263:AI263">
    <cfRule type="cellIs" dxfId="205" priority="369" operator="greaterThan">
      <formula>150001</formula>
    </cfRule>
    <cfRule type="cellIs" dxfId="204" priority="370" operator="greaterThan">
      <formula>120001</formula>
    </cfRule>
    <cfRule type="cellIs" dxfId="203" priority="371" operator="greaterThan">
      <formula>75001</formula>
    </cfRule>
  </conditionalFormatting>
  <conditionalFormatting sqref="E273:AI273">
    <cfRule type="containsText" dxfId="202" priority="300" operator="containsText" text="O/H">
      <formula>NOT(ISERROR(SEARCH("O/H",E273)))</formula>
    </cfRule>
  </conditionalFormatting>
  <conditionalFormatting sqref="E274:AI274">
    <cfRule type="cellIs" dxfId="201" priority="295" operator="greaterThan">
      <formula>60001</formula>
    </cfRule>
    <cfRule type="cellIs" dxfId="200" priority="296" operator="greaterThan">
      <formula>48001</formula>
    </cfRule>
    <cfRule type="cellIs" dxfId="199" priority="297" operator="greaterThan">
      <formula>30001</formula>
    </cfRule>
  </conditionalFormatting>
  <conditionalFormatting sqref="E275:AI275">
    <cfRule type="containsText" dxfId="198" priority="299" operator="containsText" text="O/H">
      <formula>NOT(ISERROR(SEARCH("O/H",E275)))</formula>
    </cfRule>
  </conditionalFormatting>
  <conditionalFormatting sqref="E276:AI276">
    <cfRule type="cellIs" dxfId="197" priority="292" operator="greaterThan">
      <formula>50001</formula>
    </cfRule>
    <cfRule type="cellIs" dxfId="196" priority="293" operator="greaterThan">
      <formula>40001</formula>
    </cfRule>
    <cfRule type="cellIs" dxfId="195" priority="294" operator="greaterThan">
      <formula>25001</formula>
    </cfRule>
  </conditionalFormatting>
  <conditionalFormatting sqref="E278:AI278">
    <cfRule type="containsText" dxfId="194" priority="298" operator="containsText" text="O/H">
      <formula>NOT(ISERROR(SEARCH("O/H",E278)))</formula>
    </cfRule>
  </conditionalFormatting>
  <conditionalFormatting sqref="E279:AI279">
    <cfRule type="cellIs" dxfId="193" priority="289" operator="greaterThan">
      <formula>120001</formula>
    </cfRule>
    <cfRule type="cellIs" dxfId="192" priority="290" operator="greaterThan">
      <formula>150001</formula>
    </cfRule>
    <cfRule type="cellIs" dxfId="191" priority="291" operator="greaterThan">
      <formula>75001</formula>
    </cfRule>
  </conditionalFormatting>
  <conditionalFormatting sqref="E290:AI290">
    <cfRule type="cellIs" dxfId="190" priority="324" operator="greaterThan">
      <formula>70001</formula>
    </cfRule>
    <cfRule type="cellIs" dxfId="189" priority="325" operator="greaterThan">
      <formula>56001</formula>
    </cfRule>
    <cfRule type="cellIs" dxfId="188" priority="332" operator="greaterThan">
      <formula>35001</formula>
    </cfRule>
    <cfRule type="cellIs" dxfId="187" priority="337" operator="greaterThan">
      <formula>70001</formula>
    </cfRule>
    <cfRule type="cellIs" dxfId="186" priority="338" operator="greaterThan">
      <formula>56001</formula>
    </cfRule>
    <cfRule type="cellIs" dxfId="185" priority="339" operator="greaterThan">
      <formula>35001</formula>
    </cfRule>
  </conditionalFormatting>
  <conditionalFormatting sqref="E292:AI292">
    <cfRule type="cellIs" dxfId="184" priority="326" operator="greaterThan">
      <formula>50001</formula>
    </cfRule>
    <cfRule type="cellIs" dxfId="183" priority="327" operator="greaterThan">
      <formula>40001</formula>
    </cfRule>
    <cfRule type="cellIs" dxfId="182" priority="328" operator="greaterThan">
      <formula>25001</formula>
    </cfRule>
  </conditionalFormatting>
  <conditionalFormatting sqref="E295:AI295">
    <cfRule type="cellIs" dxfId="181" priority="329" operator="greaterThan">
      <formula>150001</formula>
    </cfRule>
    <cfRule type="cellIs" dxfId="180" priority="330" operator="greaterThan">
      <formula>120001</formula>
    </cfRule>
    <cfRule type="cellIs" dxfId="179" priority="331" operator="greaterThan">
      <formula>75001</formula>
    </cfRule>
  </conditionalFormatting>
  <conditionalFormatting sqref="E322:AI322">
    <cfRule type="cellIs" dxfId="178" priority="479" operator="greaterThan">
      <formula>70001</formula>
    </cfRule>
    <cfRule type="cellIs" dxfId="177" priority="480" operator="greaterThan">
      <formula>56001</formula>
    </cfRule>
    <cfRule type="cellIs" dxfId="176" priority="481" operator="greaterThan">
      <formula>35001</formula>
    </cfRule>
  </conditionalFormatting>
  <conditionalFormatting sqref="E324:AI324">
    <cfRule type="cellIs" dxfId="175" priority="460" operator="greaterThan">
      <formula>50001</formula>
    </cfRule>
    <cfRule type="cellIs" dxfId="174" priority="461" operator="greaterThan">
      <formula>40001</formula>
    </cfRule>
    <cfRule type="cellIs" dxfId="173" priority="462" operator="greaterThan">
      <formula>25001</formula>
    </cfRule>
  </conditionalFormatting>
  <conditionalFormatting sqref="E327:AI327">
    <cfRule type="cellIs" dxfId="172" priority="475" operator="greaterThan">
      <formula>150001</formula>
    </cfRule>
    <cfRule type="cellIs" dxfId="171" priority="476" operator="greaterThan">
      <formula>120001</formula>
    </cfRule>
    <cfRule type="cellIs" dxfId="170" priority="477" operator="greaterThan">
      <formula>100001</formula>
    </cfRule>
  </conditionalFormatting>
  <conditionalFormatting sqref="E338:AI338">
    <cfRule type="cellIs" dxfId="169" priority="82" operator="greaterThan">
      <formula>75001</formula>
    </cfRule>
    <cfRule type="cellIs" dxfId="168" priority="180" operator="greaterThan">
      <formula>60001</formula>
    </cfRule>
    <cfRule type="cellIs" dxfId="167" priority="181" operator="greaterThan">
      <formula>35001</formula>
    </cfRule>
  </conditionalFormatting>
  <conditionalFormatting sqref="E340:AI340">
    <cfRule type="cellIs" dxfId="166" priority="81" operator="greaterThan">
      <formula>75001</formula>
    </cfRule>
    <cfRule type="cellIs" dxfId="165" priority="177" operator="greaterThan">
      <formula>60001</formula>
    </cfRule>
    <cfRule type="cellIs" dxfId="164" priority="178" operator="greaterThan">
      <formula>35001</formula>
    </cfRule>
  </conditionalFormatting>
  <conditionalFormatting sqref="E343:AI343">
    <cfRule type="cellIs" dxfId="163" priority="78" operator="greaterThan">
      <formula>150001</formula>
    </cfRule>
    <cfRule type="cellIs" dxfId="162" priority="79" operator="greaterThan">
      <formula>120001</formula>
    </cfRule>
    <cfRule type="cellIs" dxfId="161" priority="80" operator="greaterThan">
      <formula>75001</formula>
    </cfRule>
  </conditionalFormatting>
  <conditionalFormatting sqref="E354:AI354">
    <cfRule type="cellIs" dxfId="160" priority="276" operator="greaterThan">
      <formula>60001</formula>
    </cfRule>
    <cfRule type="cellIs" dxfId="159" priority="277" operator="greaterThan">
      <formula>48001</formula>
    </cfRule>
    <cfRule type="cellIs" dxfId="158" priority="278" operator="greaterThan">
      <formula>30001</formula>
    </cfRule>
  </conditionalFormatting>
  <conditionalFormatting sqref="E356:AI356">
    <cfRule type="cellIs" dxfId="157" priority="273" operator="greaterThan">
      <formula>50001</formula>
    </cfRule>
    <cfRule type="cellIs" dxfId="156" priority="274" operator="greaterThan">
      <formula>40001</formula>
    </cfRule>
    <cfRule type="cellIs" dxfId="155" priority="275" operator="greaterThan">
      <formula>25001</formula>
    </cfRule>
  </conditionalFormatting>
  <conditionalFormatting sqref="E359:AI359">
    <cfRule type="cellIs" dxfId="154" priority="270" operator="greaterThan">
      <formula>150001</formula>
    </cfRule>
    <cfRule type="cellIs" dxfId="153" priority="271" operator="greaterThan">
      <formula>120001</formula>
    </cfRule>
    <cfRule type="cellIs" dxfId="152" priority="272" operator="greaterThan">
      <formula>75001</formula>
    </cfRule>
  </conditionalFormatting>
  <conditionalFormatting sqref="E369:AI369">
    <cfRule type="containsText" dxfId="151" priority="313" operator="containsText" text="O/H">
      <formula>NOT(ISERROR(SEARCH("O/H",E369)))</formula>
    </cfRule>
  </conditionalFormatting>
  <conditionalFormatting sqref="E370:AI370">
    <cfRule type="cellIs" dxfId="150" priority="308" operator="greaterThan">
      <formula>60001</formula>
    </cfRule>
    <cfRule type="cellIs" dxfId="149" priority="309" operator="greaterThan">
      <formula>48001</formula>
    </cfRule>
    <cfRule type="cellIs" dxfId="148" priority="310" operator="greaterThan">
      <formula>30001</formula>
    </cfRule>
  </conditionalFormatting>
  <conditionalFormatting sqref="E371:AI371">
    <cfRule type="containsText" dxfId="147" priority="312" operator="containsText" text="O/H">
      <formula>NOT(ISERROR(SEARCH("O/H",E371)))</formula>
    </cfRule>
  </conditionalFormatting>
  <conditionalFormatting sqref="E372:AI372">
    <cfRule type="cellIs" dxfId="146" priority="305" operator="greaterThan">
      <formula>50001</formula>
    </cfRule>
    <cfRule type="cellIs" dxfId="145" priority="306" operator="greaterThan">
      <formula>40001</formula>
    </cfRule>
    <cfRule type="cellIs" dxfId="144" priority="307" operator="greaterThan">
      <formula>25001</formula>
    </cfRule>
  </conditionalFormatting>
  <conditionalFormatting sqref="E374:AI374">
    <cfRule type="containsText" dxfId="143" priority="311" operator="containsText" text="O/H">
      <formula>NOT(ISERROR(SEARCH("O/H",E374)))</formula>
    </cfRule>
  </conditionalFormatting>
  <conditionalFormatting sqref="E375:AI375">
    <cfRule type="cellIs" dxfId="142" priority="301" operator="greaterThan">
      <formula>150001</formula>
    </cfRule>
    <cfRule type="cellIs" dxfId="141" priority="302" operator="greaterThan">
      <formula>120001</formula>
    </cfRule>
    <cfRule type="cellIs" dxfId="140" priority="304" operator="notEqual">
      <formula>75001</formula>
    </cfRule>
  </conditionalFormatting>
  <conditionalFormatting sqref="E401:AI401">
    <cfRule type="containsText" dxfId="139" priority="440" operator="containsText" text="O/H">
      <formula>NOT(ISERROR(SEARCH("O/H",E401)))</formula>
    </cfRule>
  </conditionalFormatting>
  <conditionalFormatting sqref="E402:AI402">
    <cfRule type="cellIs" dxfId="138" priority="435" operator="greaterThan">
      <formula>100001</formula>
    </cfRule>
    <cfRule type="cellIs" dxfId="137" priority="436" operator="greaterThan">
      <formula>80001</formula>
    </cfRule>
    <cfRule type="cellIs" dxfId="136" priority="437" operator="greaterThan">
      <formula>50001</formula>
    </cfRule>
  </conditionalFormatting>
  <conditionalFormatting sqref="E403:AI403">
    <cfRule type="containsText" dxfId="135" priority="439" operator="containsText" text="O/H">
      <formula>NOT(ISERROR(SEARCH("O/H",E403)))</formula>
    </cfRule>
  </conditionalFormatting>
  <conditionalFormatting sqref="E404:AI404">
    <cfRule type="cellIs" dxfId="134" priority="432" operator="greaterThan">
      <formula>50001</formula>
    </cfRule>
    <cfRule type="cellIs" dxfId="133" priority="433" operator="greaterThan">
      <formula>40001</formula>
    </cfRule>
    <cfRule type="cellIs" dxfId="132" priority="434" operator="greaterThan">
      <formula>25001</formula>
    </cfRule>
  </conditionalFormatting>
  <conditionalFormatting sqref="E406:AI406">
    <cfRule type="containsText" dxfId="131" priority="438" operator="containsText" text="O/H">
      <formula>NOT(ISERROR(SEARCH("O/H",E406)))</formula>
    </cfRule>
  </conditionalFormatting>
  <conditionalFormatting sqref="E407:AI407">
    <cfRule type="cellIs" dxfId="130" priority="429" operator="greaterThan">
      <formula>150001</formula>
    </cfRule>
    <cfRule type="cellIs" dxfId="129" priority="430" operator="greaterThan">
      <formula>120001</formula>
    </cfRule>
    <cfRule type="cellIs" dxfId="128" priority="431" operator="greaterThan">
      <formula>75001</formula>
    </cfRule>
  </conditionalFormatting>
  <conditionalFormatting sqref="E417:AI417">
    <cfRule type="containsText" dxfId="127" priority="428" operator="containsText" text="O/H">
      <formula>NOT(ISERROR(SEARCH("O/H",E417)))</formula>
    </cfRule>
  </conditionalFormatting>
  <conditionalFormatting sqref="E418:AI418">
    <cfRule type="cellIs" dxfId="126" priority="417" operator="greaterThan">
      <formula>90001</formula>
    </cfRule>
    <cfRule type="cellIs" dxfId="125" priority="418" operator="greaterThan">
      <formula>72001</formula>
    </cfRule>
    <cfRule type="cellIs" dxfId="124" priority="419" operator="greaterThan">
      <formula>45001</formula>
    </cfRule>
  </conditionalFormatting>
  <conditionalFormatting sqref="E419:AI419">
    <cfRule type="containsText" dxfId="123" priority="427" operator="containsText" text="O/H">
      <formula>NOT(ISERROR(SEARCH("O/H",E419)))</formula>
    </cfRule>
  </conditionalFormatting>
  <conditionalFormatting sqref="E420:AI420">
    <cfRule type="cellIs" dxfId="122" priority="420" operator="greaterThan">
      <formula>50001</formula>
    </cfRule>
    <cfRule type="cellIs" dxfId="121" priority="421" operator="greaterThan">
      <formula>40001</formula>
    </cfRule>
    <cfRule type="cellIs" dxfId="120" priority="422" operator="greaterThan">
      <formula>25001</formula>
    </cfRule>
  </conditionalFormatting>
  <conditionalFormatting sqref="E422:AI422">
    <cfRule type="containsText" dxfId="119" priority="426" operator="containsText" text="O/H">
      <formula>NOT(ISERROR(SEARCH("O/H",E422)))</formula>
    </cfRule>
  </conditionalFormatting>
  <conditionalFormatting sqref="E423:AI423">
    <cfRule type="cellIs" dxfId="118" priority="423" operator="greaterThan">
      <formula>150001</formula>
    </cfRule>
    <cfRule type="cellIs" dxfId="117" priority="424" operator="greaterThan">
      <formula>120001</formula>
    </cfRule>
    <cfRule type="cellIs" dxfId="116" priority="425" operator="greaterThan">
      <formula>75001</formula>
    </cfRule>
  </conditionalFormatting>
  <conditionalFormatting sqref="E450:AI450">
    <cfRule type="cellIs" dxfId="115" priority="471" operator="greaterThan">
      <formula>60001</formula>
    </cfRule>
    <cfRule type="cellIs" dxfId="114" priority="472" operator="greaterThan">
      <formula>48001</formula>
    </cfRule>
    <cfRule type="cellIs" dxfId="113" priority="473" operator="greaterThan">
      <formula>30001</formula>
    </cfRule>
  </conditionalFormatting>
  <conditionalFormatting sqref="E452:AI452">
    <cfRule type="cellIs" dxfId="112" priority="467" operator="greaterThan">
      <formula>50001</formula>
    </cfRule>
    <cfRule type="cellIs" dxfId="111" priority="468" operator="greaterThan">
      <formula>40001</formula>
    </cfRule>
    <cfRule type="cellIs" dxfId="110" priority="469" operator="greaterThan">
      <formula>25001</formula>
    </cfRule>
  </conditionalFormatting>
  <conditionalFormatting sqref="E455:AI455">
    <cfRule type="cellIs" dxfId="109" priority="463" operator="greaterThan">
      <formula>150001</formula>
    </cfRule>
    <cfRule type="cellIs" dxfId="108" priority="464" operator="greaterThan">
      <formula>120001</formula>
    </cfRule>
    <cfRule type="cellIs" dxfId="107" priority="465" operator="greaterThan">
      <formula>100001</formula>
    </cfRule>
  </conditionalFormatting>
  <conditionalFormatting sqref="E471:AI471">
    <cfRule type="cellIs" dxfId="106" priority="379" operator="greaterThan">
      <formula>150001</formula>
    </cfRule>
    <cfRule type="cellIs" dxfId="105" priority="380" operator="greaterThan">
      <formula>120000</formula>
    </cfRule>
    <cfRule type="cellIs" dxfId="104" priority="381" operator="greaterThan">
      <formula>75000</formula>
    </cfRule>
  </conditionalFormatting>
  <conditionalFormatting sqref="E481:AI481">
    <cfRule type="containsText" dxfId="103" priority="2" operator="containsText" text="O/H">
      <formula>NOT(ISERROR(SEARCH("O/H",E481)))</formula>
    </cfRule>
  </conditionalFormatting>
  <conditionalFormatting sqref="E482:AI482">
    <cfRule type="cellIs" dxfId="102" priority="173" operator="greaterThan">
      <formula>60001</formula>
    </cfRule>
    <cfRule type="cellIs" dxfId="101" priority="174" operator="greaterThan">
      <formula>48001</formula>
    </cfRule>
    <cfRule type="cellIs" dxfId="100" priority="175" operator="greaterThan">
      <formula>30001</formula>
    </cfRule>
  </conditionalFormatting>
  <conditionalFormatting sqref="E483:AI483">
    <cfRule type="containsText" dxfId="99" priority="46" operator="containsText" text="O/H">
      <formula>NOT(ISERROR(SEARCH("O/H",E483)))</formula>
    </cfRule>
  </conditionalFormatting>
  <conditionalFormatting sqref="E484:AI484">
    <cfRule type="cellIs" dxfId="98" priority="165" operator="greaterThan">
      <formula>50001</formula>
    </cfRule>
    <cfRule type="cellIs" dxfId="97" priority="171" operator="greaterThan">
      <formula>40001</formula>
    </cfRule>
    <cfRule type="cellIs" dxfId="96" priority="172" operator="greaterThan">
      <formula>25001</formula>
    </cfRule>
  </conditionalFormatting>
  <conditionalFormatting sqref="E486:AI486">
    <cfRule type="containsText" dxfId="95" priority="45" operator="containsText" text="O/H">
      <formula>NOT(ISERROR(SEARCH("O/H",E486)))</formula>
    </cfRule>
  </conditionalFormatting>
  <conditionalFormatting sqref="E497:AI497">
    <cfRule type="containsText" dxfId="94" priority="416" operator="containsText" text="O/H">
      <formula>NOT(ISERROR(SEARCH("O/H",E497)))</formula>
    </cfRule>
  </conditionalFormatting>
  <conditionalFormatting sqref="E499:AI499">
    <cfRule type="containsText" dxfId="93" priority="415" operator="containsText" text="O/H">
      <formula>NOT(ISERROR(SEARCH("O/H",E499)))</formula>
    </cfRule>
  </conditionalFormatting>
  <conditionalFormatting sqref="E502:AI502">
    <cfRule type="containsText" dxfId="92" priority="414" operator="containsText" text="O/H">
      <formula>NOT(ISERROR(SEARCH("O/H",E502)))</formula>
    </cfRule>
  </conditionalFormatting>
  <conditionalFormatting sqref="F391">
    <cfRule type="cellIs" dxfId="91" priority="72" operator="greaterThan">
      <formula>150001</formula>
    </cfRule>
    <cfRule type="cellIs" dxfId="90" priority="73" operator="greaterThan">
      <formula>120001</formula>
    </cfRule>
    <cfRule type="cellIs" dxfId="89" priority="74" operator="greaterThan">
      <formula>75001</formula>
    </cfRule>
    <cfRule type="cellIs" dxfId="88" priority="75" operator="greaterThan">
      <formula>150001</formula>
    </cfRule>
    <cfRule type="cellIs" dxfId="87" priority="76" operator="greaterThan">
      <formula>120001</formula>
    </cfRule>
    <cfRule type="cellIs" dxfId="86" priority="77" operator="greaterThan">
      <formula>100001</formula>
    </cfRule>
  </conditionalFormatting>
  <conditionalFormatting sqref="F135:AH135">
    <cfRule type="cellIs" dxfId="85" priority="3" operator="greaterThan">
      <formula>75001</formula>
    </cfRule>
    <cfRule type="cellIs" dxfId="84" priority="4" operator="greaterThan">
      <formula>120001</formula>
    </cfRule>
    <cfRule type="cellIs" dxfId="83" priority="5" operator="greaterThan">
      <formula>150001</formula>
    </cfRule>
  </conditionalFormatting>
  <conditionalFormatting sqref="F466:AH466">
    <cfRule type="cellIs" dxfId="82" priority="21" operator="greaterThan">
      <formula>50001</formula>
    </cfRule>
    <cfRule type="cellIs" dxfId="81" priority="22" operator="greaterThan">
      <formula>40001</formula>
    </cfRule>
    <cfRule type="cellIs" dxfId="80" priority="23" operator="greaterThan">
      <formula>25001</formula>
    </cfRule>
  </conditionalFormatting>
  <conditionalFormatting sqref="F468:AH468">
    <cfRule type="cellIs" dxfId="79" priority="18" operator="greaterThan">
      <formula>50001</formula>
    </cfRule>
    <cfRule type="cellIs" dxfId="78" priority="19" operator="greaterThan">
      <formula>40001</formula>
    </cfRule>
    <cfRule type="cellIs" dxfId="77" priority="20" operator="greaterThan">
      <formula>25001</formula>
    </cfRule>
  </conditionalFormatting>
  <conditionalFormatting sqref="F498:AH498">
    <cfRule type="cellIs" dxfId="76" priority="12" operator="greaterThan">
      <formula>50001</formula>
    </cfRule>
    <cfRule type="cellIs" dxfId="75" priority="13" operator="greaterThan">
      <formula>40001</formula>
    </cfRule>
    <cfRule type="cellIs" dxfId="74" priority="14" operator="greaterThan">
      <formula>25001</formula>
    </cfRule>
  </conditionalFormatting>
  <conditionalFormatting sqref="F503:AH503">
    <cfRule type="cellIs" dxfId="73" priority="6" operator="greaterThan">
      <formula>40001</formula>
    </cfRule>
    <cfRule type="cellIs" dxfId="72" priority="7" operator="greaterThan">
      <formula>50001</formula>
    </cfRule>
    <cfRule type="cellIs" dxfId="71" priority="8" operator="greaterThan">
      <formula>25001</formula>
    </cfRule>
  </conditionalFormatting>
  <conditionalFormatting sqref="F18:AI18">
    <cfRule type="cellIs" dxfId="70" priority="39" operator="greaterThan">
      <formula>67501</formula>
    </cfRule>
    <cfRule type="cellIs" dxfId="69" priority="40" operator="greaterThan">
      <formula>54001</formula>
    </cfRule>
    <cfRule type="cellIs" dxfId="68" priority="41" operator="greaterThan">
      <formula>33751</formula>
    </cfRule>
  </conditionalFormatting>
  <conditionalFormatting sqref="F20:AI20">
    <cfRule type="cellIs" dxfId="67" priority="36" operator="greaterThan">
      <formula>67501</formula>
    </cfRule>
    <cfRule type="cellIs" dxfId="66" priority="37" operator="greaterThan">
      <formula>54001</formula>
    </cfRule>
    <cfRule type="cellIs" dxfId="65" priority="38" operator="greaterThan">
      <formula>33751</formula>
    </cfRule>
  </conditionalFormatting>
  <conditionalFormatting sqref="F34:AI34">
    <cfRule type="cellIs" dxfId="64" priority="197" operator="greaterThan">
      <formula>60001</formula>
    </cfRule>
    <cfRule type="cellIs" dxfId="63" priority="198" operator="greaterThan">
      <formula>48001</formula>
    </cfRule>
    <cfRule type="cellIs" dxfId="62" priority="199" operator="greaterThan">
      <formula>30001</formula>
    </cfRule>
  </conditionalFormatting>
  <conditionalFormatting sqref="F98:AI98">
    <cfRule type="cellIs" dxfId="61" priority="33" operator="greaterThan">
      <formula>60001</formula>
    </cfRule>
    <cfRule type="cellIs" dxfId="60" priority="34" operator="greaterThan">
      <formula>48001</formula>
    </cfRule>
    <cfRule type="cellIs" dxfId="59" priority="35" operator="greaterThan">
      <formula>30001</formula>
    </cfRule>
  </conditionalFormatting>
  <conditionalFormatting sqref="F100:AI100">
    <cfRule type="cellIs" dxfId="58" priority="30" operator="greaterThan">
      <formula>60001</formula>
    </cfRule>
    <cfRule type="cellIs" dxfId="57" priority="31" operator="greaterThan">
      <formula>48001</formula>
    </cfRule>
    <cfRule type="cellIs" dxfId="56" priority="32" operator="greaterThan">
      <formula>30001</formula>
    </cfRule>
  </conditionalFormatting>
  <conditionalFormatting sqref="F130:AI130">
    <cfRule type="cellIs" dxfId="55" priority="27" operator="greaterThan">
      <formula>60001</formula>
    </cfRule>
    <cfRule type="cellIs" dxfId="54" priority="28" operator="greaterThan">
      <formula>48001</formula>
    </cfRule>
    <cfRule type="cellIs" dxfId="53" priority="29" operator="greaterThan">
      <formula>30001</formula>
    </cfRule>
  </conditionalFormatting>
  <conditionalFormatting sqref="F132:AI132">
    <cfRule type="cellIs" dxfId="52" priority="24" operator="greaterThan">
      <formula>60001</formula>
    </cfRule>
    <cfRule type="cellIs" dxfId="51" priority="25" operator="greaterThan">
      <formula>48001</formula>
    </cfRule>
    <cfRule type="cellIs" dxfId="50" priority="26" operator="greaterThan">
      <formula>30001</formula>
    </cfRule>
  </conditionalFormatting>
  <conditionalFormatting sqref="F214:AI214">
    <cfRule type="containsText" dxfId="49" priority="262" operator="containsText" text="O/H">
      <formula>NOT(ISERROR(SEARCH("O/H",F214)))</formula>
    </cfRule>
  </conditionalFormatting>
  <conditionalFormatting sqref="F230:AI230">
    <cfRule type="containsText" dxfId="48" priority="246" operator="containsText" text="O/H">
      <formula>NOT(ISERROR(SEARCH("O/H",F230)))</formula>
    </cfRule>
  </conditionalFormatting>
  <conditionalFormatting sqref="F247:AI247">
    <cfRule type="cellIs" dxfId="47" priority="454" operator="greaterThan">
      <formula>120001</formula>
    </cfRule>
    <cfRule type="cellIs" dxfId="46" priority="455" operator="greaterThan">
      <formula>75001</formula>
    </cfRule>
  </conditionalFormatting>
  <conditionalFormatting sqref="F311:AI311">
    <cfRule type="cellIs" dxfId="45" priority="89" operator="greaterThan">
      <formula>150001</formula>
    </cfRule>
    <cfRule type="cellIs" dxfId="44" priority="90" operator="greaterThan">
      <formula>120001</formula>
    </cfRule>
    <cfRule type="cellIs" dxfId="43" priority="91" operator="greaterThan">
      <formula>100001</formula>
    </cfRule>
  </conditionalFormatting>
  <conditionalFormatting sqref="F487:AI487">
    <cfRule type="cellIs" dxfId="42" priority="42" operator="greaterThan">
      <formula>150001</formula>
    </cfRule>
    <cfRule type="cellIs" dxfId="41" priority="43" operator="greaterThan">
      <formula>120001</formula>
    </cfRule>
    <cfRule type="cellIs" dxfId="40" priority="44" operator="greaterThan">
      <formula>75001</formula>
    </cfRule>
  </conditionalFormatting>
  <conditionalFormatting sqref="F500:AI500">
    <cfRule type="cellIs" dxfId="39" priority="9" operator="greaterThan">
      <formula>50001</formula>
    </cfRule>
    <cfRule type="cellIs" dxfId="38" priority="10" operator="greaterThan">
      <formula>40001</formula>
    </cfRule>
    <cfRule type="cellIs" dxfId="37" priority="11" operator="greaterThan">
      <formula>25001</formula>
    </cfRule>
  </conditionalFormatting>
  <conditionalFormatting sqref="AA451">
    <cfRule type="containsText" dxfId="36" priority="404" operator="containsText" text="O/H">
      <formula>NOT(ISERROR(SEARCH("O/H",AA451)))</formula>
    </cfRule>
  </conditionalFormatting>
  <conditionalFormatting sqref="AJ71:AK71">
    <cfRule type="cellIs" dxfId="35" priority="517" operator="greaterThan">
      <formula>150001</formula>
    </cfRule>
    <cfRule type="cellIs" dxfId="34" priority="518" operator="greaterThan">
      <formula>120001</formula>
    </cfRule>
    <cfRule type="cellIs" dxfId="33" priority="519" operator="greaterThan">
      <formula>100001</formula>
    </cfRule>
  </conditionalFormatting>
  <pageMargins left="0.7" right="0.7" top="0.75" bottom="0.75" header="0.3" footer="0.3"/>
  <pageSetup paperSize="9" orientation="portrait" r:id="rId1"/>
  <drawing r:id="rId2"/>
  <legacyDrawing r:id="rId3"/>
  <tableParts count="1"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92C4-4B4A-4D5D-8990-850F549DC10C}">
  <sheetPr>
    <tabColor rgb="FF00FFFF"/>
  </sheetPr>
  <dimension ref="A1:AV476"/>
  <sheetViews>
    <sheetView showGridLines="0" zoomScale="70" zoomScaleNormal="70" workbookViewId="0">
      <pane xSplit="5" ySplit="8" topLeftCell="AB9" activePane="bottomRight" state="frozen"/>
      <selection pane="topRight" activeCell="B477" sqref="B477"/>
      <selection pane="bottomLeft" activeCell="B477" sqref="B477"/>
      <selection pane="bottomRight" activeCell="A10" sqref="A10"/>
    </sheetView>
  </sheetViews>
  <sheetFormatPr defaultColWidth="9.42578125" defaultRowHeight="15.75"/>
  <cols>
    <col min="1" max="1" width="16.42578125" style="4" customWidth="1"/>
    <col min="2" max="2" width="48" style="2" customWidth="1"/>
    <col min="3" max="3" width="26.42578125" style="3" customWidth="1"/>
    <col min="4" max="4" width="38.85546875" style="195" customWidth="1"/>
    <col min="5" max="33" width="13" style="1" customWidth="1"/>
    <col min="34" max="34" width="12.85546875" style="1" customWidth="1"/>
    <col min="35" max="35" width="12.140625" style="1" hidden="1" customWidth="1"/>
    <col min="36" max="37" width="17.5703125" style="1" customWidth="1"/>
    <col min="38" max="38" width="19.140625" style="1" bestFit="1" customWidth="1"/>
    <col min="39" max="39" width="21.5703125" style="1" customWidth="1"/>
    <col min="40" max="40" width="17.5703125" style="1" customWidth="1"/>
    <col min="41" max="41" width="13.5703125" style="1" customWidth="1"/>
    <col min="42" max="42" width="31.140625" style="256" customWidth="1"/>
    <col min="43" max="45" width="17.28515625" style="256" customWidth="1"/>
    <col min="46" max="46" width="17.28515625" style="257" customWidth="1"/>
    <col min="47" max="47" width="17.28515625" style="256" customWidth="1"/>
    <col min="48" max="48" width="20.7109375" style="1" customWidth="1"/>
    <col min="49" max="16384" width="9.42578125" style="1"/>
  </cols>
  <sheetData>
    <row r="1" spans="1:48" ht="11.25">
      <c r="D1" s="4"/>
    </row>
    <row r="2" spans="1:48" ht="11.25">
      <c r="D2" s="4"/>
    </row>
    <row r="3" spans="1:48" ht="30.75" customHeight="1">
      <c r="D3" s="198"/>
      <c r="G3" s="258"/>
      <c r="H3" s="159"/>
      <c r="I3" s="258"/>
      <c r="N3" s="255"/>
    </row>
    <row r="4" spans="1:48" ht="11.1" customHeight="1">
      <c r="D4" s="1520" t="s">
        <v>32</v>
      </c>
      <c r="G4" s="258"/>
      <c r="I4" s="258"/>
      <c r="N4" s="255"/>
    </row>
    <row r="5" spans="1:48" ht="25.35" customHeight="1">
      <c r="A5" s="199" t="s">
        <v>560</v>
      </c>
      <c r="D5" s="1520"/>
      <c r="G5" s="258"/>
      <c r="H5" s="258"/>
      <c r="I5" s="258"/>
      <c r="N5" s="255"/>
    </row>
    <row r="6" spans="1:48" s="7" customFormat="1" ht="25.35" customHeight="1" thickBot="1">
      <c r="A6" s="6" t="s">
        <v>33</v>
      </c>
      <c r="C6" s="8"/>
      <c r="D6" s="9"/>
      <c r="P6" s="1518"/>
      <c r="Q6" s="1518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P6" s="259"/>
      <c r="AQ6" s="259"/>
      <c r="AR6" s="259"/>
      <c r="AS6" s="259"/>
      <c r="AT6" s="260"/>
      <c r="AU6" s="259"/>
    </row>
    <row r="7" spans="1:48" s="23" customFormat="1" ht="40.9" customHeight="1" thickTop="1" thickBot="1">
      <c r="A7" s="261" t="s">
        <v>34</v>
      </c>
      <c r="B7" s="11" t="s">
        <v>318</v>
      </c>
      <c r="C7" s="262" t="s">
        <v>36</v>
      </c>
      <c r="D7" s="12" t="s">
        <v>37</v>
      </c>
      <c r="E7" s="13" t="s">
        <v>561</v>
      </c>
      <c r="F7" s="263" t="s">
        <v>355</v>
      </c>
      <c r="G7" s="263" t="s">
        <v>356</v>
      </c>
      <c r="H7" s="263" t="s">
        <v>357</v>
      </c>
      <c r="I7" s="263" t="s">
        <v>358</v>
      </c>
      <c r="J7" s="263" t="s">
        <v>359</v>
      </c>
      <c r="K7" s="263" t="s">
        <v>360</v>
      </c>
      <c r="L7" s="263" t="s">
        <v>361</v>
      </c>
      <c r="M7" s="263" t="s">
        <v>362</v>
      </c>
      <c r="N7" s="263" t="s">
        <v>363</v>
      </c>
      <c r="O7" s="263" t="s">
        <v>364</v>
      </c>
      <c r="P7" s="263" t="s">
        <v>365</v>
      </c>
      <c r="Q7" s="263" t="s">
        <v>366</v>
      </c>
      <c r="R7" s="263" t="s">
        <v>367</v>
      </c>
      <c r="S7" s="263" t="s">
        <v>368</v>
      </c>
      <c r="T7" s="263" t="s">
        <v>369</v>
      </c>
      <c r="U7" s="263" t="s">
        <v>370</v>
      </c>
      <c r="V7" s="263" t="s">
        <v>371</v>
      </c>
      <c r="W7" s="263" t="s">
        <v>372</v>
      </c>
      <c r="X7" s="263" t="s">
        <v>373</v>
      </c>
      <c r="Y7" s="264" t="s">
        <v>57</v>
      </c>
      <c r="Z7" s="264" t="s">
        <v>58</v>
      </c>
      <c r="AA7" s="264" t="s">
        <v>59</v>
      </c>
      <c r="AB7" s="264" t="s">
        <v>60</v>
      </c>
      <c r="AC7" s="264" t="s">
        <v>61</v>
      </c>
      <c r="AD7" s="264" t="s">
        <v>374</v>
      </c>
      <c r="AE7" s="264" t="s">
        <v>375</v>
      </c>
      <c r="AF7" s="264" t="s">
        <v>64</v>
      </c>
      <c r="AG7" s="264" t="s">
        <v>65</v>
      </c>
      <c r="AH7" s="264" t="s">
        <v>66</v>
      </c>
      <c r="AI7" s="264" t="s">
        <v>67</v>
      </c>
      <c r="AJ7" s="367" t="s">
        <v>68</v>
      </c>
      <c r="AK7" s="1011" t="s">
        <v>69</v>
      </c>
      <c r="AL7" s="687" t="s">
        <v>70</v>
      </c>
      <c r="AM7" s="1022" t="s">
        <v>71</v>
      </c>
      <c r="AN7" s="265" t="s">
        <v>72</v>
      </c>
      <c r="AO7" s="620" t="s">
        <v>73</v>
      </c>
      <c r="AP7" s="266" t="s">
        <v>38</v>
      </c>
      <c r="AQ7" s="266" t="s">
        <v>39</v>
      </c>
      <c r="AR7" s="266" t="s">
        <v>40</v>
      </c>
      <c r="AS7" s="266" t="s">
        <v>41</v>
      </c>
      <c r="AT7" s="266" t="s">
        <v>42</v>
      </c>
      <c r="AU7" s="266" t="s">
        <v>43</v>
      </c>
      <c r="AV7" s="23" t="s">
        <v>44</v>
      </c>
    </row>
    <row r="8" spans="1:48" s="272" customFormat="1" ht="34.5" customHeight="1" thickBot="1">
      <c r="A8" s="267"/>
      <c r="B8" s="93"/>
      <c r="C8" s="268"/>
      <c r="D8" s="206"/>
      <c r="E8" s="1320">
        <v>46174</v>
      </c>
      <c r="F8" s="1153">
        <f>Table28[[#This Row],[June''2026]]+1</f>
        <v>46175</v>
      </c>
      <c r="G8" s="1234">
        <f>Table28[[#This Row],[13-Mar]]+1</f>
        <v>46176</v>
      </c>
      <c r="H8" s="1153">
        <f>Table28[[#This Row],[14-Mar]]+1</f>
        <v>46177</v>
      </c>
      <c r="I8" s="1153">
        <f>Table28[[#This Row],[15-Mar]]+1</f>
        <v>46178</v>
      </c>
      <c r="J8" s="1234">
        <f>Table28[[#This Row],[16-Mar]]+1</f>
        <v>46179</v>
      </c>
      <c r="K8" s="1234">
        <f>Table28[[#This Row],[17-Mar]]+1</f>
        <v>46180</v>
      </c>
      <c r="L8" s="1153">
        <f>Table28[[#This Row],[18-Mar]]+1</f>
        <v>46181</v>
      </c>
      <c r="M8" s="1153">
        <f>Table28[[#This Row],[19-Mar]]+1</f>
        <v>46182</v>
      </c>
      <c r="N8" s="1153">
        <f>Table28[[#This Row],[20-Mar]]+1</f>
        <v>46183</v>
      </c>
      <c r="O8" s="1153">
        <f>Table28[[#This Row],[21-Mar]]+1</f>
        <v>46184</v>
      </c>
      <c r="P8" s="1153">
        <f>Table28[[#This Row],[22-Mar]]+1</f>
        <v>46185</v>
      </c>
      <c r="Q8" s="1234">
        <f>Table28[[#This Row],[23-Mar]]+1</f>
        <v>46186</v>
      </c>
      <c r="R8" s="1234">
        <f>Table28[[#This Row],[24-Mar]]+1</f>
        <v>46187</v>
      </c>
      <c r="S8" s="1153">
        <f>Table28[[#This Row],[25-Mar]]+1</f>
        <v>46188</v>
      </c>
      <c r="T8" s="1153">
        <f>Table28[[#This Row],[26-Mar]]+1</f>
        <v>46189</v>
      </c>
      <c r="U8" s="1153">
        <f>Table28[[#This Row],[27-Mar]]+1</f>
        <v>46190</v>
      </c>
      <c r="V8" s="1153">
        <f>Table28[[#This Row],[28-Mar]]+1</f>
        <v>46191</v>
      </c>
      <c r="W8" s="1153">
        <f>Table28[[#This Row],[29-Mar]]+1</f>
        <v>46192</v>
      </c>
      <c r="X8" s="1234">
        <f>Table28[[#This Row],[30-Mar]]+1</f>
        <v>46193</v>
      </c>
      <c r="Y8" s="1234">
        <f>Table28[[#This Row],[31-Mar]]+1</f>
        <v>46194</v>
      </c>
      <c r="Z8" s="1153">
        <f>Table28[[#This Row],[Column20]]+1</f>
        <v>46195</v>
      </c>
      <c r="AA8" s="1153">
        <f>Table28[[#This Row],[Column21]]+1</f>
        <v>46196</v>
      </c>
      <c r="AB8" s="1153">
        <f>Table28[[#This Row],[Column22]]+1</f>
        <v>46197</v>
      </c>
      <c r="AC8" s="1153">
        <f>Table28[[#This Row],[Column23]]+1</f>
        <v>46198</v>
      </c>
      <c r="AD8" s="1153">
        <f>Table28[[#This Row],[Column24]]+1</f>
        <v>46199</v>
      </c>
      <c r="AE8" s="1234">
        <f>Table28[[#This Row],[Column222]]+1</f>
        <v>46200</v>
      </c>
      <c r="AF8" s="1234">
        <f>Table28[[#This Row],[Column233]]+1</f>
        <v>46201</v>
      </c>
      <c r="AG8" s="1153">
        <f>Table28[[#This Row],[Column244]]+1</f>
        <v>46202</v>
      </c>
      <c r="AH8" s="1153">
        <f>Table28[[#This Row],[Column25]]+1</f>
        <v>46203</v>
      </c>
      <c r="AI8" s="1321">
        <f>Table28[[#This Row],[Column26]]+1</f>
        <v>46204</v>
      </c>
      <c r="AJ8" s="715"/>
      <c r="AK8" s="977"/>
      <c r="AL8" s="756"/>
      <c r="AM8" s="978"/>
      <c r="AN8" s="753"/>
      <c r="AO8" s="754"/>
      <c r="AP8" s="80"/>
      <c r="AQ8" s="80"/>
      <c r="AR8" s="80"/>
      <c r="AS8" s="80"/>
      <c r="AT8" s="271"/>
      <c r="AU8" s="80"/>
    </row>
    <row r="9" spans="1:48" s="23" customFormat="1" ht="20.65" customHeight="1" thickTop="1">
      <c r="A9" s="283" t="s">
        <v>711</v>
      </c>
      <c r="B9" s="89" t="s">
        <v>499</v>
      </c>
      <c r="C9" s="42" t="str">
        <f>Table28[[#This Row],[M/C No.]]</f>
        <v>H17(50ton)</v>
      </c>
      <c r="D9" s="28" t="s">
        <v>82</v>
      </c>
      <c r="E9" s="1139"/>
      <c r="F9" s="1139"/>
      <c r="G9" s="1231"/>
      <c r="H9" s="1139"/>
      <c r="I9" s="1139"/>
      <c r="J9" s="1231"/>
      <c r="K9" s="1231"/>
      <c r="L9" s="1139"/>
      <c r="M9" s="1139"/>
      <c r="N9" s="1139"/>
      <c r="O9" s="1139"/>
      <c r="P9" s="1139"/>
      <c r="Q9" s="1231"/>
      <c r="R9" s="1231"/>
      <c r="S9" s="1139"/>
      <c r="T9" s="1139"/>
      <c r="U9" s="1139"/>
      <c r="V9" s="1139"/>
      <c r="W9" s="1139"/>
      <c r="X9" s="1231"/>
      <c r="Y9" s="1231"/>
      <c r="Z9" s="1139"/>
      <c r="AA9" s="1139"/>
      <c r="AB9" s="1139"/>
      <c r="AC9" s="1139"/>
      <c r="AD9" s="1139"/>
      <c r="AE9" s="1231"/>
      <c r="AF9" s="1231"/>
      <c r="AG9" s="1139"/>
      <c r="AH9" s="1139"/>
      <c r="AI9" s="1139"/>
      <c r="AJ9" s="29">
        <f>SUM(E9:AI9)</f>
        <v>0</v>
      </c>
      <c r="AK9" s="1020">
        <f t="shared" ref="AK9:AK28" si="0">AJ11</f>
        <v>0</v>
      </c>
      <c r="AL9" s="30">
        <f>+AJ9*AN9</f>
        <v>0</v>
      </c>
      <c r="AM9" s="1019">
        <f t="shared" ref="AM9:AM28" si="1">AL11</f>
        <v>0</v>
      </c>
      <c r="AN9" s="335">
        <v>119.36299000000001</v>
      </c>
      <c r="AO9" s="622">
        <f>Table28[[#This Row],[Total]]*B13/1000</f>
        <v>0</v>
      </c>
      <c r="AP9" s="32" t="s">
        <v>500</v>
      </c>
      <c r="AQ9" s="33" t="s">
        <v>84</v>
      </c>
      <c r="AR9" s="33" t="s">
        <v>85</v>
      </c>
      <c r="AS9" s="33" t="s">
        <v>86</v>
      </c>
      <c r="AT9" s="33" t="s">
        <v>87</v>
      </c>
      <c r="AU9" s="33" t="s">
        <v>88</v>
      </c>
      <c r="AV9" s="34" t="s">
        <v>68</v>
      </c>
    </row>
    <row r="10" spans="1:48" s="23" customFormat="1" ht="20.65" customHeight="1">
      <c r="A10" s="274"/>
      <c r="B10" s="219">
        <v>740466800</v>
      </c>
      <c r="C10" s="275"/>
      <c r="D10" s="37" t="s">
        <v>90</v>
      </c>
      <c r="E10" s="1323">
        <f>IF(E9="",0,+ E9/E16)</f>
        <v>0</v>
      </c>
      <c r="F10" s="1096">
        <f t="shared" ref="F10:AC10" si="2">IF(F9="",0, E10+F9/F16)</f>
        <v>0</v>
      </c>
      <c r="G10" s="1207">
        <f t="shared" si="2"/>
        <v>0</v>
      </c>
      <c r="H10" s="1096">
        <f t="shared" si="2"/>
        <v>0</v>
      </c>
      <c r="I10" s="1096">
        <f t="shared" si="2"/>
        <v>0</v>
      </c>
      <c r="J10" s="1207">
        <f t="shared" si="2"/>
        <v>0</v>
      </c>
      <c r="K10" s="1207">
        <f t="shared" si="2"/>
        <v>0</v>
      </c>
      <c r="L10" s="1096">
        <f t="shared" si="2"/>
        <v>0</v>
      </c>
      <c r="M10" s="1096">
        <f t="shared" si="2"/>
        <v>0</v>
      </c>
      <c r="N10" s="1096">
        <f t="shared" si="2"/>
        <v>0</v>
      </c>
      <c r="O10" s="1096">
        <f t="shared" si="2"/>
        <v>0</v>
      </c>
      <c r="P10" s="1096">
        <f t="shared" si="2"/>
        <v>0</v>
      </c>
      <c r="Q10" s="1207">
        <f t="shared" si="2"/>
        <v>0</v>
      </c>
      <c r="R10" s="1207">
        <f t="shared" si="2"/>
        <v>0</v>
      </c>
      <c r="S10" s="1096">
        <f t="shared" si="2"/>
        <v>0</v>
      </c>
      <c r="T10" s="1096">
        <f t="shared" si="2"/>
        <v>0</v>
      </c>
      <c r="U10" s="1096">
        <f t="shared" si="2"/>
        <v>0</v>
      </c>
      <c r="V10" s="1096">
        <f t="shared" si="2"/>
        <v>0</v>
      </c>
      <c r="W10" s="1096">
        <f t="shared" si="2"/>
        <v>0</v>
      </c>
      <c r="X10" s="1207">
        <f t="shared" si="2"/>
        <v>0</v>
      </c>
      <c r="Y10" s="1207">
        <f t="shared" si="2"/>
        <v>0</v>
      </c>
      <c r="Z10" s="1096">
        <f t="shared" si="2"/>
        <v>0</v>
      </c>
      <c r="AA10" s="1096">
        <f t="shared" si="2"/>
        <v>0</v>
      </c>
      <c r="AB10" s="1096">
        <f t="shared" si="2"/>
        <v>0</v>
      </c>
      <c r="AC10" s="1096">
        <f t="shared" si="2"/>
        <v>0</v>
      </c>
      <c r="AD10" s="1096">
        <f>IF(AD9="",0, Z10+AD9/AD16)</f>
        <v>0</v>
      </c>
      <c r="AE10" s="1207">
        <f>IF(AE9="",0, AA10+AE9/AE16)</f>
        <v>0</v>
      </c>
      <c r="AF10" s="1207">
        <f>IF(AF9="",0, AB10+AF9/AF16)</f>
        <v>0</v>
      </c>
      <c r="AG10" s="1096">
        <f>IF(AG9="",0, AC10+AG9/AG16)</f>
        <v>0</v>
      </c>
      <c r="AH10" s="1096">
        <f>IF(AH9="",0, AD10+AH9/AH16)</f>
        <v>0</v>
      </c>
      <c r="AI10" s="1324">
        <f>IF(AI9="",0, AH10+AI9/AI16)</f>
        <v>0</v>
      </c>
      <c r="AJ10" s="716"/>
      <c r="AK10" s="982">
        <f t="shared" si="0"/>
        <v>0</v>
      </c>
      <c r="AL10" s="209"/>
      <c r="AM10" s="987">
        <f t="shared" si="1"/>
        <v>0</v>
      </c>
      <c r="AN10" s="91"/>
      <c r="AO10" s="675"/>
      <c r="AP10" s="39" t="s">
        <v>91</v>
      </c>
      <c r="AQ10" s="40">
        <f>SUM(E9:H9)</f>
        <v>0</v>
      </c>
      <c r="AR10" s="41">
        <f>SUM(I9:O9)</f>
        <v>0</v>
      </c>
      <c r="AS10" s="41">
        <f>SUM(P9:V9)</f>
        <v>0</v>
      </c>
      <c r="AT10" s="41">
        <f>SUM(W9:AC9)</f>
        <v>0</v>
      </c>
      <c r="AU10" s="41">
        <f>SUM(AD9:AI9)</f>
        <v>0</v>
      </c>
      <c r="AV10" s="34">
        <f t="shared" ref="AV10:AV15" si="3">SUM(AQ10:AU10)</f>
        <v>0</v>
      </c>
    </row>
    <row r="11" spans="1:48" s="23" customFormat="1" ht="20.65" customHeight="1">
      <c r="A11" s="276" t="s">
        <v>419</v>
      </c>
      <c r="B11" s="219" t="s">
        <v>501</v>
      </c>
      <c r="C11" s="42"/>
      <c r="D11" s="43" t="s">
        <v>93</v>
      </c>
      <c r="E11" s="1108"/>
      <c r="F11" s="1089"/>
      <c r="G11" s="44"/>
      <c r="H11" s="1089"/>
      <c r="I11" s="1089"/>
      <c r="J11" s="44"/>
      <c r="K11" s="44"/>
      <c r="L11" s="1089"/>
      <c r="M11" s="1089"/>
      <c r="N11" s="1089"/>
      <c r="O11" s="1089"/>
      <c r="P11" s="1089"/>
      <c r="Q11" s="44"/>
      <c r="R11" s="44"/>
      <c r="S11" s="1089"/>
      <c r="T11" s="1089"/>
      <c r="U11" s="1089"/>
      <c r="V11" s="1089"/>
      <c r="W11" s="1089"/>
      <c r="X11" s="44"/>
      <c r="Y11" s="44"/>
      <c r="Z11" s="1089"/>
      <c r="AA11" s="1089"/>
      <c r="AB11" s="1089"/>
      <c r="AC11" s="1089"/>
      <c r="AD11" s="1089"/>
      <c r="AE11" s="44"/>
      <c r="AF11" s="44"/>
      <c r="AG11" s="1089"/>
      <c r="AH11" s="1089"/>
      <c r="AI11" s="1326"/>
      <c r="AJ11" s="45">
        <f>SUM(E11:AI11)</f>
        <v>0</v>
      </c>
      <c r="AK11" s="983">
        <f t="shared" si="0"/>
        <v>0</v>
      </c>
      <c r="AL11" s="46">
        <f>+AJ11*AN9</f>
        <v>0</v>
      </c>
      <c r="AM11" s="988">
        <f t="shared" si="1"/>
        <v>0</v>
      </c>
      <c r="AN11" s="277"/>
      <c r="AO11" s="632">
        <f>(AJ11+AJ13+AJ14+AJ15)*B13/1000</f>
        <v>0</v>
      </c>
      <c r="AP11" s="47" t="s">
        <v>94</v>
      </c>
      <c r="AQ11" s="48">
        <f>SUM(E11:H11)</f>
        <v>0</v>
      </c>
      <c r="AR11" s="49">
        <f>SUM(I11:O11)</f>
        <v>0</v>
      </c>
      <c r="AS11" s="49">
        <f>SUM(P11:V11)</f>
        <v>0</v>
      </c>
      <c r="AT11" s="49">
        <f>SUM(W11:AC11)</f>
        <v>0</v>
      </c>
      <c r="AU11" s="49">
        <f>SUM(AD11:AI11)</f>
        <v>0</v>
      </c>
      <c r="AV11" s="50">
        <f t="shared" si="3"/>
        <v>0</v>
      </c>
    </row>
    <row r="12" spans="1:48" s="23" customFormat="1" ht="20.65" customHeight="1">
      <c r="A12" s="276" t="s">
        <v>419</v>
      </c>
      <c r="B12" s="767" t="s">
        <v>247</v>
      </c>
      <c r="C12" s="280"/>
      <c r="D12" s="53" t="s">
        <v>96</v>
      </c>
      <c r="E12" s="1137">
        <f t="shared" ref="E12:K12" si="4">+E11-E9</f>
        <v>0</v>
      </c>
      <c r="F12" s="1097">
        <f t="shared" si="4"/>
        <v>0</v>
      </c>
      <c r="G12" s="1205">
        <f t="shared" si="4"/>
        <v>0</v>
      </c>
      <c r="H12" s="1097">
        <f t="shared" si="4"/>
        <v>0</v>
      </c>
      <c r="I12" s="1097">
        <f t="shared" si="4"/>
        <v>0</v>
      </c>
      <c r="J12" s="1205">
        <f t="shared" si="4"/>
        <v>0</v>
      </c>
      <c r="K12" s="1205">
        <f t="shared" si="4"/>
        <v>0</v>
      </c>
      <c r="L12" s="1097">
        <f>+L11-L9</f>
        <v>0</v>
      </c>
      <c r="M12" s="1097">
        <f>+M11-M9</f>
        <v>0</v>
      </c>
      <c r="N12" s="1097">
        <f t="shared" ref="N12:AF12" si="5">+N11-N9</f>
        <v>0</v>
      </c>
      <c r="O12" s="1097">
        <f t="shared" si="5"/>
        <v>0</v>
      </c>
      <c r="P12" s="1097">
        <f t="shared" si="5"/>
        <v>0</v>
      </c>
      <c r="Q12" s="1205">
        <f t="shared" si="5"/>
        <v>0</v>
      </c>
      <c r="R12" s="1205">
        <f t="shared" si="5"/>
        <v>0</v>
      </c>
      <c r="S12" s="1097">
        <f t="shared" si="5"/>
        <v>0</v>
      </c>
      <c r="T12" s="1097">
        <f t="shared" si="5"/>
        <v>0</v>
      </c>
      <c r="U12" s="1097">
        <f>+U11-U9</f>
        <v>0</v>
      </c>
      <c r="V12" s="1097">
        <f t="shared" si="5"/>
        <v>0</v>
      </c>
      <c r="W12" s="1097">
        <f t="shared" si="5"/>
        <v>0</v>
      </c>
      <c r="X12" s="1205">
        <f t="shared" si="5"/>
        <v>0</v>
      </c>
      <c r="Y12" s="1205">
        <f t="shared" si="5"/>
        <v>0</v>
      </c>
      <c r="Z12" s="1097">
        <f t="shared" si="5"/>
        <v>0</v>
      </c>
      <c r="AA12" s="1097">
        <f>+AA11-AA9</f>
        <v>0</v>
      </c>
      <c r="AB12" s="1097">
        <f t="shared" ref="AB12" si="6">+AB11-AB9</f>
        <v>0</v>
      </c>
      <c r="AC12" s="1097">
        <f t="shared" si="5"/>
        <v>0</v>
      </c>
      <c r="AD12" s="1097">
        <f t="shared" si="5"/>
        <v>0</v>
      </c>
      <c r="AE12" s="1205">
        <f t="shared" si="5"/>
        <v>0</v>
      </c>
      <c r="AF12" s="1205">
        <f t="shared" si="5"/>
        <v>0</v>
      </c>
      <c r="AG12" s="1097">
        <f>+AG11-AG9</f>
        <v>0</v>
      </c>
      <c r="AH12" s="1097">
        <f>+AH11-AH9</f>
        <v>0</v>
      </c>
      <c r="AI12" s="1328">
        <f>+AI11-AI9</f>
        <v>0</v>
      </c>
      <c r="AJ12" s="79">
        <f>+AJ11-AJ9</f>
        <v>0</v>
      </c>
      <c r="AK12" s="983">
        <f t="shared" si="0"/>
        <v>0</v>
      </c>
      <c r="AL12" s="55">
        <f>+AJ12*AN9</f>
        <v>0</v>
      </c>
      <c r="AM12" s="988">
        <f t="shared" si="1"/>
        <v>0</v>
      </c>
      <c r="AN12" s="277" t="s">
        <v>97</v>
      </c>
      <c r="AO12" s="622"/>
      <c r="AP12" s="39" t="s">
        <v>98</v>
      </c>
      <c r="AQ12" s="56">
        <f>AQ11-AQ10</f>
        <v>0</v>
      </c>
      <c r="AR12" s="70">
        <f>AR11-AR10</f>
        <v>0</v>
      </c>
      <c r="AS12" s="70">
        <f>AS11-AS10</f>
        <v>0</v>
      </c>
      <c r="AT12" s="70">
        <f>AT11-AT10</f>
        <v>0</v>
      </c>
      <c r="AU12" s="70">
        <f>AU11-AU10</f>
        <v>0</v>
      </c>
      <c r="AV12" s="57">
        <f t="shared" si="3"/>
        <v>0</v>
      </c>
    </row>
    <row r="13" spans="1:48" s="23" customFormat="1" ht="20.65" customHeight="1">
      <c r="A13" s="276" t="s">
        <v>419</v>
      </c>
      <c r="B13" s="767">
        <v>13.178000000000001</v>
      </c>
      <c r="C13" s="305"/>
      <c r="D13" s="61" t="s">
        <v>101</v>
      </c>
      <c r="E13" s="1098"/>
      <c r="F13" s="1098"/>
      <c r="G13" s="1195"/>
      <c r="H13" s="1098"/>
      <c r="I13" s="1098"/>
      <c r="J13" s="1195"/>
      <c r="K13" s="1195"/>
      <c r="L13" s="1099"/>
      <c r="M13" s="1099"/>
      <c r="N13" s="1099"/>
      <c r="O13" s="1099"/>
      <c r="P13" s="1099"/>
      <c r="Q13" s="1208"/>
      <c r="R13" s="1208"/>
      <c r="S13" s="1099"/>
      <c r="T13" s="1099"/>
      <c r="U13" s="1099"/>
      <c r="V13" s="1099"/>
      <c r="W13" s="1099"/>
      <c r="X13" s="1208"/>
      <c r="Y13" s="1208"/>
      <c r="Z13" s="1099"/>
      <c r="AA13" s="1099"/>
      <c r="AB13" s="1099"/>
      <c r="AC13" s="1099"/>
      <c r="AD13" s="1099"/>
      <c r="AE13" s="1208"/>
      <c r="AF13" s="1208"/>
      <c r="AG13" s="1099"/>
      <c r="AH13" s="1099"/>
      <c r="AI13" s="1330"/>
      <c r="AJ13" s="62">
        <f>SUM(E13:AI13)</f>
        <v>0</v>
      </c>
      <c r="AK13" s="983">
        <f t="shared" si="0"/>
        <v>0</v>
      </c>
      <c r="AL13" s="63">
        <f>+AJ13*AN9</f>
        <v>0</v>
      </c>
      <c r="AM13" s="989">
        <f t="shared" si="1"/>
        <v>0</v>
      </c>
      <c r="AN13" s="301" t="e">
        <f>+AJ13/AJ11*100</f>
        <v>#DIV/0!</v>
      </c>
      <c r="AO13" s="635" t="e">
        <f>AO11/AO9</f>
        <v>#DIV/0!</v>
      </c>
      <c r="AP13" s="39" t="s">
        <v>102</v>
      </c>
      <c r="AQ13" s="56">
        <f>SUM(E13:H13)</f>
        <v>0</v>
      </c>
      <c r="AR13" s="70">
        <f>SUM(I13:O13)</f>
        <v>0</v>
      </c>
      <c r="AS13" s="70">
        <f>SUM(P13:V13)</f>
        <v>0</v>
      </c>
      <c r="AT13" s="70">
        <f>SUM(W13:AC13)</f>
        <v>0</v>
      </c>
      <c r="AU13" s="70">
        <f>SUM(AD13:AI13)</f>
        <v>0</v>
      </c>
      <c r="AV13" s="57">
        <f t="shared" si="3"/>
        <v>0</v>
      </c>
    </row>
    <row r="14" spans="1:48" s="23" customFormat="1" ht="20.65" customHeight="1">
      <c r="A14" s="330"/>
      <c r="B14" s="334" t="s">
        <v>502</v>
      </c>
      <c r="C14" s="52" t="s">
        <v>95</v>
      </c>
      <c r="D14" s="67" t="s">
        <v>103</v>
      </c>
      <c r="E14" s="1100"/>
      <c r="F14" s="1100"/>
      <c r="G14" s="1196"/>
      <c r="H14" s="1100"/>
      <c r="I14" s="1100"/>
      <c r="J14" s="1196"/>
      <c r="K14" s="1196"/>
      <c r="L14" s="1101"/>
      <c r="M14" s="1101"/>
      <c r="N14" s="1101"/>
      <c r="O14" s="1101"/>
      <c r="P14" s="1101"/>
      <c r="Q14" s="1209"/>
      <c r="R14" s="1209"/>
      <c r="S14" s="1101"/>
      <c r="T14" s="1101"/>
      <c r="U14" s="1101"/>
      <c r="V14" s="1101"/>
      <c r="W14" s="1101"/>
      <c r="X14" s="1209"/>
      <c r="Y14" s="1209"/>
      <c r="Z14" s="1101"/>
      <c r="AA14" s="1101"/>
      <c r="AB14" s="1101"/>
      <c r="AC14" s="1101"/>
      <c r="AD14" s="1101"/>
      <c r="AE14" s="1209"/>
      <c r="AF14" s="1209"/>
      <c r="AG14" s="1101"/>
      <c r="AH14" s="1101"/>
      <c r="AI14" s="1332"/>
      <c r="AJ14" s="68">
        <f>SUM(E14:AI14)</f>
        <v>0</v>
      </c>
      <c r="AK14" s="983">
        <f t="shared" si="0"/>
        <v>0</v>
      </c>
      <c r="AL14" s="69">
        <f>+AJ14*AN9</f>
        <v>0</v>
      </c>
      <c r="AM14" s="989">
        <f t="shared" si="1"/>
        <v>0</v>
      </c>
      <c r="AN14" s="277"/>
      <c r="AO14" s="679"/>
      <c r="AP14" s="39" t="s">
        <v>19</v>
      </c>
      <c r="AQ14" s="56">
        <f>AQ13*AN9</f>
        <v>0</v>
      </c>
      <c r="AR14" s="56">
        <f>AR13*AN9</f>
        <v>0</v>
      </c>
      <c r="AS14" s="56">
        <f>AS13*AN9</f>
        <v>0</v>
      </c>
      <c r="AT14" s="56">
        <f>AT13*AN9</f>
        <v>0</v>
      </c>
      <c r="AU14" s="56">
        <f>AU13*AN9</f>
        <v>0</v>
      </c>
      <c r="AV14" s="57">
        <f t="shared" si="3"/>
        <v>0</v>
      </c>
    </row>
    <row r="15" spans="1:48" s="23" customFormat="1" ht="20.65" customHeight="1">
      <c r="A15" s="330"/>
      <c r="B15" s="89"/>
      <c r="C15" s="306" t="s">
        <v>387</v>
      </c>
      <c r="D15" s="73" t="s">
        <v>105</v>
      </c>
      <c r="E15" s="1115"/>
      <c r="F15" s="1115"/>
      <c r="G15" s="1203"/>
      <c r="H15" s="1115"/>
      <c r="I15" s="1115"/>
      <c r="J15" s="1203"/>
      <c r="K15" s="1203"/>
      <c r="L15" s="1103"/>
      <c r="M15" s="1116"/>
      <c r="N15" s="1116"/>
      <c r="O15" s="1103"/>
      <c r="P15" s="1103"/>
      <c r="Q15" s="1215"/>
      <c r="R15" s="1215"/>
      <c r="S15" s="1116"/>
      <c r="T15" s="1116"/>
      <c r="U15" s="1103"/>
      <c r="V15" s="1116"/>
      <c r="W15" s="1116"/>
      <c r="X15" s="1215"/>
      <c r="Y15" s="1215"/>
      <c r="Z15" s="1116"/>
      <c r="AA15" s="1116"/>
      <c r="AB15" s="1103"/>
      <c r="AC15" s="1116"/>
      <c r="AD15" s="1116"/>
      <c r="AE15" s="1215"/>
      <c r="AF15" s="1215"/>
      <c r="AG15" s="1116"/>
      <c r="AH15" s="1116"/>
      <c r="AI15" s="1334"/>
      <c r="AJ15" s="717">
        <f>SUM(E15:AI15)</f>
        <v>0</v>
      </c>
      <c r="AK15" s="983">
        <f t="shared" si="0"/>
        <v>0</v>
      </c>
      <c r="AL15" s="220">
        <f>+AJ15*AN11</f>
        <v>0</v>
      </c>
      <c r="AM15" s="989">
        <f t="shared" si="1"/>
        <v>0</v>
      </c>
      <c r="AN15" s="91"/>
      <c r="AO15" s="623"/>
      <c r="AP15" s="47" t="s">
        <v>106</v>
      </c>
      <c r="AQ15" s="48">
        <f>AQ11*AN9</f>
        <v>0</v>
      </c>
      <c r="AR15" s="48">
        <f>AR11*AN9</f>
        <v>0</v>
      </c>
      <c r="AS15" s="48">
        <f>AS11*AN9</f>
        <v>0</v>
      </c>
      <c r="AT15" s="48">
        <f>AT11*AN9</f>
        <v>0</v>
      </c>
      <c r="AU15" s="48">
        <f>AU11*AN9</f>
        <v>0</v>
      </c>
      <c r="AV15" s="50">
        <f t="shared" si="3"/>
        <v>0</v>
      </c>
    </row>
    <row r="16" spans="1:48" s="23" customFormat="1" ht="20.65" customHeight="1">
      <c r="A16" s="276" t="s">
        <v>419</v>
      </c>
      <c r="B16" s="313"/>
      <c r="C16" s="307"/>
      <c r="D16" s="78" t="s">
        <v>107</v>
      </c>
      <c r="E16" s="1137">
        <v>1</v>
      </c>
      <c r="F16" s="1097">
        <v>1</v>
      </c>
      <c r="G16" s="1205">
        <v>1</v>
      </c>
      <c r="H16" s="1097">
        <v>1</v>
      </c>
      <c r="I16" s="1097">
        <v>1</v>
      </c>
      <c r="J16" s="1205">
        <v>1</v>
      </c>
      <c r="K16" s="1205">
        <v>1</v>
      </c>
      <c r="L16" s="1097">
        <v>1</v>
      </c>
      <c r="M16" s="1097">
        <v>1</v>
      </c>
      <c r="N16" s="1097">
        <v>1</v>
      </c>
      <c r="O16" s="1097">
        <v>1</v>
      </c>
      <c r="P16" s="1097">
        <v>1</v>
      </c>
      <c r="Q16" s="1205">
        <v>1</v>
      </c>
      <c r="R16" s="1205">
        <v>1</v>
      </c>
      <c r="S16" s="1097">
        <v>1</v>
      </c>
      <c r="T16" s="1097">
        <v>1</v>
      </c>
      <c r="U16" s="1097">
        <v>1</v>
      </c>
      <c r="V16" s="1097">
        <v>1</v>
      </c>
      <c r="W16" s="1097">
        <v>1</v>
      </c>
      <c r="X16" s="1205">
        <v>1</v>
      </c>
      <c r="Y16" s="1205">
        <v>1</v>
      </c>
      <c r="Z16" s="1097">
        <v>1</v>
      </c>
      <c r="AA16" s="1097">
        <v>1</v>
      </c>
      <c r="AB16" s="1097">
        <v>1</v>
      </c>
      <c r="AC16" s="1097">
        <v>1</v>
      </c>
      <c r="AD16" s="1097">
        <v>1</v>
      </c>
      <c r="AE16" s="1205">
        <v>1</v>
      </c>
      <c r="AF16" s="1205">
        <v>1</v>
      </c>
      <c r="AG16" s="1097">
        <v>1</v>
      </c>
      <c r="AH16" s="1097">
        <v>1</v>
      </c>
      <c r="AI16" s="1328">
        <v>1</v>
      </c>
      <c r="AJ16" s="79"/>
      <c r="AK16" s="983">
        <f t="shared" si="0"/>
        <v>0</v>
      </c>
      <c r="AL16" s="69"/>
      <c r="AM16" s="989">
        <f t="shared" si="1"/>
        <v>0</v>
      </c>
      <c r="AN16" s="277"/>
      <c r="AO16" s="679"/>
      <c r="AP16" s="47"/>
      <c r="AQ16" s="48"/>
      <c r="AR16" s="48"/>
      <c r="AS16" s="48"/>
      <c r="AT16" s="48"/>
      <c r="AU16" s="48"/>
      <c r="AV16" s="284"/>
    </row>
    <row r="17" spans="1:48" s="23" customFormat="1" ht="20.65" customHeight="1">
      <c r="A17" s="276" t="s">
        <v>419</v>
      </c>
      <c r="B17" s="89"/>
      <c r="C17" s="305"/>
      <c r="D17" s="81" t="s">
        <v>109</v>
      </c>
      <c r="E17" s="1125">
        <f>SUM(E11+E13+E14+E15)/E16</f>
        <v>0</v>
      </c>
      <c r="F17" s="1126">
        <f>SUM(F11+F13+F14+F15)/F16</f>
        <v>0</v>
      </c>
      <c r="G17" s="1235">
        <f t="shared" ref="G17:AH17" si="7">SUM(G11+G13+G14+G15)/G16</f>
        <v>0</v>
      </c>
      <c r="H17" s="1126">
        <f t="shared" si="7"/>
        <v>0</v>
      </c>
      <c r="I17" s="1126">
        <f t="shared" si="7"/>
        <v>0</v>
      </c>
      <c r="J17" s="1235">
        <f t="shared" si="7"/>
        <v>0</v>
      </c>
      <c r="K17" s="1235">
        <f t="shared" si="7"/>
        <v>0</v>
      </c>
      <c r="L17" s="1126">
        <f t="shared" si="7"/>
        <v>0</v>
      </c>
      <c r="M17" s="1126">
        <f t="shared" si="7"/>
        <v>0</v>
      </c>
      <c r="N17" s="1126">
        <f t="shared" si="7"/>
        <v>0</v>
      </c>
      <c r="O17" s="1126">
        <f t="shared" si="7"/>
        <v>0</v>
      </c>
      <c r="P17" s="1126">
        <f t="shared" si="7"/>
        <v>0</v>
      </c>
      <c r="Q17" s="1235">
        <f t="shared" si="7"/>
        <v>0</v>
      </c>
      <c r="R17" s="1235">
        <f t="shared" si="7"/>
        <v>0</v>
      </c>
      <c r="S17" s="1126">
        <f t="shared" si="7"/>
        <v>0</v>
      </c>
      <c r="T17" s="1126">
        <f t="shared" si="7"/>
        <v>0</v>
      </c>
      <c r="U17" s="1126">
        <f t="shared" si="7"/>
        <v>0</v>
      </c>
      <c r="V17" s="1126">
        <f t="shared" si="7"/>
        <v>0</v>
      </c>
      <c r="W17" s="1126">
        <f t="shared" si="7"/>
        <v>0</v>
      </c>
      <c r="X17" s="1235">
        <f t="shared" si="7"/>
        <v>0</v>
      </c>
      <c r="Y17" s="1235">
        <f t="shared" si="7"/>
        <v>0</v>
      </c>
      <c r="Z17" s="1126">
        <f t="shared" si="7"/>
        <v>0</v>
      </c>
      <c r="AA17" s="1126">
        <f t="shared" si="7"/>
        <v>0</v>
      </c>
      <c r="AB17" s="1126">
        <f t="shared" si="7"/>
        <v>0</v>
      </c>
      <c r="AC17" s="1126">
        <f t="shared" si="7"/>
        <v>0</v>
      </c>
      <c r="AD17" s="1126">
        <f t="shared" si="7"/>
        <v>0</v>
      </c>
      <c r="AE17" s="1235">
        <f t="shared" si="7"/>
        <v>0</v>
      </c>
      <c r="AF17" s="1235">
        <f t="shared" si="7"/>
        <v>0</v>
      </c>
      <c r="AG17" s="1126">
        <f t="shared" si="7"/>
        <v>0</v>
      </c>
      <c r="AH17" s="1126">
        <f t="shared" si="7"/>
        <v>0</v>
      </c>
      <c r="AI17" s="1335">
        <f>SUM(AI11+AI13+AI14)/AI16</f>
        <v>0</v>
      </c>
      <c r="AJ17" s="515">
        <f>SUM(E17:AI17)</f>
        <v>0</v>
      </c>
      <c r="AK17" s="984">
        <f t="shared" si="0"/>
        <v>0</v>
      </c>
      <c r="AL17" s="689"/>
      <c r="AM17" s="989">
        <f t="shared" si="1"/>
        <v>0</v>
      </c>
      <c r="AN17" s="277"/>
      <c r="AO17" s="679"/>
      <c r="AP17" s="285"/>
      <c r="AQ17" s="285"/>
      <c r="AR17" s="285"/>
      <c r="AS17" s="285"/>
      <c r="AT17" s="286"/>
      <c r="AU17" s="285"/>
      <c r="AV17" s="287"/>
    </row>
    <row r="18" spans="1:48" s="23" customFormat="1" ht="20.65" customHeight="1">
      <c r="A18" s="276" t="s">
        <v>419</v>
      </c>
      <c r="B18" s="89"/>
      <c r="C18" s="72"/>
      <c r="D18" s="85" t="s">
        <v>110</v>
      </c>
      <c r="E18" s="1336"/>
      <c r="F18" s="1106"/>
      <c r="G18" s="1228"/>
      <c r="H18" s="1107"/>
      <c r="I18" s="1104"/>
      <c r="J18" s="1211"/>
      <c r="K18" s="1211"/>
      <c r="L18" s="1107"/>
      <c r="M18" s="1104"/>
      <c r="N18" s="1104"/>
      <c r="O18" s="1104"/>
      <c r="P18" s="1104"/>
      <c r="Q18" s="1211"/>
      <c r="R18" s="1228"/>
      <c r="S18" s="1104"/>
      <c r="T18" s="1107"/>
      <c r="U18" s="1104"/>
      <c r="V18" s="1107"/>
      <c r="W18" s="1104"/>
      <c r="X18" s="1228"/>
      <c r="Y18" s="1211"/>
      <c r="Z18" s="1104"/>
      <c r="AA18" s="1104"/>
      <c r="AB18" s="1104"/>
      <c r="AC18" s="1107"/>
      <c r="AD18" s="1104"/>
      <c r="AE18" s="1211"/>
      <c r="AF18" s="1211"/>
      <c r="AG18" s="1104"/>
      <c r="AH18" s="1107"/>
      <c r="AI18" s="1337"/>
      <c r="AJ18" s="86"/>
      <c r="AK18" s="984">
        <f t="shared" si="0"/>
        <v>0</v>
      </c>
      <c r="AL18" s="690"/>
      <c r="AM18" s="989">
        <f t="shared" si="1"/>
        <v>0</v>
      </c>
      <c r="AN18" s="277"/>
      <c r="AO18" s="679"/>
      <c r="AP18" s="285"/>
      <c r="AQ18" s="285"/>
      <c r="AR18" s="285"/>
      <c r="AS18" s="285"/>
      <c r="AT18" s="286"/>
      <c r="AU18" s="285"/>
      <c r="AV18" s="287"/>
    </row>
    <row r="19" spans="1:48" s="23" customFormat="1" ht="20.65" customHeight="1">
      <c r="A19" s="276" t="s">
        <v>419</v>
      </c>
      <c r="B19" s="89"/>
      <c r="C19" s="72" t="s">
        <v>104</v>
      </c>
      <c r="D19" s="88" t="s">
        <v>111</v>
      </c>
      <c r="E19" s="1108">
        <f>IF(E18="O/H",E17,0+E17)</f>
        <v>0</v>
      </c>
      <c r="F19" s="1089">
        <f t="shared" ref="F19:AI19" si="8">IF(F18="O/H",F17,+E19+F17)</f>
        <v>0</v>
      </c>
      <c r="G19" s="44">
        <f t="shared" si="8"/>
        <v>0</v>
      </c>
      <c r="H19" s="1089">
        <f t="shared" si="8"/>
        <v>0</v>
      </c>
      <c r="I19" s="1089">
        <f t="shared" si="8"/>
        <v>0</v>
      </c>
      <c r="J19" s="44">
        <f t="shared" si="8"/>
        <v>0</v>
      </c>
      <c r="K19" s="44">
        <f t="shared" si="8"/>
        <v>0</v>
      </c>
      <c r="L19" s="1089">
        <f t="shared" si="8"/>
        <v>0</v>
      </c>
      <c r="M19" s="1089">
        <f t="shared" si="8"/>
        <v>0</v>
      </c>
      <c r="N19" s="1089">
        <f t="shared" si="8"/>
        <v>0</v>
      </c>
      <c r="O19" s="1089">
        <f t="shared" si="8"/>
        <v>0</v>
      </c>
      <c r="P19" s="1089">
        <f t="shared" si="8"/>
        <v>0</v>
      </c>
      <c r="Q19" s="44">
        <f t="shared" si="8"/>
        <v>0</v>
      </c>
      <c r="R19" s="44">
        <f t="shared" si="8"/>
        <v>0</v>
      </c>
      <c r="S19" s="1089">
        <f t="shared" si="8"/>
        <v>0</v>
      </c>
      <c r="T19" s="1089">
        <f t="shared" si="8"/>
        <v>0</v>
      </c>
      <c r="U19" s="1089">
        <f t="shared" si="8"/>
        <v>0</v>
      </c>
      <c r="V19" s="1089">
        <f t="shared" si="8"/>
        <v>0</v>
      </c>
      <c r="W19" s="1089">
        <f t="shared" si="8"/>
        <v>0</v>
      </c>
      <c r="X19" s="44">
        <f t="shared" si="8"/>
        <v>0</v>
      </c>
      <c r="Y19" s="44">
        <f t="shared" si="8"/>
        <v>0</v>
      </c>
      <c r="Z19" s="1089">
        <f t="shared" si="8"/>
        <v>0</v>
      </c>
      <c r="AA19" s="1089">
        <f t="shared" si="8"/>
        <v>0</v>
      </c>
      <c r="AB19" s="1089">
        <f t="shared" si="8"/>
        <v>0</v>
      </c>
      <c r="AC19" s="1089">
        <f t="shared" si="8"/>
        <v>0</v>
      </c>
      <c r="AD19" s="1089">
        <f t="shared" si="8"/>
        <v>0</v>
      </c>
      <c r="AE19" s="44">
        <f t="shared" si="8"/>
        <v>0</v>
      </c>
      <c r="AF19" s="44">
        <f t="shared" si="8"/>
        <v>0</v>
      </c>
      <c r="AG19" s="1089">
        <f t="shared" si="8"/>
        <v>0</v>
      </c>
      <c r="AH19" s="1089">
        <f t="shared" si="8"/>
        <v>0</v>
      </c>
      <c r="AI19" s="1326">
        <f t="shared" si="8"/>
        <v>0</v>
      </c>
      <c r="AJ19" s="79"/>
      <c r="AK19" s="983">
        <f t="shared" si="0"/>
        <v>0</v>
      </c>
      <c r="AL19" s="690"/>
      <c r="AM19" s="989">
        <f t="shared" si="1"/>
        <v>0</v>
      </c>
      <c r="AN19" s="277"/>
      <c r="AO19" s="679"/>
      <c r="AP19" s="285"/>
      <c r="AQ19" s="285"/>
      <c r="AR19" s="285"/>
      <c r="AS19" s="285"/>
      <c r="AT19" s="286"/>
      <c r="AU19" s="285"/>
      <c r="AV19" s="287"/>
    </row>
    <row r="20" spans="1:48" s="23" customFormat="1" ht="20.45" customHeight="1">
      <c r="A20" s="312"/>
      <c r="B20" s="312"/>
      <c r="C20" s="308">
        <v>300000</v>
      </c>
      <c r="D20" s="795" t="s">
        <v>112</v>
      </c>
      <c r="E20" s="1117" t="b">
        <f>IF(AND(ISNUMBER(E11)),92165+E17)</f>
        <v>0</v>
      </c>
      <c r="F20" s="1118" t="str">
        <f>IF(AND(ISNUMBER(F11)),E20+F17,"")</f>
        <v/>
      </c>
      <c r="G20" s="1216" t="str">
        <f t="shared" ref="G20:AH20" si="9">IF(AND(ISNUMBER(G11)),F20+G17,"")</f>
        <v/>
      </c>
      <c r="H20" s="1118" t="str">
        <f t="shared" si="9"/>
        <v/>
      </c>
      <c r="I20" s="1118" t="str">
        <f t="shared" si="9"/>
        <v/>
      </c>
      <c r="J20" s="1216" t="str">
        <f t="shared" si="9"/>
        <v/>
      </c>
      <c r="K20" s="1216" t="str">
        <f t="shared" si="9"/>
        <v/>
      </c>
      <c r="L20" s="1118" t="str">
        <f t="shared" si="9"/>
        <v/>
      </c>
      <c r="M20" s="1118" t="str">
        <f t="shared" si="9"/>
        <v/>
      </c>
      <c r="N20" s="1118" t="str">
        <f t="shared" si="9"/>
        <v/>
      </c>
      <c r="O20" s="1118" t="str">
        <f t="shared" si="9"/>
        <v/>
      </c>
      <c r="P20" s="1118" t="str">
        <f t="shared" si="9"/>
        <v/>
      </c>
      <c r="Q20" s="1216" t="str">
        <f t="shared" si="9"/>
        <v/>
      </c>
      <c r="R20" s="1216" t="str">
        <f t="shared" si="9"/>
        <v/>
      </c>
      <c r="S20" s="1118" t="str">
        <f t="shared" si="9"/>
        <v/>
      </c>
      <c r="T20" s="1118" t="str">
        <f t="shared" si="9"/>
        <v/>
      </c>
      <c r="U20" s="1118" t="str">
        <f t="shared" si="9"/>
        <v/>
      </c>
      <c r="V20" s="1118" t="str">
        <f t="shared" si="9"/>
        <v/>
      </c>
      <c r="W20" s="1118" t="str">
        <f t="shared" si="9"/>
        <v/>
      </c>
      <c r="X20" s="1216" t="str">
        <f t="shared" si="9"/>
        <v/>
      </c>
      <c r="Y20" s="1216" t="str">
        <f t="shared" si="9"/>
        <v/>
      </c>
      <c r="Z20" s="1118" t="str">
        <f t="shared" si="9"/>
        <v/>
      </c>
      <c r="AA20" s="1118" t="str">
        <f t="shared" si="9"/>
        <v/>
      </c>
      <c r="AB20" s="1118" t="str">
        <f t="shared" si="9"/>
        <v/>
      </c>
      <c r="AC20" s="1118" t="str">
        <f t="shared" si="9"/>
        <v/>
      </c>
      <c r="AD20" s="1118" t="str">
        <f t="shared" si="9"/>
        <v/>
      </c>
      <c r="AE20" s="1216" t="str">
        <f t="shared" si="9"/>
        <v/>
      </c>
      <c r="AF20" s="1216" t="str">
        <f t="shared" si="9"/>
        <v/>
      </c>
      <c r="AG20" s="1118" t="str">
        <f t="shared" si="9"/>
        <v/>
      </c>
      <c r="AH20" s="1118" t="str">
        <f t="shared" si="9"/>
        <v/>
      </c>
      <c r="AI20" s="1089" t="str">
        <f>IF(AND(ISNUMBER(AI11)),AH20+AI17,"")</f>
        <v/>
      </c>
      <c r="AJ20" s="793"/>
      <c r="AK20" s="985">
        <f t="shared" si="0"/>
        <v>0</v>
      </c>
      <c r="AL20" s="909"/>
      <c r="AM20" s="987">
        <f t="shared" si="1"/>
        <v>0</v>
      </c>
      <c r="AN20" s="429"/>
      <c r="AO20" s="675"/>
      <c r="AP20" s="285"/>
      <c r="AQ20" s="285"/>
      <c r="AR20" s="285"/>
      <c r="AS20" s="285"/>
      <c r="AT20" s="286"/>
      <c r="AU20" s="285"/>
      <c r="AV20" s="287"/>
    </row>
    <row r="21" spans="1:48" s="23" customFormat="1" ht="20.65" customHeight="1">
      <c r="A21" s="276"/>
      <c r="B21" s="89" t="s">
        <v>503</v>
      </c>
      <c r="C21" s="80" t="s">
        <v>108</v>
      </c>
      <c r="D21" s="90" t="s">
        <v>104</v>
      </c>
      <c r="E21" s="1338"/>
      <c r="F21" s="1106"/>
      <c r="G21" s="1253"/>
      <c r="H21" s="1106"/>
      <c r="I21" s="1106"/>
      <c r="J21" s="1253"/>
      <c r="K21" s="1253"/>
      <c r="L21" s="1106"/>
      <c r="M21" s="1106"/>
      <c r="N21" s="1106"/>
      <c r="O21" s="1106"/>
      <c r="P21" s="1106"/>
      <c r="Q21" s="1253"/>
      <c r="R21" s="1253"/>
      <c r="S21" s="1106"/>
      <c r="T21" s="1106"/>
      <c r="U21" s="1106"/>
      <c r="V21" s="1106"/>
      <c r="W21" s="1106"/>
      <c r="X21" s="1253"/>
      <c r="Y21" s="1253"/>
      <c r="Z21" s="1106"/>
      <c r="AA21" s="1106"/>
      <c r="AB21" s="1106"/>
      <c r="AC21" s="1106"/>
      <c r="AD21" s="1106"/>
      <c r="AE21" s="1253"/>
      <c r="AF21" s="1253"/>
      <c r="AG21" s="1106"/>
      <c r="AH21" s="1106"/>
      <c r="AI21" s="1339"/>
      <c r="AJ21" s="79"/>
      <c r="AK21" s="983">
        <f t="shared" si="0"/>
        <v>0</v>
      </c>
      <c r="AL21" s="690"/>
      <c r="AM21" s="989">
        <f t="shared" si="1"/>
        <v>0</v>
      </c>
      <c r="AN21" s="301"/>
      <c r="AO21" s="680"/>
      <c r="AP21" s="285"/>
      <c r="AQ21" s="285"/>
      <c r="AR21" s="285"/>
      <c r="AS21" s="285"/>
      <c r="AT21" s="286"/>
      <c r="AU21" s="285"/>
      <c r="AV21" s="287"/>
    </row>
    <row r="22" spans="1:48" s="23" customFormat="1" ht="20.65" customHeight="1" thickBot="1">
      <c r="A22" s="289"/>
      <c r="B22" s="93"/>
      <c r="C22" s="94">
        <f>+C20*0.8</f>
        <v>240000</v>
      </c>
      <c r="D22" s="88" t="s">
        <v>111</v>
      </c>
      <c r="E22" s="1109">
        <f>IF(E21="O/H",E17,0+E17)</f>
        <v>0</v>
      </c>
      <c r="F22" s="1110">
        <f t="shared" ref="F22:AI22" si="10">IF(F21="O/H",F17,+E22+F17)</f>
        <v>0</v>
      </c>
      <c r="G22" s="1212">
        <f t="shared" si="10"/>
        <v>0</v>
      </c>
      <c r="H22" s="1110">
        <f t="shared" si="10"/>
        <v>0</v>
      </c>
      <c r="I22" s="1110">
        <f t="shared" si="10"/>
        <v>0</v>
      </c>
      <c r="J22" s="1212">
        <f t="shared" si="10"/>
        <v>0</v>
      </c>
      <c r="K22" s="1212">
        <f t="shared" si="10"/>
        <v>0</v>
      </c>
      <c r="L22" s="1110">
        <f t="shared" si="10"/>
        <v>0</v>
      </c>
      <c r="M22" s="1110">
        <f t="shared" si="10"/>
        <v>0</v>
      </c>
      <c r="N22" s="1110">
        <f t="shared" si="10"/>
        <v>0</v>
      </c>
      <c r="O22" s="1110">
        <f t="shared" si="10"/>
        <v>0</v>
      </c>
      <c r="P22" s="1110">
        <f t="shared" si="10"/>
        <v>0</v>
      </c>
      <c r="Q22" s="1212">
        <f t="shared" si="10"/>
        <v>0</v>
      </c>
      <c r="R22" s="1212">
        <f t="shared" si="10"/>
        <v>0</v>
      </c>
      <c r="S22" s="1110">
        <f t="shared" si="10"/>
        <v>0</v>
      </c>
      <c r="T22" s="1110">
        <f t="shared" si="10"/>
        <v>0</v>
      </c>
      <c r="U22" s="1110">
        <f t="shared" si="10"/>
        <v>0</v>
      </c>
      <c r="V22" s="1110">
        <f t="shared" si="10"/>
        <v>0</v>
      </c>
      <c r="W22" s="1110">
        <f t="shared" si="10"/>
        <v>0</v>
      </c>
      <c r="X22" s="1212">
        <f t="shared" si="10"/>
        <v>0</v>
      </c>
      <c r="Y22" s="1212">
        <f t="shared" si="10"/>
        <v>0</v>
      </c>
      <c r="Z22" s="1110">
        <f t="shared" si="10"/>
        <v>0</v>
      </c>
      <c r="AA22" s="1110">
        <f t="shared" si="10"/>
        <v>0</v>
      </c>
      <c r="AB22" s="1110">
        <f t="shared" si="10"/>
        <v>0</v>
      </c>
      <c r="AC22" s="1110">
        <f t="shared" si="10"/>
        <v>0</v>
      </c>
      <c r="AD22" s="1110">
        <f t="shared" si="10"/>
        <v>0</v>
      </c>
      <c r="AE22" s="1212">
        <f t="shared" si="10"/>
        <v>0</v>
      </c>
      <c r="AF22" s="1212">
        <f t="shared" si="10"/>
        <v>0</v>
      </c>
      <c r="AG22" s="1110">
        <f t="shared" si="10"/>
        <v>0</v>
      </c>
      <c r="AH22" s="1110">
        <f t="shared" si="10"/>
        <v>0</v>
      </c>
      <c r="AI22" s="1340">
        <f t="shared" si="10"/>
        <v>0</v>
      </c>
      <c r="AJ22" s="96"/>
      <c r="AK22" s="1060">
        <f t="shared" si="0"/>
        <v>0</v>
      </c>
      <c r="AL22" s="695"/>
      <c r="AM22" s="1057">
        <f t="shared" si="1"/>
        <v>0</v>
      </c>
      <c r="AN22" s="292"/>
      <c r="AO22" s="681"/>
      <c r="AP22" s="285"/>
      <c r="AQ22" s="285"/>
      <c r="AR22" s="285"/>
      <c r="AS22" s="285"/>
      <c r="AT22" s="286"/>
      <c r="AU22" s="285"/>
      <c r="AV22" s="287"/>
    </row>
    <row r="23" spans="1:48" s="23" customFormat="1" ht="24" customHeight="1" thickTop="1">
      <c r="A23" s="336"/>
      <c r="B23" s="337"/>
      <c r="C23" s="338"/>
      <c r="D23" s="339" t="s">
        <v>82</v>
      </c>
      <c r="E23" s="1354">
        <f>E9</f>
        <v>0</v>
      </c>
      <c r="F23" s="1147">
        <f t="shared" ref="F23:AI23" si="11">F9</f>
        <v>0</v>
      </c>
      <c r="G23" s="1236">
        <f t="shared" si="11"/>
        <v>0</v>
      </c>
      <c r="H23" s="1147">
        <f t="shared" si="11"/>
        <v>0</v>
      </c>
      <c r="I23" s="1147">
        <f t="shared" si="11"/>
        <v>0</v>
      </c>
      <c r="J23" s="1236">
        <f t="shared" si="11"/>
        <v>0</v>
      </c>
      <c r="K23" s="1236">
        <f t="shared" si="11"/>
        <v>0</v>
      </c>
      <c r="L23" s="1147">
        <f t="shared" si="11"/>
        <v>0</v>
      </c>
      <c r="M23" s="1147">
        <f t="shared" si="11"/>
        <v>0</v>
      </c>
      <c r="N23" s="1147">
        <f t="shared" si="11"/>
        <v>0</v>
      </c>
      <c r="O23" s="1147">
        <f t="shared" si="11"/>
        <v>0</v>
      </c>
      <c r="P23" s="1147">
        <f t="shared" si="11"/>
        <v>0</v>
      </c>
      <c r="Q23" s="1236">
        <f t="shared" si="11"/>
        <v>0</v>
      </c>
      <c r="R23" s="1236">
        <f t="shared" si="11"/>
        <v>0</v>
      </c>
      <c r="S23" s="1147">
        <f t="shared" si="11"/>
        <v>0</v>
      </c>
      <c r="T23" s="1147">
        <f t="shared" si="11"/>
        <v>0</v>
      </c>
      <c r="U23" s="1147">
        <f t="shared" si="11"/>
        <v>0</v>
      </c>
      <c r="V23" s="1147">
        <f t="shared" si="11"/>
        <v>0</v>
      </c>
      <c r="W23" s="1147">
        <f t="shared" si="11"/>
        <v>0</v>
      </c>
      <c r="X23" s="1236">
        <f t="shared" si="11"/>
        <v>0</v>
      </c>
      <c r="Y23" s="1236">
        <f t="shared" si="11"/>
        <v>0</v>
      </c>
      <c r="Z23" s="1147">
        <f t="shared" si="11"/>
        <v>0</v>
      </c>
      <c r="AA23" s="1147">
        <f t="shared" si="11"/>
        <v>0</v>
      </c>
      <c r="AB23" s="1147">
        <f t="shared" si="11"/>
        <v>0</v>
      </c>
      <c r="AC23" s="1147">
        <f t="shared" si="11"/>
        <v>0</v>
      </c>
      <c r="AD23" s="1147">
        <f t="shared" si="11"/>
        <v>0</v>
      </c>
      <c r="AE23" s="1236">
        <f t="shared" si="11"/>
        <v>0</v>
      </c>
      <c r="AF23" s="1236">
        <f t="shared" si="11"/>
        <v>0</v>
      </c>
      <c r="AG23" s="1147">
        <f t="shared" si="11"/>
        <v>0</v>
      </c>
      <c r="AH23" s="1147">
        <f t="shared" si="11"/>
        <v>0</v>
      </c>
      <c r="AI23" s="1359">
        <f t="shared" si="11"/>
        <v>0</v>
      </c>
      <c r="AJ23" s="528">
        <f>AJ9</f>
        <v>0</v>
      </c>
      <c r="AK23" s="1084">
        <f>AJ24</f>
        <v>0</v>
      </c>
      <c r="AL23" s="697">
        <f>AL9</f>
        <v>0</v>
      </c>
      <c r="AM23" s="1085">
        <f>AL24</f>
        <v>0</v>
      </c>
      <c r="AN23" s="119"/>
      <c r="AO23" s="623"/>
      <c r="AP23" s="285"/>
      <c r="AQ23" s="285"/>
      <c r="AR23" s="285"/>
      <c r="AS23" s="285"/>
      <c r="AT23" s="286"/>
      <c r="AU23" s="285"/>
    </row>
    <row r="24" spans="1:48" s="23" customFormat="1" ht="23.25" customHeight="1">
      <c r="A24" s="336"/>
      <c r="B24" s="337"/>
      <c r="C24" s="338"/>
      <c r="D24" s="340" t="s">
        <v>93</v>
      </c>
      <c r="E24" s="1355">
        <f>E11</f>
        <v>0</v>
      </c>
      <c r="F24" s="1167">
        <f t="shared" ref="F24:AI24" si="12">F11</f>
        <v>0</v>
      </c>
      <c r="G24" s="1237">
        <f t="shared" si="12"/>
        <v>0</v>
      </c>
      <c r="H24" s="1167">
        <f t="shared" si="12"/>
        <v>0</v>
      </c>
      <c r="I24" s="1167">
        <f t="shared" si="12"/>
        <v>0</v>
      </c>
      <c r="J24" s="1237">
        <f t="shared" si="12"/>
        <v>0</v>
      </c>
      <c r="K24" s="1237">
        <f t="shared" si="12"/>
        <v>0</v>
      </c>
      <c r="L24" s="1167">
        <f t="shared" si="12"/>
        <v>0</v>
      </c>
      <c r="M24" s="1167">
        <f t="shared" si="12"/>
        <v>0</v>
      </c>
      <c r="N24" s="1167">
        <f t="shared" si="12"/>
        <v>0</v>
      </c>
      <c r="O24" s="1167">
        <f t="shared" si="12"/>
        <v>0</v>
      </c>
      <c r="P24" s="1167">
        <f t="shared" si="12"/>
        <v>0</v>
      </c>
      <c r="Q24" s="1237">
        <f t="shared" si="12"/>
        <v>0</v>
      </c>
      <c r="R24" s="1237">
        <f t="shared" si="12"/>
        <v>0</v>
      </c>
      <c r="S24" s="1167">
        <f t="shared" si="12"/>
        <v>0</v>
      </c>
      <c r="T24" s="1167">
        <f t="shared" si="12"/>
        <v>0</v>
      </c>
      <c r="U24" s="1167">
        <f t="shared" si="12"/>
        <v>0</v>
      </c>
      <c r="V24" s="1167">
        <f t="shared" si="12"/>
        <v>0</v>
      </c>
      <c r="W24" s="1167">
        <f t="shared" si="12"/>
        <v>0</v>
      </c>
      <c r="X24" s="1237">
        <f t="shared" si="12"/>
        <v>0</v>
      </c>
      <c r="Y24" s="1237">
        <f t="shared" si="12"/>
        <v>0</v>
      </c>
      <c r="Z24" s="1167">
        <f t="shared" si="12"/>
        <v>0</v>
      </c>
      <c r="AA24" s="1167">
        <f t="shared" si="12"/>
        <v>0</v>
      </c>
      <c r="AB24" s="1167">
        <f t="shared" si="12"/>
        <v>0</v>
      </c>
      <c r="AC24" s="1167">
        <f t="shared" si="12"/>
        <v>0</v>
      </c>
      <c r="AD24" s="1167">
        <f t="shared" si="12"/>
        <v>0</v>
      </c>
      <c r="AE24" s="1237">
        <f t="shared" si="12"/>
        <v>0</v>
      </c>
      <c r="AF24" s="1237">
        <f t="shared" si="12"/>
        <v>0</v>
      </c>
      <c r="AG24" s="1167">
        <f t="shared" si="12"/>
        <v>0</v>
      </c>
      <c r="AH24" s="1167">
        <f t="shared" si="12"/>
        <v>0</v>
      </c>
      <c r="AI24" s="1360">
        <f t="shared" si="12"/>
        <v>0</v>
      </c>
      <c r="AJ24" s="529">
        <f>AJ11</f>
        <v>0</v>
      </c>
      <c r="AK24" s="1061">
        <f t="shared" si="0"/>
        <v>0</v>
      </c>
      <c r="AL24" s="698">
        <f>AL11</f>
        <v>0</v>
      </c>
      <c r="AM24" s="994">
        <f t="shared" si="1"/>
        <v>0</v>
      </c>
      <c r="AN24" s="124"/>
      <c r="AO24" s="627"/>
      <c r="AP24" s="285"/>
      <c r="AQ24" s="285"/>
      <c r="AR24" s="285"/>
      <c r="AS24" s="285"/>
      <c r="AT24" s="286"/>
      <c r="AU24" s="285"/>
    </row>
    <row r="25" spans="1:48" s="23" customFormat="1" ht="23.25" customHeight="1">
      <c r="A25" s="336"/>
      <c r="B25" s="125" t="s">
        <v>68</v>
      </c>
      <c r="C25" s="338"/>
      <c r="D25" s="341" t="s">
        <v>229</v>
      </c>
      <c r="E25" s="1356">
        <f>E13</f>
        <v>0</v>
      </c>
      <c r="F25" s="1168">
        <f t="shared" ref="F25:AI25" si="13">F13</f>
        <v>0</v>
      </c>
      <c r="G25" s="1238">
        <f t="shared" si="13"/>
        <v>0</v>
      </c>
      <c r="H25" s="1168">
        <f t="shared" si="13"/>
        <v>0</v>
      </c>
      <c r="I25" s="1168">
        <f t="shared" si="13"/>
        <v>0</v>
      </c>
      <c r="J25" s="1238">
        <f t="shared" si="13"/>
        <v>0</v>
      </c>
      <c r="K25" s="1238">
        <f t="shared" si="13"/>
        <v>0</v>
      </c>
      <c r="L25" s="1168">
        <f t="shared" si="13"/>
        <v>0</v>
      </c>
      <c r="M25" s="1168">
        <f t="shared" si="13"/>
        <v>0</v>
      </c>
      <c r="N25" s="1168">
        <f t="shared" si="13"/>
        <v>0</v>
      </c>
      <c r="O25" s="1168">
        <f t="shared" si="13"/>
        <v>0</v>
      </c>
      <c r="P25" s="1168">
        <f t="shared" si="13"/>
        <v>0</v>
      </c>
      <c r="Q25" s="1238">
        <f t="shared" si="13"/>
        <v>0</v>
      </c>
      <c r="R25" s="1238">
        <f t="shared" si="13"/>
        <v>0</v>
      </c>
      <c r="S25" s="1168">
        <f t="shared" si="13"/>
        <v>0</v>
      </c>
      <c r="T25" s="1168">
        <f t="shared" si="13"/>
        <v>0</v>
      </c>
      <c r="U25" s="1168">
        <f t="shared" si="13"/>
        <v>0</v>
      </c>
      <c r="V25" s="1168">
        <f t="shared" si="13"/>
        <v>0</v>
      </c>
      <c r="W25" s="1168">
        <f t="shared" si="13"/>
        <v>0</v>
      </c>
      <c r="X25" s="1238">
        <f t="shared" si="13"/>
        <v>0</v>
      </c>
      <c r="Y25" s="1238">
        <f t="shared" si="13"/>
        <v>0</v>
      </c>
      <c r="Z25" s="1168">
        <f t="shared" si="13"/>
        <v>0</v>
      </c>
      <c r="AA25" s="1168">
        <f t="shared" si="13"/>
        <v>0</v>
      </c>
      <c r="AB25" s="1168">
        <f t="shared" si="13"/>
        <v>0</v>
      </c>
      <c r="AC25" s="1168">
        <f t="shared" si="13"/>
        <v>0</v>
      </c>
      <c r="AD25" s="1168">
        <f t="shared" si="13"/>
        <v>0</v>
      </c>
      <c r="AE25" s="1238">
        <f t="shared" si="13"/>
        <v>0</v>
      </c>
      <c r="AF25" s="1238">
        <f t="shared" si="13"/>
        <v>0</v>
      </c>
      <c r="AG25" s="1168">
        <f t="shared" si="13"/>
        <v>0</v>
      </c>
      <c r="AH25" s="1168">
        <f t="shared" si="13"/>
        <v>0</v>
      </c>
      <c r="AI25" s="1361">
        <f t="shared" si="13"/>
        <v>0</v>
      </c>
      <c r="AJ25" s="530">
        <f t="shared" ref="AJ25:AL27" si="14">AJ13</f>
        <v>0</v>
      </c>
      <c r="AK25" s="1061">
        <f t="shared" si="0"/>
        <v>0</v>
      </c>
      <c r="AL25" s="699">
        <f t="shared" si="14"/>
        <v>0</v>
      </c>
      <c r="AM25" s="994">
        <f t="shared" si="1"/>
        <v>0</v>
      </c>
      <c r="AN25" s="91"/>
      <c r="AO25" s="623"/>
      <c r="AP25" s="285"/>
      <c r="AQ25" s="285"/>
      <c r="AR25" s="285"/>
      <c r="AS25" s="285"/>
      <c r="AT25" s="286"/>
      <c r="AU25" s="285"/>
    </row>
    <row r="26" spans="1:48" s="23" customFormat="1" ht="23.1" customHeight="1">
      <c r="A26" s="336"/>
      <c r="B26" s="342"/>
      <c r="C26" s="338"/>
      <c r="D26" s="343" t="s">
        <v>103</v>
      </c>
      <c r="E26" s="1357">
        <f>E14</f>
        <v>0</v>
      </c>
      <c r="F26" s="1169">
        <f t="shared" ref="F26:AI26" si="15">F14</f>
        <v>0</v>
      </c>
      <c r="G26" s="1239">
        <f t="shared" si="15"/>
        <v>0</v>
      </c>
      <c r="H26" s="1169">
        <f t="shared" si="15"/>
        <v>0</v>
      </c>
      <c r="I26" s="1169">
        <f t="shared" si="15"/>
        <v>0</v>
      </c>
      <c r="J26" s="1239">
        <f t="shared" si="15"/>
        <v>0</v>
      </c>
      <c r="K26" s="1239">
        <f t="shared" si="15"/>
        <v>0</v>
      </c>
      <c r="L26" s="1169">
        <f t="shared" si="15"/>
        <v>0</v>
      </c>
      <c r="M26" s="1169">
        <f t="shared" si="15"/>
        <v>0</v>
      </c>
      <c r="N26" s="1169">
        <f t="shared" si="15"/>
        <v>0</v>
      </c>
      <c r="O26" s="1169">
        <f t="shared" si="15"/>
        <v>0</v>
      </c>
      <c r="P26" s="1169">
        <f t="shared" si="15"/>
        <v>0</v>
      </c>
      <c r="Q26" s="1239">
        <f t="shared" si="15"/>
        <v>0</v>
      </c>
      <c r="R26" s="1239">
        <f t="shared" si="15"/>
        <v>0</v>
      </c>
      <c r="S26" s="1169">
        <f t="shared" si="15"/>
        <v>0</v>
      </c>
      <c r="T26" s="1169">
        <f t="shared" si="15"/>
        <v>0</v>
      </c>
      <c r="U26" s="1169">
        <f t="shared" si="15"/>
        <v>0</v>
      </c>
      <c r="V26" s="1169">
        <f t="shared" si="15"/>
        <v>0</v>
      </c>
      <c r="W26" s="1169">
        <f t="shared" si="15"/>
        <v>0</v>
      </c>
      <c r="X26" s="1239">
        <f t="shared" si="15"/>
        <v>0</v>
      </c>
      <c r="Y26" s="1239">
        <f t="shared" si="15"/>
        <v>0</v>
      </c>
      <c r="Z26" s="1169">
        <f t="shared" si="15"/>
        <v>0</v>
      </c>
      <c r="AA26" s="1169">
        <f t="shared" si="15"/>
        <v>0</v>
      </c>
      <c r="AB26" s="1169">
        <f t="shared" si="15"/>
        <v>0</v>
      </c>
      <c r="AC26" s="1169">
        <f t="shared" si="15"/>
        <v>0</v>
      </c>
      <c r="AD26" s="1169">
        <f t="shared" si="15"/>
        <v>0</v>
      </c>
      <c r="AE26" s="1239">
        <f t="shared" si="15"/>
        <v>0</v>
      </c>
      <c r="AF26" s="1239">
        <f t="shared" si="15"/>
        <v>0</v>
      </c>
      <c r="AG26" s="1169">
        <f t="shared" si="15"/>
        <v>0</v>
      </c>
      <c r="AH26" s="1169">
        <f t="shared" si="15"/>
        <v>0</v>
      </c>
      <c r="AI26" s="1362">
        <f t="shared" si="15"/>
        <v>0</v>
      </c>
      <c r="AJ26" s="724">
        <f t="shared" si="14"/>
        <v>0</v>
      </c>
      <c r="AK26" s="1061" t="e">
        <f t="shared" si="0"/>
        <v>#DIV/0!</v>
      </c>
      <c r="AL26" s="700">
        <f t="shared" si="14"/>
        <v>0</v>
      </c>
      <c r="AM26" s="994" t="e">
        <f t="shared" si="1"/>
        <v>#DIV/0!</v>
      </c>
      <c r="AN26" s="91"/>
      <c r="AO26" s="623"/>
      <c r="AP26" s="285"/>
      <c r="AQ26" s="285"/>
      <c r="AR26" s="285"/>
      <c r="AS26" s="285"/>
      <c r="AT26" s="286"/>
      <c r="AU26" s="285"/>
    </row>
    <row r="27" spans="1:48" s="23" customFormat="1" ht="23.1" customHeight="1">
      <c r="A27" s="336"/>
      <c r="B27" s="337"/>
      <c r="C27" s="338"/>
      <c r="D27" s="344" t="s">
        <v>105</v>
      </c>
      <c r="E27" s="1358">
        <f>E15</f>
        <v>0</v>
      </c>
      <c r="F27" s="1170">
        <f t="shared" ref="F27:AI27" si="16">F15</f>
        <v>0</v>
      </c>
      <c r="G27" s="1240">
        <f t="shared" si="16"/>
        <v>0</v>
      </c>
      <c r="H27" s="1170">
        <f t="shared" si="16"/>
        <v>0</v>
      </c>
      <c r="I27" s="1170">
        <f t="shared" si="16"/>
        <v>0</v>
      </c>
      <c r="J27" s="1240">
        <f t="shared" si="16"/>
        <v>0</v>
      </c>
      <c r="K27" s="1240">
        <f t="shared" si="16"/>
        <v>0</v>
      </c>
      <c r="L27" s="1170">
        <f t="shared" si="16"/>
        <v>0</v>
      </c>
      <c r="M27" s="1170">
        <f t="shared" si="16"/>
        <v>0</v>
      </c>
      <c r="N27" s="1170">
        <f t="shared" si="16"/>
        <v>0</v>
      </c>
      <c r="O27" s="1170">
        <f t="shared" si="16"/>
        <v>0</v>
      </c>
      <c r="P27" s="1170">
        <f t="shared" si="16"/>
        <v>0</v>
      </c>
      <c r="Q27" s="1240">
        <f t="shared" si="16"/>
        <v>0</v>
      </c>
      <c r="R27" s="1240">
        <f t="shared" si="16"/>
        <v>0</v>
      </c>
      <c r="S27" s="1170">
        <f t="shared" si="16"/>
        <v>0</v>
      </c>
      <c r="T27" s="1170">
        <f t="shared" si="16"/>
        <v>0</v>
      </c>
      <c r="U27" s="1170">
        <f t="shared" si="16"/>
        <v>0</v>
      </c>
      <c r="V27" s="1170">
        <f t="shared" si="16"/>
        <v>0</v>
      </c>
      <c r="W27" s="1170">
        <f t="shared" si="16"/>
        <v>0</v>
      </c>
      <c r="X27" s="1240">
        <f t="shared" si="16"/>
        <v>0</v>
      </c>
      <c r="Y27" s="1240">
        <f t="shared" si="16"/>
        <v>0</v>
      </c>
      <c r="Z27" s="1170">
        <f t="shared" si="16"/>
        <v>0</v>
      </c>
      <c r="AA27" s="1170">
        <f t="shared" si="16"/>
        <v>0</v>
      </c>
      <c r="AB27" s="1170">
        <f t="shared" si="16"/>
        <v>0</v>
      </c>
      <c r="AC27" s="1170">
        <f t="shared" si="16"/>
        <v>0</v>
      </c>
      <c r="AD27" s="1170">
        <f t="shared" si="16"/>
        <v>0</v>
      </c>
      <c r="AE27" s="1240">
        <f t="shared" si="16"/>
        <v>0</v>
      </c>
      <c r="AF27" s="1240">
        <f t="shared" si="16"/>
        <v>0</v>
      </c>
      <c r="AG27" s="1170">
        <f t="shared" si="16"/>
        <v>0</v>
      </c>
      <c r="AH27" s="1170">
        <f t="shared" si="16"/>
        <v>0</v>
      </c>
      <c r="AI27" s="1363">
        <f t="shared" si="16"/>
        <v>0</v>
      </c>
      <c r="AJ27" s="725">
        <f t="shared" si="14"/>
        <v>0</v>
      </c>
      <c r="AK27" s="1061">
        <f t="shared" si="0"/>
        <v>0</v>
      </c>
      <c r="AL27" s="701">
        <f t="shared" si="14"/>
        <v>0</v>
      </c>
      <c r="AM27" s="994">
        <f t="shared" si="1"/>
        <v>0</v>
      </c>
      <c r="AN27" s="91"/>
      <c r="AO27" s="623"/>
      <c r="AP27" s="285"/>
      <c r="AQ27" s="285"/>
      <c r="AR27" s="285"/>
      <c r="AS27" s="285"/>
      <c r="AT27" s="286"/>
      <c r="AU27" s="285"/>
    </row>
    <row r="28" spans="1:48" s="23" customFormat="1" ht="27.75" customHeight="1" thickBot="1">
      <c r="A28" s="336"/>
      <c r="B28" s="337"/>
      <c r="C28" s="338"/>
      <c r="D28" s="345" t="s">
        <v>230</v>
      </c>
      <c r="E28" s="1348" t="e">
        <f>+E25/(E24+E25)</f>
        <v>#DIV/0!</v>
      </c>
      <c r="F28" s="1171" t="e">
        <f t="shared" ref="F28:AI28" si="17">+F25/(F24+F25)</f>
        <v>#DIV/0!</v>
      </c>
      <c r="G28" s="1241" t="e">
        <f t="shared" si="17"/>
        <v>#DIV/0!</v>
      </c>
      <c r="H28" s="1171" t="e">
        <f t="shared" si="17"/>
        <v>#DIV/0!</v>
      </c>
      <c r="I28" s="1171" t="e">
        <f t="shared" si="17"/>
        <v>#DIV/0!</v>
      </c>
      <c r="J28" s="1241" t="e">
        <f t="shared" si="17"/>
        <v>#DIV/0!</v>
      </c>
      <c r="K28" s="1241" t="e">
        <f t="shared" si="17"/>
        <v>#DIV/0!</v>
      </c>
      <c r="L28" s="1171" t="e">
        <f t="shared" si="17"/>
        <v>#DIV/0!</v>
      </c>
      <c r="M28" s="1171" t="e">
        <f t="shared" si="17"/>
        <v>#DIV/0!</v>
      </c>
      <c r="N28" s="1171" t="e">
        <f t="shared" si="17"/>
        <v>#DIV/0!</v>
      </c>
      <c r="O28" s="1171" t="e">
        <f t="shared" si="17"/>
        <v>#DIV/0!</v>
      </c>
      <c r="P28" s="1171" t="e">
        <f t="shared" si="17"/>
        <v>#DIV/0!</v>
      </c>
      <c r="Q28" s="1241" t="e">
        <f t="shared" si="17"/>
        <v>#DIV/0!</v>
      </c>
      <c r="R28" s="1241" t="e">
        <f t="shared" si="17"/>
        <v>#DIV/0!</v>
      </c>
      <c r="S28" s="1171" t="e">
        <f t="shared" si="17"/>
        <v>#DIV/0!</v>
      </c>
      <c r="T28" s="1171" t="e">
        <f t="shared" si="17"/>
        <v>#DIV/0!</v>
      </c>
      <c r="U28" s="1171" t="e">
        <f t="shared" si="17"/>
        <v>#DIV/0!</v>
      </c>
      <c r="V28" s="1171" t="e">
        <f t="shared" si="17"/>
        <v>#DIV/0!</v>
      </c>
      <c r="W28" s="1171" t="e">
        <f t="shared" si="17"/>
        <v>#DIV/0!</v>
      </c>
      <c r="X28" s="1241" t="e">
        <f t="shared" si="17"/>
        <v>#DIV/0!</v>
      </c>
      <c r="Y28" s="1241" t="e">
        <f t="shared" si="17"/>
        <v>#DIV/0!</v>
      </c>
      <c r="Z28" s="1171" t="e">
        <f t="shared" si="17"/>
        <v>#DIV/0!</v>
      </c>
      <c r="AA28" s="1171" t="e">
        <f t="shared" si="17"/>
        <v>#DIV/0!</v>
      </c>
      <c r="AB28" s="1171" t="e">
        <f t="shared" si="17"/>
        <v>#DIV/0!</v>
      </c>
      <c r="AC28" s="1171" t="e">
        <f t="shared" si="17"/>
        <v>#DIV/0!</v>
      </c>
      <c r="AD28" s="1171" t="e">
        <f t="shared" si="17"/>
        <v>#DIV/0!</v>
      </c>
      <c r="AE28" s="1241" t="e">
        <f t="shared" si="17"/>
        <v>#DIV/0!</v>
      </c>
      <c r="AF28" s="1241" t="e">
        <f t="shared" si="17"/>
        <v>#DIV/0!</v>
      </c>
      <c r="AG28" s="1171" t="e">
        <f t="shared" si="17"/>
        <v>#DIV/0!</v>
      </c>
      <c r="AH28" s="1171" t="e">
        <f t="shared" si="17"/>
        <v>#DIV/0!</v>
      </c>
      <c r="AI28" s="1349" t="e">
        <f t="shared" si="17"/>
        <v>#DIV/0!</v>
      </c>
      <c r="AJ28" s="479" t="e">
        <f t="shared" ref="AJ28:AL28" si="18">+AJ25/(AJ24+AJ25)</f>
        <v>#DIV/0!</v>
      </c>
      <c r="AK28" s="1062">
        <f t="shared" si="0"/>
        <v>0</v>
      </c>
      <c r="AL28" s="480" t="e">
        <f t="shared" si="18"/>
        <v>#DIV/0!</v>
      </c>
      <c r="AM28" s="1063">
        <f t="shared" si="1"/>
        <v>0</v>
      </c>
      <c r="AN28" s="91"/>
      <c r="AO28" s="623"/>
      <c r="AP28" s="285"/>
      <c r="AQ28" s="285"/>
      <c r="AR28" s="285"/>
      <c r="AS28" s="285"/>
      <c r="AT28" s="286"/>
      <c r="AU28" s="285"/>
    </row>
    <row r="29" spans="1:48" ht="17.25" customHeight="1" thickTop="1">
      <c r="D29" s="4"/>
      <c r="AJ29" s="147"/>
      <c r="AK29" s="147"/>
    </row>
    <row r="30" spans="1:48" ht="25.15" customHeight="1">
      <c r="D30" s="151"/>
      <c r="E30" s="346"/>
      <c r="F30" s="346"/>
      <c r="G30" s="346"/>
      <c r="H30" s="346"/>
      <c r="I30" s="346"/>
      <c r="J30" s="346"/>
      <c r="K30" s="346"/>
      <c r="L30" s="346"/>
      <c r="M30" s="346"/>
      <c r="N30" s="346"/>
      <c r="O30" s="346"/>
      <c r="P30" s="346"/>
      <c r="Q30" s="346"/>
      <c r="R30" s="346"/>
      <c r="S30" s="346"/>
      <c r="T30" s="346"/>
      <c r="U30" s="346"/>
      <c r="V30" s="346"/>
      <c r="W30" s="346"/>
      <c r="X30" s="346"/>
      <c r="Y30" s="346"/>
      <c r="Z30" s="346"/>
      <c r="AA30" s="346"/>
      <c r="AB30" s="346"/>
      <c r="AC30" s="346"/>
      <c r="AD30" s="346"/>
      <c r="AE30" s="346"/>
      <c r="AF30" s="346"/>
      <c r="AG30" s="346"/>
      <c r="AH30" s="346"/>
      <c r="AI30" s="346"/>
      <c r="AJ30" s="346"/>
      <c r="AK30" s="346"/>
      <c r="AL30" s="347"/>
      <c r="AM30" s="347"/>
      <c r="AN30" s="347"/>
      <c r="AO30" s="347"/>
      <c r="AP30" s="156" t="s">
        <v>504</v>
      </c>
      <c r="AQ30" s="157" t="s">
        <v>232</v>
      </c>
      <c r="AR30" s="157" t="s">
        <v>233</v>
      </c>
      <c r="AS30" s="157" t="s">
        <v>234</v>
      </c>
      <c r="AT30" s="157" t="s">
        <v>235</v>
      </c>
      <c r="AU30" s="157" t="s">
        <v>236</v>
      </c>
      <c r="AV30" s="157" t="s">
        <v>68</v>
      </c>
    </row>
    <row r="31" spans="1:48" ht="30" customHeight="1">
      <c r="D31" s="348"/>
      <c r="E31" s="151"/>
      <c r="F31" s="152"/>
      <c r="G31" s="152"/>
      <c r="H31" s="152"/>
      <c r="I31" s="152"/>
      <c r="J31" s="152"/>
      <c r="K31" s="152"/>
      <c r="L31" s="153"/>
      <c r="R31" s="164"/>
      <c r="S31" s="164"/>
      <c r="T31" s="164"/>
      <c r="U31" s="164"/>
      <c r="V31" s="164"/>
      <c r="W31" s="164"/>
      <c r="X31" s="164"/>
      <c r="Y31" s="164"/>
      <c r="Z31" s="164"/>
      <c r="AA31" s="164"/>
      <c r="AB31" s="164"/>
      <c r="AC31" s="164"/>
      <c r="AD31" s="164"/>
      <c r="AE31" s="164"/>
      <c r="AF31" s="164"/>
      <c r="AG31" s="164"/>
      <c r="AH31" s="164"/>
      <c r="AI31" s="164"/>
      <c r="AJ31" s="164"/>
      <c r="AK31" s="164"/>
      <c r="AL31" s="347"/>
      <c r="AM31" s="347"/>
      <c r="AN31" s="347"/>
      <c r="AO31" s="347"/>
      <c r="AP31" s="165" t="s">
        <v>91</v>
      </c>
      <c r="AQ31" s="163">
        <f>AQ10</f>
        <v>0</v>
      </c>
      <c r="AR31" s="163">
        <f t="shared" ref="AR31:AU31" si="19">AR10</f>
        <v>0</v>
      </c>
      <c r="AS31" s="163">
        <f t="shared" si="19"/>
        <v>0</v>
      </c>
      <c r="AT31" s="163">
        <f t="shared" si="19"/>
        <v>0</v>
      </c>
      <c r="AU31" s="163">
        <f t="shared" si="19"/>
        <v>0</v>
      </c>
      <c r="AV31" s="541">
        <f>SUM(AQ31:AU31)</f>
        <v>0</v>
      </c>
    </row>
    <row r="32" spans="1:48" ht="30" customHeight="1">
      <c r="D32" s="161"/>
      <c r="E32" s="162"/>
      <c r="F32" s="163"/>
      <c r="G32" s="163"/>
      <c r="H32" s="163"/>
      <c r="I32" s="163"/>
      <c r="J32" s="163"/>
      <c r="K32" s="163"/>
      <c r="L32" s="163"/>
      <c r="N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/>
      <c r="AB32" s="164"/>
      <c r="AC32" s="164"/>
      <c r="AD32" s="164"/>
      <c r="AE32" s="164"/>
      <c r="AF32" s="164"/>
      <c r="AG32" s="164"/>
      <c r="AH32" s="164"/>
      <c r="AI32" s="164"/>
      <c r="AJ32" s="243"/>
      <c r="AK32" s="243"/>
      <c r="AL32" s="349"/>
      <c r="AM32" s="349"/>
      <c r="AN32" s="349"/>
      <c r="AO32" s="349"/>
      <c r="AP32" s="172" t="s">
        <v>94</v>
      </c>
      <c r="AQ32" s="171">
        <f>AQ11</f>
        <v>0</v>
      </c>
      <c r="AR32" s="171">
        <f t="shared" ref="AR32:AU32" si="20">AR11</f>
        <v>0</v>
      </c>
      <c r="AS32" s="171">
        <f t="shared" si="20"/>
        <v>0</v>
      </c>
      <c r="AT32" s="171">
        <f t="shared" si="20"/>
        <v>0</v>
      </c>
      <c r="AU32" s="171">
        <f t="shared" si="20"/>
        <v>0</v>
      </c>
      <c r="AV32" s="542">
        <f>SUM(AQ32:AU32)</f>
        <v>0</v>
      </c>
    </row>
    <row r="33" spans="4:48" ht="30" customHeight="1">
      <c r="D33" s="169"/>
      <c r="E33" s="170"/>
      <c r="F33" s="171"/>
      <c r="G33" s="171"/>
      <c r="H33" s="171"/>
      <c r="I33" s="171"/>
      <c r="J33" s="171"/>
      <c r="K33" s="171"/>
      <c r="L33" s="171"/>
      <c r="R33" s="346"/>
      <c r="S33" s="346"/>
      <c r="T33" s="346"/>
      <c r="U33" s="346"/>
      <c r="V33" s="346"/>
      <c r="W33" s="346"/>
      <c r="X33" s="346"/>
      <c r="Y33" s="346"/>
      <c r="Z33" s="346"/>
      <c r="AA33" s="346"/>
      <c r="AB33" s="346"/>
      <c r="AC33" s="346"/>
      <c r="AD33" s="346"/>
      <c r="AE33" s="346"/>
      <c r="AF33" s="346"/>
      <c r="AG33" s="346"/>
      <c r="AH33" s="1522"/>
      <c r="AI33" s="1522"/>
      <c r="AJ33" s="243"/>
      <c r="AK33" s="243"/>
      <c r="AL33" s="2"/>
      <c r="AM33" s="2"/>
      <c r="AN33" s="350"/>
      <c r="AO33" s="350"/>
      <c r="AP33" s="176" t="s">
        <v>237</v>
      </c>
      <c r="AQ33" s="177">
        <f>AQ32-AQ31</f>
        <v>0</v>
      </c>
      <c r="AR33" s="177">
        <f>AR32-AR31</f>
        <v>0</v>
      </c>
      <c r="AS33" s="177">
        <f>AS32-AS31</f>
        <v>0</v>
      </c>
      <c r="AT33" s="177">
        <f>AT32-AT31</f>
        <v>0</v>
      </c>
      <c r="AU33" s="177">
        <f>AU32-AU31</f>
        <v>0</v>
      </c>
      <c r="AV33" s="543">
        <f>SUM(AQ33:AU33)</f>
        <v>0</v>
      </c>
    </row>
    <row r="34" spans="4:48" ht="30" customHeight="1">
      <c r="D34" s="174"/>
      <c r="E34" s="151"/>
      <c r="F34" s="175"/>
      <c r="G34" s="175"/>
      <c r="H34" s="175"/>
      <c r="I34" s="175"/>
      <c r="J34" s="175"/>
      <c r="K34" s="175"/>
      <c r="L34" s="175"/>
      <c r="R34" s="164"/>
      <c r="S34" s="164"/>
      <c r="T34" s="164"/>
      <c r="U34" s="164"/>
      <c r="V34" s="164"/>
      <c r="W34" s="164"/>
      <c r="X34" s="164"/>
      <c r="Y34" s="164"/>
      <c r="Z34" s="164"/>
      <c r="AA34" s="164"/>
      <c r="AB34" s="164"/>
      <c r="AC34" s="164"/>
      <c r="AD34" s="164"/>
      <c r="AE34" s="164"/>
      <c r="AF34" s="164"/>
      <c r="AG34" s="164"/>
      <c r="AH34" s="1522"/>
      <c r="AI34" s="1522"/>
      <c r="AJ34" s="351"/>
      <c r="AK34" s="351"/>
      <c r="AL34" s="352"/>
      <c r="AM34" s="352"/>
      <c r="AN34" s="187"/>
      <c r="AO34" s="187"/>
      <c r="AP34" s="165" t="s">
        <v>238</v>
      </c>
      <c r="AQ34" s="177">
        <f>AQ13</f>
        <v>0</v>
      </c>
      <c r="AR34" s="177">
        <f t="shared" ref="AR34:AU34" si="21">AR13</f>
        <v>0</v>
      </c>
      <c r="AS34" s="177">
        <f t="shared" si="21"/>
        <v>0</v>
      </c>
      <c r="AT34" s="177">
        <f t="shared" si="21"/>
        <v>0</v>
      </c>
      <c r="AU34" s="177">
        <f t="shared" si="21"/>
        <v>0</v>
      </c>
      <c r="AV34" s="543">
        <f>SUM(AQ34:AU34)</f>
        <v>0</v>
      </c>
    </row>
    <row r="35" spans="4:48" ht="30" customHeight="1">
      <c r="D35" s="161"/>
      <c r="F35" s="177"/>
      <c r="G35" s="177"/>
      <c r="H35" s="177"/>
      <c r="I35" s="177"/>
      <c r="J35" s="177"/>
      <c r="K35" s="171"/>
      <c r="L35" s="175"/>
      <c r="AH35" s="1522"/>
      <c r="AI35" s="1522"/>
      <c r="AP35" s="188" t="s">
        <v>97</v>
      </c>
      <c r="AQ35" s="185" t="e">
        <f t="shared" ref="AQ35:AV35" si="22">AQ34/AQ32</f>
        <v>#DIV/0!</v>
      </c>
      <c r="AR35" s="185" t="e">
        <f t="shared" si="22"/>
        <v>#DIV/0!</v>
      </c>
      <c r="AS35" s="185" t="e">
        <f t="shared" si="22"/>
        <v>#DIV/0!</v>
      </c>
      <c r="AT35" s="185" t="e">
        <f t="shared" si="22"/>
        <v>#DIV/0!</v>
      </c>
      <c r="AU35" s="185" t="e">
        <f t="shared" si="22"/>
        <v>#DIV/0!</v>
      </c>
      <c r="AV35" s="544" t="e">
        <f t="shared" si="22"/>
        <v>#DIV/0!</v>
      </c>
    </row>
    <row r="36" spans="4:48" ht="30" customHeight="1">
      <c r="D36" s="183"/>
      <c r="E36" s="184"/>
      <c r="F36" s="185"/>
      <c r="G36" s="185"/>
      <c r="H36" s="185"/>
      <c r="I36" s="185"/>
      <c r="J36" s="185"/>
      <c r="K36" s="185"/>
      <c r="L36" s="185"/>
      <c r="AP36" s="194" t="s">
        <v>19</v>
      </c>
      <c r="AQ36" s="177">
        <f>AQ14</f>
        <v>0</v>
      </c>
      <c r="AR36" s="177">
        <f t="shared" ref="AR36:AU36" si="23">AR14</f>
        <v>0</v>
      </c>
      <c r="AS36" s="177">
        <f t="shared" si="23"/>
        <v>0</v>
      </c>
      <c r="AT36" s="177">
        <f t="shared" si="23"/>
        <v>0</v>
      </c>
      <c r="AU36" s="177">
        <f t="shared" si="23"/>
        <v>0</v>
      </c>
      <c r="AV36" s="543">
        <f>SUM(AQ36:AU36)</f>
        <v>0</v>
      </c>
    </row>
    <row r="37" spans="4:48" ht="30" customHeight="1">
      <c r="D37" s="190"/>
      <c r="E37" s="191"/>
      <c r="F37" s="353"/>
      <c r="G37" s="353"/>
      <c r="H37" s="353"/>
      <c r="I37" s="353"/>
      <c r="J37" s="353"/>
      <c r="K37" s="353"/>
      <c r="L37" s="354"/>
      <c r="AP37" s="197" t="s">
        <v>106</v>
      </c>
      <c r="AQ37" s="171">
        <f>AQ15</f>
        <v>0</v>
      </c>
      <c r="AR37" s="171">
        <f t="shared" ref="AR37:AU37" si="24">AR15</f>
        <v>0</v>
      </c>
      <c r="AS37" s="171">
        <f t="shared" si="24"/>
        <v>0</v>
      </c>
      <c r="AT37" s="171">
        <f t="shared" si="24"/>
        <v>0</v>
      </c>
      <c r="AU37" s="171">
        <f t="shared" si="24"/>
        <v>0</v>
      </c>
      <c r="AV37" s="542">
        <f>SUM(AQ37:AU37)</f>
        <v>0</v>
      </c>
    </row>
    <row r="39" spans="4:48">
      <c r="AT39" s="256"/>
    </row>
    <row r="40" spans="4:48">
      <c r="AP40" s="581"/>
      <c r="AQ40" s="582"/>
      <c r="AR40" s="582"/>
      <c r="AS40" s="582"/>
      <c r="AT40" s="582"/>
      <c r="AU40" s="582"/>
    </row>
    <row r="41" spans="4:48">
      <c r="AP41" s="581"/>
      <c r="AQ41" s="582"/>
      <c r="AR41" s="582"/>
      <c r="AS41" s="582"/>
      <c r="AT41" s="582"/>
      <c r="AU41" s="582"/>
    </row>
    <row r="42" spans="4:48">
      <c r="AT42" s="256"/>
    </row>
    <row r="43" spans="4:48">
      <c r="AL43" s="163"/>
      <c r="AM43" s="163"/>
      <c r="AT43" s="256"/>
    </row>
    <row r="44" spans="4:48" ht="20.25">
      <c r="AL44" s="243"/>
      <c r="AM44" s="243"/>
      <c r="AT44" s="256"/>
    </row>
    <row r="45" spans="4:48">
      <c r="AL45" s="163"/>
      <c r="AM45" s="163"/>
      <c r="AT45" s="256"/>
    </row>
    <row r="46" spans="4:48">
      <c r="AL46" s="163"/>
      <c r="AM46" s="163"/>
      <c r="AT46" s="256"/>
    </row>
    <row r="47" spans="4:48">
      <c r="AL47" s="164"/>
      <c r="AM47" s="164"/>
    </row>
    <row r="476" spans="2:2" ht="34.5">
      <c r="B476" s="744"/>
    </row>
  </sheetData>
  <sheetProtection selectLockedCells="1" selectUnlockedCells="1"/>
  <mergeCells count="3">
    <mergeCell ref="D4:D5"/>
    <mergeCell ref="P6:Q6"/>
    <mergeCell ref="AH33:AI35"/>
  </mergeCells>
  <phoneticPr fontId="143" type="noConversion"/>
  <conditionalFormatting sqref="E18:AI18">
    <cfRule type="containsText" dxfId="32" priority="5" operator="containsText" text="O/H">
      <formula>NOT(ISERROR(SEARCH("O/H",E18)))</formula>
    </cfRule>
  </conditionalFormatting>
  <conditionalFormatting sqref="E21:AI21">
    <cfRule type="containsText" dxfId="31" priority="4" operator="containsText" text="O/H">
      <formula>NOT(ISERROR(SEARCH("O/H",E21)))</formula>
    </cfRule>
  </conditionalFormatting>
  <conditionalFormatting sqref="E22:AI22">
    <cfRule type="cellIs" dxfId="30" priority="1" operator="greaterThan">
      <formula>300001</formula>
    </cfRule>
    <cfRule type="cellIs" dxfId="29" priority="2" operator="greaterThan">
      <formula>240001</formula>
    </cfRule>
    <cfRule type="cellIs" dxfId="28" priority="3" operator="greaterThan">
      <formula>150001</formula>
    </cfRule>
  </conditionalFormatting>
  <conditionalFormatting sqref="R31:R32 R34:AG34">
    <cfRule type="cellIs" dxfId="27" priority="168" stopIfTrue="1" operator="between">
      <formula>1</formula>
      <formula>999999</formula>
    </cfRule>
    <cfRule type="cellIs" dxfId="26" priority="169" stopIfTrue="1" operator="between">
      <formula>-1</formula>
      <formula>-999999</formula>
    </cfRule>
  </conditionalFormatting>
  <conditionalFormatting sqref="S31:AK31 S32:AI32 AJ34:AK34">
    <cfRule type="cellIs" dxfId="25" priority="170" stopIfTrue="1" operator="between">
      <formula>1</formula>
      <formula>999999</formula>
    </cfRule>
    <cfRule type="cellIs" dxfId="24" priority="171" stopIfTrue="1" operator="between">
      <formula>-1</formula>
      <formula>-999999</formula>
    </cfRule>
  </conditionalFormatting>
  <printOptions horizontalCentered="1"/>
  <pageMargins left="0.11" right="0.17" top="0.38" bottom="0.12" header="0.12" footer="0.12"/>
  <pageSetup paperSize="8" scale="30" orientation="landscape" horizontalDpi="4294967294" verticalDpi="300" r:id="rId1"/>
  <headerFooter alignWithMargins="0"/>
  <drawing r:id="rId2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F87D9-2CF1-4659-AD07-76A78788BC2A}">
  <sheetPr>
    <tabColor rgb="FF7030A0"/>
  </sheetPr>
  <dimension ref="A1:AV491"/>
  <sheetViews>
    <sheetView showGridLines="0" zoomScale="70" zoomScaleNormal="70" workbookViewId="0">
      <pane xSplit="5" ySplit="8" topLeftCell="Z32" activePane="bottomRight" state="frozen"/>
      <selection pane="topRight" activeCell="F1" sqref="F1"/>
      <selection pane="bottomLeft" activeCell="A9" sqref="A9"/>
      <selection pane="bottomRight" activeCell="AA44" sqref="AA44"/>
    </sheetView>
  </sheetViews>
  <sheetFormatPr defaultColWidth="9.42578125" defaultRowHeight="15.75"/>
  <cols>
    <col min="1" max="1" width="16.42578125" style="4" customWidth="1"/>
    <col min="2" max="2" width="48" style="2" customWidth="1"/>
    <col min="3" max="3" width="26.42578125" style="3" customWidth="1"/>
    <col min="4" max="4" width="38.85546875" style="195" customWidth="1"/>
    <col min="5" max="33" width="13" style="1" customWidth="1"/>
    <col min="34" max="34" width="12.140625" style="1" customWidth="1"/>
    <col min="35" max="35" width="12.140625" style="1" hidden="1" customWidth="1"/>
    <col min="36" max="37" width="17.5703125" style="1" customWidth="1"/>
    <col min="38" max="38" width="21.42578125" style="1" customWidth="1"/>
    <col min="39" max="39" width="22.85546875" style="1" customWidth="1"/>
    <col min="40" max="40" width="17.5703125" style="1" customWidth="1"/>
    <col min="41" max="41" width="13.5703125" style="1" customWidth="1"/>
    <col min="42" max="42" width="31.140625" style="256" customWidth="1"/>
    <col min="43" max="45" width="16.5703125" style="256" customWidth="1"/>
    <col min="46" max="46" width="16.5703125" style="257" customWidth="1"/>
    <col min="47" max="47" width="16.5703125" style="256" customWidth="1"/>
    <col min="48" max="48" width="20.7109375" style="1" customWidth="1"/>
    <col min="49" max="16384" width="9.42578125" style="1"/>
  </cols>
  <sheetData>
    <row r="1" spans="1:48" ht="11.25">
      <c r="D1" s="4"/>
    </row>
    <row r="2" spans="1:48" ht="11.25">
      <c r="D2" s="4"/>
    </row>
    <row r="3" spans="1:48" ht="30.75" customHeight="1">
      <c r="D3" s="198"/>
      <c r="G3" s="258"/>
      <c r="H3" s="159"/>
      <c r="I3" s="258"/>
      <c r="N3" s="255"/>
    </row>
    <row r="4" spans="1:48" ht="11.1" customHeight="1">
      <c r="D4" s="1520" t="s">
        <v>32</v>
      </c>
      <c r="G4" s="258"/>
      <c r="I4" s="258"/>
      <c r="N4" s="255"/>
    </row>
    <row r="5" spans="1:48" ht="25.35" customHeight="1">
      <c r="A5" s="199" t="s">
        <v>562</v>
      </c>
      <c r="D5" s="1520"/>
      <c r="G5" s="258"/>
      <c r="H5" s="258"/>
      <c r="I5" s="258"/>
      <c r="N5" s="255"/>
    </row>
    <row r="6" spans="1:48" s="7" customFormat="1" ht="25.35" customHeight="1" thickBot="1">
      <c r="A6" s="6" t="s">
        <v>33</v>
      </c>
      <c r="C6" s="8"/>
      <c r="D6" s="9"/>
      <c r="P6" s="1518"/>
      <c r="Q6" s="1518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P6" s="259"/>
      <c r="AQ6" s="259"/>
      <c r="AR6" s="259"/>
      <c r="AS6" s="259"/>
      <c r="AT6" s="260"/>
      <c r="AU6" s="259"/>
    </row>
    <row r="7" spans="1:48" s="23" customFormat="1" ht="30.75" customHeight="1" thickTop="1" thickBot="1">
      <c r="A7" s="261" t="s">
        <v>34</v>
      </c>
      <c r="B7" s="11" t="s">
        <v>318</v>
      </c>
      <c r="C7" s="262" t="s">
        <v>36</v>
      </c>
      <c r="D7" s="12" t="s">
        <v>37</v>
      </c>
      <c r="E7" s="13" t="s">
        <v>561</v>
      </c>
      <c r="F7" s="263" t="s">
        <v>355</v>
      </c>
      <c r="G7" s="263" t="s">
        <v>356</v>
      </c>
      <c r="H7" s="263" t="s">
        <v>357</v>
      </c>
      <c r="I7" s="263" t="s">
        <v>358</v>
      </c>
      <c r="J7" s="263" t="s">
        <v>359</v>
      </c>
      <c r="K7" s="263" t="s">
        <v>360</v>
      </c>
      <c r="L7" s="263" t="s">
        <v>361</v>
      </c>
      <c r="M7" s="263" t="s">
        <v>362</v>
      </c>
      <c r="N7" s="263" t="s">
        <v>363</v>
      </c>
      <c r="O7" s="263" t="s">
        <v>364</v>
      </c>
      <c r="P7" s="263" t="s">
        <v>365</v>
      </c>
      <c r="Q7" s="263" t="s">
        <v>366</v>
      </c>
      <c r="R7" s="263" t="s">
        <v>367</v>
      </c>
      <c r="S7" s="263" t="s">
        <v>368</v>
      </c>
      <c r="T7" s="263" t="s">
        <v>369</v>
      </c>
      <c r="U7" s="263" t="s">
        <v>370</v>
      </c>
      <c r="V7" s="263" t="s">
        <v>371</v>
      </c>
      <c r="W7" s="263" t="s">
        <v>372</v>
      </c>
      <c r="X7" s="263" t="s">
        <v>373</v>
      </c>
      <c r="Y7" s="264" t="s">
        <v>57</v>
      </c>
      <c r="Z7" s="264" t="s">
        <v>58</v>
      </c>
      <c r="AA7" s="264" t="s">
        <v>59</v>
      </c>
      <c r="AB7" s="264" t="s">
        <v>60</v>
      </c>
      <c r="AC7" s="264" t="s">
        <v>61</v>
      </c>
      <c r="AD7" s="264" t="s">
        <v>374</v>
      </c>
      <c r="AE7" s="264" t="s">
        <v>375</v>
      </c>
      <c r="AF7" s="264" t="s">
        <v>64</v>
      </c>
      <c r="AG7" s="264" t="s">
        <v>65</v>
      </c>
      <c r="AH7" s="264" t="s">
        <v>66</v>
      </c>
      <c r="AI7" s="264" t="s">
        <v>67</v>
      </c>
      <c r="AJ7" s="367" t="s">
        <v>68</v>
      </c>
      <c r="AK7" s="15" t="s">
        <v>69</v>
      </c>
      <c r="AL7" s="687" t="s">
        <v>70</v>
      </c>
      <c r="AM7" s="896" t="s">
        <v>71</v>
      </c>
      <c r="AN7" s="265" t="s">
        <v>72</v>
      </c>
      <c r="AO7" s="620" t="s">
        <v>73</v>
      </c>
      <c r="AP7" s="266" t="s">
        <v>38</v>
      </c>
      <c r="AQ7" s="266" t="s">
        <v>39</v>
      </c>
      <c r="AR7" s="266" t="s">
        <v>40</v>
      </c>
      <c r="AS7" s="266" t="s">
        <v>41</v>
      </c>
      <c r="AT7" s="266" t="s">
        <v>42</v>
      </c>
      <c r="AU7" s="266" t="s">
        <v>43</v>
      </c>
      <c r="AV7" s="23" t="s">
        <v>44</v>
      </c>
    </row>
    <row r="8" spans="1:48" s="272" customFormat="1" ht="34.5" customHeight="1" thickBot="1">
      <c r="A8" s="267"/>
      <c r="B8" s="93"/>
      <c r="C8" s="268"/>
      <c r="D8" s="206"/>
      <c r="E8" s="1320">
        <v>46174</v>
      </c>
      <c r="F8" s="1153">
        <f>Table289[[#This Row],[June''2026]]+1</f>
        <v>46175</v>
      </c>
      <c r="G8" s="1234">
        <f>Table289[[#This Row],[13-Mar]]+1</f>
        <v>46176</v>
      </c>
      <c r="H8" s="1153">
        <f>Table289[[#This Row],[14-Mar]]+1</f>
        <v>46177</v>
      </c>
      <c r="I8" s="1153">
        <f>Table289[[#This Row],[15-Mar]]+1</f>
        <v>46178</v>
      </c>
      <c r="J8" s="1234">
        <f>Table289[[#This Row],[16-Mar]]+1</f>
        <v>46179</v>
      </c>
      <c r="K8" s="1234">
        <f>Table289[[#This Row],[17-Mar]]+1</f>
        <v>46180</v>
      </c>
      <c r="L8" s="1153">
        <f>Table289[[#This Row],[18-Mar]]+1</f>
        <v>46181</v>
      </c>
      <c r="M8" s="1153">
        <f>Table289[[#This Row],[19-Mar]]+1</f>
        <v>46182</v>
      </c>
      <c r="N8" s="1153">
        <f>Table289[[#This Row],[20-Mar]]+1</f>
        <v>46183</v>
      </c>
      <c r="O8" s="1153">
        <f>Table289[[#This Row],[21-Mar]]+1</f>
        <v>46184</v>
      </c>
      <c r="P8" s="1153">
        <f>Table289[[#This Row],[22-Mar]]+1</f>
        <v>46185</v>
      </c>
      <c r="Q8" s="1234">
        <f>Table289[[#This Row],[23-Mar]]+1</f>
        <v>46186</v>
      </c>
      <c r="R8" s="1234">
        <f>Table289[[#This Row],[24-Mar]]+1</f>
        <v>46187</v>
      </c>
      <c r="S8" s="1153">
        <f>Table289[[#This Row],[25-Mar]]+1</f>
        <v>46188</v>
      </c>
      <c r="T8" s="1153">
        <f>Table289[[#This Row],[26-Mar]]+1</f>
        <v>46189</v>
      </c>
      <c r="U8" s="1153">
        <f>Table289[[#This Row],[27-Mar]]+1</f>
        <v>46190</v>
      </c>
      <c r="V8" s="1153">
        <f>Table289[[#This Row],[28-Mar]]+1</f>
        <v>46191</v>
      </c>
      <c r="W8" s="1153">
        <f>Table289[[#This Row],[29-Mar]]+1</f>
        <v>46192</v>
      </c>
      <c r="X8" s="1234">
        <f>Table289[[#This Row],[30-Mar]]+1</f>
        <v>46193</v>
      </c>
      <c r="Y8" s="1234">
        <f>Table289[[#This Row],[31-Mar]]+1</f>
        <v>46194</v>
      </c>
      <c r="Z8" s="1153">
        <f>Table289[[#This Row],[Column20]]+1</f>
        <v>46195</v>
      </c>
      <c r="AA8" s="1153">
        <f>Table289[[#This Row],[Column21]]+1</f>
        <v>46196</v>
      </c>
      <c r="AB8" s="1153">
        <f>Table289[[#This Row],[Column22]]+1</f>
        <v>46197</v>
      </c>
      <c r="AC8" s="1153">
        <f>Table289[[#This Row],[Column23]]+1</f>
        <v>46198</v>
      </c>
      <c r="AD8" s="1153">
        <f>Table289[[#This Row],[Column24]]+1</f>
        <v>46199</v>
      </c>
      <c r="AE8" s="1234">
        <f>Table289[[#This Row],[Column222]]+1</f>
        <v>46200</v>
      </c>
      <c r="AF8" s="1234">
        <f>Table289[[#This Row],[Column233]]+1</f>
        <v>46201</v>
      </c>
      <c r="AG8" s="1153">
        <f>Table289[[#This Row],[Column244]]+1</f>
        <v>46202</v>
      </c>
      <c r="AH8" s="1153">
        <f>Table289[[#This Row],[Column25]]+1</f>
        <v>46203</v>
      </c>
      <c r="AI8" s="1321">
        <f>Table289[[#This Row],[Column26]]+1</f>
        <v>46204</v>
      </c>
      <c r="AJ8" s="755"/>
      <c r="AK8" s="979"/>
      <c r="AL8" s="756"/>
      <c r="AM8" s="978"/>
      <c r="AN8" s="753"/>
      <c r="AO8" s="754"/>
      <c r="AP8" s="80"/>
      <c r="AQ8" s="80"/>
      <c r="AR8" s="80"/>
      <c r="AS8" s="80"/>
      <c r="AT8" s="271"/>
      <c r="AU8" s="80"/>
    </row>
    <row r="9" spans="1:48" s="23" customFormat="1" ht="20.65" hidden="1" customHeight="1" thickTop="1">
      <c r="A9" s="954" t="s">
        <v>248</v>
      </c>
      <c r="B9" s="218" t="s">
        <v>689</v>
      </c>
      <c r="C9" s="42" t="str">
        <f>Table289[[#This Row],[M/C No.]]</f>
        <v>A3(50Ton)</v>
      </c>
      <c r="D9" s="28" t="s">
        <v>82</v>
      </c>
      <c r="E9" s="1124"/>
      <c r="F9" s="1124"/>
      <c r="G9" s="1242"/>
      <c r="H9" s="1124"/>
      <c r="I9" s="1124"/>
      <c r="J9" s="1242"/>
      <c r="K9" s="1242"/>
      <c r="L9" s="1124"/>
      <c r="M9" s="1124"/>
      <c r="N9" s="1124"/>
      <c r="O9" s="1124"/>
      <c r="P9" s="1124"/>
      <c r="Q9" s="1242"/>
      <c r="R9" s="1242"/>
      <c r="S9" s="1124"/>
      <c r="T9" s="1124"/>
      <c r="U9" s="1124"/>
      <c r="V9" s="1124"/>
      <c r="W9" s="1124"/>
      <c r="X9" s="1242"/>
      <c r="Y9" s="1242"/>
      <c r="Z9" s="1124"/>
      <c r="AA9" s="1124"/>
      <c r="AB9" s="1124"/>
      <c r="AC9" s="1124"/>
      <c r="AD9" s="1124"/>
      <c r="AE9" s="1242"/>
      <c r="AF9" s="1242"/>
      <c r="AG9" s="1124"/>
      <c r="AH9" s="1124"/>
      <c r="AI9" s="1350"/>
      <c r="AJ9" s="29">
        <f>SUM(E9:AI9)</f>
        <v>0</v>
      </c>
      <c r="AK9" s="1020">
        <f t="shared" ref="AK9:AK39" si="0">AJ11</f>
        <v>0</v>
      </c>
      <c r="AL9" s="30">
        <f>+AJ9*AN9</f>
        <v>0</v>
      </c>
      <c r="AM9" s="1019">
        <f t="shared" ref="AM9:AM39" si="1">AL11</f>
        <v>0</v>
      </c>
      <c r="AN9" s="293">
        <v>2.94706</v>
      </c>
      <c r="AO9" s="622">
        <f>Table289[[#This Row],[Total]]*B14/1000</f>
        <v>0</v>
      </c>
      <c r="AP9" s="32" t="s">
        <v>243</v>
      </c>
      <c r="AQ9" s="33" t="s">
        <v>84</v>
      </c>
      <c r="AR9" s="33" t="s">
        <v>85</v>
      </c>
      <c r="AS9" s="33" t="s">
        <v>86</v>
      </c>
      <c r="AT9" s="33" t="s">
        <v>87</v>
      </c>
      <c r="AU9" s="33" t="s">
        <v>88</v>
      </c>
      <c r="AV9" s="34" t="s">
        <v>68</v>
      </c>
    </row>
    <row r="10" spans="1:48" s="23" customFormat="1" ht="20.65" hidden="1" customHeight="1">
      <c r="A10" s="274"/>
      <c r="B10" s="219" t="s">
        <v>505</v>
      </c>
      <c r="C10" s="275"/>
      <c r="D10" s="37" t="s">
        <v>90</v>
      </c>
      <c r="E10" s="1323">
        <f>IF(E9="",0,+ E9/E16)</f>
        <v>0</v>
      </c>
      <c r="F10" s="1096">
        <f t="shared" ref="F10:AC10" si="2">IF(F9="",0, E10+F9/F16)</f>
        <v>0</v>
      </c>
      <c r="G10" s="1207">
        <f t="shared" si="2"/>
        <v>0</v>
      </c>
      <c r="H10" s="1096">
        <f t="shared" si="2"/>
        <v>0</v>
      </c>
      <c r="I10" s="1096">
        <f t="shared" si="2"/>
        <v>0</v>
      </c>
      <c r="J10" s="1207">
        <f t="shared" si="2"/>
        <v>0</v>
      </c>
      <c r="K10" s="1207">
        <f t="shared" si="2"/>
        <v>0</v>
      </c>
      <c r="L10" s="1096">
        <f t="shared" si="2"/>
        <v>0</v>
      </c>
      <c r="M10" s="1096">
        <f t="shared" si="2"/>
        <v>0</v>
      </c>
      <c r="N10" s="1096">
        <f t="shared" si="2"/>
        <v>0</v>
      </c>
      <c r="O10" s="1096">
        <f t="shared" si="2"/>
        <v>0</v>
      </c>
      <c r="P10" s="1096">
        <f t="shared" si="2"/>
        <v>0</v>
      </c>
      <c r="Q10" s="1207">
        <f t="shared" si="2"/>
        <v>0</v>
      </c>
      <c r="R10" s="1207">
        <f t="shared" si="2"/>
        <v>0</v>
      </c>
      <c r="S10" s="1096">
        <f t="shared" si="2"/>
        <v>0</v>
      </c>
      <c r="T10" s="1096">
        <f t="shared" si="2"/>
        <v>0</v>
      </c>
      <c r="U10" s="1096">
        <f t="shared" si="2"/>
        <v>0</v>
      </c>
      <c r="V10" s="1096">
        <f t="shared" si="2"/>
        <v>0</v>
      </c>
      <c r="W10" s="1096">
        <f t="shared" si="2"/>
        <v>0</v>
      </c>
      <c r="X10" s="1207">
        <f t="shared" si="2"/>
        <v>0</v>
      </c>
      <c r="Y10" s="1207">
        <f t="shared" si="2"/>
        <v>0</v>
      </c>
      <c r="Z10" s="1096">
        <f t="shared" si="2"/>
        <v>0</v>
      </c>
      <c r="AA10" s="1096">
        <f t="shared" si="2"/>
        <v>0</v>
      </c>
      <c r="AB10" s="1096">
        <f t="shared" si="2"/>
        <v>0</v>
      </c>
      <c r="AC10" s="1096">
        <f t="shared" si="2"/>
        <v>0</v>
      </c>
      <c r="AD10" s="1096">
        <f>IF(AD9="",0, Z10+AD9/AD16)</f>
        <v>0</v>
      </c>
      <c r="AE10" s="1207">
        <f>IF(AE9="",0, AA10+AE9/AE16)</f>
        <v>0</v>
      </c>
      <c r="AF10" s="1207">
        <f>IF(AF9="",0, AB10+AF9/AF16)</f>
        <v>0</v>
      </c>
      <c r="AG10" s="1096">
        <f>IF(AG9="",0, AC10+AG9/AG16)</f>
        <v>0</v>
      </c>
      <c r="AH10" s="1096">
        <f>IF(AH9="",0, AD10+AH9/AH16)</f>
        <v>0</v>
      </c>
      <c r="AI10" s="1324">
        <f>IF(AI9="",0, AH10+AI9/AI16)</f>
        <v>0</v>
      </c>
      <c r="AJ10" s="716"/>
      <c r="AK10" s="982">
        <f t="shared" si="0"/>
        <v>0</v>
      </c>
      <c r="AL10" s="209"/>
      <c r="AM10" s="987">
        <f t="shared" si="1"/>
        <v>0</v>
      </c>
      <c r="AN10" s="91"/>
      <c r="AO10" s="757"/>
      <c r="AP10" s="39" t="s">
        <v>91</v>
      </c>
      <c r="AQ10" s="40">
        <f>SUM(E9:K9)</f>
        <v>0</v>
      </c>
      <c r="AR10" s="41">
        <f>SUM(L9:R9)</f>
        <v>0</v>
      </c>
      <c r="AS10" s="41">
        <f>SUM(S9:Y9)</f>
        <v>0</v>
      </c>
      <c r="AT10" s="41">
        <f>SUM(Z9:AF9)</f>
        <v>0</v>
      </c>
      <c r="AU10" s="41">
        <f>SUM(AG9:AI9)</f>
        <v>0</v>
      </c>
      <c r="AV10" s="34">
        <f t="shared" ref="AV10:AV15" si="3">SUM(AQ10:AU10)</f>
        <v>0</v>
      </c>
    </row>
    <row r="11" spans="1:48" s="23" customFormat="1" ht="20.65" hidden="1" customHeight="1">
      <c r="A11" s="276" t="s">
        <v>506</v>
      </c>
      <c r="B11" s="89" t="s">
        <v>246</v>
      </c>
      <c r="C11" s="42"/>
      <c r="D11" s="43" t="s">
        <v>93</v>
      </c>
      <c r="E11" s="1325"/>
      <c r="F11" s="1119"/>
      <c r="G11" s="44"/>
      <c r="H11" s="1119"/>
      <c r="I11" s="1119"/>
      <c r="J11" s="1243"/>
      <c r="K11" s="1243"/>
      <c r="L11" s="1119"/>
      <c r="M11" s="1119"/>
      <c r="N11" s="1119"/>
      <c r="O11" s="1119"/>
      <c r="P11" s="1119"/>
      <c r="Q11" s="1243"/>
      <c r="R11" s="1243"/>
      <c r="S11" s="1119"/>
      <c r="T11" s="1119"/>
      <c r="U11" s="1089"/>
      <c r="V11" s="1089"/>
      <c r="W11" s="1089"/>
      <c r="X11" s="44"/>
      <c r="Y11" s="1243"/>
      <c r="Z11" s="1119"/>
      <c r="AA11" s="1119"/>
      <c r="AB11" s="1119"/>
      <c r="AC11" s="1119"/>
      <c r="AD11" s="1119"/>
      <c r="AE11" s="1243"/>
      <c r="AF11" s="1243"/>
      <c r="AG11" s="1119"/>
      <c r="AH11" s="1119"/>
      <c r="AI11" s="1351"/>
      <c r="AJ11" s="45">
        <f>SUM(E11:AI11)</f>
        <v>0</v>
      </c>
      <c r="AK11" s="983">
        <f t="shared" si="0"/>
        <v>0</v>
      </c>
      <c r="AL11" s="46">
        <f>+AJ11*AN9</f>
        <v>0</v>
      </c>
      <c r="AM11" s="988">
        <f t="shared" si="1"/>
        <v>0</v>
      </c>
      <c r="AN11" s="277"/>
      <c r="AO11" s="632">
        <f>(AJ11+AJ13+AJ14+AJ15)*B14/1000</f>
        <v>0</v>
      </c>
      <c r="AP11" s="47" t="s">
        <v>94</v>
      </c>
      <c r="AQ11" s="48">
        <f>SUM(E11:K11)</f>
        <v>0</v>
      </c>
      <c r="AR11" s="49">
        <f>SUM(L11:R11)</f>
        <v>0</v>
      </c>
      <c r="AS11" s="49">
        <f>SUM(S11:Y11)</f>
        <v>0</v>
      </c>
      <c r="AT11" s="49">
        <f>SUM(Z11:AF11)</f>
        <v>0</v>
      </c>
      <c r="AU11" s="49">
        <f>SUM(AG11:AI11)</f>
        <v>0</v>
      </c>
      <c r="AV11" s="50">
        <f t="shared" si="3"/>
        <v>0</v>
      </c>
    </row>
    <row r="12" spans="1:48" s="23" customFormat="1" ht="20.65" hidden="1" customHeight="1">
      <c r="A12" s="276" t="s">
        <v>506</v>
      </c>
      <c r="B12" s="279" t="s">
        <v>507</v>
      </c>
      <c r="C12" s="280"/>
      <c r="D12" s="53" t="s">
        <v>96</v>
      </c>
      <c r="E12" s="1327">
        <f t="shared" ref="E12" si="4">+E11-E9</f>
        <v>0</v>
      </c>
      <c r="F12" s="1097">
        <f t="shared" ref="F12:AJ12" si="5">+F11-F9</f>
        <v>0</v>
      </c>
      <c r="G12" s="1205">
        <f t="shared" si="5"/>
        <v>0</v>
      </c>
      <c r="H12" s="1097">
        <f t="shared" si="5"/>
        <v>0</v>
      </c>
      <c r="I12" s="1097">
        <f t="shared" ref="I12" si="6">+I11-I9</f>
        <v>0</v>
      </c>
      <c r="J12" s="1205">
        <f t="shared" si="5"/>
        <v>0</v>
      </c>
      <c r="K12" s="1205">
        <f t="shared" si="5"/>
        <v>0</v>
      </c>
      <c r="L12" s="1097">
        <v>0</v>
      </c>
      <c r="M12" s="1097">
        <f t="shared" si="5"/>
        <v>0</v>
      </c>
      <c r="N12" s="1097">
        <f t="shared" si="5"/>
        <v>0</v>
      </c>
      <c r="O12" s="1097">
        <f t="shared" si="5"/>
        <v>0</v>
      </c>
      <c r="P12" s="1097">
        <f t="shared" si="5"/>
        <v>0</v>
      </c>
      <c r="Q12" s="1205">
        <f t="shared" si="5"/>
        <v>0</v>
      </c>
      <c r="R12" s="1205">
        <f t="shared" si="5"/>
        <v>0</v>
      </c>
      <c r="S12" s="1097">
        <v>0</v>
      </c>
      <c r="T12" s="1097">
        <f t="shared" si="5"/>
        <v>0</v>
      </c>
      <c r="U12" s="1097">
        <f t="shared" si="5"/>
        <v>0</v>
      </c>
      <c r="V12" s="1097">
        <f t="shared" si="5"/>
        <v>0</v>
      </c>
      <c r="W12" s="1097">
        <f t="shared" si="5"/>
        <v>0</v>
      </c>
      <c r="X12" s="1205">
        <f t="shared" si="5"/>
        <v>0</v>
      </c>
      <c r="Y12" s="1205">
        <f t="shared" si="5"/>
        <v>0</v>
      </c>
      <c r="Z12" s="1097">
        <f t="shared" si="5"/>
        <v>0</v>
      </c>
      <c r="AA12" s="1097">
        <f t="shared" si="5"/>
        <v>0</v>
      </c>
      <c r="AB12" s="1097">
        <f t="shared" si="5"/>
        <v>0</v>
      </c>
      <c r="AC12" s="1097">
        <f t="shared" si="5"/>
        <v>0</v>
      </c>
      <c r="AD12" s="1097">
        <f t="shared" si="5"/>
        <v>0</v>
      </c>
      <c r="AE12" s="1205">
        <f t="shared" si="5"/>
        <v>0</v>
      </c>
      <c r="AF12" s="1205">
        <f t="shared" si="5"/>
        <v>0</v>
      </c>
      <c r="AG12" s="1097">
        <f t="shared" si="5"/>
        <v>0</v>
      </c>
      <c r="AH12" s="1097">
        <f t="shared" si="5"/>
        <v>0</v>
      </c>
      <c r="AI12" s="1328">
        <f t="shared" si="5"/>
        <v>0</v>
      </c>
      <c r="AJ12" s="79">
        <f t="shared" si="5"/>
        <v>0</v>
      </c>
      <c r="AK12" s="983">
        <f t="shared" si="0"/>
        <v>0</v>
      </c>
      <c r="AL12" s="55">
        <f>+AJ12*AN9</f>
        <v>0</v>
      </c>
      <c r="AM12" s="988">
        <f t="shared" si="1"/>
        <v>0</v>
      </c>
      <c r="AN12" s="277" t="s">
        <v>97</v>
      </c>
      <c r="AO12" s="622"/>
      <c r="AP12" s="39" t="s">
        <v>98</v>
      </c>
      <c r="AQ12" s="56">
        <f>AQ11-AQ10</f>
        <v>0</v>
      </c>
      <c r="AR12" s="70">
        <f>AR11-AR10</f>
        <v>0</v>
      </c>
      <c r="AS12" s="70">
        <f>AS11-AS10</f>
        <v>0</v>
      </c>
      <c r="AT12" s="70">
        <f>AT11-AT10</f>
        <v>0</v>
      </c>
      <c r="AU12" s="70">
        <f>AU11-AU10</f>
        <v>0</v>
      </c>
      <c r="AV12" s="57">
        <f t="shared" si="3"/>
        <v>0</v>
      </c>
    </row>
    <row r="13" spans="1:48" s="23" customFormat="1" ht="20.65" hidden="1" customHeight="1">
      <c r="A13" s="276" t="s">
        <v>506</v>
      </c>
      <c r="B13" s="767" t="s">
        <v>247</v>
      </c>
      <c r="C13" s="280"/>
      <c r="D13" s="61" t="s">
        <v>101</v>
      </c>
      <c r="E13" s="1329"/>
      <c r="F13" s="1099"/>
      <c r="G13" s="1208"/>
      <c r="H13" s="1099"/>
      <c r="I13" s="1099"/>
      <c r="J13" s="1208"/>
      <c r="K13" s="1208"/>
      <c r="L13" s="1099"/>
      <c r="M13" s="1099"/>
      <c r="N13" s="1099"/>
      <c r="O13" s="1099"/>
      <c r="P13" s="1099"/>
      <c r="Q13" s="1208"/>
      <c r="R13" s="1208"/>
      <c r="S13" s="1099"/>
      <c r="T13" s="1099"/>
      <c r="U13" s="1099"/>
      <c r="V13" s="1099"/>
      <c r="W13" s="1099"/>
      <c r="X13" s="1208"/>
      <c r="Y13" s="1208"/>
      <c r="Z13" s="1099"/>
      <c r="AA13" s="1099"/>
      <c r="AB13" s="1099"/>
      <c r="AC13" s="1099"/>
      <c r="AD13" s="1099"/>
      <c r="AE13" s="1208"/>
      <c r="AF13" s="1208"/>
      <c r="AG13" s="1099"/>
      <c r="AH13" s="1099"/>
      <c r="AI13" s="1330"/>
      <c r="AJ13" s="62">
        <f>SUM(E13:AI13)</f>
        <v>0</v>
      </c>
      <c r="AK13" s="983">
        <f t="shared" si="0"/>
        <v>0</v>
      </c>
      <c r="AL13" s="63">
        <f>+AJ13*AN9</f>
        <v>0</v>
      </c>
      <c r="AM13" s="989">
        <f t="shared" si="1"/>
        <v>0</v>
      </c>
      <c r="AN13" s="282" t="e">
        <f>+AJ13/AJ11</f>
        <v>#DIV/0!</v>
      </c>
      <c r="AO13" s="635" t="e">
        <f>AO11/AO9</f>
        <v>#DIV/0!</v>
      </c>
      <c r="AP13" s="39" t="s">
        <v>102</v>
      </c>
      <c r="AQ13" s="56">
        <f>SUM(E13:K13)</f>
        <v>0</v>
      </c>
      <c r="AR13" s="70">
        <f>SUM(L13:R13)</f>
        <v>0</v>
      </c>
      <c r="AS13" s="70">
        <f>SUM(S13:Y13)</f>
        <v>0</v>
      </c>
      <c r="AT13" s="70">
        <f>SUM(Z13:AF13)</f>
        <v>0</v>
      </c>
      <c r="AU13" s="70">
        <f>SUM(AG13:AI13)</f>
        <v>0</v>
      </c>
      <c r="AV13" s="57">
        <f t="shared" si="3"/>
        <v>0</v>
      </c>
    </row>
    <row r="14" spans="1:48" s="23" customFormat="1" ht="20.65" hidden="1" customHeight="1">
      <c r="A14" s="283"/>
      <c r="B14" s="767">
        <v>1.304</v>
      </c>
      <c r="C14" s="52" t="s">
        <v>95</v>
      </c>
      <c r="D14" s="67" t="s">
        <v>103</v>
      </c>
      <c r="E14" s="1331"/>
      <c r="F14" s="1101"/>
      <c r="G14" s="1209"/>
      <c r="H14" s="1101"/>
      <c r="I14" s="1101"/>
      <c r="J14" s="1209"/>
      <c r="K14" s="1209"/>
      <c r="L14" s="1101"/>
      <c r="M14" s="1101"/>
      <c r="N14" s="1101"/>
      <c r="O14" s="1101"/>
      <c r="P14" s="1101"/>
      <c r="Q14" s="1209"/>
      <c r="R14" s="1209"/>
      <c r="S14" s="1101"/>
      <c r="T14" s="1101"/>
      <c r="U14" s="1101"/>
      <c r="V14" s="1101"/>
      <c r="W14" s="1101"/>
      <c r="X14" s="1209"/>
      <c r="Y14" s="1209"/>
      <c r="Z14" s="1101"/>
      <c r="AA14" s="1101"/>
      <c r="AB14" s="1101"/>
      <c r="AC14" s="1101"/>
      <c r="AD14" s="1101"/>
      <c r="AE14" s="1209"/>
      <c r="AF14" s="1209"/>
      <c r="AG14" s="1101"/>
      <c r="AH14" s="1101"/>
      <c r="AI14" s="1332"/>
      <c r="AJ14" s="68">
        <f>SUM(E14:AI14)</f>
        <v>0</v>
      </c>
      <c r="AK14" s="983">
        <f t="shared" si="0"/>
        <v>0</v>
      </c>
      <c r="AL14" s="69">
        <f>+AJ14*AN9</f>
        <v>0</v>
      </c>
      <c r="AM14" s="989">
        <f t="shared" si="1"/>
        <v>0</v>
      </c>
      <c r="AN14" s="277"/>
      <c r="AO14" s="637"/>
      <c r="AP14" s="39" t="s">
        <v>19</v>
      </c>
      <c r="AQ14" s="56">
        <f>AQ13*AN9</f>
        <v>0</v>
      </c>
      <c r="AR14" s="56">
        <f>AR13*AN9</f>
        <v>0</v>
      </c>
      <c r="AS14" s="56">
        <f>AS13*AN9</f>
        <v>0</v>
      </c>
      <c r="AT14" s="56">
        <f>AT13*AN9</f>
        <v>0</v>
      </c>
      <c r="AU14" s="56">
        <f>AU13*AN9</f>
        <v>0</v>
      </c>
      <c r="AV14" s="57">
        <f t="shared" si="3"/>
        <v>0</v>
      </c>
    </row>
    <row r="15" spans="1:48" s="23" customFormat="1" ht="20.65" hidden="1" customHeight="1">
      <c r="A15" s="276" t="s">
        <v>506</v>
      </c>
      <c r="B15" s="89"/>
      <c r="C15" s="60" t="s">
        <v>100</v>
      </c>
      <c r="D15" s="73" t="s">
        <v>105</v>
      </c>
      <c r="E15" s="1333"/>
      <c r="F15" s="1103"/>
      <c r="G15" s="1210"/>
      <c r="H15" s="1103"/>
      <c r="I15" s="1103"/>
      <c r="J15" s="1210"/>
      <c r="K15" s="1210"/>
      <c r="L15" s="1103"/>
      <c r="M15" s="1103"/>
      <c r="N15" s="1103"/>
      <c r="O15" s="1103"/>
      <c r="P15" s="1103"/>
      <c r="Q15" s="1210"/>
      <c r="R15" s="1210"/>
      <c r="S15" s="1103"/>
      <c r="T15" s="1103"/>
      <c r="U15" s="1103"/>
      <c r="V15" s="1103"/>
      <c r="W15" s="1103"/>
      <c r="X15" s="1210"/>
      <c r="Y15" s="1210"/>
      <c r="Z15" s="1103"/>
      <c r="AA15" s="1103"/>
      <c r="AB15" s="1103"/>
      <c r="AC15" s="1103"/>
      <c r="AD15" s="1103"/>
      <c r="AE15" s="1210"/>
      <c r="AF15" s="1210"/>
      <c r="AG15" s="1103"/>
      <c r="AH15" s="1103"/>
      <c r="AI15" s="1352"/>
      <c r="AJ15" s="74">
        <f>SUM(E15:AI15)</f>
        <v>0</v>
      </c>
      <c r="AK15" s="983">
        <f t="shared" si="0"/>
        <v>0</v>
      </c>
      <c r="AL15" s="75">
        <f>+AJ15*AN9</f>
        <v>0</v>
      </c>
      <c r="AM15" s="989">
        <f t="shared" si="1"/>
        <v>0</v>
      </c>
      <c r="AN15" s="91"/>
      <c r="AO15" s="758"/>
      <c r="AP15" s="47" t="s">
        <v>106</v>
      </c>
      <c r="AQ15" s="48">
        <f>AQ11*AN9</f>
        <v>0</v>
      </c>
      <c r="AR15" s="48">
        <f>AR11*AN9</f>
        <v>0</v>
      </c>
      <c r="AS15" s="48">
        <f>AS11*AN9</f>
        <v>0</v>
      </c>
      <c r="AT15" s="48">
        <f>AT11*AN9</f>
        <v>0</v>
      </c>
      <c r="AU15" s="48">
        <f>AU11*AN9</f>
        <v>0</v>
      </c>
      <c r="AV15" s="50">
        <f t="shared" si="3"/>
        <v>0</v>
      </c>
    </row>
    <row r="16" spans="1:48" s="23" customFormat="1" ht="20.65" hidden="1" customHeight="1">
      <c r="A16" s="276" t="s">
        <v>506</v>
      </c>
      <c r="B16" s="89"/>
      <c r="C16" s="66"/>
      <c r="D16" s="78" t="s">
        <v>107</v>
      </c>
      <c r="E16" s="1137">
        <v>4</v>
      </c>
      <c r="F16" s="1137">
        <v>4</v>
      </c>
      <c r="G16" s="1232">
        <v>4</v>
      </c>
      <c r="H16" s="1137">
        <v>4</v>
      </c>
      <c r="I16" s="1137">
        <v>4</v>
      </c>
      <c r="J16" s="1205">
        <v>4</v>
      </c>
      <c r="K16" s="1205">
        <v>4</v>
      </c>
      <c r="L16" s="1097">
        <v>4</v>
      </c>
      <c r="M16" s="1097">
        <v>4</v>
      </c>
      <c r="N16" s="1097">
        <v>4</v>
      </c>
      <c r="O16" s="1097">
        <v>4</v>
      </c>
      <c r="P16" s="1097">
        <v>4</v>
      </c>
      <c r="Q16" s="1205">
        <v>4</v>
      </c>
      <c r="R16" s="1205">
        <v>4</v>
      </c>
      <c r="S16" s="1097">
        <v>4</v>
      </c>
      <c r="T16" s="1097">
        <v>4</v>
      </c>
      <c r="U16" s="1097">
        <v>4</v>
      </c>
      <c r="V16" s="1097">
        <v>4</v>
      </c>
      <c r="W16" s="1097">
        <v>4</v>
      </c>
      <c r="X16" s="1205">
        <v>4</v>
      </c>
      <c r="Y16" s="1205">
        <v>4</v>
      </c>
      <c r="Z16" s="1097">
        <v>4</v>
      </c>
      <c r="AA16" s="1097">
        <v>4</v>
      </c>
      <c r="AB16" s="1097">
        <v>4</v>
      </c>
      <c r="AC16" s="1097">
        <v>4</v>
      </c>
      <c r="AD16" s="1097">
        <v>4</v>
      </c>
      <c r="AE16" s="1205">
        <v>4</v>
      </c>
      <c r="AF16" s="1205">
        <v>4</v>
      </c>
      <c r="AG16" s="1097">
        <v>4</v>
      </c>
      <c r="AH16" s="1097">
        <v>4</v>
      </c>
      <c r="AI16" s="1328">
        <v>4</v>
      </c>
      <c r="AJ16" s="79"/>
      <c r="AK16" s="983">
        <f t="shared" si="0"/>
        <v>0</v>
      </c>
      <c r="AL16" s="69"/>
      <c r="AM16" s="989">
        <f t="shared" si="1"/>
        <v>0</v>
      </c>
      <c r="AN16" s="277"/>
      <c r="AO16" s="637"/>
      <c r="AP16" s="47"/>
      <c r="AQ16" s="48"/>
      <c r="AR16" s="48"/>
      <c r="AS16" s="48"/>
      <c r="AT16" s="48"/>
      <c r="AU16" s="48"/>
      <c r="AV16" s="284"/>
    </row>
    <row r="17" spans="1:48" s="23" customFormat="1" ht="20.65" hidden="1" customHeight="1">
      <c r="A17" s="276" t="s">
        <v>506</v>
      </c>
      <c r="B17" s="89"/>
      <c r="C17" s="280"/>
      <c r="D17" s="81" t="s">
        <v>109</v>
      </c>
      <c r="E17" s="1125">
        <f>SUM(E11+E13+E14+E15)/E16</f>
        <v>0</v>
      </c>
      <c r="F17" s="1125">
        <f>SUM(F11+F13+F14+F15)/F16</f>
        <v>0</v>
      </c>
      <c r="G17" s="1233">
        <f>SUM(G11+G13+G14+G15)/G16</f>
        <v>0</v>
      </c>
      <c r="H17" s="1125">
        <f t="shared" ref="H17:AH17" si="7">SUM(H11+H13+H14+H15)/H16</f>
        <v>0</v>
      </c>
      <c r="I17" s="1125">
        <f t="shared" si="7"/>
        <v>0</v>
      </c>
      <c r="J17" s="1233">
        <f t="shared" si="7"/>
        <v>0</v>
      </c>
      <c r="K17" s="1233">
        <f t="shared" si="7"/>
        <v>0</v>
      </c>
      <c r="L17" s="1125">
        <f t="shared" si="7"/>
        <v>0</v>
      </c>
      <c r="M17" s="1125">
        <f t="shared" si="7"/>
        <v>0</v>
      </c>
      <c r="N17" s="1125">
        <f t="shared" si="7"/>
        <v>0</v>
      </c>
      <c r="O17" s="1125">
        <f t="shared" si="7"/>
        <v>0</v>
      </c>
      <c r="P17" s="1125">
        <f t="shared" si="7"/>
        <v>0</v>
      </c>
      <c r="Q17" s="1233">
        <f t="shared" si="7"/>
        <v>0</v>
      </c>
      <c r="R17" s="1233">
        <f t="shared" si="7"/>
        <v>0</v>
      </c>
      <c r="S17" s="1125">
        <f t="shared" si="7"/>
        <v>0</v>
      </c>
      <c r="T17" s="1125">
        <f t="shared" si="7"/>
        <v>0</v>
      </c>
      <c r="U17" s="1125">
        <f t="shared" si="7"/>
        <v>0</v>
      </c>
      <c r="V17" s="1125">
        <f t="shared" si="7"/>
        <v>0</v>
      </c>
      <c r="W17" s="1125">
        <f t="shared" si="7"/>
        <v>0</v>
      </c>
      <c r="X17" s="1233">
        <f t="shared" si="7"/>
        <v>0</v>
      </c>
      <c r="Y17" s="1233">
        <f t="shared" si="7"/>
        <v>0</v>
      </c>
      <c r="Z17" s="1125">
        <f t="shared" si="7"/>
        <v>0</v>
      </c>
      <c r="AA17" s="1125">
        <f t="shared" si="7"/>
        <v>0</v>
      </c>
      <c r="AB17" s="1125">
        <f t="shared" si="7"/>
        <v>0</v>
      </c>
      <c r="AC17" s="1125">
        <f t="shared" si="7"/>
        <v>0</v>
      </c>
      <c r="AD17" s="1125">
        <f t="shared" si="7"/>
        <v>0</v>
      </c>
      <c r="AE17" s="1233">
        <f t="shared" si="7"/>
        <v>0</v>
      </c>
      <c r="AF17" s="1233">
        <f t="shared" si="7"/>
        <v>0</v>
      </c>
      <c r="AG17" s="1125">
        <f t="shared" si="7"/>
        <v>0</v>
      </c>
      <c r="AH17" s="1125">
        <f t="shared" si="7"/>
        <v>0</v>
      </c>
      <c r="AI17" s="1335">
        <f>SUM(AI11+AI13+AI14)/AI16</f>
        <v>0</v>
      </c>
      <c r="AJ17" s="515">
        <f>SUM(E17:AI17)</f>
        <v>0</v>
      </c>
      <c r="AK17" s="984">
        <f t="shared" si="0"/>
        <v>0</v>
      </c>
      <c r="AL17" s="689"/>
      <c r="AM17" s="989">
        <f t="shared" si="1"/>
        <v>0</v>
      </c>
      <c r="AN17" s="277"/>
      <c r="AO17" s="637"/>
      <c r="AP17" s="285"/>
      <c r="AQ17" s="285"/>
      <c r="AR17" s="285"/>
      <c r="AS17" s="285"/>
      <c r="AT17" s="286"/>
      <c r="AU17" s="285"/>
      <c r="AV17" s="287"/>
    </row>
    <row r="18" spans="1:48" s="23" customFormat="1" ht="20.65" hidden="1" customHeight="1">
      <c r="A18" s="276" t="s">
        <v>506</v>
      </c>
      <c r="B18" s="288"/>
      <c r="C18" s="72"/>
      <c r="D18" s="85" t="s">
        <v>110</v>
      </c>
      <c r="E18" s="1105"/>
      <c r="F18" s="1106"/>
      <c r="G18" s="1211"/>
      <c r="H18" s="1104"/>
      <c r="I18" s="1104"/>
      <c r="J18" s="1211"/>
      <c r="K18" s="1211"/>
      <c r="L18" s="1104"/>
      <c r="M18" s="1104"/>
      <c r="N18" s="1104"/>
      <c r="O18" s="1104"/>
      <c r="P18" s="1104"/>
      <c r="Q18" s="1211"/>
      <c r="R18" s="1211"/>
      <c r="S18" s="1104"/>
      <c r="T18" s="1104"/>
      <c r="U18" s="1104"/>
      <c r="V18" s="1104"/>
      <c r="W18" s="1104"/>
      <c r="X18" s="1211"/>
      <c r="Y18" s="1211"/>
      <c r="Z18" s="1104"/>
      <c r="AA18" s="1104"/>
      <c r="AB18" s="1104"/>
      <c r="AC18" s="1104"/>
      <c r="AD18" s="1104"/>
      <c r="AE18" s="1211"/>
      <c r="AF18" s="1211"/>
      <c r="AG18" s="1104"/>
      <c r="AH18" s="1104"/>
      <c r="AI18" s="1353"/>
      <c r="AJ18" s="86"/>
      <c r="AK18" s="984">
        <f t="shared" si="0"/>
        <v>0</v>
      </c>
      <c r="AL18" s="690"/>
      <c r="AM18" s="989">
        <f t="shared" si="1"/>
        <v>0</v>
      </c>
      <c r="AN18" s="277"/>
      <c r="AO18" s="637"/>
      <c r="AP18" s="285"/>
      <c r="AQ18" s="285"/>
      <c r="AR18" s="285"/>
      <c r="AS18" s="285"/>
      <c r="AT18" s="286"/>
      <c r="AU18" s="285"/>
      <c r="AV18" s="287"/>
    </row>
    <row r="19" spans="1:48" s="23" customFormat="1" ht="20.65" hidden="1" customHeight="1">
      <c r="A19" s="276" t="s">
        <v>506</v>
      </c>
      <c r="B19" s="288"/>
      <c r="C19" s="72" t="s">
        <v>104</v>
      </c>
      <c r="D19" s="88" t="s">
        <v>111</v>
      </c>
      <c r="E19" s="1108">
        <f>IF(E18="O/H",E17,0+E17)</f>
        <v>0</v>
      </c>
      <c r="F19" s="1089">
        <f t="shared" ref="F19:AI19" si="8">IF(F18="O/H",F17,+E19+F17)</f>
        <v>0</v>
      </c>
      <c r="G19" s="44">
        <f t="shared" si="8"/>
        <v>0</v>
      </c>
      <c r="H19" s="1089">
        <f t="shared" si="8"/>
        <v>0</v>
      </c>
      <c r="I19" s="1089">
        <f t="shared" si="8"/>
        <v>0</v>
      </c>
      <c r="J19" s="44">
        <f t="shared" si="8"/>
        <v>0</v>
      </c>
      <c r="K19" s="44">
        <f t="shared" si="8"/>
        <v>0</v>
      </c>
      <c r="L19" s="1089">
        <f t="shared" si="8"/>
        <v>0</v>
      </c>
      <c r="M19" s="1089">
        <f t="shared" si="8"/>
        <v>0</v>
      </c>
      <c r="N19" s="1089">
        <f t="shared" si="8"/>
        <v>0</v>
      </c>
      <c r="O19" s="1089">
        <f t="shared" si="8"/>
        <v>0</v>
      </c>
      <c r="P19" s="1089">
        <f t="shared" si="8"/>
        <v>0</v>
      </c>
      <c r="Q19" s="44">
        <f t="shared" si="8"/>
        <v>0</v>
      </c>
      <c r="R19" s="44">
        <f t="shared" si="8"/>
        <v>0</v>
      </c>
      <c r="S19" s="1089">
        <f t="shared" si="8"/>
        <v>0</v>
      </c>
      <c r="T19" s="1089">
        <f t="shared" si="8"/>
        <v>0</v>
      </c>
      <c r="U19" s="1089">
        <f t="shared" si="8"/>
        <v>0</v>
      </c>
      <c r="V19" s="1089">
        <f t="shared" si="8"/>
        <v>0</v>
      </c>
      <c r="W19" s="1089">
        <f t="shared" si="8"/>
        <v>0</v>
      </c>
      <c r="X19" s="44">
        <f t="shared" si="8"/>
        <v>0</v>
      </c>
      <c r="Y19" s="44">
        <f t="shared" si="8"/>
        <v>0</v>
      </c>
      <c r="Z19" s="1089">
        <f t="shared" si="8"/>
        <v>0</v>
      </c>
      <c r="AA19" s="1089">
        <f t="shared" si="8"/>
        <v>0</v>
      </c>
      <c r="AB19" s="1089">
        <f t="shared" si="8"/>
        <v>0</v>
      </c>
      <c r="AC19" s="1089">
        <f t="shared" si="8"/>
        <v>0</v>
      </c>
      <c r="AD19" s="1089">
        <f t="shared" si="8"/>
        <v>0</v>
      </c>
      <c r="AE19" s="44">
        <f t="shared" si="8"/>
        <v>0</v>
      </c>
      <c r="AF19" s="44">
        <f t="shared" si="8"/>
        <v>0</v>
      </c>
      <c r="AG19" s="1089">
        <f t="shared" si="8"/>
        <v>0</v>
      </c>
      <c r="AH19" s="1089">
        <f t="shared" si="8"/>
        <v>0</v>
      </c>
      <c r="AI19" s="1326">
        <f t="shared" si="8"/>
        <v>0</v>
      </c>
      <c r="AJ19" s="79"/>
      <c r="AK19" s="984">
        <f t="shared" si="0"/>
        <v>0</v>
      </c>
      <c r="AL19" s="689"/>
      <c r="AM19" s="989">
        <f t="shared" si="1"/>
        <v>0</v>
      </c>
      <c r="AN19" s="277"/>
      <c r="AO19" s="637"/>
      <c r="AP19" s="285"/>
      <c r="AQ19" s="285"/>
      <c r="AR19" s="285"/>
      <c r="AS19" s="285"/>
      <c r="AT19" s="286"/>
      <c r="AU19" s="285"/>
      <c r="AV19" s="287"/>
    </row>
    <row r="20" spans="1:48" s="23" customFormat="1" ht="20.45" hidden="1" customHeight="1">
      <c r="A20" s="312"/>
      <c r="B20" s="312"/>
      <c r="C20" s="308">
        <v>300000</v>
      </c>
      <c r="D20" s="795" t="s">
        <v>112</v>
      </c>
      <c r="E20" s="1117" t="b">
        <f>IF(AND(ISNUMBER(E11)),48993+E17)</f>
        <v>0</v>
      </c>
      <c r="F20" s="1118" t="str">
        <f>IF(AND(ISNUMBER(F11)),E20+F17,"")</f>
        <v/>
      </c>
      <c r="G20" s="1216" t="str">
        <f t="shared" ref="G20:AH20" si="9">IF(AND(ISNUMBER(G11)),F20+G17,"")</f>
        <v/>
      </c>
      <c r="H20" s="1118" t="str">
        <f t="shared" si="9"/>
        <v/>
      </c>
      <c r="I20" s="1118" t="str">
        <f t="shared" si="9"/>
        <v/>
      </c>
      <c r="J20" s="1216" t="str">
        <f t="shared" si="9"/>
        <v/>
      </c>
      <c r="K20" s="1216" t="str">
        <f t="shared" si="9"/>
        <v/>
      </c>
      <c r="L20" s="1118" t="str">
        <f t="shared" si="9"/>
        <v/>
      </c>
      <c r="M20" s="1118" t="str">
        <f t="shared" si="9"/>
        <v/>
      </c>
      <c r="N20" s="1118" t="str">
        <f t="shared" si="9"/>
        <v/>
      </c>
      <c r="O20" s="1118" t="str">
        <f t="shared" si="9"/>
        <v/>
      </c>
      <c r="P20" s="1118" t="str">
        <f t="shared" si="9"/>
        <v/>
      </c>
      <c r="Q20" s="1216" t="str">
        <f t="shared" si="9"/>
        <v/>
      </c>
      <c r="R20" s="1216" t="str">
        <f t="shared" si="9"/>
        <v/>
      </c>
      <c r="S20" s="1118" t="str">
        <f t="shared" si="9"/>
        <v/>
      </c>
      <c r="T20" s="1118" t="str">
        <f t="shared" si="9"/>
        <v/>
      </c>
      <c r="U20" s="1118" t="str">
        <f t="shared" si="9"/>
        <v/>
      </c>
      <c r="V20" s="1118" t="str">
        <f t="shared" si="9"/>
        <v/>
      </c>
      <c r="W20" s="1118" t="str">
        <f t="shared" si="9"/>
        <v/>
      </c>
      <c r="X20" s="1216" t="str">
        <f t="shared" si="9"/>
        <v/>
      </c>
      <c r="Y20" s="1216" t="str">
        <f t="shared" si="9"/>
        <v/>
      </c>
      <c r="Z20" s="1118" t="str">
        <f t="shared" si="9"/>
        <v/>
      </c>
      <c r="AA20" s="1118" t="str">
        <f t="shared" si="9"/>
        <v/>
      </c>
      <c r="AB20" s="1118" t="str">
        <f t="shared" si="9"/>
        <v/>
      </c>
      <c r="AC20" s="1118" t="str">
        <f t="shared" si="9"/>
        <v/>
      </c>
      <c r="AD20" s="1118" t="str">
        <f t="shared" si="9"/>
        <v/>
      </c>
      <c r="AE20" s="1216" t="str">
        <f t="shared" si="9"/>
        <v/>
      </c>
      <c r="AF20" s="1216" t="str">
        <f t="shared" si="9"/>
        <v/>
      </c>
      <c r="AG20" s="1118" t="str">
        <f t="shared" si="9"/>
        <v/>
      </c>
      <c r="AH20" s="1118" t="str">
        <f t="shared" si="9"/>
        <v/>
      </c>
      <c r="AI20" s="1089" t="str">
        <f>IF(AND(ISNUMBER(AI11)),AH20+AI17,"")</f>
        <v/>
      </c>
      <c r="AJ20" s="793"/>
      <c r="AK20" s="985">
        <f t="shared" si="0"/>
        <v>0</v>
      </c>
      <c r="AL20" s="909"/>
      <c r="AM20" s="987">
        <f t="shared" si="1"/>
        <v>0</v>
      </c>
      <c r="AN20" s="429"/>
      <c r="AO20" s="675"/>
      <c r="AP20" s="285"/>
      <c r="AQ20" s="285"/>
      <c r="AR20" s="285"/>
      <c r="AS20" s="285"/>
      <c r="AT20" s="286"/>
      <c r="AU20" s="285"/>
      <c r="AV20" s="287"/>
    </row>
    <row r="21" spans="1:48" s="23" customFormat="1" ht="20.45" hidden="1" customHeight="1">
      <c r="A21" s="276" t="s">
        <v>506</v>
      </c>
      <c r="B21" s="288" t="s">
        <v>508</v>
      </c>
      <c r="C21" s="80" t="s">
        <v>108</v>
      </c>
      <c r="D21" s="90" t="s">
        <v>104</v>
      </c>
      <c r="E21" s="1108"/>
      <c r="F21" s="1089"/>
      <c r="G21" s="44"/>
      <c r="H21" s="1089"/>
      <c r="I21" s="1089"/>
      <c r="J21" s="44"/>
      <c r="K21" s="44"/>
      <c r="L21" s="1089"/>
      <c r="M21" s="1089"/>
      <c r="N21" s="1089"/>
      <c r="O21" s="1089"/>
      <c r="P21" s="1089"/>
      <c r="Q21" s="44"/>
      <c r="R21" s="44"/>
      <c r="S21" s="1089"/>
      <c r="T21" s="1089"/>
      <c r="U21" s="1089"/>
      <c r="V21" s="1089"/>
      <c r="W21" s="1089"/>
      <c r="X21" s="44"/>
      <c r="Y21" s="44"/>
      <c r="Z21" s="1089"/>
      <c r="AA21" s="1089"/>
      <c r="AB21" s="1089"/>
      <c r="AC21" s="1089"/>
      <c r="AD21" s="1089"/>
      <c r="AE21" s="44"/>
      <c r="AF21" s="44"/>
      <c r="AG21" s="1089"/>
      <c r="AH21" s="1089"/>
      <c r="AI21" s="1326"/>
      <c r="AJ21" s="79"/>
      <c r="AK21" s="983">
        <f t="shared" si="0"/>
        <v>250000</v>
      </c>
      <c r="AL21" s="63"/>
      <c r="AM21" s="989">
        <f t="shared" si="1"/>
        <v>699107.5</v>
      </c>
      <c r="AN21" s="91"/>
      <c r="AO21" s="758"/>
      <c r="AP21" s="285"/>
      <c r="AQ21" s="285"/>
      <c r="AR21" s="285"/>
      <c r="AS21" s="285"/>
      <c r="AT21" s="286"/>
      <c r="AU21" s="285"/>
      <c r="AV21" s="287"/>
    </row>
    <row r="22" spans="1:48" s="23" customFormat="1" ht="20.65" hidden="1" customHeight="1" thickBot="1">
      <c r="A22" s="289" t="s">
        <v>506</v>
      </c>
      <c r="B22" s="290"/>
      <c r="C22" s="291">
        <f>+C20*0.8</f>
        <v>240000</v>
      </c>
      <c r="D22" s="88" t="s">
        <v>111</v>
      </c>
      <c r="E22" s="1109">
        <f>IF(E21="O/H",E17,+E17)</f>
        <v>0</v>
      </c>
      <c r="F22" s="1110">
        <f t="shared" ref="F22:AI22" si="10">IF(F21="O/H",F17,+E22+F17)</f>
        <v>0</v>
      </c>
      <c r="G22" s="1212">
        <f t="shared" si="10"/>
        <v>0</v>
      </c>
      <c r="H22" s="1110">
        <f t="shared" si="10"/>
        <v>0</v>
      </c>
      <c r="I22" s="1110">
        <f t="shared" si="10"/>
        <v>0</v>
      </c>
      <c r="J22" s="1212">
        <f t="shared" si="10"/>
        <v>0</v>
      </c>
      <c r="K22" s="1212">
        <f t="shared" si="10"/>
        <v>0</v>
      </c>
      <c r="L22" s="1110">
        <f t="shared" si="10"/>
        <v>0</v>
      </c>
      <c r="M22" s="1110">
        <f t="shared" si="10"/>
        <v>0</v>
      </c>
      <c r="N22" s="1110">
        <f t="shared" si="10"/>
        <v>0</v>
      </c>
      <c r="O22" s="1110">
        <f t="shared" si="10"/>
        <v>0</v>
      </c>
      <c r="P22" s="1110">
        <f t="shared" si="10"/>
        <v>0</v>
      </c>
      <c r="Q22" s="1212">
        <f t="shared" si="10"/>
        <v>0</v>
      </c>
      <c r="R22" s="1212">
        <f t="shared" si="10"/>
        <v>0</v>
      </c>
      <c r="S22" s="1110">
        <f t="shared" si="10"/>
        <v>0</v>
      </c>
      <c r="T22" s="1110">
        <f t="shared" si="10"/>
        <v>0</v>
      </c>
      <c r="U22" s="1110">
        <f t="shared" si="10"/>
        <v>0</v>
      </c>
      <c r="V22" s="1110">
        <f t="shared" si="10"/>
        <v>0</v>
      </c>
      <c r="W22" s="1110">
        <f t="shared" si="10"/>
        <v>0</v>
      </c>
      <c r="X22" s="1212">
        <f t="shared" si="10"/>
        <v>0</v>
      </c>
      <c r="Y22" s="1212">
        <f t="shared" si="10"/>
        <v>0</v>
      </c>
      <c r="Z22" s="1110">
        <f t="shared" si="10"/>
        <v>0</v>
      </c>
      <c r="AA22" s="1110">
        <f t="shared" si="10"/>
        <v>0</v>
      </c>
      <c r="AB22" s="1110">
        <f t="shared" si="10"/>
        <v>0</v>
      </c>
      <c r="AC22" s="1110">
        <f t="shared" si="10"/>
        <v>0</v>
      </c>
      <c r="AD22" s="1110">
        <f t="shared" si="10"/>
        <v>0</v>
      </c>
      <c r="AE22" s="1212">
        <f t="shared" si="10"/>
        <v>0</v>
      </c>
      <c r="AF22" s="1212">
        <f t="shared" si="10"/>
        <v>0</v>
      </c>
      <c r="AG22" s="1110">
        <f t="shared" si="10"/>
        <v>0</v>
      </c>
      <c r="AH22" s="1110">
        <f t="shared" si="10"/>
        <v>0</v>
      </c>
      <c r="AI22" s="1340">
        <f t="shared" si="10"/>
        <v>0</v>
      </c>
      <c r="AJ22" s="96"/>
      <c r="AK22" s="986">
        <f t="shared" si="0"/>
        <v>0</v>
      </c>
      <c r="AL22" s="83"/>
      <c r="AM22" s="1057">
        <f t="shared" si="1"/>
        <v>0</v>
      </c>
      <c r="AN22" s="292"/>
      <c r="AO22" s="759"/>
      <c r="AP22" s="285"/>
      <c r="AQ22" s="285"/>
      <c r="AR22" s="285"/>
      <c r="AS22" s="285"/>
      <c r="AT22" s="286"/>
      <c r="AU22" s="285"/>
      <c r="AV22" s="287"/>
    </row>
    <row r="23" spans="1:48" s="23" customFormat="1" ht="20.65" customHeight="1" thickTop="1">
      <c r="A23" s="981" t="s">
        <v>695</v>
      </c>
      <c r="B23" s="833" t="s">
        <v>635</v>
      </c>
      <c r="C23" s="42" t="str">
        <f>Table289[[#This Row],[M/C No.]]</f>
        <v>A4(40ton)</v>
      </c>
      <c r="D23" s="28" t="s">
        <v>82</v>
      </c>
      <c r="E23" s="1124">
        <v>0</v>
      </c>
      <c r="F23" s="1124">
        <v>0</v>
      </c>
      <c r="G23" s="1242">
        <v>0</v>
      </c>
      <c r="H23" s="1095">
        <v>0</v>
      </c>
      <c r="I23" s="1124">
        <v>0</v>
      </c>
      <c r="J23" s="1242">
        <v>0</v>
      </c>
      <c r="K23" s="1242">
        <v>0</v>
      </c>
      <c r="L23" s="1124">
        <v>8000</v>
      </c>
      <c r="M23" s="1124">
        <v>19000</v>
      </c>
      <c r="N23" s="1124">
        <v>19000</v>
      </c>
      <c r="O23" s="1124">
        <v>19000</v>
      </c>
      <c r="P23" s="1124">
        <v>19000</v>
      </c>
      <c r="Q23" s="1242">
        <v>19000</v>
      </c>
      <c r="R23" s="1242">
        <v>19000</v>
      </c>
      <c r="S23" s="1124">
        <v>19000</v>
      </c>
      <c r="T23" s="1124">
        <v>19000</v>
      </c>
      <c r="U23" s="1124">
        <v>19000</v>
      </c>
      <c r="V23" s="1124">
        <v>19000</v>
      </c>
      <c r="W23" s="1124">
        <v>19000</v>
      </c>
      <c r="X23" s="1242">
        <v>0</v>
      </c>
      <c r="Y23" s="1242">
        <v>0</v>
      </c>
      <c r="Z23" s="1124">
        <v>8000</v>
      </c>
      <c r="AA23" s="1124">
        <v>19000</v>
      </c>
      <c r="AB23" s="1124">
        <v>6000</v>
      </c>
      <c r="AC23" s="1124">
        <v>0</v>
      </c>
      <c r="AD23" s="1124">
        <v>0</v>
      </c>
      <c r="AE23" s="1242">
        <v>0</v>
      </c>
      <c r="AF23" s="1242">
        <v>0</v>
      </c>
      <c r="AG23" s="1124">
        <v>0</v>
      </c>
      <c r="AH23" s="1124">
        <v>0</v>
      </c>
      <c r="AI23" s="1350"/>
      <c r="AJ23" s="29">
        <f>SUM(E23:AI23)</f>
        <v>250000</v>
      </c>
      <c r="AK23" s="1020">
        <f t="shared" si="0"/>
        <v>228000</v>
      </c>
      <c r="AL23" s="101">
        <f>+AJ23*AN23</f>
        <v>699107.5</v>
      </c>
      <c r="AM23" s="1019">
        <f t="shared" si="1"/>
        <v>637586.04</v>
      </c>
      <c r="AN23" s="273">
        <v>2.79643</v>
      </c>
      <c r="AO23" s="622">
        <v>16000</v>
      </c>
      <c r="AP23" s="32" t="s">
        <v>261</v>
      </c>
      <c r="AQ23" s="33" t="s">
        <v>84</v>
      </c>
      <c r="AR23" s="33" t="s">
        <v>85</v>
      </c>
      <c r="AS23" s="33" t="s">
        <v>86</v>
      </c>
      <c r="AT23" s="33" t="s">
        <v>87</v>
      </c>
      <c r="AU23" s="33" t="s">
        <v>88</v>
      </c>
      <c r="AV23" s="34" t="s">
        <v>68</v>
      </c>
    </row>
    <row r="24" spans="1:48" s="23" customFormat="1" ht="20.65" customHeight="1">
      <c r="A24" s="274"/>
      <c r="B24" s="766" t="s">
        <v>509</v>
      </c>
      <c r="C24" s="275"/>
      <c r="D24" s="37" t="s">
        <v>90</v>
      </c>
      <c r="E24" s="1323">
        <f>IF(E23="",0,+ E23/E30)</f>
        <v>0</v>
      </c>
      <c r="F24" s="1096">
        <f t="shared" ref="F24" si="11">IF(F23="",0, E24+F23/F30)</f>
        <v>0</v>
      </c>
      <c r="G24" s="1207">
        <f t="shared" ref="G24" si="12">IF(G23="",0, F24+G23/G30)</f>
        <v>0</v>
      </c>
      <c r="H24" s="1096">
        <f t="shared" ref="H24" si="13">IF(H23="",0, G24+H23/H30)</f>
        <v>0</v>
      </c>
      <c r="I24" s="1096">
        <f t="shared" ref="I24" si="14">IF(I23="",0, H24+I23/I30)</f>
        <v>0</v>
      </c>
      <c r="J24" s="1207">
        <f t="shared" ref="J24" si="15">IF(J23="",0, I24+J23/J30)</f>
        <v>0</v>
      </c>
      <c r="K24" s="1207">
        <f t="shared" ref="K24" si="16">IF(K23="",0, J24+K23/K30)</f>
        <v>0</v>
      </c>
      <c r="L24" s="1096">
        <f t="shared" ref="L24" si="17">IF(L23="",0, K24+L23/L30)</f>
        <v>2000</v>
      </c>
      <c r="M24" s="1096">
        <f t="shared" ref="M24" si="18">IF(M23="",0, L24+M23/M30)</f>
        <v>6750</v>
      </c>
      <c r="N24" s="1096">
        <f t="shared" ref="N24" si="19">IF(N23="",0, M24+N23/N30)</f>
        <v>11500</v>
      </c>
      <c r="O24" s="1096">
        <f t="shared" ref="O24" si="20">IF(O23="",0, N24+O23/O30)</f>
        <v>16250</v>
      </c>
      <c r="P24" s="1096">
        <f t="shared" ref="P24" si="21">IF(P23="",0, O24+P23/P30)</f>
        <v>21000</v>
      </c>
      <c r="Q24" s="1207">
        <f t="shared" ref="Q24" si="22">IF(Q23="",0, P24+Q23/Q30)</f>
        <v>25750</v>
      </c>
      <c r="R24" s="1207">
        <f t="shared" ref="R24" si="23">IF(R23="",0, Q24+R23/R30)</f>
        <v>30500</v>
      </c>
      <c r="S24" s="1096">
        <f t="shared" ref="S24" si="24">IF(S23="",0, R24+S23/S30)</f>
        <v>35250</v>
      </c>
      <c r="T24" s="1096">
        <f t="shared" ref="T24" si="25">IF(T23="",0, S24+T23/T30)</f>
        <v>40000</v>
      </c>
      <c r="U24" s="1096">
        <f t="shared" ref="U24" si="26">IF(U23="",0, T24+U23/U30)</f>
        <v>44750</v>
      </c>
      <c r="V24" s="1096">
        <f t="shared" ref="V24" si="27">IF(V23="",0, U24+V23/V30)</f>
        <v>49500</v>
      </c>
      <c r="W24" s="1096">
        <f t="shared" ref="W24" si="28">IF(W23="",0, V24+W23/W30)</f>
        <v>54250</v>
      </c>
      <c r="X24" s="1207">
        <f t="shared" ref="X24" si="29">IF(X23="",0, W24+X23/X30)</f>
        <v>54250</v>
      </c>
      <c r="Y24" s="1207">
        <f t="shared" ref="Y24" si="30">IF(Y23="",0, X24+Y23/Y30)</f>
        <v>54250</v>
      </c>
      <c r="Z24" s="1096">
        <f t="shared" ref="Z24" si="31">IF(Z23="",0, Y24+Z23/Z30)</f>
        <v>56250</v>
      </c>
      <c r="AA24" s="1096">
        <f t="shared" ref="AA24" si="32">IF(AA23="",0, Z24+AA23/AA30)</f>
        <v>61000</v>
      </c>
      <c r="AB24" s="1096">
        <f t="shared" ref="AB24" si="33">IF(AB23="",0, AA24+AB23/AB30)</f>
        <v>62500</v>
      </c>
      <c r="AC24" s="1096">
        <f t="shared" ref="AC24" si="34">IF(AC23="",0, AB24+AC23/AC30)</f>
        <v>62500</v>
      </c>
      <c r="AD24" s="1096">
        <f>IF(AD23="",0, Z24+AD23/AD30)</f>
        <v>56250</v>
      </c>
      <c r="AE24" s="1207">
        <f>IF(AE23="",0, AA24+AE23/AE30)</f>
        <v>61000</v>
      </c>
      <c r="AF24" s="1207">
        <f>IF(AF23="",0, AB24+AF23/AF30)</f>
        <v>62500</v>
      </c>
      <c r="AG24" s="1096">
        <f>IF(AG23="",0, AC24+AG23/AG30)</f>
        <v>62500</v>
      </c>
      <c r="AH24" s="1096">
        <f>IF(AH23="",0, AD24+AH23/AH30)</f>
        <v>56250</v>
      </c>
      <c r="AI24" s="1324">
        <f t="shared" ref="AI24" si="35">IF(AI23="",0, AH24+AI23/AI30)</f>
        <v>0</v>
      </c>
      <c r="AJ24" s="716"/>
      <c r="AK24" s="982">
        <f t="shared" si="0"/>
        <v>-22000</v>
      </c>
      <c r="AL24" s="209"/>
      <c r="AM24" s="987">
        <f t="shared" si="1"/>
        <v>-61521.46</v>
      </c>
      <c r="AN24" s="91"/>
      <c r="AO24" s="757"/>
      <c r="AP24" s="39" t="s">
        <v>91</v>
      </c>
      <c r="AQ24" s="40">
        <f>SUM(E23:H23)</f>
        <v>0</v>
      </c>
      <c r="AR24" s="41">
        <f>SUM(I23:O23)</f>
        <v>65000</v>
      </c>
      <c r="AS24" s="41">
        <f>SUM(P23:V23)</f>
        <v>133000</v>
      </c>
      <c r="AT24" s="41">
        <f>SUM(W23:AC23)</f>
        <v>52000</v>
      </c>
      <c r="AU24" s="41">
        <f>SUM(AD23:AI23)</f>
        <v>0</v>
      </c>
      <c r="AV24" s="34">
        <f t="shared" ref="AV24:AV29" si="36">SUM(AQ24:AU24)</f>
        <v>250000</v>
      </c>
    </row>
    <row r="25" spans="1:48" s="23" customFormat="1" ht="20.65" customHeight="1">
      <c r="A25" s="276" t="s">
        <v>506</v>
      </c>
      <c r="B25" s="89" t="s">
        <v>246</v>
      </c>
      <c r="C25" s="42"/>
      <c r="D25" s="43" t="s">
        <v>93</v>
      </c>
      <c r="E25" s="1325">
        <v>0</v>
      </c>
      <c r="F25" s="1119">
        <v>0</v>
      </c>
      <c r="G25" s="1243">
        <v>0</v>
      </c>
      <c r="H25" s="1119">
        <v>0</v>
      </c>
      <c r="I25" s="1119">
        <v>0</v>
      </c>
      <c r="J25" s="1243">
        <v>0</v>
      </c>
      <c r="K25" s="1243">
        <v>0</v>
      </c>
      <c r="L25" s="1119">
        <v>0</v>
      </c>
      <c r="M25" s="1119">
        <v>0</v>
      </c>
      <c r="N25" s="1119">
        <v>0</v>
      </c>
      <c r="O25" s="1119">
        <v>2400</v>
      </c>
      <c r="P25" s="1119">
        <v>19200</v>
      </c>
      <c r="Q25" s="1243">
        <v>20000</v>
      </c>
      <c r="R25" s="1243">
        <v>19200</v>
      </c>
      <c r="S25" s="1119">
        <v>18400</v>
      </c>
      <c r="T25" s="1119">
        <v>19200</v>
      </c>
      <c r="U25" s="1119">
        <v>19200</v>
      </c>
      <c r="V25" s="1119">
        <v>19200</v>
      </c>
      <c r="W25" s="1119">
        <v>19200</v>
      </c>
      <c r="X25" s="1243">
        <v>19200</v>
      </c>
      <c r="Y25" s="1243">
        <v>19200</v>
      </c>
      <c r="Z25" s="1119">
        <v>14400</v>
      </c>
      <c r="AA25" s="1119">
        <v>19200</v>
      </c>
      <c r="AB25" s="1119"/>
      <c r="AC25" s="1119"/>
      <c r="AD25" s="1119"/>
      <c r="AE25" s="1243"/>
      <c r="AF25" s="1243"/>
      <c r="AG25" s="1119"/>
      <c r="AH25" s="1119"/>
      <c r="AI25" s="1119"/>
      <c r="AJ25" s="45">
        <f>SUM(E25:AI25)</f>
        <v>228000</v>
      </c>
      <c r="AK25" s="983">
        <f t="shared" si="0"/>
        <v>1220</v>
      </c>
      <c r="AL25" s="46">
        <f>+AJ25*AN23</f>
        <v>637586.04</v>
      </c>
      <c r="AM25" s="988">
        <f t="shared" si="1"/>
        <v>3411.6446000000001</v>
      </c>
      <c r="AN25" s="293"/>
      <c r="AO25" s="632">
        <f>(AJ25+AJ27+AJ28+AJ29)*B28/1000</f>
        <v>292.71019200000001</v>
      </c>
      <c r="AP25" s="47" t="s">
        <v>94</v>
      </c>
      <c r="AQ25" s="48">
        <f>SUM(E25:H25)</f>
        <v>0</v>
      </c>
      <c r="AR25" s="49">
        <f>SUM(I25:O25)</f>
        <v>2400</v>
      </c>
      <c r="AS25" s="49">
        <f>SUM(P25:V25)</f>
        <v>134400</v>
      </c>
      <c r="AT25" s="49">
        <f>SUM(W25:AC25)</f>
        <v>91200</v>
      </c>
      <c r="AU25" s="49">
        <f>SUM(AD25:AI25)</f>
        <v>0</v>
      </c>
      <c r="AV25" s="50">
        <f t="shared" si="36"/>
        <v>228000</v>
      </c>
    </row>
    <row r="26" spans="1:48" s="23" customFormat="1" ht="20.65" customHeight="1">
      <c r="A26" s="276" t="s">
        <v>506</v>
      </c>
      <c r="B26" s="279" t="s">
        <v>510</v>
      </c>
      <c r="C26" s="280"/>
      <c r="D26" s="53" t="s">
        <v>96</v>
      </c>
      <c r="E26" s="1327">
        <f t="shared" ref="E26:AJ26" si="37">+E25-E23</f>
        <v>0</v>
      </c>
      <c r="F26" s="1097">
        <f t="shared" si="37"/>
        <v>0</v>
      </c>
      <c r="G26" s="1205">
        <f t="shared" si="37"/>
        <v>0</v>
      </c>
      <c r="H26" s="1097">
        <f t="shared" si="37"/>
        <v>0</v>
      </c>
      <c r="I26" s="1097">
        <f t="shared" ref="I26" si="38">+I25-I23</f>
        <v>0</v>
      </c>
      <c r="J26" s="1205">
        <f t="shared" si="37"/>
        <v>0</v>
      </c>
      <c r="K26" s="1205">
        <f t="shared" si="37"/>
        <v>0</v>
      </c>
      <c r="L26" s="1097">
        <f t="shared" si="37"/>
        <v>-8000</v>
      </c>
      <c r="M26" s="1097">
        <f t="shared" si="37"/>
        <v>-19000</v>
      </c>
      <c r="N26" s="1097">
        <f t="shared" si="37"/>
        <v>-19000</v>
      </c>
      <c r="O26" s="1097">
        <f t="shared" si="37"/>
        <v>-16600</v>
      </c>
      <c r="P26" s="1097">
        <f t="shared" si="37"/>
        <v>200</v>
      </c>
      <c r="Q26" s="1205">
        <f t="shared" si="37"/>
        <v>1000</v>
      </c>
      <c r="R26" s="1205">
        <f t="shared" si="37"/>
        <v>200</v>
      </c>
      <c r="S26" s="1097">
        <f t="shared" si="37"/>
        <v>-600</v>
      </c>
      <c r="T26" s="1097">
        <f t="shared" si="37"/>
        <v>200</v>
      </c>
      <c r="U26" s="1097">
        <f t="shared" si="37"/>
        <v>200</v>
      </c>
      <c r="V26" s="1097">
        <f t="shared" si="37"/>
        <v>200</v>
      </c>
      <c r="W26" s="1097">
        <f t="shared" si="37"/>
        <v>200</v>
      </c>
      <c r="X26" s="1205">
        <f t="shared" si="37"/>
        <v>19200</v>
      </c>
      <c r="Y26" s="1205">
        <f t="shared" si="37"/>
        <v>19200</v>
      </c>
      <c r="Z26" s="1097">
        <f t="shared" si="37"/>
        <v>6400</v>
      </c>
      <c r="AA26" s="1097">
        <f t="shared" si="37"/>
        <v>200</v>
      </c>
      <c r="AB26" s="1097">
        <f t="shared" si="37"/>
        <v>-6000</v>
      </c>
      <c r="AC26" s="1097">
        <f t="shared" si="37"/>
        <v>0</v>
      </c>
      <c r="AD26" s="1097">
        <f t="shared" si="37"/>
        <v>0</v>
      </c>
      <c r="AE26" s="1205">
        <f t="shared" si="37"/>
        <v>0</v>
      </c>
      <c r="AF26" s="1205">
        <f t="shared" si="37"/>
        <v>0</v>
      </c>
      <c r="AG26" s="1097">
        <f t="shared" si="37"/>
        <v>0</v>
      </c>
      <c r="AH26" s="1097">
        <f t="shared" si="37"/>
        <v>0</v>
      </c>
      <c r="AI26" s="1328">
        <f t="shared" si="37"/>
        <v>0</v>
      </c>
      <c r="AJ26" s="79">
        <f t="shared" si="37"/>
        <v>-22000</v>
      </c>
      <c r="AK26" s="983">
        <f t="shared" si="0"/>
        <v>1624</v>
      </c>
      <c r="AL26" s="55">
        <f>+AJ26*AN23</f>
        <v>-61521.46</v>
      </c>
      <c r="AM26" s="988">
        <f t="shared" si="1"/>
        <v>4541.4023200000001</v>
      </c>
      <c r="AN26" s="293" t="s">
        <v>97</v>
      </c>
      <c r="AO26" s="622"/>
      <c r="AP26" s="39" t="s">
        <v>98</v>
      </c>
      <c r="AQ26" s="56">
        <f>AQ25-AQ24</f>
        <v>0</v>
      </c>
      <c r="AR26" s="70">
        <f>AR25-AR24</f>
        <v>-62600</v>
      </c>
      <c r="AS26" s="70">
        <f>AS25-AS24</f>
        <v>1400</v>
      </c>
      <c r="AT26" s="70">
        <f>AT25-AT24</f>
        <v>39200</v>
      </c>
      <c r="AU26" s="70">
        <f>AU25-AU24</f>
        <v>0</v>
      </c>
      <c r="AV26" s="57">
        <f t="shared" si="36"/>
        <v>-22000</v>
      </c>
    </row>
    <row r="27" spans="1:48" s="23" customFormat="1" ht="20.65" customHeight="1">
      <c r="A27" s="276" t="s">
        <v>506</v>
      </c>
      <c r="B27" s="767" t="s">
        <v>247</v>
      </c>
      <c r="C27" s="280"/>
      <c r="D27" s="61" t="s">
        <v>101</v>
      </c>
      <c r="E27" s="1329">
        <v>0</v>
      </c>
      <c r="F27" s="1099">
        <v>0</v>
      </c>
      <c r="G27" s="1208">
        <v>0</v>
      </c>
      <c r="H27" s="1099">
        <v>0</v>
      </c>
      <c r="I27" s="1099">
        <v>0</v>
      </c>
      <c r="J27" s="1208">
        <v>0</v>
      </c>
      <c r="K27" s="1208">
        <v>0</v>
      </c>
      <c r="L27" s="1099">
        <v>0</v>
      </c>
      <c r="M27" s="1099">
        <v>0</v>
      </c>
      <c r="N27" s="1099">
        <v>300</v>
      </c>
      <c r="O27" s="1099">
        <f>480+320</f>
        <v>800</v>
      </c>
      <c r="P27" s="1099">
        <v>0</v>
      </c>
      <c r="Q27" s="1208">
        <v>0</v>
      </c>
      <c r="R27" s="1208">
        <v>0</v>
      </c>
      <c r="S27" s="1099">
        <v>0</v>
      </c>
      <c r="T27" s="1099">
        <v>0</v>
      </c>
      <c r="U27" s="1099">
        <v>0</v>
      </c>
      <c r="V27" s="1099">
        <v>0</v>
      </c>
      <c r="W27" s="1099">
        <v>0</v>
      </c>
      <c r="X27" s="1208">
        <v>0</v>
      </c>
      <c r="Y27" s="1208">
        <v>60</v>
      </c>
      <c r="Z27" s="1099">
        <v>60</v>
      </c>
      <c r="AA27" s="1099">
        <v>0</v>
      </c>
      <c r="AB27" s="1099"/>
      <c r="AC27" s="1099"/>
      <c r="AD27" s="1099"/>
      <c r="AE27" s="1208"/>
      <c r="AF27" s="1208"/>
      <c r="AG27" s="1099"/>
      <c r="AH27" s="1099"/>
      <c r="AI27" s="1330"/>
      <c r="AJ27" s="62">
        <f>SUM(E27:AI27)</f>
        <v>1220</v>
      </c>
      <c r="AK27" s="983">
        <f t="shared" si="0"/>
        <v>0</v>
      </c>
      <c r="AL27" s="63">
        <f>+AJ27*AN23</f>
        <v>3411.6446000000001</v>
      </c>
      <c r="AM27" s="989">
        <f t="shared" si="1"/>
        <v>0</v>
      </c>
      <c r="AN27" s="282">
        <f>+AJ27/AJ25</f>
        <v>5.3508771929824559E-3</v>
      </c>
      <c r="AO27" s="635">
        <f>AO25/AO23</f>
        <v>1.8294386999999999E-2</v>
      </c>
      <c r="AP27" s="39" t="s">
        <v>102</v>
      </c>
      <c r="AQ27" s="56">
        <f>SUM(E27:H27)</f>
        <v>0</v>
      </c>
      <c r="AR27" s="70">
        <f>SUM(I27:O27)</f>
        <v>1100</v>
      </c>
      <c r="AS27" s="70">
        <f>SUM(P27:V27)</f>
        <v>0</v>
      </c>
      <c r="AT27" s="70">
        <f>SUM(W27:AC27)</f>
        <v>120</v>
      </c>
      <c r="AU27" s="70">
        <f>SUM(AD27:AI27)</f>
        <v>0</v>
      </c>
      <c r="AV27" s="57">
        <f t="shared" si="36"/>
        <v>1220</v>
      </c>
    </row>
    <row r="28" spans="1:48" s="23" customFormat="1" ht="20.65" customHeight="1">
      <c r="A28" s="283"/>
      <c r="B28" s="767">
        <v>1.268</v>
      </c>
      <c r="C28" s="280"/>
      <c r="D28" s="67" t="s">
        <v>103</v>
      </c>
      <c r="E28" s="1331">
        <v>0</v>
      </c>
      <c r="F28" s="1101">
        <v>0</v>
      </c>
      <c r="G28" s="1209">
        <v>0</v>
      </c>
      <c r="H28" s="1101">
        <v>0</v>
      </c>
      <c r="I28" s="1101">
        <v>0</v>
      </c>
      <c r="J28" s="1209">
        <v>0</v>
      </c>
      <c r="K28" s="1209">
        <v>0</v>
      </c>
      <c r="L28" s="1101">
        <v>0</v>
      </c>
      <c r="M28" s="1101">
        <v>0</v>
      </c>
      <c r="N28" s="1101">
        <v>0</v>
      </c>
      <c r="O28" s="1101">
        <v>16</v>
      </c>
      <c r="P28" s="1101">
        <v>144</v>
      </c>
      <c r="Q28" s="1209">
        <v>144</v>
      </c>
      <c r="R28" s="1209">
        <v>144</v>
      </c>
      <c r="S28" s="1101">
        <v>144</v>
      </c>
      <c r="T28" s="1101">
        <v>120</v>
      </c>
      <c r="U28" s="1101">
        <v>120</v>
      </c>
      <c r="V28" s="1101">
        <v>120</v>
      </c>
      <c r="W28" s="1101">
        <v>120</v>
      </c>
      <c r="X28" s="1209">
        <v>144</v>
      </c>
      <c r="Y28" s="1209">
        <v>144</v>
      </c>
      <c r="Z28" s="1101">
        <v>120</v>
      </c>
      <c r="AA28" s="1101">
        <v>144</v>
      </c>
      <c r="AB28" s="1101"/>
      <c r="AC28" s="1101"/>
      <c r="AD28" s="1101"/>
      <c r="AE28" s="1209"/>
      <c r="AF28" s="1209"/>
      <c r="AG28" s="1101"/>
      <c r="AH28" s="1101"/>
      <c r="AI28" s="1332"/>
      <c r="AJ28" s="68">
        <f>SUM(E28:AI28)</f>
        <v>1624</v>
      </c>
      <c r="AK28" s="983">
        <f t="shared" si="0"/>
        <v>0</v>
      </c>
      <c r="AL28" s="69">
        <f>+AJ28*AN23</f>
        <v>4541.4023200000001</v>
      </c>
      <c r="AM28" s="989">
        <f t="shared" si="1"/>
        <v>0</v>
      </c>
      <c r="AN28" s="293"/>
      <c r="AO28" s="637"/>
      <c r="AP28" s="39" t="s">
        <v>19</v>
      </c>
      <c r="AQ28" s="56">
        <f>AQ27*AN23</f>
        <v>0</v>
      </c>
      <c r="AR28" s="56">
        <f>AR27*AN23</f>
        <v>3076.0729999999999</v>
      </c>
      <c r="AS28" s="56">
        <f>AS27*AN23</f>
        <v>0</v>
      </c>
      <c r="AT28" s="56">
        <f>AT27*AN23</f>
        <v>335.57159999999999</v>
      </c>
      <c r="AU28" s="56">
        <f>AU27*AN23</f>
        <v>0</v>
      </c>
      <c r="AV28" s="57">
        <f t="shared" si="36"/>
        <v>3411.6445999999996</v>
      </c>
    </row>
    <row r="29" spans="1:48" s="23" customFormat="1" ht="20.65" customHeight="1">
      <c r="A29" s="283"/>
      <c r="B29" s="334" t="s">
        <v>511</v>
      </c>
      <c r="C29" s="60" t="s">
        <v>100</v>
      </c>
      <c r="D29" s="73" t="s">
        <v>105</v>
      </c>
      <c r="E29" s="1333">
        <v>0</v>
      </c>
      <c r="F29" s="1103">
        <v>0</v>
      </c>
      <c r="G29" s="1210">
        <v>0</v>
      </c>
      <c r="H29" s="1103">
        <v>0</v>
      </c>
      <c r="I29" s="1103">
        <v>0</v>
      </c>
      <c r="J29" s="1210">
        <v>0</v>
      </c>
      <c r="K29" s="1210">
        <v>0</v>
      </c>
      <c r="L29" s="1103">
        <v>0</v>
      </c>
      <c r="M29" s="1103">
        <v>0</v>
      </c>
      <c r="N29" s="1103">
        <v>0</v>
      </c>
      <c r="O29" s="1103">
        <v>0</v>
      </c>
      <c r="P29" s="1103">
        <v>0</v>
      </c>
      <c r="Q29" s="1210">
        <v>0</v>
      </c>
      <c r="R29" s="1210">
        <v>0</v>
      </c>
      <c r="S29" s="1103">
        <v>0</v>
      </c>
      <c r="T29" s="1103">
        <v>0</v>
      </c>
      <c r="U29" s="1103">
        <v>0</v>
      </c>
      <c r="V29" s="1103">
        <v>0</v>
      </c>
      <c r="W29" s="1103">
        <v>0</v>
      </c>
      <c r="X29" s="1210">
        <v>0</v>
      </c>
      <c r="Y29" s="1210">
        <v>0</v>
      </c>
      <c r="Z29" s="1103">
        <v>0</v>
      </c>
      <c r="AA29" s="1103">
        <v>0</v>
      </c>
      <c r="AB29" s="1103"/>
      <c r="AC29" s="1103"/>
      <c r="AD29" s="1103"/>
      <c r="AE29" s="1210"/>
      <c r="AF29" s="1210"/>
      <c r="AG29" s="1103"/>
      <c r="AH29" s="1103"/>
      <c r="AI29" s="1352"/>
      <c r="AJ29" s="74">
        <f>SUM(E29:AI29)</f>
        <v>0</v>
      </c>
      <c r="AK29" s="983">
        <f t="shared" si="0"/>
        <v>57711</v>
      </c>
      <c r="AL29" s="75">
        <f>+AJ29*AN25</f>
        <v>0</v>
      </c>
      <c r="AM29" s="989">
        <f t="shared" si="1"/>
        <v>0</v>
      </c>
      <c r="AN29" s="294"/>
      <c r="AO29" s="758"/>
      <c r="AP29" s="47" t="s">
        <v>106</v>
      </c>
      <c r="AQ29" s="48">
        <f>AQ25*AN23</f>
        <v>0</v>
      </c>
      <c r="AR29" s="48">
        <f>AR25*AN23</f>
        <v>6711.4319999999998</v>
      </c>
      <c r="AS29" s="48">
        <f>AS25*AN23</f>
        <v>375840.19199999998</v>
      </c>
      <c r="AT29" s="48">
        <f>AT25*AN23</f>
        <v>255034.416</v>
      </c>
      <c r="AU29" s="48">
        <f>AU25*AN23</f>
        <v>0</v>
      </c>
      <c r="AV29" s="50">
        <f t="shared" si="36"/>
        <v>637586.03999999992</v>
      </c>
    </row>
    <row r="30" spans="1:48" s="23" customFormat="1" ht="20.65" customHeight="1">
      <c r="A30" s="283"/>
      <c r="B30" s="89"/>
      <c r="C30" s="66"/>
      <c r="D30" s="78" t="s">
        <v>107</v>
      </c>
      <c r="E30" s="1137">
        <v>4</v>
      </c>
      <c r="F30" s="1097">
        <v>4</v>
      </c>
      <c r="G30" s="1205">
        <v>4</v>
      </c>
      <c r="H30" s="1097">
        <v>4</v>
      </c>
      <c r="I30" s="1097">
        <v>4</v>
      </c>
      <c r="J30" s="1205">
        <v>4</v>
      </c>
      <c r="K30" s="1205">
        <v>4</v>
      </c>
      <c r="L30" s="1097">
        <v>4</v>
      </c>
      <c r="M30" s="1097">
        <v>4</v>
      </c>
      <c r="N30" s="1097">
        <v>4</v>
      </c>
      <c r="O30" s="1097">
        <v>4</v>
      </c>
      <c r="P30" s="1097">
        <v>4</v>
      </c>
      <c r="Q30" s="1205">
        <v>4</v>
      </c>
      <c r="R30" s="1205">
        <v>4</v>
      </c>
      <c r="S30" s="1097">
        <v>4</v>
      </c>
      <c r="T30" s="1097">
        <v>4</v>
      </c>
      <c r="U30" s="1097">
        <v>4</v>
      </c>
      <c r="V30" s="1097">
        <v>4</v>
      </c>
      <c r="W30" s="1097">
        <v>4</v>
      </c>
      <c r="X30" s="1205">
        <v>4</v>
      </c>
      <c r="Y30" s="1205">
        <v>4</v>
      </c>
      <c r="Z30" s="1097">
        <v>4</v>
      </c>
      <c r="AA30" s="1097">
        <v>4</v>
      </c>
      <c r="AB30" s="1097">
        <v>4</v>
      </c>
      <c r="AC30" s="1097">
        <v>4</v>
      </c>
      <c r="AD30" s="1097">
        <v>4</v>
      </c>
      <c r="AE30" s="1205">
        <v>4</v>
      </c>
      <c r="AF30" s="1205">
        <v>4</v>
      </c>
      <c r="AG30" s="1097">
        <v>4</v>
      </c>
      <c r="AH30" s="1097">
        <v>4</v>
      </c>
      <c r="AI30" s="1328">
        <v>4</v>
      </c>
      <c r="AJ30" s="79"/>
      <c r="AK30" s="983">
        <f t="shared" si="0"/>
        <v>0</v>
      </c>
      <c r="AL30" s="69"/>
      <c r="AM30" s="989">
        <f t="shared" si="1"/>
        <v>0</v>
      </c>
      <c r="AN30" s="293"/>
      <c r="AO30" s="637"/>
      <c r="AP30" s="47"/>
      <c r="AQ30" s="48"/>
      <c r="AR30" s="48"/>
      <c r="AS30" s="48"/>
      <c r="AT30" s="48"/>
      <c r="AU30" s="48"/>
      <c r="AV30" s="284"/>
    </row>
    <row r="31" spans="1:48" s="23" customFormat="1" ht="20.65" customHeight="1">
      <c r="A31" s="283"/>
      <c r="B31" s="89"/>
      <c r="C31" s="280"/>
      <c r="D31" s="81" t="s">
        <v>109</v>
      </c>
      <c r="E31" s="1125">
        <f>SUM(E25+E27+E28+E29)/E30</f>
        <v>0</v>
      </c>
      <c r="F31" s="1125">
        <f>SUM(F25+F27+F28+F29)/F30</f>
        <v>0</v>
      </c>
      <c r="G31" s="1233">
        <f>SUM(G25+G27+G28+G29)/G30</f>
        <v>0</v>
      </c>
      <c r="H31" s="1125">
        <f t="shared" ref="H31:AH31" si="39">SUM(H25+H27+H28+H29)/H30</f>
        <v>0</v>
      </c>
      <c r="I31" s="1125">
        <f t="shared" si="39"/>
        <v>0</v>
      </c>
      <c r="J31" s="1233">
        <f t="shared" si="39"/>
        <v>0</v>
      </c>
      <c r="K31" s="1233">
        <f t="shared" si="39"/>
        <v>0</v>
      </c>
      <c r="L31" s="1125">
        <f t="shared" si="39"/>
        <v>0</v>
      </c>
      <c r="M31" s="1125">
        <f t="shared" si="39"/>
        <v>0</v>
      </c>
      <c r="N31" s="1125">
        <f t="shared" si="39"/>
        <v>75</v>
      </c>
      <c r="O31" s="1125">
        <f t="shared" si="39"/>
        <v>804</v>
      </c>
      <c r="P31" s="1125">
        <f t="shared" si="39"/>
        <v>4836</v>
      </c>
      <c r="Q31" s="1233">
        <f t="shared" si="39"/>
        <v>5036</v>
      </c>
      <c r="R31" s="1233">
        <f t="shared" si="39"/>
        <v>4836</v>
      </c>
      <c r="S31" s="1125">
        <f t="shared" si="39"/>
        <v>4636</v>
      </c>
      <c r="T31" s="1125">
        <f t="shared" si="39"/>
        <v>4830</v>
      </c>
      <c r="U31" s="1125">
        <f t="shared" si="39"/>
        <v>4830</v>
      </c>
      <c r="V31" s="1125">
        <f t="shared" si="39"/>
        <v>4830</v>
      </c>
      <c r="W31" s="1125">
        <f t="shared" si="39"/>
        <v>4830</v>
      </c>
      <c r="X31" s="1233">
        <f t="shared" si="39"/>
        <v>4836</v>
      </c>
      <c r="Y31" s="1233">
        <f t="shared" si="39"/>
        <v>4851</v>
      </c>
      <c r="Z31" s="1125">
        <f t="shared" si="39"/>
        <v>3645</v>
      </c>
      <c r="AA31" s="1125">
        <f t="shared" si="39"/>
        <v>4836</v>
      </c>
      <c r="AB31" s="1125">
        <f t="shared" si="39"/>
        <v>0</v>
      </c>
      <c r="AC31" s="1125">
        <f t="shared" si="39"/>
        <v>0</v>
      </c>
      <c r="AD31" s="1125">
        <f t="shared" si="39"/>
        <v>0</v>
      </c>
      <c r="AE31" s="1233">
        <f t="shared" si="39"/>
        <v>0</v>
      </c>
      <c r="AF31" s="1233">
        <f t="shared" si="39"/>
        <v>0</v>
      </c>
      <c r="AG31" s="1125">
        <f t="shared" si="39"/>
        <v>0</v>
      </c>
      <c r="AH31" s="1125">
        <f t="shared" si="39"/>
        <v>0</v>
      </c>
      <c r="AI31" s="1335">
        <f>SUM(AI25+AI27+AI28)/AI30</f>
        <v>0</v>
      </c>
      <c r="AJ31" s="515">
        <f>SUM(E31:AI31)</f>
        <v>57711</v>
      </c>
      <c r="AK31" s="984">
        <f t="shared" si="0"/>
        <v>0</v>
      </c>
      <c r="AL31" s="689"/>
      <c r="AM31" s="989">
        <f t="shared" si="1"/>
        <v>0</v>
      </c>
      <c r="AN31" s="293"/>
      <c r="AO31" s="637"/>
      <c r="AP31" s="285"/>
      <c r="AQ31" s="285"/>
      <c r="AR31" s="285"/>
      <c r="AS31" s="285"/>
      <c r="AT31" s="286"/>
      <c r="AU31" s="285"/>
      <c r="AV31" s="287"/>
    </row>
    <row r="32" spans="1:48" s="23" customFormat="1" ht="20.65" customHeight="1">
      <c r="A32" s="283"/>
      <c r="B32" s="89"/>
      <c r="C32" s="72"/>
      <c r="D32" s="85" t="s">
        <v>110</v>
      </c>
      <c r="E32" s="1336" t="s">
        <v>534</v>
      </c>
      <c r="F32" s="1106"/>
      <c r="G32" s="1228"/>
      <c r="H32" s="1107"/>
      <c r="I32" s="1107"/>
      <c r="J32" s="1228"/>
      <c r="K32" s="1228"/>
      <c r="L32" s="1107"/>
      <c r="M32" s="1107"/>
      <c r="N32" s="1107"/>
      <c r="O32" s="1107"/>
      <c r="P32" s="1107"/>
      <c r="Q32" s="1228"/>
      <c r="R32" s="1228"/>
      <c r="S32" s="1107"/>
      <c r="T32" s="1107"/>
      <c r="U32" s="1107"/>
      <c r="V32" s="1107"/>
      <c r="W32" s="1107"/>
      <c r="X32" s="1228"/>
      <c r="Y32" s="1228"/>
      <c r="Z32" s="1107"/>
      <c r="AA32" s="1107"/>
      <c r="AB32" s="1107"/>
      <c r="AC32" s="1107"/>
      <c r="AD32" s="1107"/>
      <c r="AE32" s="1228"/>
      <c r="AF32" s="1228"/>
      <c r="AG32" s="1107"/>
      <c r="AH32" s="1107"/>
      <c r="AI32" s="1337"/>
      <c r="AJ32" s="86"/>
      <c r="AK32" s="984">
        <f t="shared" si="0"/>
        <v>0</v>
      </c>
      <c r="AL32" s="690"/>
      <c r="AM32" s="989">
        <f t="shared" si="1"/>
        <v>0</v>
      </c>
      <c r="AN32" s="277"/>
      <c r="AO32" s="637"/>
      <c r="AP32" s="285"/>
      <c r="AQ32" s="285"/>
      <c r="AR32" s="285"/>
      <c r="AS32" s="285"/>
      <c r="AT32" s="286"/>
      <c r="AU32" s="285"/>
      <c r="AV32" s="287"/>
    </row>
    <row r="33" spans="1:48" s="23" customFormat="1" ht="20.65" customHeight="1">
      <c r="A33" s="283"/>
      <c r="B33" s="89" t="s">
        <v>542</v>
      </c>
      <c r="C33" s="72" t="s">
        <v>104</v>
      </c>
      <c r="D33" s="88" t="s">
        <v>111</v>
      </c>
      <c r="E33" s="1108">
        <f>IF(E32="O/H",E31,17236+E31)</f>
        <v>0</v>
      </c>
      <c r="F33" s="1089">
        <f t="shared" ref="F33" si="40">IF(F32="O/H",F31,+E33+F31)</f>
        <v>0</v>
      </c>
      <c r="G33" s="44">
        <f t="shared" ref="G33" si="41">IF(G32="O/H",G31,+F33+G31)</f>
        <v>0</v>
      </c>
      <c r="H33" s="1089">
        <f t="shared" ref="H33" si="42">IF(H32="O/H",H31,+G33+H31)</f>
        <v>0</v>
      </c>
      <c r="I33" s="1089">
        <f t="shared" ref="I33" si="43">IF(I32="O/H",I31,+H33+I31)</f>
        <v>0</v>
      </c>
      <c r="J33" s="44">
        <f t="shared" ref="J33" si="44">IF(J32="O/H",J31,+I33+J31)</f>
        <v>0</v>
      </c>
      <c r="K33" s="44">
        <f t="shared" ref="K33" si="45">IF(K32="O/H",K31,+J33+K31)</f>
        <v>0</v>
      </c>
      <c r="L33" s="1089">
        <f t="shared" ref="L33" si="46">IF(L32="O/H",L31,+K33+L31)</f>
        <v>0</v>
      </c>
      <c r="M33" s="1089">
        <f t="shared" ref="M33" si="47">IF(M32="O/H",M31,+L33+M31)</f>
        <v>0</v>
      </c>
      <c r="N33" s="1089">
        <f t="shared" ref="N33" si="48">IF(N32="O/H",N31,+M33+N31)</f>
        <v>75</v>
      </c>
      <c r="O33" s="1089">
        <f t="shared" ref="O33" si="49">IF(O32="O/H",O31,+N33+O31)</f>
        <v>879</v>
      </c>
      <c r="P33" s="1089">
        <f t="shared" ref="P33" si="50">IF(P32="O/H",P31,+O33+P31)</f>
        <v>5715</v>
      </c>
      <c r="Q33" s="44">
        <f t="shared" ref="Q33" si="51">IF(Q32="O/H",Q31,+P33+Q31)</f>
        <v>10751</v>
      </c>
      <c r="R33" s="44">
        <f t="shared" ref="R33" si="52">IF(R32="O/H",R31,+Q33+R31)</f>
        <v>15587</v>
      </c>
      <c r="S33" s="1089">
        <f t="shared" ref="S33" si="53">IF(S32="O/H",S31,+R33+S31)</f>
        <v>20223</v>
      </c>
      <c r="T33" s="1089">
        <f t="shared" ref="T33" si="54">IF(T32="O/H",T31,+S33+T31)</f>
        <v>25053</v>
      </c>
      <c r="U33" s="1089">
        <f t="shared" ref="U33" si="55">IF(U32="O/H",U31,+T33+U31)</f>
        <v>29883</v>
      </c>
      <c r="V33" s="1089">
        <f t="shared" ref="V33" si="56">IF(V32="O/H",V31,+U33+V31)</f>
        <v>34713</v>
      </c>
      <c r="W33" s="1089">
        <f t="shared" ref="W33" si="57">IF(W32="O/H",W31,+V33+W31)</f>
        <v>39543</v>
      </c>
      <c r="X33" s="44">
        <f t="shared" ref="X33" si="58">IF(X32="O/H",X31,+W33+X31)</f>
        <v>44379</v>
      </c>
      <c r="Y33" s="44">
        <f t="shared" ref="Y33" si="59">IF(Y32="O/H",Y31,+X33+Y31)</f>
        <v>49230</v>
      </c>
      <c r="Z33" s="1089">
        <f t="shared" ref="Z33" si="60">IF(Z32="O/H",Z31,+Y33+Z31)</f>
        <v>52875</v>
      </c>
      <c r="AA33" s="1089">
        <f t="shared" ref="AA33" si="61">IF(AA32="O/H",AA31,+Z33+AA31)</f>
        <v>57711</v>
      </c>
      <c r="AB33" s="1089">
        <f t="shared" ref="AB33" si="62">IF(AB32="O/H",AB31,+AA33+AB31)</f>
        <v>57711</v>
      </c>
      <c r="AC33" s="1089">
        <f t="shared" ref="AC33" si="63">IF(AC32="O/H",AC31,+AB33+AC31)</f>
        <v>57711</v>
      </c>
      <c r="AD33" s="1089">
        <f t="shared" ref="AD33" si="64">IF(AD32="O/H",AD31,+AC33+AD31)</f>
        <v>57711</v>
      </c>
      <c r="AE33" s="44">
        <f t="shared" ref="AE33" si="65">IF(AE32="O/H",AE31,+AD33+AE31)</f>
        <v>57711</v>
      </c>
      <c r="AF33" s="44">
        <f t="shared" ref="AF33" si="66">IF(AF32="O/H",AF31,+AE33+AF31)</f>
        <v>57711</v>
      </c>
      <c r="AG33" s="1089">
        <f t="shared" ref="AG33" si="67">IF(AG32="O/H",AG31,+AF33+AG31)</f>
        <v>57711</v>
      </c>
      <c r="AH33" s="1089">
        <f t="shared" ref="AH33:AI33" si="68">IF(AH32="O/H",AH31,+AG33+AH31)</f>
        <v>57711</v>
      </c>
      <c r="AI33" s="1089">
        <f t="shared" si="68"/>
        <v>57711</v>
      </c>
      <c r="AJ33" s="79"/>
      <c r="AK33" s="984">
        <f t="shared" si="0"/>
        <v>0</v>
      </c>
      <c r="AL33" s="689"/>
      <c r="AM33" s="989">
        <f t="shared" si="1"/>
        <v>0</v>
      </c>
      <c r="AN33" s="277"/>
      <c r="AO33" s="637"/>
      <c r="AP33" s="285"/>
      <c r="AQ33" s="285"/>
      <c r="AR33" s="285"/>
      <c r="AS33" s="285"/>
      <c r="AT33" s="286"/>
      <c r="AU33" s="285"/>
      <c r="AV33" s="287"/>
    </row>
    <row r="34" spans="1:48" s="23" customFormat="1" ht="20.65" customHeight="1">
      <c r="A34" s="312"/>
      <c r="B34" s="312"/>
      <c r="C34" s="308">
        <v>300000</v>
      </c>
      <c r="D34" s="795" t="s">
        <v>112</v>
      </c>
      <c r="E34" s="1117">
        <f>IF(AND(ISNUMBER(E25)),352328+E31)</f>
        <v>352328</v>
      </c>
      <c r="F34" s="1118">
        <f>IF(AND(ISNUMBER(F25)),E34+F31,"")</f>
        <v>352328</v>
      </c>
      <c r="G34" s="1216">
        <f t="shared" ref="G34" si="69">IF(AND(ISNUMBER(G25)),F34+G31,"")</f>
        <v>352328</v>
      </c>
      <c r="H34" s="1118">
        <f t="shared" ref="H34" si="70">IF(AND(ISNUMBER(H25)),G34+H31,"")</f>
        <v>352328</v>
      </c>
      <c r="I34" s="1118">
        <f t="shared" ref="I34" si="71">IF(AND(ISNUMBER(I25)),H34+I31,"")</f>
        <v>352328</v>
      </c>
      <c r="J34" s="1216">
        <f t="shared" ref="J34" si="72">IF(AND(ISNUMBER(J25)),I34+J31,"")</f>
        <v>352328</v>
      </c>
      <c r="K34" s="1216">
        <f t="shared" ref="K34" si="73">IF(AND(ISNUMBER(K25)),J34+K31,"")</f>
        <v>352328</v>
      </c>
      <c r="L34" s="1118">
        <f t="shared" ref="L34" si="74">IF(AND(ISNUMBER(L25)),K34+L31,"")</f>
        <v>352328</v>
      </c>
      <c r="M34" s="1118">
        <f t="shared" ref="M34" si="75">IF(AND(ISNUMBER(M25)),L34+M31,"")</f>
        <v>352328</v>
      </c>
      <c r="N34" s="1118">
        <f t="shared" ref="N34" si="76">IF(AND(ISNUMBER(N25)),M34+N31,"")</f>
        <v>352403</v>
      </c>
      <c r="O34" s="1118">
        <f t="shared" ref="O34" si="77">IF(AND(ISNUMBER(O25)),N34+O31,"")</f>
        <v>353207</v>
      </c>
      <c r="P34" s="1118">
        <f t="shared" ref="P34" si="78">IF(AND(ISNUMBER(P25)),O34+P31,"")</f>
        <v>358043</v>
      </c>
      <c r="Q34" s="1216">
        <f t="shared" ref="Q34" si="79">IF(AND(ISNUMBER(Q25)),P34+Q31,"")</f>
        <v>363079</v>
      </c>
      <c r="R34" s="1216">
        <f t="shared" ref="R34" si="80">IF(AND(ISNUMBER(R25)),Q34+R31,"")</f>
        <v>367915</v>
      </c>
      <c r="S34" s="1118">
        <f t="shared" ref="S34" si="81">IF(AND(ISNUMBER(S25)),R34+S31,"")</f>
        <v>372551</v>
      </c>
      <c r="T34" s="1118">
        <f t="shared" ref="T34" si="82">IF(AND(ISNUMBER(T25)),S34+T31,"")</f>
        <v>377381</v>
      </c>
      <c r="U34" s="1118">
        <f t="shared" ref="U34" si="83">IF(AND(ISNUMBER(U25)),T34+U31,"")</f>
        <v>382211</v>
      </c>
      <c r="V34" s="1118">
        <f t="shared" ref="V34" si="84">IF(AND(ISNUMBER(V25)),U34+V31,"")</f>
        <v>387041</v>
      </c>
      <c r="W34" s="1118">
        <f t="shared" ref="W34" si="85">IF(AND(ISNUMBER(W25)),V34+W31,"")</f>
        <v>391871</v>
      </c>
      <c r="X34" s="1216">
        <f t="shared" ref="X34" si="86">IF(AND(ISNUMBER(X25)),W34+X31,"")</f>
        <v>396707</v>
      </c>
      <c r="Y34" s="1216">
        <f t="shared" ref="Y34" si="87">IF(AND(ISNUMBER(Y25)),X34+Y31,"")</f>
        <v>401558</v>
      </c>
      <c r="Z34" s="1118">
        <f t="shared" ref="Z34" si="88">IF(AND(ISNUMBER(Z25)),Y34+Z31,"")</f>
        <v>405203</v>
      </c>
      <c r="AA34" s="1118">
        <f t="shared" ref="AA34" si="89">IF(AND(ISNUMBER(AA25)),Z34+AA31,"")</f>
        <v>410039</v>
      </c>
      <c r="AB34" s="1118" t="str">
        <f t="shared" ref="AB34" si="90">IF(AND(ISNUMBER(AB25)),AA34+AB31,"")</f>
        <v/>
      </c>
      <c r="AC34" s="1118" t="str">
        <f t="shared" ref="AC34" si="91">IF(AND(ISNUMBER(AC25)),AB34+AC31,"")</f>
        <v/>
      </c>
      <c r="AD34" s="1118" t="str">
        <f t="shared" ref="AD34" si="92">IF(AND(ISNUMBER(AD25)),AC34+AD31,"")</f>
        <v/>
      </c>
      <c r="AE34" s="1216" t="str">
        <f t="shared" ref="AE34" si="93">IF(AND(ISNUMBER(AE25)),AD34+AE31,"")</f>
        <v/>
      </c>
      <c r="AF34" s="1216" t="str">
        <f t="shared" ref="AF34" si="94">IF(AND(ISNUMBER(AF25)),AE34+AF31,"")</f>
        <v/>
      </c>
      <c r="AG34" s="1118" t="str">
        <f t="shared" ref="AG34" si="95">IF(AND(ISNUMBER(AG25)),AF34+AG31,"")</f>
        <v/>
      </c>
      <c r="AH34" s="1118" t="str">
        <f t="shared" ref="AH34" si="96">IF(AND(ISNUMBER(AH25)),AG34+AH31,"")</f>
        <v/>
      </c>
      <c r="AI34" s="1089" t="str">
        <f>IF(AND(ISNUMBER(AI25)),AH34+AI31,"")</f>
        <v/>
      </c>
      <c r="AJ34" s="793"/>
      <c r="AK34" s="985">
        <f t="shared" si="0"/>
        <v>0</v>
      </c>
      <c r="AL34" s="909"/>
      <c r="AM34" s="987">
        <f t="shared" si="1"/>
        <v>0</v>
      </c>
      <c r="AN34" s="429"/>
      <c r="AO34" s="675"/>
      <c r="AP34" s="285"/>
      <c r="AQ34" s="285"/>
      <c r="AR34" s="285"/>
      <c r="AS34" s="285"/>
      <c r="AT34" s="286"/>
      <c r="AU34" s="285"/>
      <c r="AV34" s="287"/>
    </row>
    <row r="35" spans="1:48" s="23" customFormat="1" ht="20.65" customHeight="1">
      <c r="A35" s="276" t="s">
        <v>506</v>
      </c>
      <c r="B35" s="288"/>
      <c r="C35" s="80" t="s">
        <v>108</v>
      </c>
      <c r="D35" s="90" t="s">
        <v>104</v>
      </c>
      <c r="E35" s="1338"/>
      <c r="F35" s="1106"/>
      <c r="G35" s="1253"/>
      <c r="H35" s="1106"/>
      <c r="I35" s="1106"/>
      <c r="J35" s="1253"/>
      <c r="K35" s="1253"/>
      <c r="L35" s="1106"/>
      <c r="M35" s="1106"/>
      <c r="N35" s="1106"/>
      <c r="O35" s="1106"/>
      <c r="P35" s="1106"/>
      <c r="Q35" s="1253"/>
      <c r="R35" s="1253"/>
      <c r="S35" s="1106"/>
      <c r="T35" s="1106"/>
      <c r="U35" s="1106"/>
      <c r="V35" s="1106"/>
      <c r="W35" s="1106"/>
      <c r="X35" s="1253"/>
      <c r="Y35" s="1253"/>
      <c r="Z35" s="1106"/>
      <c r="AA35" s="1106"/>
      <c r="AB35" s="1106"/>
      <c r="AC35" s="1106"/>
      <c r="AD35" s="1106"/>
      <c r="AE35" s="1253"/>
      <c r="AF35" s="1253"/>
      <c r="AG35" s="1106"/>
      <c r="AH35" s="1106"/>
      <c r="AI35" s="1339"/>
      <c r="AJ35" s="79"/>
      <c r="AK35" s="983">
        <f t="shared" si="0"/>
        <v>0</v>
      </c>
      <c r="AL35" s="63"/>
      <c r="AM35" s="989">
        <f t="shared" si="1"/>
        <v>0</v>
      </c>
      <c r="AN35" s="91"/>
      <c r="AO35" s="758"/>
      <c r="AP35" s="285"/>
      <c r="AQ35" s="285"/>
      <c r="AR35" s="285"/>
      <c r="AS35" s="285"/>
      <c r="AT35" s="286"/>
      <c r="AU35" s="285"/>
      <c r="AV35" s="287"/>
    </row>
    <row r="36" spans="1:48" s="23" customFormat="1" ht="20.65" customHeight="1" thickBot="1">
      <c r="A36" s="289" t="s">
        <v>506</v>
      </c>
      <c r="B36" s="290"/>
      <c r="C36" s="94">
        <f>+C34*0.8</f>
        <v>240000</v>
      </c>
      <c r="D36" s="88" t="s">
        <v>111</v>
      </c>
      <c r="E36" s="1109">
        <f>IF(E35="O/H",E31,356630+E31)</f>
        <v>356630</v>
      </c>
      <c r="F36" s="1110">
        <f t="shared" ref="F36" si="97">IF(F35="O/H",F31,+E36+F31)</f>
        <v>356630</v>
      </c>
      <c r="G36" s="1212">
        <f t="shared" ref="G36" si="98">IF(G35="O/H",G31,+F36+G31)</f>
        <v>356630</v>
      </c>
      <c r="H36" s="1110">
        <f t="shared" ref="H36" si="99">IF(H35="O/H",H31,+G36+H31)</f>
        <v>356630</v>
      </c>
      <c r="I36" s="1110">
        <f t="shared" ref="I36" si="100">IF(I35="O/H",I31,+H36+I31)</f>
        <v>356630</v>
      </c>
      <c r="J36" s="1212">
        <f t="shared" ref="J36" si="101">IF(J35="O/H",J31,+I36+J31)</f>
        <v>356630</v>
      </c>
      <c r="K36" s="1212">
        <f t="shared" ref="K36" si="102">IF(K35="O/H",K31,+J36+K31)</f>
        <v>356630</v>
      </c>
      <c r="L36" s="1110">
        <f t="shared" ref="L36" si="103">IF(L35="O/H",L31,+K36+L31)</f>
        <v>356630</v>
      </c>
      <c r="M36" s="1110">
        <f t="shared" ref="M36" si="104">IF(M35="O/H",M31,+L36+M31)</f>
        <v>356630</v>
      </c>
      <c r="N36" s="1110">
        <f t="shared" ref="N36" si="105">IF(N35="O/H",N31,+M36+N31)</f>
        <v>356705</v>
      </c>
      <c r="O36" s="1110">
        <f t="shared" ref="O36" si="106">IF(O35="O/H",O31,+N36+O31)</f>
        <v>357509</v>
      </c>
      <c r="P36" s="1110">
        <f t="shared" ref="P36" si="107">IF(P35="O/H",P31,+O36+P31)</f>
        <v>362345</v>
      </c>
      <c r="Q36" s="1212">
        <f t="shared" ref="Q36" si="108">IF(Q35="O/H",Q31,+P36+Q31)</f>
        <v>367381</v>
      </c>
      <c r="R36" s="1212">
        <f t="shared" ref="R36" si="109">IF(R35="O/H",R31,+Q36+R31)</f>
        <v>372217</v>
      </c>
      <c r="S36" s="1110">
        <f t="shared" ref="S36" si="110">IF(S35="O/H",S31,+R36+S31)</f>
        <v>376853</v>
      </c>
      <c r="T36" s="1110">
        <f t="shared" ref="T36" si="111">IF(T35="O/H",T31,+S36+T31)</f>
        <v>381683</v>
      </c>
      <c r="U36" s="1110">
        <f t="shared" ref="U36" si="112">IF(U35="O/H",U31,+T36+U31)</f>
        <v>386513</v>
      </c>
      <c r="V36" s="1110">
        <f t="shared" ref="V36" si="113">IF(V35="O/H",V31,+U36+V31)</f>
        <v>391343</v>
      </c>
      <c r="W36" s="1110">
        <f t="shared" ref="W36" si="114">IF(W35="O/H",W31,+V36+W31)</f>
        <v>396173</v>
      </c>
      <c r="X36" s="1212">
        <f t="shared" ref="X36" si="115">IF(X35="O/H",X31,+W36+X31)</f>
        <v>401009</v>
      </c>
      <c r="Y36" s="1212">
        <f t="shared" ref="Y36" si="116">IF(Y35="O/H",Y31,+X36+Y31)</f>
        <v>405860</v>
      </c>
      <c r="Z36" s="1110">
        <f t="shared" ref="Z36" si="117">IF(Z35="O/H",Z31,+Y36+Z31)</f>
        <v>409505</v>
      </c>
      <c r="AA36" s="1110">
        <f t="shared" ref="AA36" si="118">IF(AA35="O/H",AA31,+Z36+AA31)</f>
        <v>414341</v>
      </c>
      <c r="AB36" s="1110">
        <f t="shared" ref="AB36" si="119">IF(AB35="O/H",AB31,+AA36+AB31)</f>
        <v>414341</v>
      </c>
      <c r="AC36" s="1110">
        <f t="shared" ref="AC36" si="120">IF(AC35="O/H",AC31,+AB36+AC31)</f>
        <v>414341</v>
      </c>
      <c r="AD36" s="1110">
        <f t="shared" ref="AD36" si="121">IF(AD35="O/H",AD31,+AC36+AD31)</f>
        <v>414341</v>
      </c>
      <c r="AE36" s="1212">
        <f t="shared" ref="AE36" si="122">IF(AE35="O/H",AE31,+AD36+AE31)</f>
        <v>414341</v>
      </c>
      <c r="AF36" s="1212">
        <f t="shared" ref="AF36" si="123">IF(AF35="O/H",AF31,+AE36+AF31)</f>
        <v>414341</v>
      </c>
      <c r="AG36" s="1110">
        <f t="shared" ref="AG36" si="124">IF(AG35="O/H",AG31,+AF36+AG31)</f>
        <v>414341</v>
      </c>
      <c r="AH36" s="1110">
        <f t="shared" ref="AH36:AI36" si="125">IF(AH35="O/H",AH31,+AG36+AH31)</f>
        <v>414341</v>
      </c>
      <c r="AI36" s="1110">
        <f t="shared" si="125"/>
        <v>414341</v>
      </c>
      <c r="AJ36" s="86"/>
      <c r="AK36" s="984">
        <f t="shared" si="0"/>
        <v>0</v>
      </c>
      <c r="AL36" s="83"/>
      <c r="AM36" s="1057">
        <f t="shared" si="1"/>
        <v>0</v>
      </c>
      <c r="AN36" s="277"/>
      <c r="AO36" s="637"/>
      <c r="AP36" s="285"/>
      <c r="AQ36" s="285"/>
      <c r="AR36" s="285"/>
      <c r="AS36" s="285"/>
      <c r="AT36" s="286"/>
      <c r="AU36" s="285"/>
      <c r="AV36" s="287"/>
    </row>
    <row r="37" spans="1:48" s="23" customFormat="1" ht="20.65" customHeight="1" thickTop="1">
      <c r="A37" s="981" t="s">
        <v>695</v>
      </c>
      <c r="B37" s="833" t="s">
        <v>636</v>
      </c>
      <c r="C37" s="42" t="str">
        <f>Table289[[#This Row],[M/C No.]]</f>
        <v>A4(40ton)</v>
      </c>
      <c r="D37" s="28" t="s">
        <v>82</v>
      </c>
      <c r="E37" s="1124"/>
      <c r="F37" s="1124"/>
      <c r="G37" s="1242"/>
      <c r="H37" s="1096"/>
      <c r="I37" s="1124"/>
      <c r="J37" s="1242"/>
      <c r="K37" s="1242"/>
      <c r="L37" s="1124"/>
      <c r="M37" s="1124"/>
      <c r="N37" s="1124"/>
      <c r="O37" s="1124"/>
      <c r="P37" s="1124"/>
      <c r="Q37" s="1242"/>
      <c r="R37" s="1242"/>
      <c r="S37" s="1124"/>
      <c r="T37" s="1124"/>
      <c r="U37" s="1124"/>
      <c r="V37" s="1124"/>
      <c r="W37" s="1124"/>
      <c r="X37" s="1242"/>
      <c r="Y37" s="1242"/>
      <c r="Z37" s="1124"/>
      <c r="AA37" s="1124"/>
      <c r="AB37" s="1124"/>
      <c r="AC37" s="1124"/>
      <c r="AD37" s="1124"/>
      <c r="AE37" s="1242"/>
      <c r="AF37" s="1242"/>
      <c r="AG37" s="1124"/>
      <c r="AH37" s="1124"/>
      <c r="AI37" s="1350"/>
      <c r="AJ37" s="100">
        <f>SUM(E37:AI37)</f>
        <v>0</v>
      </c>
      <c r="AK37" s="1000">
        <f t="shared" si="0"/>
        <v>24000</v>
      </c>
      <c r="AL37" s="101">
        <f>+AJ37*AN37</f>
        <v>0</v>
      </c>
      <c r="AM37" s="1019">
        <f t="shared" si="1"/>
        <v>73741.439999999988</v>
      </c>
      <c r="AN37" s="273">
        <v>3.0725599999999997</v>
      </c>
      <c r="AO37" s="622">
        <f>Table289[[#This Row],[Total]]*B42/1000</f>
        <v>0</v>
      </c>
      <c r="AP37" s="32" t="s">
        <v>261</v>
      </c>
      <c r="AQ37" s="33" t="s">
        <v>84</v>
      </c>
      <c r="AR37" s="33" t="s">
        <v>85</v>
      </c>
      <c r="AS37" s="33" t="s">
        <v>86</v>
      </c>
      <c r="AT37" s="33" t="s">
        <v>87</v>
      </c>
      <c r="AU37" s="33" t="s">
        <v>88</v>
      </c>
      <c r="AV37" s="34" t="s">
        <v>68</v>
      </c>
    </row>
    <row r="38" spans="1:48" s="23" customFormat="1" ht="20.65" customHeight="1">
      <c r="A38" s="274"/>
      <c r="B38" s="766" t="s">
        <v>570</v>
      </c>
      <c r="C38" s="275"/>
      <c r="D38" s="37" t="s">
        <v>90</v>
      </c>
      <c r="E38" s="1323">
        <f>IF(E37="",0,+ E37/E44)</f>
        <v>0</v>
      </c>
      <c r="F38" s="1096">
        <f t="shared" ref="F38:AI38" si="126">IF(F37="",0, E38+F37/F44)</f>
        <v>0</v>
      </c>
      <c r="G38" s="1207">
        <f t="shared" si="126"/>
        <v>0</v>
      </c>
      <c r="H38" s="1096">
        <f t="shared" ref="H38" si="127">IF(H37="",0, G38+H37/H44)</f>
        <v>0</v>
      </c>
      <c r="I38" s="1096">
        <f t="shared" ref="I38" si="128">IF(I37="",0, H38+I37/I44)</f>
        <v>0</v>
      </c>
      <c r="J38" s="1207">
        <f t="shared" si="126"/>
        <v>0</v>
      </c>
      <c r="K38" s="1207">
        <f t="shared" si="126"/>
        <v>0</v>
      </c>
      <c r="L38" s="1096">
        <f t="shared" si="126"/>
        <v>0</v>
      </c>
      <c r="M38" s="1096">
        <f t="shared" si="126"/>
        <v>0</v>
      </c>
      <c r="N38" s="1096">
        <f t="shared" si="126"/>
        <v>0</v>
      </c>
      <c r="O38" s="1096">
        <f t="shared" si="126"/>
        <v>0</v>
      </c>
      <c r="P38" s="1096">
        <f t="shared" si="126"/>
        <v>0</v>
      </c>
      <c r="Q38" s="1207">
        <f t="shared" si="126"/>
        <v>0</v>
      </c>
      <c r="R38" s="1207">
        <f t="shared" si="126"/>
        <v>0</v>
      </c>
      <c r="S38" s="1096">
        <f t="shared" si="126"/>
        <v>0</v>
      </c>
      <c r="T38" s="1096">
        <f t="shared" si="126"/>
        <v>0</v>
      </c>
      <c r="U38" s="1096">
        <f t="shared" si="126"/>
        <v>0</v>
      </c>
      <c r="V38" s="1096">
        <f t="shared" si="126"/>
        <v>0</v>
      </c>
      <c r="W38" s="1096">
        <f t="shared" si="126"/>
        <v>0</v>
      </c>
      <c r="X38" s="1207">
        <f t="shared" si="126"/>
        <v>0</v>
      </c>
      <c r="Y38" s="1207">
        <f t="shared" si="126"/>
        <v>0</v>
      </c>
      <c r="Z38" s="1096">
        <f t="shared" si="126"/>
        <v>0</v>
      </c>
      <c r="AA38" s="1096">
        <f t="shared" si="126"/>
        <v>0</v>
      </c>
      <c r="AB38" s="1096">
        <f t="shared" si="126"/>
        <v>0</v>
      </c>
      <c r="AC38" s="1096">
        <f t="shared" si="126"/>
        <v>0</v>
      </c>
      <c r="AD38" s="1096">
        <f>IF(AD37="",0, Z38+AD37/AD44)</f>
        <v>0</v>
      </c>
      <c r="AE38" s="1207">
        <f>IF(AE37="",0, AA38+AE37/AE44)</f>
        <v>0</v>
      </c>
      <c r="AF38" s="1207">
        <f>IF(AF37="",0, AB38+AF37/AF44)</f>
        <v>0</v>
      </c>
      <c r="AG38" s="1096">
        <f>IF(AG37="",0, AC38+AG37/AG44)</f>
        <v>0</v>
      </c>
      <c r="AH38" s="1096">
        <f>IF(AH37="",0, AD38+AH37/AH44)</f>
        <v>0</v>
      </c>
      <c r="AI38" s="1324">
        <f t="shared" si="126"/>
        <v>0</v>
      </c>
      <c r="AJ38" s="716"/>
      <c r="AK38" s="982">
        <f t="shared" si="0"/>
        <v>24000</v>
      </c>
      <c r="AL38" s="209"/>
      <c r="AM38" s="987">
        <f t="shared" si="1"/>
        <v>73741.439999999988</v>
      </c>
      <c r="AN38" s="91"/>
      <c r="AO38" s="757"/>
      <c r="AP38" s="39" t="s">
        <v>91</v>
      </c>
      <c r="AQ38" s="40">
        <f>SUM(E37:H37)</f>
        <v>0</v>
      </c>
      <c r="AR38" s="41">
        <f>SUM(I37:O37)</f>
        <v>0</v>
      </c>
      <c r="AS38" s="41">
        <f>SUM(P37:V37)</f>
        <v>0</v>
      </c>
      <c r="AT38" s="41">
        <f>SUM(W37:AC37)</f>
        <v>0</v>
      </c>
      <c r="AU38" s="41">
        <f>SUM(AD37:AI37)</f>
        <v>0</v>
      </c>
      <c r="AV38" s="34">
        <f t="shared" ref="AV38:AV43" si="129">SUM(AQ38:AU38)</f>
        <v>0</v>
      </c>
    </row>
    <row r="39" spans="1:48" s="23" customFormat="1" ht="20.65" customHeight="1">
      <c r="A39" s="276" t="s">
        <v>506</v>
      </c>
      <c r="B39" s="334" t="s">
        <v>246</v>
      </c>
      <c r="C39" s="42"/>
      <c r="D39" s="43" t="s">
        <v>93</v>
      </c>
      <c r="E39" s="1325">
        <v>0</v>
      </c>
      <c r="F39" s="1119">
        <v>0</v>
      </c>
      <c r="G39" s="44">
        <v>0</v>
      </c>
      <c r="H39" s="1119">
        <v>0</v>
      </c>
      <c r="I39" s="1119">
        <v>0</v>
      </c>
      <c r="J39" s="1243">
        <v>0</v>
      </c>
      <c r="K39" s="1243">
        <v>0</v>
      </c>
      <c r="L39" s="1119">
        <v>9600</v>
      </c>
      <c r="M39" s="1119">
        <v>14400</v>
      </c>
      <c r="N39" s="1119">
        <v>0</v>
      </c>
      <c r="O39" s="1119">
        <v>0</v>
      </c>
      <c r="P39" s="1119">
        <v>0</v>
      </c>
      <c r="Q39" s="1243">
        <v>0</v>
      </c>
      <c r="R39" s="1243">
        <v>0</v>
      </c>
      <c r="S39" s="1119">
        <v>0</v>
      </c>
      <c r="T39" s="1119">
        <v>0</v>
      </c>
      <c r="U39" s="1119">
        <v>0</v>
      </c>
      <c r="V39" s="1119">
        <v>0</v>
      </c>
      <c r="W39" s="1119">
        <v>0</v>
      </c>
      <c r="X39" s="1243">
        <v>0</v>
      </c>
      <c r="Y39" s="1243">
        <v>0</v>
      </c>
      <c r="Z39" s="1119">
        <v>0</v>
      </c>
      <c r="AA39" s="1119">
        <v>0</v>
      </c>
      <c r="AB39" s="1119"/>
      <c r="AC39" s="1119"/>
      <c r="AD39" s="1119"/>
      <c r="AE39" s="1243"/>
      <c r="AF39" s="1243"/>
      <c r="AG39" s="1119"/>
      <c r="AH39" s="1119"/>
      <c r="AI39" s="1351"/>
      <c r="AJ39" s="45">
        <f>SUM(E39:AI39)</f>
        <v>24000</v>
      </c>
      <c r="AK39" s="983">
        <f t="shared" si="0"/>
        <v>7928</v>
      </c>
      <c r="AL39" s="46">
        <f>+AJ39*AN37</f>
        <v>73741.439999999988</v>
      </c>
      <c r="AM39" s="988">
        <f t="shared" si="1"/>
        <v>24359.255679999998</v>
      </c>
      <c r="AN39" s="293"/>
      <c r="AO39" s="632">
        <f>(AJ39+AJ41+AJ42+AJ43)*B42/1000</f>
        <v>40.758592</v>
      </c>
      <c r="AP39" s="47" t="s">
        <v>94</v>
      </c>
      <c r="AQ39" s="48">
        <f>SUM(E39:H39)</f>
        <v>0</v>
      </c>
      <c r="AR39" s="49">
        <f>SUM(I39:O39)</f>
        <v>24000</v>
      </c>
      <c r="AS39" s="49">
        <f>SUM(P39:V39)</f>
        <v>0</v>
      </c>
      <c r="AT39" s="49">
        <f>SUM(W39:AC39)</f>
        <v>0</v>
      </c>
      <c r="AU39" s="49">
        <f>SUM(AD39:AI39)</f>
        <v>0</v>
      </c>
      <c r="AV39" s="50">
        <f t="shared" si="129"/>
        <v>24000</v>
      </c>
    </row>
    <row r="40" spans="1:48" s="23" customFormat="1" ht="20.65" customHeight="1">
      <c r="A40" s="276" t="s">
        <v>506</v>
      </c>
      <c r="B40" s="279" t="s">
        <v>510</v>
      </c>
      <c r="C40" s="280"/>
      <c r="D40" s="53" t="s">
        <v>96</v>
      </c>
      <c r="E40" s="1327">
        <f t="shared" ref="E40" si="130">+E39-E37</f>
        <v>0</v>
      </c>
      <c r="F40" s="1097">
        <f t="shared" ref="F40:AJ40" si="131">+F39-F37</f>
        <v>0</v>
      </c>
      <c r="G40" s="1205">
        <f t="shared" si="131"/>
        <v>0</v>
      </c>
      <c r="H40" s="1097">
        <f t="shared" si="131"/>
        <v>0</v>
      </c>
      <c r="I40" s="1097">
        <f t="shared" si="131"/>
        <v>0</v>
      </c>
      <c r="J40" s="1205">
        <f t="shared" si="131"/>
        <v>0</v>
      </c>
      <c r="K40" s="1205">
        <f t="shared" si="131"/>
        <v>0</v>
      </c>
      <c r="L40" s="1097">
        <f t="shared" si="131"/>
        <v>9600</v>
      </c>
      <c r="M40" s="1097">
        <f t="shared" si="131"/>
        <v>14400</v>
      </c>
      <c r="N40" s="1097">
        <f t="shared" si="131"/>
        <v>0</v>
      </c>
      <c r="O40" s="1097">
        <f t="shared" si="131"/>
        <v>0</v>
      </c>
      <c r="P40" s="1097">
        <f t="shared" si="131"/>
        <v>0</v>
      </c>
      <c r="Q40" s="1205">
        <f t="shared" si="131"/>
        <v>0</v>
      </c>
      <c r="R40" s="1205">
        <f t="shared" si="131"/>
        <v>0</v>
      </c>
      <c r="S40" s="1097">
        <f t="shared" si="131"/>
        <v>0</v>
      </c>
      <c r="T40" s="1097">
        <f t="shared" si="131"/>
        <v>0</v>
      </c>
      <c r="U40" s="1097">
        <f t="shared" si="131"/>
        <v>0</v>
      </c>
      <c r="V40" s="1097">
        <f t="shared" si="131"/>
        <v>0</v>
      </c>
      <c r="W40" s="1097">
        <f t="shared" si="131"/>
        <v>0</v>
      </c>
      <c r="X40" s="1205">
        <f t="shared" si="131"/>
        <v>0</v>
      </c>
      <c r="Y40" s="1205">
        <f t="shared" si="131"/>
        <v>0</v>
      </c>
      <c r="Z40" s="1097">
        <f t="shared" si="131"/>
        <v>0</v>
      </c>
      <c r="AA40" s="1097">
        <f t="shared" si="131"/>
        <v>0</v>
      </c>
      <c r="AB40" s="1097">
        <f t="shared" si="131"/>
        <v>0</v>
      </c>
      <c r="AC40" s="1097">
        <f t="shared" si="131"/>
        <v>0</v>
      </c>
      <c r="AD40" s="1097">
        <f t="shared" si="131"/>
        <v>0</v>
      </c>
      <c r="AE40" s="1205">
        <f t="shared" si="131"/>
        <v>0</v>
      </c>
      <c r="AF40" s="1205">
        <f t="shared" si="131"/>
        <v>0</v>
      </c>
      <c r="AG40" s="1097">
        <f t="shared" si="131"/>
        <v>0</v>
      </c>
      <c r="AH40" s="1097">
        <f t="shared" si="131"/>
        <v>0</v>
      </c>
      <c r="AI40" s="1328">
        <f t="shared" si="131"/>
        <v>0</v>
      </c>
      <c r="AJ40" s="79">
        <f t="shared" si="131"/>
        <v>24000</v>
      </c>
      <c r="AK40" s="983">
        <f t="shared" ref="AK40:AK56" si="132">AJ42</f>
        <v>216</v>
      </c>
      <c r="AL40" s="55">
        <f>+AJ40*AN37</f>
        <v>73741.439999999988</v>
      </c>
      <c r="AM40" s="988">
        <f t="shared" ref="AM40:AM56" si="133">AL42</f>
        <v>663.67295999999999</v>
      </c>
      <c r="AN40" s="293" t="s">
        <v>97</v>
      </c>
      <c r="AO40" s="622"/>
      <c r="AP40" s="39" t="s">
        <v>98</v>
      </c>
      <c r="AQ40" s="56">
        <f>AQ39-AQ38</f>
        <v>0</v>
      </c>
      <c r="AR40" s="70">
        <f>AR39-AR38</f>
        <v>24000</v>
      </c>
      <c r="AS40" s="70">
        <f>AS39-AS38</f>
        <v>0</v>
      </c>
      <c r="AT40" s="70">
        <f>AT39-AT38</f>
        <v>0</v>
      </c>
      <c r="AU40" s="70">
        <f>AU39-AU38</f>
        <v>0</v>
      </c>
      <c r="AV40" s="57">
        <f t="shared" si="129"/>
        <v>24000</v>
      </c>
    </row>
    <row r="41" spans="1:48" s="23" customFormat="1" ht="20.65" customHeight="1">
      <c r="A41" s="276" t="s">
        <v>506</v>
      </c>
      <c r="B41" s="767" t="s">
        <v>247</v>
      </c>
      <c r="C41" s="280"/>
      <c r="D41" s="61" t="s">
        <v>101</v>
      </c>
      <c r="E41" s="1329">
        <v>0</v>
      </c>
      <c r="F41" s="1099">
        <v>3268</v>
      </c>
      <c r="G41" s="1208">
        <v>0</v>
      </c>
      <c r="H41" s="1099">
        <v>1568</v>
      </c>
      <c r="I41" s="1099">
        <v>2212</v>
      </c>
      <c r="J41" s="1208">
        <v>0</v>
      </c>
      <c r="K41" s="1208">
        <v>0</v>
      </c>
      <c r="L41" s="1099">
        <v>880</v>
      </c>
      <c r="M41" s="1099">
        <v>0</v>
      </c>
      <c r="N41" s="1099">
        <v>0</v>
      </c>
      <c r="O41" s="1099">
        <v>0</v>
      </c>
      <c r="P41" s="1099">
        <v>0</v>
      </c>
      <c r="Q41" s="1208">
        <v>0</v>
      </c>
      <c r="R41" s="1208">
        <v>0</v>
      </c>
      <c r="S41" s="1099">
        <v>0</v>
      </c>
      <c r="T41" s="1099">
        <v>0</v>
      </c>
      <c r="U41" s="1099">
        <v>0</v>
      </c>
      <c r="V41" s="1099">
        <v>0</v>
      </c>
      <c r="W41" s="1099">
        <v>0</v>
      </c>
      <c r="X41" s="1208">
        <v>0</v>
      </c>
      <c r="Y41" s="1208">
        <v>0</v>
      </c>
      <c r="Z41" s="1099">
        <v>0</v>
      </c>
      <c r="AA41" s="1099">
        <v>0</v>
      </c>
      <c r="AB41" s="1099"/>
      <c r="AC41" s="1099"/>
      <c r="AD41" s="1099"/>
      <c r="AE41" s="1208"/>
      <c r="AF41" s="1208"/>
      <c r="AG41" s="1099"/>
      <c r="AH41" s="1099"/>
      <c r="AI41" s="1330"/>
      <c r="AJ41" s="62">
        <f>SUM(E41:AI41)</f>
        <v>7928</v>
      </c>
      <c r="AK41" s="983">
        <f t="shared" si="132"/>
        <v>0</v>
      </c>
      <c r="AL41" s="63">
        <f>+AJ41*AN37</f>
        <v>24359.255679999998</v>
      </c>
      <c r="AM41" s="989">
        <f t="shared" si="133"/>
        <v>0</v>
      </c>
      <c r="AN41" s="282">
        <f>+AJ41/AJ39</f>
        <v>0.33033333333333331</v>
      </c>
      <c r="AO41" s="635" t="e">
        <f>AO39/AO37</f>
        <v>#DIV/0!</v>
      </c>
      <c r="AP41" s="39" t="s">
        <v>102</v>
      </c>
      <c r="AQ41" s="56">
        <f>SUM(E41:H41)</f>
        <v>4836</v>
      </c>
      <c r="AR41" s="70">
        <f>SUM(I41:O41)</f>
        <v>3092</v>
      </c>
      <c r="AS41" s="70">
        <f>SUM(P41:V41)</f>
        <v>0</v>
      </c>
      <c r="AT41" s="70">
        <f>SUM(W41:AC41)</f>
        <v>0</v>
      </c>
      <c r="AU41" s="70">
        <f>SUM(AD41:AI41)</f>
        <v>0</v>
      </c>
      <c r="AV41" s="57">
        <f t="shared" si="129"/>
        <v>7928</v>
      </c>
    </row>
    <row r="42" spans="1:48" s="23" customFormat="1" ht="20.65" customHeight="1">
      <c r="A42" s="283"/>
      <c r="B42" s="767">
        <v>1.268</v>
      </c>
      <c r="C42" s="280"/>
      <c r="D42" s="67" t="s">
        <v>103</v>
      </c>
      <c r="E42" s="1331">
        <v>0</v>
      </c>
      <c r="F42" s="1101">
        <v>0</v>
      </c>
      <c r="G42" s="1209">
        <v>0</v>
      </c>
      <c r="H42" s="1101">
        <v>0</v>
      </c>
      <c r="I42" s="1101">
        <v>0</v>
      </c>
      <c r="J42" s="1209">
        <v>0</v>
      </c>
      <c r="K42" s="1209">
        <v>0</v>
      </c>
      <c r="L42" s="1101">
        <v>96</v>
      </c>
      <c r="M42" s="1101">
        <v>120</v>
      </c>
      <c r="N42" s="1101">
        <v>0</v>
      </c>
      <c r="O42" s="1101">
        <v>0</v>
      </c>
      <c r="P42" s="1101">
        <v>0</v>
      </c>
      <c r="Q42" s="1209">
        <v>0</v>
      </c>
      <c r="R42" s="1209">
        <v>0</v>
      </c>
      <c r="S42" s="1101">
        <v>0</v>
      </c>
      <c r="T42" s="1101">
        <v>0</v>
      </c>
      <c r="U42" s="1101">
        <v>0</v>
      </c>
      <c r="V42" s="1101">
        <v>0</v>
      </c>
      <c r="W42" s="1101">
        <v>0</v>
      </c>
      <c r="X42" s="1209">
        <v>0</v>
      </c>
      <c r="Y42" s="1209">
        <v>0</v>
      </c>
      <c r="Z42" s="1101">
        <v>0</v>
      </c>
      <c r="AA42" s="1101">
        <v>0</v>
      </c>
      <c r="AB42" s="1101"/>
      <c r="AC42" s="1101"/>
      <c r="AD42" s="1101"/>
      <c r="AE42" s="1209"/>
      <c r="AF42" s="1209"/>
      <c r="AG42" s="1101"/>
      <c r="AH42" s="1101"/>
      <c r="AI42" s="1332"/>
      <c r="AJ42" s="68">
        <f>SUM(E42:AI42)</f>
        <v>216</v>
      </c>
      <c r="AK42" s="983">
        <f t="shared" si="132"/>
        <v>0</v>
      </c>
      <c r="AL42" s="69">
        <f>+AJ42*AN37</f>
        <v>663.67295999999999</v>
      </c>
      <c r="AM42" s="989">
        <f t="shared" si="133"/>
        <v>0</v>
      </c>
      <c r="AN42" s="293"/>
      <c r="AO42" s="637"/>
      <c r="AP42" s="39" t="s">
        <v>19</v>
      </c>
      <c r="AQ42" s="56">
        <f>AQ41*AN37</f>
        <v>14858.900159999999</v>
      </c>
      <c r="AR42" s="56">
        <f>AR41*AN37</f>
        <v>9500.3555199999992</v>
      </c>
      <c r="AS42" s="56">
        <f>AS41*AN37</f>
        <v>0</v>
      </c>
      <c r="AT42" s="56">
        <f>AT41*AN37</f>
        <v>0</v>
      </c>
      <c r="AU42" s="56">
        <f>AU41*AN37</f>
        <v>0</v>
      </c>
      <c r="AV42" s="57">
        <f t="shared" si="129"/>
        <v>24359.255679999998</v>
      </c>
    </row>
    <row r="43" spans="1:48" s="23" customFormat="1" ht="20.65" customHeight="1">
      <c r="A43" s="283"/>
      <c r="B43" s="334" t="s">
        <v>511</v>
      </c>
      <c r="C43" s="60" t="s">
        <v>100</v>
      </c>
      <c r="D43" s="73" t="s">
        <v>105</v>
      </c>
      <c r="E43" s="1333">
        <v>0</v>
      </c>
      <c r="F43" s="1103">
        <v>0</v>
      </c>
      <c r="G43" s="1210">
        <v>0</v>
      </c>
      <c r="H43" s="1103">
        <v>0</v>
      </c>
      <c r="I43" s="1103">
        <v>0</v>
      </c>
      <c r="J43" s="1210">
        <v>0</v>
      </c>
      <c r="K43" s="1210">
        <v>0</v>
      </c>
      <c r="L43" s="1103">
        <v>0</v>
      </c>
      <c r="M43" s="1103">
        <v>0</v>
      </c>
      <c r="N43" s="1103">
        <v>0</v>
      </c>
      <c r="O43" s="1103">
        <v>0</v>
      </c>
      <c r="P43" s="1103">
        <v>0</v>
      </c>
      <c r="Q43" s="1210">
        <v>0</v>
      </c>
      <c r="R43" s="1210">
        <v>0</v>
      </c>
      <c r="S43" s="1103">
        <v>0</v>
      </c>
      <c r="T43" s="1103">
        <v>0</v>
      </c>
      <c r="U43" s="1103">
        <v>0</v>
      </c>
      <c r="V43" s="1103">
        <v>0</v>
      </c>
      <c r="W43" s="1103">
        <v>0</v>
      </c>
      <c r="X43" s="1210">
        <v>0</v>
      </c>
      <c r="Y43" s="1210">
        <v>0</v>
      </c>
      <c r="Z43" s="1103">
        <v>0</v>
      </c>
      <c r="AA43" s="1103">
        <v>0</v>
      </c>
      <c r="AB43" s="1103"/>
      <c r="AC43" s="1103"/>
      <c r="AD43" s="1103"/>
      <c r="AE43" s="1210"/>
      <c r="AF43" s="1210"/>
      <c r="AG43" s="1103"/>
      <c r="AH43" s="1103"/>
      <c r="AI43" s="1352"/>
      <c r="AJ43" s="74">
        <f>SUM(E43:AI43)</f>
        <v>0</v>
      </c>
      <c r="AK43" s="983">
        <f t="shared" si="132"/>
        <v>8036</v>
      </c>
      <c r="AL43" s="75">
        <f>+AJ43*AN39</f>
        <v>0</v>
      </c>
      <c r="AM43" s="989">
        <f t="shared" si="133"/>
        <v>0</v>
      </c>
      <c r="AN43" s="294"/>
      <c r="AO43" s="758"/>
      <c r="AP43" s="47" t="s">
        <v>106</v>
      </c>
      <c r="AQ43" s="48">
        <f>AQ39*AN37</f>
        <v>0</v>
      </c>
      <c r="AR43" s="48">
        <f>AR39*AN37</f>
        <v>73741.439999999988</v>
      </c>
      <c r="AS43" s="48">
        <f>AS39*AN37</f>
        <v>0</v>
      </c>
      <c r="AT43" s="48">
        <f>AT39*AN37</f>
        <v>0</v>
      </c>
      <c r="AU43" s="48">
        <f>AU39*AN37</f>
        <v>0</v>
      </c>
      <c r="AV43" s="50">
        <f t="shared" si="129"/>
        <v>73741.439999999988</v>
      </c>
    </row>
    <row r="44" spans="1:48" s="23" customFormat="1" ht="20.65" customHeight="1">
      <c r="A44" s="283"/>
      <c r="B44" s="89"/>
      <c r="C44" s="66"/>
      <c r="D44" s="78" t="s">
        <v>107</v>
      </c>
      <c r="E44" s="1137">
        <v>4</v>
      </c>
      <c r="F44" s="1097">
        <v>4</v>
      </c>
      <c r="G44" s="1205">
        <v>4</v>
      </c>
      <c r="H44" s="1097">
        <v>4</v>
      </c>
      <c r="I44" s="1097">
        <v>4</v>
      </c>
      <c r="J44" s="1205">
        <v>4</v>
      </c>
      <c r="K44" s="1205">
        <v>4</v>
      </c>
      <c r="L44" s="1097">
        <v>4</v>
      </c>
      <c r="M44" s="1097">
        <v>4</v>
      </c>
      <c r="N44" s="1097">
        <v>4</v>
      </c>
      <c r="O44" s="1097">
        <v>4</v>
      </c>
      <c r="P44" s="1097">
        <v>4</v>
      </c>
      <c r="Q44" s="1205">
        <v>4</v>
      </c>
      <c r="R44" s="1205">
        <v>4</v>
      </c>
      <c r="S44" s="1097">
        <v>4</v>
      </c>
      <c r="T44" s="1097">
        <v>4</v>
      </c>
      <c r="U44" s="1097">
        <v>4</v>
      </c>
      <c r="V44" s="1097">
        <v>4</v>
      </c>
      <c r="W44" s="1097">
        <v>4</v>
      </c>
      <c r="X44" s="1205">
        <v>4</v>
      </c>
      <c r="Y44" s="1205">
        <v>4</v>
      </c>
      <c r="Z44" s="1097">
        <v>4</v>
      </c>
      <c r="AA44" s="1097">
        <v>4</v>
      </c>
      <c r="AB44" s="1097">
        <v>4</v>
      </c>
      <c r="AC44" s="1097">
        <v>4</v>
      </c>
      <c r="AD44" s="1097">
        <v>4</v>
      </c>
      <c r="AE44" s="1205">
        <v>4</v>
      </c>
      <c r="AF44" s="1205">
        <v>4</v>
      </c>
      <c r="AG44" s="1097">
        <v>4</v>
      </c>
      <c r="AH44" s="1097">
        <v>4</v>
      </c>
      <c r="AI44" s="1328">
        <v>4</v>
      </c>
      <c r="AJ44" s="79"/>
      <c r="AK44" s="983">
        <f t="shared" si="132"/>
        <v>0</v>
      </c>
      <c r="AL44" s="69"/>
      <c r="AM44" s="989">
        <f t="shared" si="133"/>
        <v>0</v>
      </c>
      <c r="AN44" s="293"/>
      <c r="AO44" s="637"/>
      <c r="AP44" s="47"/>
      <c r="AQ44" s="48"/>
      <c r="AR44" s="48"/>
      <c r="AS44" s="48"/>
      <c r="AT44" s="48"/>
      <c r="AU44" s="48"/>
      <c r="AV44" s="284"/>
    </row>
    <row r="45" spans="1:48" s="23" customFormat="1" ht="20.65" customHeight="1">
      <c r="A45" s="283"/>
      <c r="B45" s="89"/>
      <c r="C45" s="280"/>
      <c r="D45" s="81" t="s">
        <v>109</v>
      </c>
      <c r="E45" s="1125">
        <f>SUM(E39+E41+E42+E43)/E44</f>
        <v>0</v>
      </c>
      <c r="F45" s="1125">
        <f>SUM(F39+F41+F42+F43)/F44</f>
        <v>817</v>
      </c>
      <c r="G45" s="1233">
        <f>SUM(G39+G41+G42+G43)/G44</f>
        <v>0</v>
      </c>
      <c r="H45" s="1125">
        <f t="shared" ref="H45:AH45" si="134">SUM(H39+H41+H42+H43)/H44</f>
        <v>392</v>
      </c>
      <c r="I45" s="1125">
        <f t="shared" si="134"/>
        <v>553</v>
      </c>
      <c r="J45" s="1233">
        <f t="shared" si="134"/>
        <v>0</v>
      </c>
      <c r="K45" s="1233">
        <f t="shared" si="134"/>
        <v>0</v>
      </c>
      <c r="L45" s="1125">
        <f t="shared" si="134"/>
        <v>2644</v>
      </c>
      <c r="M45" s="1125">
        <f t="shared" si="134"/>
        <v>3630</v>
      </c>
      <c r="N45" s="1125">
        <f t="shared" si="134"/>
        <v>0</v>
      </c>
      <c r="O45" s="1125">
        <f t="shared" si="134"/>
        <v>0</v>
      </c>
      <c r="P45" s="1125">
        <f t="shared" si="134"/>
        <v>0</v>
      </c>
      <c r="Q45" s="1233">
        <f t="shared" si="134"/>
        <v>0</v>
      </c>
      <c r="R45" s="1233">
        <f t="shared" si="134"/>
        <v>0</v>
      </c>
      <c r="S45" s="1125">
        <f t="shared" si="134"/>
        <v>0</v>
      </c>
      <c r="T45" s="1125">
        <f t="shared" si="134"/>
        <v>0</v>
      </c>
      <c r="U45" s="1125">
        <f t="shared" si="134"/>
        <v>0</v>
      </c>
      <c r="V45" s="1125">
        <f t="shared" si="134"/>
        <v>0</v>
      </c>
      <c r="W45" s="1125">
        <f t="shared" si="134"/>
        <v>0</v>
      </c>
      <c r="X45" s="1233">
        <f t="shared" si="134"/>
        <v>0</v>
      </c>
      <c r="Y45" s="1233">
        <f t="shared" si="134"/>
        <v>0</v>
      </c>
      <c r="Z45" s="1125">
        <f t="shared" si="134"/>
        <v>0</v>
      </c>
      <c r="AA45" s="1125">
        <f t="shared" si="134"/>
        <v>0</v>
      </c>
      <c r="AB45" s="1125">
        <f t="shared" si="134"/>
        <v>0</v>
      </c>
      <c r="AC45" s="1125">
        <f t="shared" si="134"/>
        <v>0</v>
      </c>
      <c r="AD45" s="1125">
        <f t="shared" si="134"/>
        <v>0</v>
      </c>
      <c r="AE45" s="1233">
        <f t="shared" si="134"/>
        <v>0</v>
      </c>
      <c r="AF45" s="1233">
        <f t="shared" si="134"/>
        <v>0</v>
      </c>
      <c r="AG45" s="1125">
        <f t="shared" si="134"/>
        <v>0</v>
      </c>
      <c r="AH45" s="1125">
        <f t="shared" si="134"/>
        <v>0</v>
      </c>
      <c r="AI45" s="1335">
        <f>SUM(AI39+AI41+AI42)/AI44</f>
        <v>0</v>
      </c>
      <c r="AJ45" s="515">
        <f>SUM(E45:AI45)</f>
        <v>8036</v>
      </c>
      <c r="AK45" s="984">
        <f t="shared" si="132"/>
        <v>0</v>
      </c>
      <c r="AL45" s="689"/>
      <c r="AM45" s="989">
        <f t="shared" si="133"/>
        <v>0</v>
      </c>
      <c r="AN45" s="293"/>
      <c r="AO45" s="637"/>
      <c r="AP45" s="285"/>
      <c r="AQ45" s="285"/>
      <c r="AR45" s="285"/>
      <c r="AS45" s="285"/>
      <c r="AT45" s="286"/>
      <c r="AU45" s="285"/>
      <c r="AV45" s="287"/>
    </row>
    <row r="46" spans="1:48" s="23" customFormat="1" ht="20.65" customHeight="1">
      <c r="A46" s="283"/>
      <c r="B46" s="89"/>
      <c r="C46" s="72"/>
      <c r="D46" s="85" t="s">
        <v>110</v>
      </c>
      <c r="E46" s="1105"/>
      <c r="F46" s="1106"/>
      <c r="G46" s="1211"/>
      <c r="H46" s="1104"/>
      <c r="I46" s="1104"/>
      <c r="J46" s="1211"/>
      <c r="K46" s="1211"/>
      <c r="L46" s="1104"/>
      <c r="M46" s="1104"/>
      <c r="N46" s="1104"/>
      <c r="O46" s="1104"/>
      <c r="P46" s="1104"/>
      <c r="Q46" s="1211"/>
      <c r="R46" s="1211"/>
      <c r="S46" s="1104"/>
      <c r="T46" s="1104"/>
      <c r="U46" s="1104"/>
      <c r="V46" s="1104"/>
      <c r="W46" s="1104"/>
      <c r="X46" s="1211"/>
      <c r="Y46" s="1211"/>
      <c r="Z46" s="1104"/>
      <c r="AA46" s="1104"/>
      <c r="AB46" s="1104"/>
      <c r="AC46" s="1104"/>
      <c r="AD46" s="1104"/>
      <c r="AE46" s="1211"/>
      <c r="AF46" s="1211"/>
      <c r="AG46" s="1104"/>
      <c r="AH46" s="1104"/>
      <c r="AI46" s="1353"/>
      <c r="AJ46" s="86"/>
      <c r="AK46" s="984">
        <f t="shared" si="132"/>
        <v>0</v>
      </c>
      <c r="AL46" s="690"/>
      <c r="AM46" s="989">
        <f t="shared" si="133"/>
        <v>0</v>
      </c>
      <c r="AN46" s="277"/>
      <c r="AO46" s="637"/>
      <c r="AP46" s="285"/>
      <c r="AQ46" s="285"/>
      <c r="AR46" s="285"/>
      <c r="AS46" s="285"/>
      <c r="AT46" s="286"/>
      <c r="AU46" s="285"/>
      <c r="AV46" s="287"/>
    </row>
    <row r="47" spans="1:48" s="23" customFormat="1" ht="20.65" customHeight="1">
      <c r="A47" s="283"/>
      <c r="B47" s="89"/>
      <c r="C47" s="72" t="s">
        <v>104</v>
      </c>
      <c r="D47" s="88" t="s">
        <v>111</v>
      </c>
      <c r="E47" s="1108">
        <f>IF(E46="O/H",E45,0+E45)</f>
        <v>0</v>
      </c>
      <c r="F47" s="1089">
        <f t="shared" ref="F47:AI47" si="135">IF(F46="O/H",F45,+E47+F45)</f>
        <v>817</v>
      </c>
      <c r="G47" s="44">
        <f t="shared" si="135"/>
        <v>817</v>
      </c>
      <c r="H47" s="1089">
        <f t="shared" si="135"/>
        <v>1209</v>
      </c>
      <c r="I47" s="1089">
        <f t="shared" si="135"/>
        <v>1762</v>
      </c>
      <c r="J47" s="44">
        <f t="shared" si="135"/>
        <v>1762</v>
      </c>
      <c r="K47" s="44">
        <f t="shared" si="135"/>
        <v>1762</v>
      </c>
      <c r="L47" s="1089">
        <f t="shared" si="135"/>
        <v>4406</v>
      </c>
      <c r="M47" s="1089">
        <f t="shared" si="135"/>
        <v>8036</v>
      </c>
      <c r="N47" s="1089">
        <f t="shared" si="135"/>
        <v>8036</v>
      </c>
      <c r="O47" s="1089">
        <f t="shared" si="135"/>
        <v>8036</v>
      </c>
      <c r="P47" s="1089">
        <f t="shared" si="135"/>
        <v>8036</v>
      </c>
      <c r="Q47" s="44">
        <f t="shared" si="135"/>
        <v>8036</v>
      </c>
      <c r="R47" s="44">
        <f t="shared" si="135"/>
        <v>8036</v>
      </c>
      <c r="S47" s="1089">
        <f t="shared" si="135"/>
        <v>8036</v>
      </c>
      <c r="T47" s="1089">
        <f t="shared" si="135"/>
        <v>8036</v>
      </c>
      <c r="U47" s="1089">
        <f t="shared" si="135"/>
        <v>8036</v>
      </c>
      <c r="V47" s="1089">
        <f t="shared" si="135"/>
        <v>8036</v>
      </c>
      <c r="W47" s="1089">
        <f t="shared" si="135"/>
        <v>8036</v>
      </c>
      <c r="X47" s="44">
        <f t="shared" si="135"/>
        <v>8036</v>
      </c>
      <c r="Y47" s="44">
        <f t="shared" si="135"/>
        <v>8036</v>
      </c>
      <c r="Z47" s="1089">
        <f t="shared" si="135"/>
        <v>8036</v>
      </c>
      <c r="AA47" s="1089">
        <f t="shared" si="135"/>
        <v>8036</v>
      </c>
      <c r="AB47" s="1089">
        <f t="shared" si="135"/>
        <v>8036</v>
      </c>
      <c r="AC47" s="1089">
        <f t="shared" si="135"/>
        <v>8036</v>
      </c>
      <c r="AD47" s="1089">
        <f t="shared" si="135"/>
        <v>8036</v>
      </c>
      <c r="AE47" s="44">
        <f t="shared" si="135"/>
        <v>8036</v>
      </c>
      <c r="AF47" s="44">
        <f t="shared" si="135"/>
        <v>8036</v>
      </c>
      <c r="AG47" s="1089">
        <f t="shared" si="135"/>
        <v>8036</v>
      </c>
      <c r="AH47" s="1089">
        <f t="shared" si="135"/>
        <v>8036</v>
      </c>
      <c r="AI47" s="1326">
        <f t="shared" si="135"/>
        <v>8036</v>
      </c>
      <c r="AJ47" s="79"/>
      <c r="AK47" s="984">
        <f t="shared" si="132"/>
        <v>0</v>
      </c>
      <c r="AL47" s="689"/>
      <c r="AM47" s="989">
        <f t="shared" si="133"/>
        <v>0</v>
      </c>
      <c r="AN47" s="277"/>
      <c r="AO47" s="637"/>
      <c r="AP47" s="285"/>
      <c r="AQ47" s="285"/>
      <c r="AR47" s="285"/>
      <c r="AS47" s="285"/>
      <c r="AT47" s="286"/>
      <c r="AU47" s="285"/>
      <c r="AV47" s="287"/>
    </row>
    <row r="48" spans="1:48" s="23" customFormat="1" ht="20.45" customHeight="1">
      <c r="A48" s="312"/>
      <c r="B48" s="312"/>
      <c r="C48" s="308">
        <v>300000</v>
      </c>
      <c r="D48" s="795" t="s">
        <v>112</v>
      </c>
      <c r="E48" s="1108">
        <f>IF(AND(ISNUMBER(E39)),48993+E45)</f>
        <v>48993</v>
      </c>
      <c r="F48" s="1089">
        <f>IF(AND(ISNUMBER(F39)),E48+F45,"")</f>
        <v>49810</v>
      </c>
      <c r="G48" s="44">
        <f t="shared" ref="G48:AH48" si="136">IF(AND(ISNUMBER(G39)),F48+G45,"")</f>
        <v>49810</v>
      </c>
      <c r="H48" s="1089">
        <f t="shared" si="136"/>
        <v>50202</v>
      </c>
      <c r="I48" s="1089">
        <f t="shared" si="136"/>
        <v>50755</v>
      </c>
      <c r="J48" s="44">
        <f t="shared" si="136"/>
        <v>50755</v>
      </c>
      <c r="K48" s="44">
        <f t="shared" si="136"/>
        <v>50755</v>
      </c>
      <c r="L48" s="1089">
        <f t="shared" si="136"/>
        <v>53399</v>
      </c>
      <c r="M48" s="1089">
        <f t="shared" si="136"/>
        <v>57029</v>
      </c>
      <c r="N48" s="1089">
        <f t="shared" si="136"/>
        <v>57029</v>
      </c>
      <c r="O48" s="1089">
        <f t="shared" si="136"/>
        <v>57029</v>
      </c>
      <c r="P48" s="1089">
        <f t="shared" si="136"/>
        <v>57029</v>
      </c>
      <c r="Q48" s="44">
        <f t="shared" si="136"/>
        <v>57029</v>
      </c>
      <c r="R48" s="44">
        <f t="shared" si="136"/>
        <v>57029</v>
      </c>
      <c r="S48" s="1089">
        <f t="shared" si="136"/>
        <v>57029</v>
      </c>
      <c r="T48" s="1089">
        <f t="shared" si="136"/>
        <v>57029</v>
      </c>
      <c r="U48" s="1089">
        <f t="shared" si="136"/>
        <v>57029</v>
      </c>
      <c r="V48" s="1089">
        <f t="shared" si="136"/>
        <v>57029</v>
      </c>
      <c r="W48" s="1089">
        <f t="shared" si="136"/>
        <v>57029</v>
      </c>
      <c r="X48" s="44">
        <f t="shared" si="136"/>
        <v>57029</v>
      </c>
      <c r="Y48" s="44">
        <f t="shared" si="136"/>
        <v>57029</v>
      </c>
      <c r="Z48" s="1089">
        <f t="shared" si="136"/>
        <v>57029</v>
      </c>
      <c r="AA48" s="1089">
        <f t="shared" si="136"/>
        <v>57029</v>
      </c>
      <c r="AB48" s="1089" t="str">
        <f t="shared" si="136"/>
        <v/>
      </c>
      <c r="AC48" s="1089" t="str">
        <f t="shared" si="136"/>
        <v/>
      </c>
      <c r="AD48" s="1089" t="str">
        <f t="shared" si="136"/>
        <v/>
      </c>
      <c r="AE48" s="44" t="str">
        <f t="shared" si="136"/>
        <v/>
      </c>
      <c r="AF48" s="44" t="str">
        <f t="shared" si="136"/>
        <v/>
      </c>
      <c r="AG48" s="1089" t="str">
        <f t="shared" si="136"/>
        <v/>
      </c>
      <c r="AH48" s="1089" t="str">
        <f t="shared" si="136"/>
        <v/>
      </c>
      <c r="AI48" s="1089" t="str">
        <f>IF(AND(ISNUMBER(AI39)),AH48+AI45,"")</f>
        <v/>
      </c>
      <c r="AJ48" s="793"/>
      <c r="AK48" s="985">
        <f t="shared" si="132"/>
        <v>0</v>
      </c>
      <c r="AL48" s="909"/>
      <c r="AM48" s="987">
        <f t="shared" si="133"/>
        <v>0</v>
      </c>
      <c r="AN48" s="429"/>
      <c r="AO48" s="675"/>
      <c r="AP48" s="285"/>
      <c r="AQ48" s="285"/>
      <c r="AR48" s="285"/>
      <c r="AS48" s="285"/>
      <c r="AT48" s="286"/>
      <c r="AU48" s="285"/>
      <c r="AV48" s="287"/>
    </row>
    <row r="49" spans="1:48" s="23" customFormat="1" ht="20.65" customHeight="1">
      <c r="A49" s="276" t="s">
        <v>506</v>
      </c>
      <c r="B49" s="288" t="s">
        <v>569</v>
      </c>
      <c r="C49" s="80" t="s">
        <v>108</v>
      </c>
      <c r="D49" s="90" t="s">
        <v>104</v>
      </c>
      <c r="E49" s="1108"/>
      <c r="F49" s="1089"/>
      <c r="G49" s="44"/>
      <c r="H49" s="1089"/>
      <c r="I49" s="1089"/>
      <c r="J49" s="44"/>
      <c r="K49" s="44"/>
      <c r="L49" s="1089"/>
      <c r="M49" s="1089"/>
      <c r="N49" s="1089"/>
      <c r="O49" s="1089"/>
      <c r="P49" s="1089"/>
      <c r="Q49" s="44"/>
      <c r="R49" s="44"/>
      <c r="S49" s="1089"/>
      <c r="T49" s="1089"/>
      <c r="U49" s="1089"/>
      <c r="V49" s="1089"/>
      <c r="W49" s="1089"/>
      <c r="X49" s="44"/>
      <c r="Y49" s="44"/>
      <c r="Z49" s="1089"/>
      <c r="AA49" s="1089"/>
      <c r="AB49" s="1089"/>
      <c r="AC49" s="1089"/>
      <c r="AD49" s="1089"/>
      <c r="AE49" s="44"/>
      <c r="AF49" s="44"/>
      <c r="AG49" s="1089"/>
      <c r="AH49" s="1089"/>
      <c r="AI49" s="1326"/>
      <c r="AJ49" s="79"/>
      <c r="AK49" s="983">
        <f t="shared" si="132"/>
        <v>250000</v>
      </c>
      <c r="AL49" s="63"/>
      <c r="AM49" s="989">
        <f t="shared" si="133"/>
        <v>699107.5</v>
      </c>
      <c r="AN49" s="91"/>
      <c r="AO49" s="758"/>
      <c r="AP49" s="285"/>
      <c r="AQ49" s="285"/>
      <c r="AR49" s="285"/>
      <c r="AS49" s="285"/>
      <c r="AT49" s="286"/>
      <c r="AU49" s="285"/>
      <c r="AV49" s="287"/>
    </row>
    <row r="50" spans="1:48" s="23" customFormat="1" ht="20.25" customHeight="1" thickBot="1">
      <c r="A50" s="289" t="s">
        <v>506</v>
      </c>
      <c r="B50" s="290"/>
      <c r="C50" s="291">
        <f>+C48*0.8</f>
        <v>240000</v>
      </c>
      <c r="D50" s="88" t="s">
        <v>111</v>
      </c>
      <c r="E50" s="1109">
        <f>IF(E49="O/H",E45,0+E45)</f>
        <v>0</v>
      </c>
      <c r="F50" s="1110">
        <f t="shared" ref="F50:AI50" si="137">IF(F49="O/H",F45,+E50+F45)</f>
        <v>817</v>
      </c>
      <c r="G50" s="1212">
        <f t="shared" si="137"/>
        <v>817</v>
      </c>
      <c r="H50" s="1110">
        <f t="shared" si="137"/>
        <v>1209</v>
      </c>
      <c r="I50" s="1110">
        <f t="shared" si="137"/>
        <v>1762</v>
      </c>
      <c r="J50" s="1212">
        <f t="shared" si="137"/>
        <v>1762</v>
      </c>
      <c r="K50" s="1212">
        <f t="shared" si="137"/>
        <v>1762</v>
      </c>
      <c r="L50" s="1110">
        <f t="shared" si="137"/>
        <v>4406</v>
      </c>
      <c r="M50" s="1110">
        <f t="shared" si="137"/>
        <v>8036</v>
      </c>
      <c r="N50" s="1110">
        <f t="shared" si="137"/>
        <v>8036</v>
      </c>
      <c r="O50" s="1110">
        <f t="shared" si="137"/>
        <v>8036</v>
      </c>
      <c r="P50" s="1110">
        <f t="shared" si="137"/>
        <v>8036</v>
      </c>
      <c r="Q50" s="1212">
        <f t="shared" si="137"/>
        <v>8036</v>
      </c>
      <c r="R50" s="1212">
        <f t="shared" si="137"/>
        <v>8036</v>
      </c>
      <c r="S50" s="1110">
        <f t="shared" si="137"/>
        <v>8036</v>
      </c>
      <c r="T50" s="1110">
        <f t="shared" si="137"/>
        <v>8036</v>
      </c>
      <c r="U50" s="1110">
        <f t="shared" si="137"/>
        <v>8036</v>
      </c>
      <c r="V50" s="1110">
        <f t="shared" si="137"/>
        <v>8036</v>
      </c>
      <c r="W50" s="1110">
        <f t="shared" si="137"/>
        <v>8036</v>
      </c>
      <c r="X50" s="1212">
        <f t="shared" si="137"/>
        <v>8036</v>
      </c>
      <c r="Y50" s="1212">
        <f t="shared" si="137"/>
        <v>8036</v>
      </c>
      <c r="Z50" s="1110">
        <f t="shared" si="137"/>
        <v>8036</v>
      </c>
      <c r="AA50" s="1110">
        <f t="shared" si="137"/>
        <v>8036</v>
      </c>
      <c r="AB50" s="1110">
        <f t="shared" si="137"/>
        <v>8036</v>
      </c>
      <c r="AC50" s="1110">
        <f t="shared" si="137"/>
        <v>8036</v>
      </c>
      <c r="AD50" s="1110">
        <f t="shared" si="137"/>
        <v>8036</v>
      </c>
      <c r="AE50" s="1212">
        <f t="shared" si="137"/>
        <v>8036</v>
      </c>
      <c r="AF50" s="1212">
        <f t="shared" si="137"/>
        <v>8036</v>
      </c>
      <c r="AG50" s="1110">
        <f t="shared" si="137"/>
        <v>8036</v>
      </c>
      <c r="AH50" s="1110">
        <f t="shared" si="137"/>
        <v>8036</v>
      </c>
      <c r="AI50" s="1340">
        <f t="shared" si="137"/>
        <v>8036</v>
      </c>
      <c r="AJ50" s="86"/>
      <c r="AK50" s="984">
        <f t="shared" si="132"/>
        <v>252000</v>
      </c>
      <c r="AL50" s="83"/>
      <c r="AM50" s="1057">
        <f t="shared" si="133"/>
        <v>711327.48</v>
      </c>
      <c r="AN50" s="277"/>
      <c r="AO50" s="637"/>
      <c r="AP50" s="285"/>
      <c r="AQ50" s="285"/>
      <c r="AR50" s="285"/>
      <c r="AS50" s="285"/>
      <c r="AT50" s="286"/>
      <c r="AU50" s="285"/>
      <c r="AV50" s="287"/>
    </row>
    <row r="51" spans="1:48" s="23" customFormat="1" ht="24" customHeight="1" thickTop="1">
      <c r="A51" s="336"/>
      <c r="B51" s="337"/>
      <c r="C51" s="338"/>
      <c r="D51" s="339" t="s">
        <v>82</v>
      </c>
      <c r="E51" s="1354">
        <f>E37+E23+E9</f>
        <v>0</v>
      </c>
      <c r="F51" s="1147">
        <f>F37+F23+F9</f>
        <v>0</v>
      </c>
      <c r="G51" s="1236">
        <f t="shared" ref="G51:AI51" si="138">G37+G23+G9</f>
        <v>0</v>
      </c>
      <c r="H51" s="1147">
        <f t="shared" si="138"/>
        <v>0</v>
      </c>
      <c r="I51" s="1147">
        <f t="shared" si="138"/>
        <v>0</v>
      </c>
      <c r="J51" s="1236">
        <f t="shared" si="138"/>
        <v>0</v>
      </c>
      <c r="K51" s="1236">
        <f t="shared" si="138"/>
        <v>0</v>
      </c>
      <c r="L51" s="1147">
        <f t="shared" si="138"/>
        <v>8000</v>
      </c>
      <c r="M51" s="1147">
        <f t="shared" si="138"/>
        <v>19000</v>
      </c>
      <c r="N51" s="1147">
        <f t="shared" si="138"/>
        <v>19000</v>
      </c>
      <c r="O51" s="1147">
        <f t="shared" si="138"/>
        <v>19000</v>
      </c>
      <c r="P51" s="1147">
        <f t="shared" si="138"/>
        <v>19000</v>
      </c>
      <c r="Q51" s="1236">
        <f t="shared" si="138"/>
        <v>19000</v>
      </c>
      <c r="R51" s="1236">
        <f t="shared" si="138"/>
        <v>19000</v>
      </c>
      <c r="S51" s="1147">
        <f t="shared" si="138"/>
        <v>19000</v>
      </c>
      <c r="T51" s="1147">
        <f t="shared" si="138"/>
        <v>19000</v>
      </c>
      <c r="U51" s="1147">
        <f t="shared" si="138"/>
        <v>19000</v>
      </c>
      <c r="V51" s="1147">
        <f t="shared" si="138"/>
        <v>19000</v>
      </c>
      <c r="W51" s="1147">
        <f t="shared" si="138"/>
        <v>19000</v>
      </c>
      <c r="X51" s="1236">
        <f t="shared" si="138"/>
        <v>0</v>
      </c>
      <c r="Y51" s="1236">
        <f t="shared" si="138"/>
        <v>0</v>
      </c>
      <c r="Z51" s="1147">
        <f t="shared" si="138"/>
        <v>8000</v>
      </c>
      <c r="AA51" s="1147">
        <f t="shared" si="138"/>
        <v>19000</v>
      </c>
      <c r="AB51" s="1147">
        <f t="shared" si="138"/>
        <v>6000</v>
      </c>
      <c r="AC51" s="1147">
        <f t="shared" si="138"/>
        <v>0</v>
      </c>
      <c r="AD51" s="1147">
        <f t="shared" si="138"/>
        <v>0</v>
      </c>
      <c r="AE51" s="1236">
        <f t="shared" si="138"/>
        <v>0</v>
      </c>
      <c r="AF51" s="1236">
        <f t="shared" si="138"/>
        <v>0</v>
      </c>
      <c r="AG51" s="1147">
        <f t="shared" si="138"/>
        <v>0</v>
      </c>
      <c r="AH51" s="1147">
        <f t="shared" si="138"/>
        <v>0</v>
      </c>
      <c r="AI51" s="1147">
        <f t="shared" si="138"/>
        <v>0</v>
      </c>
      <c r="AJ51" s="528">
        <f>+AJ37+AJ9+AJ23</f>
        <v>250000</v>
      </c>
      <c r="AK51" s="1084">
        <f>AJ52</f>
        <v>252000</v>
      </c>
      <c r="AL51" s="697">
        <f>AL37+AL9+AL23</f>
        <v>699107.5</v>
      </c>
      <c r="AM51" s="1090">
        <f>AL52</f>
        <v>711327.48</v>
      </c>
      <c r="AN51" s="119"/>
      <c r="AO51" s="760"/>
      <c r="AP51" s="285"/>
      <c r="AQ51" s="285"/>
      <c r="AR51" s="285"/>
      <c r="AS51" s="285"/>
      <c r="AT51" s="286"/>
      <c r="AU51" s="285"/>
    </row>
    <row r="52" spans="1:48" s="23" customFormat="1" ht="23.25" customHeight="1">
      <c r="A52" s="336"/>
      <c r="B52" s="337"/>
      <c r="C52" s="338"/>
      <c r="D52" s="340" t="s">
        <v>93</v>
      </c>
      <c r="E52" s="1355">
        <f>E39+E25+E11</f>
        <v>0</v>
      </c>
      <c r="F52" s="1167">
        <f>F39+F25+F11</f>
        <v>0</v>
      </c>
      <c r="G52" s="1237">
        <f t="shared" ref="G52:AI52" si="139">G39+G25+G11</f>
        <v>0</v>
      </c>
      <c r="H52" s="1167">
        <f t="shared" si="139"/>
        <v>0</v>
      </c>
      <c r="I52" s="1167">
        <f t="shared" si="139"/>
        <v>0</v>
      </c>
      <c r="J52" s="1237">
        <f t="shared" si="139"/>
        <v>0</v>
      </c>
      <c r="K52" s="1237">
        <f t="shared" si="139"/>
        <v>0</v>
      </c>
      <c r="L52" s="1167">
        <f t="shared" si="139"/>
        <v>9600</v>
      </c>
      <c r="M52" s="1167">
        <f t="shared" si="139"/>
        <v>14400</v>
      </c>
      <c r="N52" s="1167">
        <f t="shared" si="139"/>
        <v>0</v>
      </c>
      <c r="O52" s="1167">
        <f t="shared" si="139"/>
        <v>2400</v>
      </c>
      <c r="P52" s="1167">
        <f t="shared" si="139"/>
        <v>19200</v>
      </c>
      <c r="Q52" s="1237">
        <f t="shared" si="139"/>
        <v>20000</v>
      </c>
      <c r="R52" s="1237">
        <f t="shared" si="139"/>
        <v>19200</v>
      </c>
      <c r="S52" s="1167">
        <f t="shared" si="139"/>
        <v>18400</v>
      </c>
      <c r="T52" s="1167">
        <f t="shared" si="139"/>
        <v>19200</v>
      </c>
      <c r="U52" s="1167">
        <f t="shared" si="139"/>
        <v>19200</v>
      </c>
      <c r="V52" s="1167">
        <f t="shared" si="139"/>
        <v>19200</v>
      </c>
      <c r="W52" s="1167">
        <f t="shared" si="139"/>
        <v>19200</v>
      </c>
      <c r="X52" s="1237">
        <f t="shared" si="139"/>
        <v>19200</v>
      </c>
      <c r="Y52" s="1237">
        <f t="shared" si="139"/>
        <v>19200</v>
      </c>
      <c r="Z52" s="1167">
        <f t="shared" si="139"/>
        <v>14400</v>
      </c>
      <c r="AA52" s="1167">
        <f t="shared" si="139"/>
        <v>19200</v>
      </c>
      <c r="AB52" s="1167">
        <f t="shared" si="139"/>
        <v>0</v>
      </c>
      <c r="AC52" s="1167">
        <f t="shared" si="139"/>
        <v>0</v>
      </c>
      <c r="AD52" s="1167">
        <f t="shared" si="139"/>
        <v>0</v>
      </c>
      <c r="AE52" s="1237">
        <f t="shared" si="139"/>
        <v>0</v>
      </c>
      <c r="AF52" s="1237">
        <f t="shared" si="139"/>
        <v>0</v>
      </c>
      <c r="AG52" s="1167">
        <f t="shared" si="139"/>
        <v>0</v>
      </c>
      <c r="AH52" s="1167">
        <f t="shared" si="139"/>
        <v>0</v>
      </c>
      <c r="AI52" s="1167">
        <f t="shared" si="139"/>
        <v>0</v>
      </c>
      <c r="AJ52" s="529">
        <f>AJ39+AJ11+AJ25</f>
        <v>252000</v>
      </c>
      <c r="AK52" s="1061">
        <f t="shared" si="132"/>
        <v>1840</v>
      </c>
      <c r="AL52" s="698">
        <f>AL11+AL39+AL25</f>
        <v>711327.48</v>
      </c>
      <c r="AM52" s="994">
        <f t="shared" si="133"/>
        <v>5205.07528</v>
      </c>
      <c r="AN52" s="124"/>
      <c r="AO52" s="627"/>
      <c r="AP52" s="285"/>
      <c r="AQ52" s="285"/>
      <c r="AR52" s="285"/>
      <c r="AS52" s="285"/>
      <c r="AT52" s="286"/>
      <c r="AU52" s="285"/>
    </row>
    <row r="53" spans="1:48" s="23" customFormat="1" ht="23.25" customHeight="1">
      <c r="A53" s="336"/>
      <c r="B53" s="125" t="s">
        <v>68</v>
      </c>
      <c r="C53" s="338"/>
      <c r="D53" s="341" t="s">
        <v>229</v>
      </c>
      <c r="E53" s="1356">
        <f t="shared" ref="E53:F55" si="140">E41+E27+E13</f>
        <v>0</v>
      </c>
      <c r="F53" s="1168">
        <f t="shared" si="140"/>
        <v>3268</v>
      </c>
      <c r="G53" s="1238">
        <f t="shared" ref="G53:AI53" si="141">G41+G27+G13</f>
        <v>0</v>
      </c>
      <c r="H53" s="1168">
        <f t="shared" si="141"/>
        <v>1568</v>
      </c>
      <c r="I53" s="1168">
        <f t="shared" si="141"/>
        <v>2212</v>
      </c>
      <c r="J53" s="1238">
        <f t="shared" si="141"/>
        <v>0</v>
      </c>
      <c r="K53" s="1238">
        <f t="shared" si="141"/>
        <v>0</v>
      </c>
      <c r="L53" s="1168">
        <f t="shared" si="141"/>
        <v>880</v>
      </c>
      <c r="M53" s="1168">
        <f t="shared" si="141"/>
        <v>0</v>
      </c>
      <c r="N53" s="1168">
        <f t="shared" si="141"/>
        <v>300</v>
      </c>
      <c r="O53" s="1168">
        <f t="shared" si="141"/>
        <v>800</v>
      </c>
      <c r="P53" s="1168">
        <f t="shared" si="141"/>
        <v>0</v>
      </c>
      <c r="Q53" s="1238">
        <f t="shared" si="141"/>
        <v>0</v>
      </c>
      <c r="R53" s="1238">
        <f t="shared" si="141"/>
        <v>0</v>
      </c>
      <c r="S53" s="1168">
        <f t="shared" si="141"/>
        <v>0</v>
      </c>
      <c r="T53" s="1168">
        <f t="shared" si="141"/>
        <v>0</v>
      </c>
      <c r="U53" s="1168">
        <f t="shared" si="141"/>
        <v>0</v>
      </c>
      <c r="V53" s="1168">
        <f t="shared" si="141"/>
        <v>0</v>
      </c>
      <c r="W53" s="1168">
        <f t="shared" si="141"/>
        <v>0</v>
      </c>
      <c r="X53" s="1238">
        <f t="shared" si="141"/>
        <v>0</v>
      </c>
      <c r="Y53" s="1238">
        <f t="shared" si="141"/>
        <v>60</v>
      </c>
      <c r="Z53" s="1168">
        <f t="shared" si="141"/>
        <v>60</v>
      </c>
      <c r="AA53" s="1168">
        <f t="shared" si="141"/>
        <v>0</v>
      </c>
      <c r="AB53" s="1168">
        <f t="shared" si="141"/>
        <v>0</v>
      </c>
      <c r="AC53" s="1168">
        <f t="shared" si="141"/>
        <v>0</v>
      </c>
      <c r="AD53" s="1168">
        <f t="shared" si="141"/>
        <v>0</v>
      </c>
      <c r="AE53" s="1238">
        <f t="shared" si="141"/>
        <v>0</v>
      </c>
      <c r="AF53" s="1238">
        <f t="shared" si="141"/>
        <v>0</v>
      </c>
      <c r="AG53" s="1168">
        <f t="shared" si="141"/>
        <v>0</v>
      </c>
      <c r="AH53" s="1168">
        <f t="shared" si="141"/>
        <v>0</v>
      </c>
      <c r="AI53" s="1168">
        <f t="shared" si="141"/>
        <v>0</v>
      </c>
      <c r="AJ53" s="530">
        <f>+AJ41+AJ13+AJ27</f>
        <v>9148</v>
      </c>
      <c r="AK53" s="1061">
        <f t="shared" si="132"/>
        <v>0</v>
      </c>
      <c r="AL53" s="699">
        <f>AL41+AL13+AL27</f>
        <v>27770.900279999998</v>
      </c>
      <c r="AM53" s="994">
        <f t="shared" si="133"/>
        <v>0</v>
      </c>
      <c r="AN53" s="91"/>
      <c r="AO53" s="623"/>
      <c r="AP53" s="285"/>
      <c r="AQ53" s="285"/>
      <c r="AR53" s="285"/>
      <c r="AS53" s="285"/>
      <c r="AT53" s="286"/>
      <c r="AU53" s="285"/>
    </row>
    <row r="54" spans="1:48" s="23" customFormat="1" ht="23.1" customHeight="1">
      <c r="A54" s="336"/>
      <c r="B54" s="342"/>
      <c r="C54" s="338"/>
      <c r="D54" s="343" t="s">
        <v>103</v>
      </c>
      <c r="E54" s="1357">
        <f t="shared" si="140"/>
        <v>0</v>
      </c>
      <c r="F54" s="1169">
        <f t="shared" si="140"/>
        <v>0</v>
      </c>
      <c r="G54" s="1239">
        <f t="shared" ref="G54:AI54" si="142">G42+G28+G14</f>
        <v>0</v>
      </c>
      <c r="H54" s="1169">
        <f t="shared" si="142"/>
        <v>0</v>
      </c>
      <c r="I54" s="1169">
        <f t="shared" si="142"/>
        <v>0</v>
      </c>
      <c r="J54" s="1239">
        <f t="shared" si="142"/>
        <v>0</v>
      </c>
      <c r="K54" s="1239">
        <f t="shared" si="142"/>
        <v>0</v>
      </c>
      <c r="L54" s="1169">
        <f t="shared" si="142"/>
        <v>96</v>
      </c>
      <c r="M54" s="1169">
        <f t="shared" si="142"/>
        <v>120</v>
      </c>
      <c r="N54" s="1169">
        <f t="shared" si="142"/>
        <v>0</v>
      </c>
      <c r="O54" s="1169">
        <f t="shared" si="142"/>
        <v>16</v>
      </c>
      <c r="P54" s="1169">
        <f t="shared" si="142"/>
        <v>144</v>
      </c>
      <c r="Q54" s="1239">
        <f t="shared" si="142"/>
        <v>144</v>
      </c>
      <c r="R54" s="1239">
        <f t="shared" si="142"/>
        <v>144</v>
      </c>
      <c r="S54" s="1169">
        <f t="shared" si="142"/>
        <v>144</v>
      </c>
      <c r="T54" s="1169">
        <f t="shared" si="142"/>
        <v>120</v>
      </c>
      <c r="U54" s="1169">
        <f t="shared" si="142"/>
        <v>120</v>
      </c>
      <c r="V54" s="1169">
        <f t="shared" si="142"/>
        <v>120</v>
      </c>
      <c r="W54" s="1169">
        <f t="shared" si="142"/>
        <v>120</v>
      </c>
      <c r="X54" s="1239">
        <f t="shared" si="142"/>
        <v>144</v>
      </c>
      <c r="Y54" s="1239">
        <f t="shared" si="142"/>
        <v>144</v>
      </c>
      <c r="Z54" s="1169">
        <f t="shared" si="142"/>
        <v>120</v>
      </c>
      <c r="AA54" s="1169">
        <f t="shared" si="142"/>
        <v>144</v>
      </c>
      <c r="AB54" s="1169">
        <f t="shared" si="142"/>
        <v>0</v>
      </c>
      <c r="AC54" s="1169">
        <f t="shared" si="142"/>
        <v>0</v>
      </c>
      <c r="AD54" s="1169">
        <f t="shared" si="142"/>
        <v>0</v>
      </c>
      <c r="AE54" s="1239">
        <f t="shared" si="142"/>
        <v>0</v>
      </c>
      <c r="AF54" s="1239">
        <f t="shared" si="142"/>
        <v>0</v>
      </c>
      <c r="AG54" s="1169">
        <f t="shared" si="142"/>
        <v>0</v>
      </c>
      <c r="AH54" s="1169">
        <f t="shared" si="142"/>
        <v>0</v>
      </c>
      <c r="AI54" s="1169">
        <f t="shared" si="142"/>
        <v>0</v>
      </c>
      <c r="AJ54" s="724">
        <f>AJ42+AJ14+AJ28</f>
        <v>1840</v>
      </c>
      <c r="AK54" s="1061">
        <f t="shared" si="132"/>
        <v>3.5029944705684136E-2</v>
      </c>
      <c r="AL54" s="700">
        <f>AL42+AL14+AL28</f>
        <v>5205.07528</v>
      </c>
      <c r="AM54" s="994">
        <f t="shared" si="133"/>
        <v>3.7574024001350501E-2</v>
      </c>
      <c r="AN54" s="91"/>
      <c r="AO54" s="623"/>
      <c r="AP54" s="285"/>
      <c r="AQ54" s="285"/>
      <c r="AR54" s="285"/>
      <c r="AS54" s="285"/>
      <c r="AT54" s="286"/>
      <c r="AU54" s="285"/>
    </row>
    <row r="55" spans="1:48" s="23" customFormat="1" ht="23.1" customHeight="1">
      <c r="A55" s="336"/>
      <c r="B55" s="337"/>
      <c r="C55" s="338"/>
      <c r="D55" s="344" t="s">
        <v>105</v>
      </c>
      <c r="E55" s="1358">
        <f t="shared" si="140"/>
        <v>0</v>
      </c>
      <c r="F55" s="1170">
        <f t="shared" si="140"/>
        <v>0</v>
      </c>
      <c r="G55" s="1240">
        <f t="shared" ref="G55:AI55" si="143">G43+G29+G15</f>
        <v>0</v>
      </c>
      <c r="H55" s="1170">
        <f t="shared" si="143"/>
        <v>0</v>
      </c>
      <c r="I55" s="1170">
        <f t="shared" si="143"/>
        <v>0</v>
      </c>
      <c r="J55" s="1240">
        <f t="shared" si="143"/>
        <v>0</v>
      </c>
      <c r="K55" s="1240">
        <f t="shared" si="143"/>
        <v>0</v>
      </c>
      <c r="L55" s="1170">
        <f t="shared" si="143"/>
        <v>0</v>
      </c>
      <c r="M55" s="1170">
        <f t="shared" si="143"/>
        <v>0</v>
      </c>
      <c r="N55" s="1170">
        <f t="shared" si="143"/>
        <v>0</v>
      </c>
      <c r="O55" s="1170">
        <f t="shared" si="143"/>
        <v>0</v>
      </c>
      <c r="P55" s="1170">
        <f t="shared" si="143"/>
        <v>0</v>
      </c>
      <c r="Q55" s="1240">
        <f t="shared" si="143"/>
        <v>0</v>
      </c>
      <c r="R55" s="1240">
        <f t="shared" si="143"/>
        <v>0</v>
      </c>
      <c r="S55" s="1170">
        <f t="shared" si="143"/>
        <v>0</v>
      </c>
      <c r="T55" s="1170">
        <f t="shared" si="143"/>
        <v>0</v>
      </c>
      <c r="U55" s="1170">
        <f t="shared" si="143"/>
        <v>0</v>
      </c>
      <c r="V55" s="1170">
        <f t="shared" si="143"/>
        <v>0</v>
      </c>
      <c r="W55" s="1170">
        <f t="shared" si="143"/>
        <v>0</v>
      </c>
      <c r="X55" s="1240">
        <f t="shared" si="143"/>
        <v>0</v>
      </c>
      <c r="Y55" s="1240">
        <f t="shared" si="143"/>
        <v>0</v>
      </c>
      <c r="Z55" s="1170">
        <f t="shared" si="143"/>
        <v>0</v>
      </c>
      <c r="AA55" s="1170">
        <f t="shared" si="143"/>
        <v>0</v>
      </c>
      <c r="AB55" s="1170">
        <f t="shared" si="143"/>
        <v>0</v>
      </c>
      <c r="AC55" s="1170">
        <f t="shared" si="143"/>
        <v>0</v>
      </c>
      <c r="AD55" s="1170">
        <f t="shared" si="143"/>
        <v>0</v>
      </c>
      <c r="AE55" s="1240">
        <f t="shared" si="143"/>
        <v>0</v>
      </c>
      <c r="AF55" s="1240">
        <f t="shared" si="143"/>
        <v>0</v>
      </c>
      <c r="AG55" s="1170">
        <f t="shared" si="143"/>
        <v>0</v>
      </c>
      <c r="AH55" s="1170">
        <f t="shared" si="143"/>
        <v>0</v>
      </c>
      <c r="AI55" s="1170">
        <f t="shared" si="143"/>
        <v>0</v>
      </c>
      <c r="AJ55" s="725">
        <f>AJ43+AJ15+AJ29</f>
        <v>0</v>
      </c>
      <c r="AK55" s="1061">
        <f t="shared" si="132"/>
        <v>0</v>
      </c>
      <c r="AL55" s="701">
        <f>AL43+AL15+AL29</f>
        <v>0</v>
      </c>
      <c r="AM55" s="994">
        <f t="shared" si="133"/>
        <v>0</v>
      </c>
      <c r="AN55" s="91"/>
      <c r="AO55" s="623"/>
      <c r="AP55" s="285"/>
      <c r="AQ55" s="285"/>
      <c r="AR55" s="285"/>
      <c r="AS55" s="285"/>
      <c r="AT55" s="286"/>
      <c r="AU55" s="285"/>
    </row>
    <row r="56" spans="1:48" s="23" customFormat="1" ht="27.75" customHeight="1" thickBot="1">
      <c r="A56" s="336"/>
      <c r="B56" s="337"/>
      <c r="C56" s="338"/>
      <c r="D56" s="345" t="s">
        <v>230</v>
      </c>
      <c r="E56" s="1348" t="e">
        <f>E53/E52</f>
        <v>#DIV/0!</v>
      </c>
      <c r="F56" s="1171" t="e">
        <f t="shared" ref="F56:AI56" si="144">F53/F52</f>
        <v>#DIV/0!</v>
      </c>
      <c r="G56" s="1241" t="e">
        <f t="shared" si="144"/>
        <v>#DIV/0!</v>
      </c>
      <c r="H56" s="1171" t="e">
        <f t="shared" si="144"/>
        <v>#DIV/0!</v>
      </c>
      <c r="I56" s="1171" t="e">
        <f t="shared" si="144"/>
        <v>#DIV/0!</v>
      </c>
      <c r="J56" s="1241" t="e">
        <f t="shared" si="144"/>
        <v>#DIV/0!</v>
      </c>
      <c r="K56" s="1241" t="e">
        <f t="shared" si="144"/>
        <v>#DIV/0!</v>
      </c>
      <c r="L56" s="1171">
        <f t="shared" si="144"/>
        <v>9.166666666666666E-2</v>
      </c>
      <c r="M56" s="1171">
        <f t="shared" si="144"/>
        <v>0</v>
      </c>
      <c r="N56" s="1171" t="e">
        <f t="shared" si="144"/>
        <v>#DIV/0!</v>
      </c>
      <c r="O56" s="1171">
        <f t="shared" si="144"/>
        <v>0.33333333333333331</v>
      </c>
      <c r="P56" s="1171">
        <f t="shared" si="144"/>
        <v>0</v>
      </c>
      <c r="Q56" s="1241">
        <f t="shared" si="144"/>
        <v>0</v>
      </c>
      <c r="R56" s="1241">
        <f t="shared" si="144"/>
        <v>0</v>
      </c>
      <c r="S56" s="1171">
        <f t="shared" si="144"/>
        <v>0</v>
      </c>
      <c r="T56" s="1171">
        <f t="shared" si="144"/>
        <v>0</v>
      </c>
      <c r="U56" s="1171">
        <f t="shared" si="144"/>
        <v>0</v>
      </c>
      <c r="V56" s="1171">
        <f t="shared" si="144"/>
        <v>0</v>
      </c>
      <c r="W56" s="1171">
        <f t="shared" si="144"/>
        <v>0</v>
      </c>
      <c r="X56" s="1241">
        <f t="shared" si="144"/>
        <v>0</v>
      </c>
      <c r="Y56" s="1241">
        <f t="shared" si="144"/>
        <v>3.1250000000000002E-3</v>
      </c>
      <c r="Z56" s="1171">
        <f t="shared" si="144"/>
        <v>4.1666666666666666E-3</v>
      </c>
      <c r="AA56" s="1171">
        <f t="shared" si="144"/>
        <v>0</v>
      </c>
      <c r="AB56" s="1171" t="e">
        <f t="shared" si="144"/>
        <v>#DIV/0!</v>
      </c>
      <c r="AC56" s="1171" t="e">
        <f t="shared" si="144"/>
        <v>#DIV/0!</v>
      </c>
      <c r="AD56" s="1171" t="e">
        <f t="shared" si="144"/>
        <v>#DIV/0!</v>
      </c>
      <c r="AE56" s="1241" t="e">
        <f t="shared" si="144"/>
        <v>#DIV/0!</v>
      </c>
      <c r="AF56" s="1241" t="e">
        <f t="shared" si="144"/>
        <v>#DIV/0!</v>
      </c>
      <c r="AG56" s="1171" t="e">
        <f t="shared" si="144"/>
        <v>#DIV/0!</v>
      </c>
      <c r="AH56" s="1171" t="e">
        <f t="shared" si="144"/>
        <v>#DIV/0!</v>
      </c>
      <c r="AI56" s="1349" t="e">
        <f t="shared" si="144"/>
        <v>#DIV/0!</v>
      </c>
      <c r="AJ56" s="479">
        <f t="shared" ref="AJ56:AL56" si="145">+AJ53/(AJ52+AJ53)</f>
        <v>3.5029944705684136E-2</v>
      </c>
      <c r="AK56" s="1062">
        <f t="shared" si="132"/>
        <v>0</v>
      </c>
      <c r="AL56" s="480">
        <f t="shared" si="145"/>
        <v>3.7574024001350501E-2</v>
      </c>
      <c r="AM56" s="1063">
        <f t="shared" si="133"/>
        <v>0</v>
      </c>
      <c r="AN56" s="91"/>
      <c r="AO56" s="623"/>
      <c r="AP56" s="285"/>
      <c r="AQ56" s="285"/>
      <c r="AR56" s="285"/>
      <c r="AS56" s="285"/>
      <c r="AT56" s="286"/>
      <c r="AU56" s="285"/>
    </row>
    <row r="57" spans="1:48" ht="17.25" customHeight="1" thickTop="1">
      <c r="D57" s="4"/>
      <c r="AJ57" s="147"/>
      <c r="AK57" s="147"/>
    </row>
    <row r="58" spans="1:48" ht="25.15" customHeight="1">
      <c r="D58" s="151"/>
      <c r="E58" s="346"/>
      <c r="F58" s="346"/>
      <c r="G58" s="346"/>
      <c r="H58" s="346"/>
      <c r="I58" s="346"/>
      <c r="J58" s="346"/>
      <c r="K58" s="346"/>
      <c r="L58" s="346"/>
      <c r="M58" s="346"/>
      <c r="N58" s="346"/>
      <c r="O58" s="346"/>
      <c r="P58" s="346"/>
      <c r="Q58" s="346"/>
      <c r="R58" s="346"/>
      <c r="S58" s="346"/>
      <c r="T58" s="346"/>
      <c r="U58" s="346"/>
      <c r="V58" s="346"/>
      <c r="W58" s="346"/>
      <c r="X58" s="346"/>
      <c r="Y58" s="346"/>
      <c r="Z58" s="346"/>
      <c r="AA58" s="346"/>
      <c r="AB58" s="346"/>
      <c r="AC58" s="346"/>
      <c r="AD58" s="346"/>
      <c r="AE58" s="346"/>
      <c r="AF58" s="346"/>
      <c r="AG58" s="346"/>
      <c r="AH58" s="346"/>
      <c r="AI58" s="346"/>
      <c r="AJ58" s="346"/>
      <c r="AK58" s="346"/>
      <c r="AL58" s="347"/>
      <c r="AM58" s="347"/>
      <c r="AN58" s="347"/>
      <c r="AO58" s="347"/>
      <c r="AP58" s="156" t="s">
        <v>512</v>
      </c>
      <c r="AQ58" s="157" t="s">
        <v>232</v>
      </c>
      <c r="AR58" s="157" t="s">
        <v>233</v>
      </c>
      <c r="AS58" s="157" t="s">
        <v>234</v>
      </c>
      <c r="AT58" s="157" t="s">
        <v>235</v>
      </c>
      <c r="AU58" s="157" t="s">
        <v>236</v>
      </c>
      <c r="AV58" s="157" t="s">
        <v>68</v>
      </c>
    </row>
    <row r="59" spans="1:48" ht="30" customHeight="1">
      <c r="D59" s="348"/>
      <c r="E59" s="151"/>
      <c r="F59" s="152"/>
      <c r="G59" s="152"/>
      <c r="H59" s="152"/>
      <c r="I59" s="152"/>
      <c r="J59" s="152"/>
      <c r="K59" s="152"/>
      <c r="L59" s="153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164"/>
      <c r="AC59" s="164"/>
      <c r="AD59" s="164"/>
      <c r="AE59" s="164"/>
      <c r="AF59" s="164"/>
      <c r="AG59" s="164"/>
      <c r="AH59" s="164"/>
      <c r="AI59" s="164"/>
      <c r="AJ59" s="164"/>
      <c r="AK59" s="164"/>
      <c r="AL59" s="347"/>
      <c r="AM59" s="347"/>
      <c r="AN59" s="347"/>
      <c r="AO59" s="347"/>
      <c r="AP59" s="165" t="s">
        <v>91</v>
      </c>
      <c r="AQ59" s="163">
        <f>AQ24+AQ38</f>
        <v>0</v>
      </c>
      <c r="AR59" s="163">
        <f t="shared" ref="AR59:AU59" si="146">AR24+AR38</f>
        <v>65000</v>
      </c>
      <c r="AS59" s="163">
        <f t="shared" si="146"/>
        <v>133000</v>
      </c>
      <c r="AT59" s="163">
        <f t="shared" si="146"/>
        <v>52000</v>
      </c>
      <c r="AU59" s="163">
        <f t="shared" si="146"/>
        <v>0</v>
      </c>
      <c r="AV59" s="541">
        <f>SUM(AQ59:AU59)</f>
        <v>250000</v>
      </c>
    </row>
    <row r="60" spans="1:48" ht="30" customHeight="1">
      <c r="D60" s="161"/>
      <c r="E60" s="162"/>
      <c r="F60" s="163"/>
      <c r="G60" s="163"/>
      <c r="H60" s="163"/>
      <c r="I60" s="163"/>
      <c r="J60" s="163"/>
      <c r="K60" s="163"/>
      <c r="L60" s="163"/>
      <c r="N60" s="164"/>
      <c r="R60" s="164"/>
      <c r="S60" s="164"/>
      <c r="T60" s="164"/>
      <c r="U60" s="164"/>
      <c r="V60" s="164"/>
      <c r="W60" s="164"/>
      <c r="X60" s="164"/>
      <c r="Y60" s="164"/>
      <c r="Z60" s="164"/>
      <c r="AA60" s="164"/>
      <c r="AB60" s="164"/>
      <c r="AC60" s="164"/>
      <c r="AD60" s="164"/>
      <c r="AE60" s="164"/>
      <c r="AF60" s="164"/>
      <c r="AG60" s="164"/>
      <c r="AH60" s="164"/>
      <c r="AI60" s="164"/>
      <c r="AJ60" s="243"/>
      <c r="AK60" s="243"/>
      <c r="AL60" s="349"/>
      <c r="AM60" s="349"/>
      <c r="AN60" s="349"/>
      <c r="AO60" s="349"/>
      <c r="AP60" s="172" t="s">
        <v>94</v>
      </c>
      <c r="AQ60" s="171">
        <f>AQ25+AQ39</f>
        <v>0</v>
      </c>
      <c r="AR60" s="171">
        <f t="shared" ref="AR60:AU60" si="147">AR25+AR39</f>
        <v>26400</v>
      </c>
      <c r="AS60" s="171">
        <f t="shared" si="147"/>
        <v>134400</v>
      </c>
      <c r="AT60" s="171">
        <f t="shared" si="147"/>
        <v>91200</v>
      </c>
      <c r="AU60" s="171">
        <f t="shared" si="147"/>
        <v>0</v>
      </c>
      <c r="AV60" s="542">
        <f>SUM(AQ60:AU60)</f>
        <v>252000</v>
      </c>
    </row>
    <row r="61" spans="1:48" ht="30" customHeight="1">
      <c r="D61" s="169"/>
      <c r="E61" s="170"/>
      <c r="F61" s="171"/>
      <c r="G61" s="171"/>
      <c r="H61" s="171"/>
      <c r="I61" s="171"/>
      <c r="J61" s="171"/>
      <c r="K61" s="171"/>
      <c r="L61" s="171"/>
      <c r="R61" s="346"/>
      <c r="S61" s="346"/>
      <c r="T61" s="346"/>
      <c r="U61" s="346"/>
      <c r="V61" s="346"/>
      <c r="W61" s="346"/>
      <c r="X61" s="346"/>
      <c r="Y61" s="346"/>
      <c r="Z61" s="346"/>
      <c r="AA61" s="346"/>
      <c r="AB61" s="346"/>
      <c r="AC61" s="346">
        <v>0</v>
      </c>
      <c r="AD61" s="346"/>
      <c r="AE61" s="346"/>
      <c r="AF61" s="346"/>
      <c r="AG61" s="346"/>
      <c r="AH61" s="1522"/>
      <c r="AI61" s="1522"/>
      <c r="AJ61" s="243"/>
      <c r="AK61" s="243"/>
      <c r="AL61" s="2"/>
      <c r="AM61" s="2"/>
      <c r="AN61" s="350"/>
      <c r="AO61" s="350"/>
      <c r="AP61" s="176" t="s">
        <v>237</v>
      </c>
      <c r="AQ61" s="177">
        <f>AQ60-AQ59</f>
        <v>0</v>
      </c>
      <c r="AR61" s="177">
        <f>AR60-AR59</f>
        <v>-38600</v>
      </c>
      <c r="AS61" s="177">
        <f>AS60-AS59</f>
        <v>1400</v>
      </c>
      <c r="AT61" s="177">
        <f>AT60-AT59</f>
        <v>39200</v>
      </c>
      <c r="AU61" s="177">
        <f>AU60-AU59</f>
        <v>0</v>
      </c>
      <c r="AV61" s="543">
        <f>SUM(AQ61:AU61)</f>
        <v>2000</v>
      </c>
    </row>
    <row r="62" spans="1:48" ht="30" customHeight="1">
      <c r="D62" s="174"/>
      <c r="E62" s="151"/>
      <c r="F62" s="175"/>
      <c r="G62" s="175"/>
      <c r="H62" s="175"/>
      <c r="I62" s="175"/>
      <c r="J62" s="175"/>
      <c r="K62" s="175"/>
      <c r="L62" s="175"/>
      <c r="R62" s="164"/>
      <c r="S62" s="164"/>
      <c r="T62" s="164"/>
      <c r="U62" s="164"/>
      <c r="V62" s="164"/>
      <c r="W62" s="164"/>
      <c r="X62" s="164"/>
      <c r="Y62" s="164"/>
      <c r="Z62" s="164"/>
      <c r="AA62" s="164"/>
      <c r="AB62" s="164"/>
      <c r="AC62" s="164"/>
      <c r="AD62" s="164"/>
      <c r="AE62" s="164"/>
      <c r="AF62" s="164"/>
      <c r="AG62" s="164"/>
      <c r="AH62" s="1522"/>
      <c r="AI62" s="1522"/>
      <c r="AJ62" s="351"/>
      <c r="AK62" s="351"/>
      <c r="AL62" s="352"/>
      <c r="AM62" s="352"/>
      <c r="AN62" s="187"/>
      <c r="AO62" s="187"/>
      <c r="AP62" s="165" t="s">
        <v>238</v>
      </c>
      <c r="AQ62" s="177">
        <f>AQ27+AQ41</f>
        <v>4836</v>
      </c>
      <c r="AR62" s="177">
        <f t="shared" ref="AR62:AU62" si="148">AR27+AR41</f>
        <v>4192</v>
      </c>
      <c r="AS62" s="177">
        <f t="shared" si="148"/>
        <v>0</v>
      </c>
      <c r="AT62" s="177">
        <f t="shared" si="148"/>
        <v>120</v>
      </c>
      <c r="AU62" s="177">
        <f t="shared" si="148"/>
        <v>0</v>
      </c>
      <c r="AV62" s="543">
        <f>SUM(AQ62:AU62)</f>
        <v>9148</v>
      </c>
    </row>
    <row r="63" spans="1:48" ht="30" customHeight="1">
      <c r="D63" s="161"/>
      <c r="F63" s="177"/>
      <c r="G63" s="177"/>
      <c r="H63" s="177"/>
      <c r="I63" s="177"/>
      <c r="J63" s="177"/>
      <c r="K63" s="171"/>
      <c r="L63" s="175"/>
      <c r="AH63" s="1522"/>
      <c r="AI63" s="1522"/>
      <c r="AP63" s="188" t="s">
        <v>97</v>
      </c>
      <c r="AQ63" s="185" t="e">
        <f t="shared" ref="AQ63:AV63" si="149">AQ62/AQ60</f>
        <v>#DIV/0!</v>
      </c>
      <c r="AR63" s="185">
        <f t="shared" si="149"/>
        <v>0.15878787878787878</v>
      </c>
      <c r="AS63" s="185">
        <f t="shared" si="149"/>
        <v>0</v>
      </c>
      <c r="AT63" s="185">
        <f t="shared" si="149"/>
        <v>1.3157894736842105E-3</v>
      </c>
      <c r="AU63" s="185" t="e">
        <f t="shared" si="149"/>
        <v>#DIV/0!</v>
      </c>
      <c r="AV63" s="544">
        <f t="shared" si="149"/>
        <v>3.63015873015873E-2</v>
      </c>
    </row>
    <row r="64" spans="1:48" ht="30" customHeight="1">
      <c r="D64" s="183"/>
      <c r="E64" s="184"/>
      <c r="F64" s="185"/>
      <c r="G64" s="185"/>
      <c r="H64" s="185"/>
      <c r="I64" s="185"/>
      <c r="J64" s="185"/>
      <c r="K64" s="185"/>
      <c r="L64" s="185"/>
      <c r="AP64" s="194" t="s">
        <v>19</v>
      </c>
      <c r="AQ64" s="177">
        <f>AQ42+AQ28</f>
        <v>14858.900159999999</v>
      </c>
      <c r="AR64" s="177">
        <f>AR42+AR28</f>
        <v>12576.428519999999</v>
      </c>
      <c r="AS64" s="177">
        <f>AS42+AS28</f>
        <v>0</v>
      </c>
      <c r="AT64" s="177">
        <f>AT42+AT28</f>
        <v>335.57159999999999</v>
      </c>
      <c r="AU64" s="177">
        <f>AU42+AU28</f>
        <v>0</v>
      </c>
      <c r="AV64" s="543">
        <f>SUM(AQ64:AU64)</f>
        <v>27770.900279999998</v>
      </c>
    </row>
    <row r="65" spans="4:48" ht="30" customHeight="1">
      <c r="D65" s="190"/>
      <c r="E65" s="191"/>
      <c r="F65" s="353"/>
      <c r="G65" s="353"/>
      <c r="H65" s="353"/>
      <c r="I65" s="353"/>
      <c r="J65" s="353"/>
      <c r="K65" s="353"/>
      <c r="L65" s="354"/>
      <c r="AP65" s="197" t="s">
        <v>106</v>
      </c>
      <c r="AQ65" s="171">
        <f>AQ29+AQ43</f>
        <v>0</v>
      </c>
      <c r="AR65" s="171">
        <f>AR29+AR43</f>
        <v>80452.871999999988</v>
      </c>
      <c r="AS65" s="171">
        <f>AS29+AS43</f>
        <v>375840.19199999998</v>
      </c>
      <c r="AT65" s="171">
        <f>AT29+AT43</f>
        <v>255034.416</v>
      </c>
      <c r="AU65" s="171">
        <f>AU29+AU43</f>
        <v>0</v>
      </c>
      <c r="AV65" s="542">
        <f>SUM(AQ65:AU65)</f>
        <v>711327.48</v>
      </c>
    </row>
    <row r="67" spans="4:48">
      <c r="AT67" s="256"/>
    </row>
    <row r="68" spans="4:48">
      <c r="AP68" s="581"/>
      <c r="AQ68" s="582"/>
      <c r="AR68" s="582"/>
      <c r="AS68" s="582"/>
      <c r="AT68" s="582"/>
      <c r="AU68" s="582"/>
    </row>
    <row r="69" spans="4:48">
      <c r="AP69" s="581"/>
      <c r="AQ69" s="582"/>
      <c r="AR69" s="582"/>
      <c r="AS69" s="582"/>
      <c r="AT69" s="582"/>
      <c r="AU69" s="582"/>
    </row>
    <row r="70" spans="4:48">
      <c r="AT70" s="256"/>
    </row>
    <row r="71" spans="4:48">
      <c r="AL71" s="163"/>
      <c r="AM71" s="163"/>
      <c r="AT71" s="256"/>
    </row>
    <row r="72" spans="4:48" ht="20.25">
      <c r="AL72" s="243"/>
      <c r="AM72" s="243"/>
      <c r="AT72" s="256"/>
    </row>
    <row r="73" spans="4:48">
      <c r="AL73" s="163"/>
      <c r="AM73" s="163"/>
      <c r="AT73" s="256"/>
    </row>
    <row r="74" spans="4:48">
      <c r="AL74" s="163"/>
      <c r="AM74" s="163"/>
      <c r="AT74" s="256"/>
    </row>
    <row r="75" spans="4:48">
      <c r="AL75" s="164"/>
      <c r="AM75" s="164"/>
    </row>
    <row r="491" spans="2:2" ht="34.5">
      <c r="B491" s="744"/>
    </row>
  </sheetData>
  <sheetProtection selectLockedCells="1" selectUnlockedCells="1"/>
  <mergeCells count="3">
    <mergeCell ref="D4:D5"/>
    <mergeCell ref="P6:Q6"/>
    <mergeCell ref="AH61:AI63"/>
  </mergeCells>
  <phoneticPr fontId="143" type="noConversion"/>
  <conditionalFormatting sqref="E32:AH32">
    <cfRule type="containsText" dxfId="23" priority="1" operator="containsText" text="O/H">
      <formula>NOT(ISERROR(SEARCH("O/H",E32)))</formula>
    </cfRule>
  </conditionalFormatting>
  <conditionalFormatting sqref="E35:AI35">
    <cfRule type="containsText" dxfId="22" priority="2" operator="containsText" text="O/H">
      <formula>NOT(ISERROR(SEARCH("O/H",E35)))</formula>
    </cfRule>
  </conditionalFormatting>
  <conditionalFormatting sqref="E46:AI46">
    <cfRule type="containsText" dxfId="21" priority="17" stopIfTrue="1" operator="containsText" text="O/H">
      <formula>NOT(ISERROR(SEARCH("O/H",E46)))</formula>
    </cfRule>
  </conditionalFormatting>
  <conditionalFormatting sqref="E49:AI49">
    <cfRule type="containsText" dxfId="20" priority="16" operator="containsText" text="O/H">
      <formula>NOT(ISERROR(SEARCH("O/H",E49)))</formula>
    </cfRule>
  </conditionalFormatting>
  <conditionalFormatting sqref="E50:AI50">
    <cfRule type="cellIs" dxfId="19" priority="13" operator="greaterThan">
      <formula>300001</formula>
    </cfRule>
    <cfRule type="cellIs" dxfId="18" priority="14" operator="greaterThan">
      <formula>240001</formula>
    </cfRule>
  </conditionalFormatting>
  <conditionalFormatting sqref="R59:R60 R62:AG62">
    <cfRule type="cellIs" dxfId="17" priority="18" stopIfTrue="1" operator="between">
      <formula>1</formula>
      <formula>999999</formula>
    </cfRule>
    <cfRule type="cellIs" dxfId="16" priority="19" stopIfTrue="1" operator="between">
      <formula>-1</formula>
      <formula>-999999</formula>
    </cfRule>
  </conditionalFormatting>
  <conditionalFormatting sqref="S59:AK59 S60:AI60 AJ62:AK62">
    <cfRule type="cellIs" dxfId="15" priority="20" stopIfTrue="1" operator="between">
      <formula>1</formula>
      <formula>999999</formula>
    </cfRule>
    <cfRule type="cellIs" dxfId="14" priority="21" stopIfTrue="1" operator="between">
      <formula>-1</formula>
      <formula>-999999</formula>
    </cfRule>
  </conditionalFormatting>
  <printOptions horizontalCentered="1"/>
  <pageMargins left="0.11" right="0.17" top="0.38" bottom="0.12" header="0.12" footer="0.12"/>
  <pageSetup paperSize="8" scale="30" orientation="landscape" horizontalDpi="4294967294" verticalDpi="300" r:id="rId1"/>
  <headerFooter alignWithMargins="0"/>
  <drawing r:id="rId2"/>
  <legacyDrawing r:id="rId3"/>
  <tableParts count="1">
    <tablePart r:id="rId4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D813D-372E-4A30-B137-AE873FF6BA4F}">
  <sheetPr>
    <tabColor rgb="FFFFC000"/>
  </sheetPr>
  <dimension ref="A1:AV518"/>
  <sheetViews>
    <sheetView showGridLines="0" zoomScale="70" zoomScaleNormal="70" workbookViewId="0">
      <pane xSplit="5" ySplit="8" topLeftCell="X23" activePane="bottomRight" state="frozen"/>
      <selection pane="topRight" activeCell="F1" sqref="F1"/>
      <selection pane="bottomLeft" activeCell="A9" sqref="A9"/>
      <selection pane="bottomRight" activeCell="AA58" sqref="AA58"/>
    </sheetView>
  </sheetViews>
  <sheetFormatPr defaultColWidth="9.42578125" defaultRowHeight="15.75"/>
  <cols>
    <col min="1" max="1" width="16.42578125" style="4" customWidth="1"/>
    <col min="2" max="2" width="48" style="2" customWidth="1"/>
    <col min="3" max="3" width="26.42578125" style="3" customWidth="1"/>
    <col min="4" max="4" width="38.85546875" style="195" customWidth="1"/>
    <col min="5" max="34" width="13" style="1" customWidth="1"/>
    <col min="35" max="35" width="13" style="1" hidden="1" customWidth="1"/>
    <col min="36" max="36" width="17.5703125" style="1" customWidth="1"/>
    <col min="37" max="37" width="22.5703125" style="1" customWidth="1"/>
    <col min="38" max="38" width="18.7109375" style="1" customWidth="1"/>
    <col min="39" max="39" width="25.85546875" style="1" customWidth="1"/>
    <col min="40" max="40" width="17.5703125" style="1" customWidth="1"/>
    <col min="41" max="41" width="13.5703125" style="1" customWidth="1"/>
    <col min="42" max="42" width="35.5703125" style="256" customWidth="1"/>
    <col min="43" max="45" width="17.5703125" style="256" customWidth="1"/>
    <col min="46" max="46" width="17.5703125" style="257" customWidth="1"/>
    <col min="47" max="47" width="17.5703125" style="256" customWidth="1"/>
    <col min="48" max="48" width="20.7109375" style="1" customWidth="1"/>
    <col min="49" max="16384" width="9.42578125" style="1"/>
  </cols>
  <sheetData>
    <row r="1" spans="1:48" ht="11.25">
      <c r="D1" s="4"/>
    </row>
    <row r="2" spans="1:48" ht="11.25">
      <c r="D2" s="4"/>
    </row>
    <row r="3" spans="1:48" ht="30.75" customHeight="1">
      <c r="D3" s="198"/>
      <c r="G3" s="258"/>
      <c r="H3" s="159"/>
      <c r="I3" s="258"/>
      <c r="N3" s="255"/>
    </row>
    <row r="4" spans="1:48" ht="11.1" customHeight="1">
      <c r="D4" s="1520" t="s">
        <v>32</v>
      </c>
      <c r="G4" s="258"/>
      <c r="I4" s="258"/>
      <c r="N4" s="255"/>
    </row>
    <row r="5" spans="1:48" ht="25.35" customHeight="1">
      <c r="A5" s="199" t="s">
        <v>560</v>
      </c>
      <c r="D5" s="1520"/>
      <c r="G5" s="258"/>
      <c r="H5" s="258"/>
      <c r="I5" s="258"/>
      <c r="N5" s="255"/>
    </row>
    <row r="6" spans="1:48" s="7" customFormat="1" ht="25.35" customHeight="1" thickBot="1">
      <c r="A6" s="6" t="s">
        <v>33</v>
      </c>
      <c r="C6" s="8"/>
      <c r="D6" s="9"/>
      <c r="P6" s="1518"/>
      <c r="Q6" s="1518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P6" s="259"/>
      <c r="AQ6" s="259"/>
      <c r="AR6" s="259"/>
      <c r="AS6" s="259"/>
      <c r="AT6" s="260"/>
      <c r="AU6" s="259"/>
    </row>
    <row r="7" spans="1:48" s="23" customFormat="1" ht="38.450000000000003" customHeight="1" thickTop="1" thickBot="1">
      <c r="A7" s="261" t="s">
        <v>34</v>
      </c>
      <c r="B7" s="11" t="s">
        <v>318</v>
      </c>
      <c r="C7" s="262" t="s">
        <v>36</v>
      </c>
      <c r="D7" s="12" t="s">
        <v>37</v>
      </c>
      <c r="E7" s="13" t="s">
        <v>561</v>
      </c>
      <c r="F7" s="263" t="s">
        <v>355</v>
      </c>
      <c r="G7" s="263" t="s">
        <v>356</v>
      </c>
      <c r="H7" s="263" t="s">
        <v>357</v>
      </c>
      <c r="I7" s="263" t="s">
        <v>358</v>
      </c>
      <c r="J7" s="263" t="s">
        <v>359</v>
      </c>
      <c r="K7" s="263" t="s">
        <v>360</v>
      </c>
      <c r="L7" s="263" t="s">
        <v>361</v>
      </c>
      <c r="M7" s="263" t="s">
        <v>362</v>
      </c>
      <c r="N7" s="263" t="s">
        <v>363</v>
      </c>
      <c r="O7" s="263" t="s">
        <v>364</v>
      </c>
      <c r="P7" s="263" t="s">
        <v>365</v>
      </c>
      <c r="Q7" s="263" t="s">
        <v>366</v>
      </c>
      <c r="R7" s="263" t="s">
        <v>367</v>
      </c>
      <c r="S7" s="263" t="s">
        <v>368</v>
      </c>
      <c r="T7" s="263" t="s">
        <v>369</v>
      </c>
      <c r="U7" s="263" t="s">
        <v>370</v>
      </c>
      <c r="V7" s="263" t="s">
        <v>371</v>
      </c>
      <c r="W7" s="263" t="s">
        <v>372</v>
      </c>
      <c r="X7" s="263" t="s">
        <v>373</v>
      </c>
      <c r="Y7" s="264" t="s">
        <v>57</v>
      </c>
      <c r="Z7" s="264" t="s">
        <v>58</v>
      </c>
      <c r="AA7" s="264" t="s">
        <v>59</v>
      </c>
      <c r="AB7" s="264" t="s">
        <v>60</v>
      </c>
      <c r="AC7" s="264" t="s">
        <v>61</v>
      </c>
      <c r="AD7" s="264" t="s">
        <v>374</v>
      </c>
      <c r="AE7" s="264" t="s">
        <v>375</v>
      </c>
      <c r="AF7" s="264" t="s">
        <v>64</v>
      </c>
      <c r="AG7" s="264" t="s">
        <v>65</v>
      </c>
      <c r="AH7" s="264" t="s">
        <v>66</v>
      </c>
      <c r="AI7" s="264" t="s">
        <v>67</v>
      </c>
      <c r="AJ7" s="367" t="s">
        <v>68</v>
      </c>
      <c r="AK7" s="1051" t="s">
        <v>69</v>
      </c>
      <c r="AL7" s="687" t="s">
        <v>70</v>
      </c>
      <c r="AM7" s="1064" t="s">
        <v>71</v>
      </c>
      <c r="AN7" s="265" t="s">
        <v>72</v>
      </c>
      <c r="AO7" s="620" t="s">
        <v>73</v>
      </c>
      <c r="AP7" s="266" t="s">
        <v>38</v>
      </c>
      <c r="AQ7" s="266" t="s">
        <v>39</v>
      </c>
      <c r="AR7" s="266" t="s">
        <v>40</v>
      </c>
      <c r="AS7" s="266" t="s">
        <v>41</v>
      </c>
      <c r="AT7" s="266" t="s">
        <v>42</v>
      </c>
      <c r="AU7" s="266" t="s">
        <v>43</v>
      </c>
      <c r="AV7" s="23" t="s">
        <v>44</v>
      </c>
    </row>
    <row r="8" spans="1:48" s="272" customFormat="1" ht="34.5" customHeight="1" thickBot="1">
      <c r="A8" s="267"/>
      <c r="B8" s="93"/>
      <c r="C8" s="268"/>
      <c r="D8" s="206"/>
      <c r="E8" s="1320">
        <v>46174</v>
      </c>
      <c r="F8" s="1153">
        <f>Table2810[[#This Row],[June''2026]]+1</f>
        <v>46175</v>
      </c>
      <c r="G8" s="1234">
        <f>Table2810[[#This Row],[13-Mar]]+1</f>
        <v>46176</v>
      </c>
      <c r="H8" s="1153">
        <f>Table2810[[#This Row],[14-Mar]]+1</f>
        <v>46177</v>
      </c>
      <c r="I8" s="1153">
        <f>Table2810[[#This Row],[15-Mar]]+1</f>
        <v>46178</v>
      </c>
      <c r="J8" s="1234">
        <f>Table2810[[#This Row],[16-Mar]]+1</f>
        <v>46179</v>
      </c>
      <c r="K8" s="1234">
        <f>Table2810[[#This Row],[17-Mar]]+1</f>
        <v>46180</v>
      </c>
      <c r="L8" s="1153">
        <f>Table2810[[#This Row],[18-Mar]]+1</f>
        <v>46181</v>
      </c>
      <c r="M8" s="1153">
        <f>Table2810[[#This Row],[19-Mar]]+1</f>
        <v>46182</v>
      </c>
      <c r="N8" s="1153">
        <f>Table2810[[#This Row],[20-Mar]]+1</f>
        <v>46183</v>
      </c>
      <c r="O8" s="1153">
        <f>Table2810[[#This Row],[21-Mar]]+1</f>
        <v>46184</v>
      </c>
      <c r="P8" s="1153">
        <f>Table2810[[#This Row],[22-Mar]]+1</f>
        <v>46185</v>
      </c>
      <c r="Q8" s="1234">
        <f>Table2810[[#This Row],[23-Mar]]+1</f>
        <v>46186</v>
      </c>
      <c r="R8" s="1234">
        <f>Table2810[[#This Row],[24-Mar]]+1</f>
        <v>46187</v>
      </c>
      <c r="S8" s="1153">
        <f>Table2810[[#This Row],[25-Mar]]+1</f>
        <v>46188</v>
      </c>
      <c r="T8" s="1153">
        <f>Table2810[[#This Row],[26-Mar]]+1</f>
        <v>46189</v>
      </c>
      <c r="U8" s="1153">
        <f>Table2810[[#This Row],[27-Mar]]+1</f>
        <v>46190</v>
      </c>
      <c r="V8" s="1153">
        <f>Table2810[[#This Row],[28-Mar]]+1</f>
        <v>46191</v>
      </c>
      <c r="W8" s="1153">
        <f>Table2810[[#This Row],[29-Mar]]+1</f>
        <v>46192</v>
      </c>
      <c r="X8" s="1234">
        <f>Table2810[[#This Row],[30-Mar]]+1</f>
        <v>46193</v>
      </c>
      <c r="Y8" s="1234">
        <f>Table2810[[#This Row],[31-Mar]]+1</f>
        <v>46194</v>
      </c>
      <c r="Z8" s="1153">
        <f>Table2810[[#This Row],[Column20]]+1</f>
        <v>46195</v>
      </c>
      <c r="AA8" s="1153">
        <f>Table2810[[#This Row],[Column21]]+1</f>
        <v>46196</v>
      </c>
      <c r="AB8" s="1153">
        <f>Table2810[[#This Row],[Column22]]+1</f>
        <v>46197</v>
      </c>
      <c r="AC8" s="1153">
        <f>Table2810[[#This Row],[Column23]]+1</f>
        <v>46198</v>
      </c>
      <c r="AD8" s="1153">
        <f>Table2810[[#This Row],[Column24]]+1</f>
        <v>46199</v>
      </c>
      <c r="AE8" s="1234">
        <f>Table2810[[#This Row],[Column222]]+1</f>
        <v>46200</v>
      </c>
      <c r="AF8" s="1234">
        <f>Table2810[[#This Row],[Column233]]+1</f>
        <v>46201</v>
      </c>
      <c r="AG8" s="1153">
        <f>Table2810[[#This Row],[Column244]]+1</f>
        <v>46202</v>
      </c>
      <c r="AH8" s="1153">
        <f>Table2810[[#This Row],[Column25]]+1</f>
        <v>46203</v>
      </c>
      <c r="AI8" s="1321">
        <f>Table2810[[#This Row],[Column26]]+1</f>
        <v>46204</v>
      </c>
      <c r="AJ8" s="715"/>
      <c r="AK8" s="977"/>
      <c r="AL8" s="688"/>
      <c r="AM8" s="980"/>
      <c r="AN8" s="269"/>
      <c r="AO8" s="754"/>
      <c r="AP8" s="80"/>
      <c r="AQ8" s="80"/>
      <c r="AR8" s="80"/>
      <c r="AS8" s="80"/>
      <c r="AT8" s="271"/>
      <c r="AU8" s="80"/>
    </row>
    <row r="9" spans="1:48" s="23" customFormat="1" ht="20.65" hidden="1" customHeight="1" thickTop="1">
      <c r="A9" s="283" t="s">
        <v>604</v>
      </c>
      <c r="B9" s="334" t="s">
        <v>715</v>
      </c>
      <c r="C9" s="42" t="str">
        <f>Table2810[[#This Row],[M/C No.]]</f>
        <v>A1(75ton)</v>
      </c>
      <c r="D9" s="28" t="s">
        <v>82</v>
      </c>
      <c r="E9" s="1139"/>
      <c r="F9" s="1139"/>
      <c r="G9" s="1231"/>
      <c r="H9" s="1139"/>
      <c r="I9" s="1139"/>
      <c r="J9" s="1231"/>
      <c r="K9" s="1231"/>
      <c r="L9" s="1139"/>
      <c r="M9" s="1139"/>
      <c r="N9" s="1139"/>
      <c r="O9" s="1139"/>
      <c r="P9" s="1139"/>
      <c r="Q9" s="1231"/>
      <c r="R9" s="1231"/>
      <c r="S9" s="1139"/>
      <c r="T9" s="1139"/>
      <c r="U9" s="1139"/>
      <c r="V9" s="1139"/>
      <c r="W9" s="1139"/>
      <c r="X9" s="1231"/>
      <c r="Y9" s="1231"/>
      <c r="Z9" s="1139"/>
      <c r="AA9" s="1139"/>
      <c r="AB9" s="1139"/>
      <c r="AC9" s="1139"/>
      <c r="AD9" s="1139"/>
      <c r="AE9" s="1231"/>
      <c r="AF9" s="1231"/>
      <c r="AG9" s="1139"/>
      <c r="AH9" s="1139"/>
      <c r="AI9" s="1322"/>
      <c r="AJ9" s="29">
        <f>SUM(E9:AI9)</f>
        <v>0</v>
      </c>
      <c r="AK9" s="1020">
        <f t="shared" ref="AK9:AK39" si="0">AJ11</f>
        <v>0</v>
      </c>
      <c r="AL9" s="101">
        <f>+AJ9*AN9</f>
        <v>0</v>
      </c>
      <c r="AM9" s="1019">
        <f t="shared" ref="AM9:AM39" si="1">AL11</f>
        <v>0</v>
      </c>
      <c r="AN9" s="335">
        <v>1.8953599999999999</v>
      </c>
      <c r="AO9" s="622">
        <f>Table2810[[#This Row],[Total]]*B13/1000</f>
        <v>0</v>
      </c>
      <c r="AP9" s="32" t="s">
        <v>321</v>
      </c>
      <c r="AQ9" s="33" t="s">
        <v>84</v>
      </c>
      <c r="AR9" s="33" t="s">
        <v>85</v>
      </c>
      <c r="AS9" s="33" t="s">
        <v>86</v>
      </c>
      <c r="AT9" s="33" t="s">
        <v>87</v>
      </c>
      <c r="AU9" s="33" t="s">
        <v>88</v>
      </c>
      <c r="AV9" s="34" t="s">
        <v>68</v>
      </c>
    </row>
    <row r="10" spans="1:48" s="23" customFormat="1" ht="20.45" hidden="1" customHeight="1">
      <c r="A10" s="274"/>
      <c r="B10" s="766" t="s">
        <v>531</v>
      </c>
      <c r="C10" s="275"/>
      <c r="D10" s="37" t="s">
        <v>90</v>
      </c>
      <c r="E10" s="1323">
        <f>IF(E9="",0,+ E9/E16)</f>
        <v>0</v>
      </c>
      <c r="F10" s="1096">
        <f t="shared" ref="F10:AC10" si="2">IF(F9="",0, E10+F9/F16)</f>
        <v>0</v>
      </c>
      <c r="G10" s="1207">
        <f t="shared" si="2"/>
        <v>0</v>
      </c>
      <c r="H10" s="1096">
        <f t="shared" si="2"/>
        <v>0</v>
      </c>
      <c r="I10" s="1096">
        <f t="shared" si="2"/>
        <v>0</v>
      </c>
      <c r="J10" s="1207">
        <f t="shared" si="2"/>
        <v>0</v>
      </c>
      <c r="K10" s="1207">
        <f t="shared" si="2"/>
        <v>0</v>
      </c>
      <c r="L10" s="1096">
        <f t="shared" si="2"/>
        <v>0</v>
      </c>
      <c r="M10" s="1096">
        <f t="shared" si="2"/>
        <v>0</v>
      </c>
      <c r="N10" s="1096">
        <f t="shared" si="2"/>
        <v>0</v>
      </c>
      <c r="O10" s="1096">
        <f t="shared" si="2"/>
        <v>0</v>
      </c>
      <c r="P10" s="1096">
        <f t="shared" si="2"/>
        <v>0</v>
      </c>
      <c r="Q10" s="1207">
        <f t="shared" si="2"/>
        <v>0</v>
      </c>
      <c r="R10" s="1207">
        <f t="shared" si="2"/>
        <v>0</v>
      </c>
      <c r="S10" s="1096">
        <f t="shared" si="2"/>
        <v>0</v>
      </c>
      <c r="T10" s="1096">
        <f t="shared" si="2"/>
        <v>0</v>
      </c>
      <c r="U10" s="1096">
        <f t="shared" si="2"/>
        <v>0</v>
      </c>
      <c r="V10" s="1096">
        <f t="shared" si="2"/>
        <v>0</v>
      </c>
      <c r="W10" s="1096">
        <f t="shared" si="2"/>
        <v>0</v>
      </c>
      <c r="X10" s="1207">
        <f t="shared" si="2"/>
        <v>0</v>
      </c>
      <c r="Y10" s="1207">
        <f t="shared" si="2"/>
        <v>0</v>
      </c>
      <c r="Z10" s="1096">
        <f t="shared" si="2"/>
        <v>0</v>
      </c>
      <c r="AA10" s="1096">
        <f t="shared" si="2"/>
        <v>0</v>
      </c>
      <c r="AB10" s="1096">
        <f t="shared" si="2"/>
        <v>0</v>
      </c>
      <c r="AC10" s="1096">
        <f t="shared" si="2"/>
        <v>0</v>
      </c>
      <c r="AD10" s="1096">
        <f>IF(AD9="",0, Z10+AD9/AD16)</f>
        <v>0</v>
      </c>
      <c r="AE10" s="1207">
        <f>IF(AE9="",0, AA10+AE9/AE16)</f>
        <v>0</v>
      </c>
      <c r="AF10" s="1207">
        <f>IF(AF9="",0, AB10+AF9/AF16)</f>
        <v>0</v>
      </c>
      <c r="AG10" s="1096">
        <f>IF(AG9="",0, AC10+AG9/AG16)</f>
        <v>0</v>
      </c>
      <c r="AH10" s="1096">
        <f>IF(AH9="",0, AD10+AH9/AH16)</f>
        <v>0</v>
      </c>
      <c r="AI10" s="1324">
        <f>IF(AI9="",0, AH10+AI9/AI16)</f>
        <v>0</v>
      </c>
      <c r="AJ10" s="716"/>
      <c r="AK10" s="982">
        <f t="shared" si="0"/>
        <v>0</v>
      </c>
      <c r="AL10" s="209"/>
      <c r="AM10" s="987">
        <f t="shared" si="1"/>
        <v>0</v>
      </c>
      <c r="AN10" s="91"/>
      <c r="AO10" s="757"/>
      <c r="AP10" s="39" t="s">
        <v>91</v>
      </c>
      <c r="AQ10" s="40">
        <f>SUM(E9:K9)</f>
        <v>0</v>
      </c>
      <c r="AR10" s="41">
        <f>SUM(L9:R9)</f>
        <v>0</v>
      </c>
      <c r="AS10" s="41">
        <f>SUM(S9:Y9)</f>
        <v>0</v>
      </c>
      <c r="AT10" s="41">
        <f>SUM(Z9:AF9)</f>
        <v>0</v>
      </c>
      <c r="AU10" s="41">
        <f>SUM(AG9:AI9)</f>
        <v>0</v>
      </c>
      <c r="AV10" s="34">
        <f t="shared" ref="AV10:AV15" si="3">SUM(AQ10:AU10)</f>
        <v>0</v>
      </c>
    </row>
    <row r="11" spans="1:48" s="23" customFormat="1" ht="20.65" hidden="1" customHeight="1">
      <c r="A11" s="276" t="s">
        <v>419</v>
      </c>
      <c r="B11" s="583" t="s">
        <v>272</v>
      </c>
      <c r="C11" s="42"/>
      <c r="D11" s="43" t="s">
        <v>93</v>
      </c>
      <c r="E11" s="1325"/>
      <c r="F11" s="1108"/>
      <c r="G11" s="1199"/>
      <c r="H11" s="1108"/>
      <c r="I11" s="1108"/>
      <c r="J11" s="44"/>
      <c r="K11" s="44"/>
      <c r="L11" s="1089"/>
      <c r="M11" s="1089"/>
      <c r="N11" s="1089"/>
      <c r="O11" s="1089"/>
      <c r="P11" s="1089"/>
      <c r="Q11" s="44"/>
      <c r="R11" s="44"/>
      <c r="S11" s="1089"/>
      <c r="T11" s="1089"/>
      <c r="U11" s="1089"/>
      <c r="V11" s="1089"/>
      <c r="W11" s="1089"/>
      <c r="X11" s="44"/>
      <c r="Y11" s="44"/>
      <c r="Z11" s="1089"/>
      <c r="AA11" s="1089"/>
      <c r="AB11" s="1089"/>
      <c r="AC11" s="1089"/>
      <c r="AD11" s="1089"/>
      <c r="AE11" s="44"/>
      <c r="AF11" s="44"/>
      <c r="AG11" s="1089"/>
      <c r="AH11" s="1089"/>
      <c r="AI11" s="1326"/>
      <c r="AJ11" s="45">
        <f>SUM(E11:AI11)</f>
        <v>0</v>
      </c>
      <c r="AK11" s="983">
        <f t="shared" si="0"/>
        <v>0</v>
      </c>
      <c r="AL11" s="46">
        <f>+AJ11*AN9</f>
        <v>0</v>
      </c>
      <c r="AM11" s="988">
        <f t="shared" si="1"/>
        <v>0</v>
      </c>
      <c r="AN11" s="277"/>
      <c r="AO11" s="632">
        <f>(AJ11+AJ13+AJ14+AJ15)*B13/1000</f>
        <v>0</v>
      </c>
      <c r="AP11" s="47" t="s">
        <v>94</v>
      </c>
      <c r="AQ11" s="48">
        <f>SUM(E11:K11)</f>
        <v>0</v>
      </c>
      <c r="AR11" s="49">
        <f>SUM(L11:R11)</f>
        <v>0</v>
      </c>
      <c r="AS11" s="49">
        <f>SUM(S11:Y11)</f>
        <v>0</v>
      </c>
      <c r="AT11" s="49">
        <f>SUM(Z11:AF11)</f>
        <v>0</v>
      </c>
      <c r="AU11" s="49">
        <f>SUM(AG11:AI11)</f>
        <v>0</v>
      </c>
      <c r="AV11" s="50">
        <f t="shared" si="3"/>
        <v>0</v>
      </c>
    </row>
    <row r="12" spans="1:48" s="23" customFormat="1" ht="20.65" hidden="1" customHeight="1">
      <c r="A12" s="276" t="s">
        <v>419</v>
      </c>
      <c r="B12" s="767" t="s">
        <v>247</v>
      </c>
      <c r="C12" s="280"/>
      <c r="D12" s="53" t="s">
        <v>96</v>
      </c>
      <c r="E12" s="1327">
        <f t="shared" ref="E12" si="4">+E11-E9</f>
        <v>0</v>
      </c>
      <c r="F12" s="1097">
        <f t="shared" ref="F12:K12" si="5">+F11-F9</f>
        <v>0</v>
      </c>
      <c r="G12" s="1205">
        <f t="shared" si="5"/>
        <v>0</v>
      </c>
      <c r="H12" s="1097">
        <f t="shared" si="5"/>
        <v>0</v>
      </c>
      <c r="I12" s="1097">
        <f t="shared" ref="I12" si="6">+I11-I9</f>
        <v>0</v>
      </c>
      <c r="J12" s="1205">
        <f t="shared" si="5"/>
        <v>0</v>
      </c>
      <c r="K12" s="1205">
        <f t="shared" si="5"/>
        <v>0</v>
      </c>
      <c r="L12" s="1097">
        <f>+L11-L9</f>
        <v>0</v>
      </c>
      <c r="M12" s="1097">
        <v>0</v>
      </c>
      <c r="N12" s="1097">
        <f t="shared" ref="N12:AF12" si="7">+N11-N9</f>
        <v>0</v>
      </c>
      <c r="O12" s="1097">
        <f t="shared" si="7"/>
        <v>0</v>
      </c>
      <c r="P12" s="1097">
        <f t="shared" si="7"/>
        <v>0</v>
      </c>
      <c r="Q12" s="1205">
        <f t="shared" si="7"/>
        <v>0</v>
      </c>
      <c r="R12" s="1205">
        <f t="shared" si="7"/>
        <v>0</v>
      </c>
      <c r="S12" s="1097">
        <f t="shared" ref="S12:V12" si="8">+S11-S9</f>
        <v>0</v>
      </c>
      <c r="T12" s="1097">
        <f>+T11-T9</f>
        <v>0</v>
      </c>
      <c r="U12" s="1097">
        <f>+U11-U9</f>
        <v>0</v>
      </c>
      <c r="V12" s="1097">
        <f t="shared" si="8"/>
        <v>0</v>
      </c>
      <c r="W12" s="1097">
        <f t="shared" si="7"/>
        <v>0</v>
      </c>
      <c r="X12" s="1205">
        <f t="shared" si="7"/>
        <v>0</v>
      </c>
      <c r="Y12" s="1205">
        <f t="shared" si="7"/>
        <v>0</v>
      </c>
      <c r="Z12" s="1097">
        <f t="shared" si="7"/>
        <v>0</v>
      </c>
      <c r="AA12" s="1097">
        <f t="shared" si="7"/>
        <v>0</v>
      </c>
      <c r="AB12" s="1097">
        <f t="shared" ref="AB12" si="9">+AB11-AB9</f>
        <v>0</v>
      </c>
      <c r="AC12" s="1097">
        <f t="shared" si="7"/>
        <v>0</v>
      </c>
      <c r="AD12" s="1097">
        <f t="shared" si="7"/>
        <v>0</v>
      </c>
      <c r="AE12" s="1205">
        <f t="shared" si="7"/>
        <v>0</v>
      </c>
      <c r="AF12" s="1205">
        <f t="shared" si="7"/>
        <v>0</v>
      </c>
      <c r="AG12" s="1097">
        <f>+AG11-AG9</f>
        <v>0</v>
      </c>
      <c r="AH12" s="1097">
        <f>+AH11-AH9</f>
        <v>0</v>
      </c>
      <c r="AI12" s="1328">
        <f>+AI11-AI9</f>
        <v>0</v>
      </c>
      <c r="AJ12" s="79">
        <f>+AJ11-AJ9</f>
        <v>0</v>
      </c>
      <c r="AK12" s="983">
        <f t="shared" si="0"/>
        <v>0</v>
      </c>
      <c r="AL12" s="55">
        <f>+AJ12*AN9</f>
        <v>0</v>
      </c>
      <c r="AM12" s="988">
        <f t="shared" si="1"/>
        <v>0</v>
      </c>
      <c r="AN12" s="277" t="s">
        <v>97</v>
      </c>
      <c r="AO12" s="622"/>
      <c r="AP12" s="39" t="s">
        <v>98</v>
      </c>
      <c r="AQ12" s="56">
        <f>AQ11-AQ10</f>
        <v>0</v>
      </c>
      <c r="AR12" s="70">
        <f>AR11-AR10</f>
        <v>0</v>
      </c>
      <c r="AS12" s="70">
        <f>AS11-AS10</f>
        <v>0</v>
      </c>
      <c r="AT12" s="70">
        <f>AT11-AT10</f>
        <v>0</v>
      </c>
      <c r="AU12" s="70">
        <f>AU11-AU10</f>
        <v>0</v>
      </c>
      <c r="AV12" s="57">
        <f t="shared" si="3"/>
        <v>0</v>
      </c>
    </row>
    <row r="13" spans="1:48" s="23" customFormat="1" ht="20.65" hidden="1" customHeight="1">
      <c r="A13" s="276" t="s">
        <v>419</v>
      </c>
      <c r="B13" s="768">
        <v>3.0972499999999998</v>
      </c>
      <c r="C13" s="305"/>
      <c r="D13" s="61" t="s">
        <v>101</v>
      </c>
      <c r="E13" s="1329"/>
      <c r="F13" s="1098"/>
      <c r="G13" s="1195"/>
      <c r="H13" s="1098"/>
      <c r="I13" s="1098"/>
      <c r="J13" s="1195"/>
      <c r="K13" s="1195"/>
      <c r="L13" s="1098"/>
      <c r="M13" s="1098"/>
      <c r="N13" s="1098"/>
      <c r="O13" s="1099"/>
      <c r="P13" s="1099"/>
      <c r="Q13" s="1195"/>
      <c r="R13" s="1208"/>
      <c r="S13" s="1099"/>
      <c r="T13" s="1099"/>
      <c r="U13" s="1099"/>
      <c r="V13" s="1099"/>
      <c r="W13" s="1099"/>
      <c r="X13" s="1208"/>
      <c r="Y13" s="1208"/>
      <c r="Z13" s="1099"/>
      <c r="AA13" s="1099"/>
      <c r="AB13" s="1099"/>
      <c r="AC13" s="1099"/>
      <c r="AD13" s="1099"/>
      <c r="AE13" s="1208"/>
      <c r="AF13" s="1208"/>
      <c r="AG13" s="1099"/>
      <c r="AH13" s="1099"/>
      <c r="AI13" s="1330"/>
      <c r="AJ13" s="62">
        <f>SUM(E13:AI13)</f>
        <v>0</v>
      </c>
      <c r="AK13" s="983">
        <f t="shared" si="0"/>
        <v>0</v>
      </c>
      <c r="AL13" s="63">
        <f>+AJ13*AN9</f>
        <v>0</v>
      </c>
      <c r="AM13" s="989">
        <f t="shared" si="1"/>
        <v>0</v>
      </c>
      <c r="AN13" s="301" t="e">
        <f>+AJ13/AJ11*100</f>
        <v>#DIV/0!</v>
      </c>
      <c r="AO13" s="635" t="e">
        <f>AO11/AO9</f>
        <v>#DIV/0!</v>
      </c>
      <c r="AP13" s="39" t="s">
        <v>102</v>
      </c>
      <c r="AQ13" s="56">
        <f>SUM(E13:K13)</f>
        <v>0</v>
      </c>
      <c r="AR13" s="70">
        <f>SUM(L13:R13)</f>
        <v>0</v>
      </c>
      <c r="AS13" s="70">
        <f>SUM(S13:Y13)</f>
        <v>0</v>
      </c>
      <c r="AT13" s="70">
        <f>SUM(Z13:AF13)</f>
        <v>0</v>
      </c>
      <c r="AU13" s="70">
        <f>SUM(AG13:AI13)</f>
        <v>0</v>
      </c>
      <c r="AV13" s="57">
        <f t="shared" si="3"/>
        <v>0</v>
      </c>
    </row>
    <row r="14" spans="1:48" s="23" customFormat="1" ht="20.65" hidden="1" customHeight="1">
      <c r="A14" s="330"/>
      <c r="B14" s="334"/>
      <c r="C14" s="52" t="s">
        <v>95</v>
      </c>
      <c r="D14" s="67" t="s">
        <v>103</v>
      </c>
      <c r="E14" s="1331"/>
      <c r="F14" s="1100"/>
      <c r="G14" s="1196"/>
      <c r="H14" s="1100"/>
      <c r="I14" s="1100"/>
      <c r="J14" s="1196"/>
      <c r="K14" s="1196"/>
      <c r="L14" s="1100"/>
      <c r="M14" s="1100"/>
      <c r="N14" s="1100"/>
      <c r="O14" s="1101"/>
      <c r="P14" s="1101"/>
      <c r="Q14" s="1196"/>
      <c r="R14" s="1209"/>
      <c r="S14" s="1101"/>
      <c r="T14" s="1101"/>
      <c r="U14" s="1101"/>
      <c r="V14" s="1101"/>
      <c r="W14" s="1101"/>
      <c r="X14" s="1209"/>
      <c r="Y14" s="1209"/>
      <c r="Z14" s="1101"/>
      <c r="AA14" s="1101"/>
      <c r="AB14" s="1101"/>
      <c r="AC14" s="1101"/>
      <c r="AD14" s="1101"/>
      <c r="AE14" s="1209"/>
      <c r="AF14" s="1209"/>
      <c r="AG14" s="1101"/>
      <c r="AH14" s="1101"/>
      <c r="AI14" s="1332"/>
      <c r="AJ14" s="68">
        <f>SUM(E14:AI14)</f>
        <v>0</v>
      </c>
      <c r="AK14" s="983">
        <f t="shared" si="0"/>
        <v>0</v>
      </c>
      <c r="AL14" s="69">
        <f>+AJ14*AN9</f>
        <v>0</v>
      </c>
      <c r="AM14" s="989">
        <f t="shared" si="1"/>
        <v>0</v>
      </c>
      <c r="AN14" s="277"/>
      <c r="AO14" s="679"/>
      <c r="AP14" s="39" t="s">
        <v>19</v>
      </c>
      <c r="AQ14" s="56">
        <f>AQ13*AN9</f>
        <v>0</v>
      </c>
      <c r="AR14" s="56">
        <f>AR13*AN9</f>
        <v>0</v>
      </c>
      <c r="AS14" s="56">
        <f>AS13*AN9</f>
        <v>0</v>
      </c>
      <c r="AT14" s="56">
        <f>AT13*AN9</f>
        <v>0</v>
      </c>
      <c r="AU14" s="56">
        <f>AU13*AN9</f>
        <v>0</v>
      </c>
      <c r="AV14" s="57">
        <f t="shared" si="3"/>
        <v>0</v>
      </c>
    </row>
    <row r="15" spans="1:48" s="23" customFormat="1" ht="20.65" hidden="1" customHeight="1">
      <c r="A15" s="330"/>
      <c r="B15" s="334" t="s">
        <v>532</v>
      </c>
      <c r="C15" s="306" t="s">
        <v>387</v>
      </c>
      <c r="D15" s="73" t="s">
        <v>105</v>
      </c>
      <c r="E15" s="1333"/>
      <c r="F15" s="1115"/>
      <c r="G15" s="1203"/>
      <c r="H15" s="1115"/>
      <c r="I15" s="1115"/>
      <c r="J15" s="1203"/>
      <c r="K15" s="1203"/>
      <c r="L15" s="1115"/>
      <c r="M15" s="1115"/>
      <c r="N15" s="1115"/>
      <c r="O15" s="1103"/>
      <c r="P15" s="1103"/>
      <c r="Q15" s="1203"/>
      <c r="R15" s="1210"/>
      <c r="S15" s="1103"/>
      <c r="T15" s="1103"/>
      <c r="U15" s="1103"/>
      <c r="V15" s="1103"/>
      <c r="W15" s="1116"/>
      <c r="X15" s="1215"/>
      <c r="Y15" s="1215"/>
      <c r="Z15" s="1116"/>
      <c r="AA15" s="1116"/>
      <c r="AB15" s="1116"/>
      <c r="AC15" s="1116"/>
      <c r="AD15" s="1116"/>
      <c r="AE15" s="1215"/>
      <c r="AF15" s="1215"/>
      <c r="AG15" s="1116"/>
      <c r="AH15" s="1116"/>
      <c r="AI15" s="1334"/>
      <c r="AJ15" s="717">
        <f>SUM(E15:AI15)</f>
        <v>0</v>
      </c>
      <c r="AK15" s="983">
        <f t="shared" si="0"/>
        <v>0</v>
      </c>
      <c r="AL15" s="220">
        <f>+AJ15*AN11</f>
        <v>0</v>
      </c>
      <c r="AM15" s="989">
        <f t="shared" si="1"/>
        <v>0</v>
      </c>
      <c r="AN15" s="91"/>
      <c r="AO15" s="623"/>
      <c r="AP15" s="47" t="s">
        <v>106</v>
      </c>
      <c r="AQ15" s="48">
        <f>AQ11*AN9</f>
        <v>0</v>
      </c>
      <c r="AR15" s="48">
        <f>AR11*AN9</f>
        <v>0</v>
      </c>
      <c r="AS15" s="48">
        <f>AS11*AN9</f>
        <v>0</v>
      </c>
      <c r="AT15" s="48">
        <f>AT11*AN9</f>
        <v>0</v>
      </c>
      <c r="AU15" s="48">
        <f>AU11*AN9</f>
        <v>0</v>
      </c>
      <c r="AV15" s="50">
        <f t="shared" si="3"/>
        <v>0</v>
      </c>
    </row>
    <row r="16" spans="1:48" s="23" customFormat="1" ht="20.65" hidden="1" customHeight="1">
      <c r="A16" s="276" t="s">
        <v>419</v>
      </c>
      <c r="B16" s="313"/>
      <c r="C16" s="307"/>
      <c r="D16" s="78" t="s">
        <v>107</v>
      </c>
      <c r="E16" s="1137">
        <v>8</v>
      </c>
      <c r="F16" s="1097">
        <v>8</v>
      </c>
      <c r="G16" s="1205">
        <v>8</v>
      </c>
      <c r="H16" s="1097">
        <v>8</v>
      </c>
      <c r="I16" s="1097">
        <v>8</v>
      </c>
      <c r="J16" s="1205">
        <v>8</v>
      </c>
      <c r="K16" s="1205">
        <v>8</v>
      </c>
      <c r="L16" s="1097">
        <v>8</v>
      </c>
      <c r="M16" s="1097">
        <v>8</v>
      </c>
      <c r="N16" s="1097">
        <v>8</v>
      </c>
      <c r="O16" s="1097">
        <v>8</v>
      </c>
      <c r="P16" s="1097">
        <v>8</v>
      </c>
      <c r="Q16" s="1205">
        <v>8</v>
      </c>
      <c r="R16" s="1205">
        <v>8</v>
      </c>
      <c r="S16" s="1097">
        <v>8</v>
      </c>
      <c r="T16" s="1097">
        <v>8</v>
      </c>
      <c r="U16" s="1097">
        <v>8</v>
      </c>
      <c r="V16" s="1097">
        <v>8</v>
      </c>
      <c r="W16" s="1097">
        <v>8</v>
      </c>
      <c r="X16" s="1205">
        <v>8</v>
      </c>
      <c r="Y16" s="1205">
        <v>8</v>
      </c>
      <c r="Z16" s="1097">
        <v>8</v>
      </c>
      <c r="AA16" s="1097">
        <v>8</v>
      </c>
      <c r="AB16" s="1097">
        <v>8</v>
      </c>
      <c r="AC16" s="1097">
        <v>8</v>
      </c>
      <c r="AD16" s="1097">
        <v>8</v>
      </c>
      <c r="AE16" s="1205">
        <v>8</v>
      </c>
      <c r="AF16" s="1205">
        <v>8</v>
      </c>
      <c r="AG16" s="1097">
        <v>8</v>
      </c>
      <c r="AH16" s="1097">
        <v>8</v>
      </c>
      <c r="AI16" s="1328">
        <v>8</v>
      </c>
      <c r="AJ16" s="79"/>
      <c r="AK16" s="983">
        <f t="shared" si="0"/>
        <v>0</v>
      </c>
      <c r="AL16" s="69"/>
      <c r="AM16" s="989">
        <f t="shared" si="1"/>
        <v>0</v>
      </c>
      <c r="AN16" s="277"/>
      <c r="AO16" s="679"/>
      <c r="AP16" s="47"/>
      <c r="AQ16" s="48"/>
      <c r="AR16" s="48"/>
      <c r="AS16" s="48"/>
      <c r="AT16" s="48"/>
      <c r="AU16" s="48"/>
      <c r="AV16" s="284"/>
    </row>
    <row r="17" spans="1:48" s="23" customFormat="1" ht="20.65" hidden="1" customHeight="1">
      <c r="A17" s="276" t="s">
        <v>419</v>
      </c>
      <c r="B17" s="89"/>
      <c r="C17" s="305"/>
      <c r="D17" s="81" t="s">
        <v>109</v>
      </c>
      <c r="E17" s="1125">
        <f>SUM(E11+E13+E14+E15)/E16</f>
        <v>0</v>
      </c>
      <c r="F17" s="1126">
        <f>SUM(F11+F13+F14+F15)/F16</f>
        <v>0</v>
      </c>
      <c r="G17" s="1235">
        <f t="shared" ref="G17:AH17" si="10">SUM(G11+G13+G14+G15)/G16</f>
        <v>0</v>
      </c>
      <c r="H17" s="1126">
        <f t="shared" si="10"/>
        <v>0</v>
      </c>
      <c r="I17" s="1126">
        <f t="shared" si="10"/>
        <v>0</v>
      </c>
      <c r="J17" s="1235">
        <f t="shared" si="10"/>
        <v>0</v>
      </c>
      <c r="K17" s="1235">
        <f t="shared" si="10"/>
        <v>0</v>
      </c>
      <c r="L17" s="1126">
        <f t="shared" si="10"/>
        <v>0</v>
      </c>
      <c r="M17" s="1126">
        <f t="shared" si="10"/>
        <v>0</v>
      </c>
      <c r="N17" s="1126">
        <f t="shared" si="10"/>
        <v>0</v>
      </c>
      <c r="O17" s="1126">
        <f t="shared" si="10"/>
        <v>0</v>
      </c>
      <c r="P17" s="1126">
        <f t="shared" si="10"/>
        <v>0</v>
      </c>
      <c r="Q17" s="1235">
        <f t="shared" si="10"/>
        <v>0</v>
      </c>
      <c r="R17" s="1235">
        <f t="shared" si="10"/>
        <v>0</v>
      </c>
      <c r="S17" s="1126">
        <f t="shared" si="10"/>
        <v>0</v>
      </c>
      <c r="T17" s="1126">
        <f t="shared" si="10"/>
        <v>0</v>
      </c>
      <c r="U17" s="1126">
        <f t="shared" si="10"/>
        <v>0</v>
      </c>
      <c r="V17" s="1126">
        <f t="shared" si="10"/>
        <v>0</v>
      </c>
      <c r="W17" s="1126">
        <f t="shared" si="10"/>
        <v>0</v>
      </c>
      <c r="X17" s="1235">
        <f t="shared" si="10"/>
        <v>0</v>
      </c>
      <c r="Y17" s="1235">
        <f t="shared" si="10"/>
        <v>0</v>
      </c>
      <c r="Z17" s="1126">
        <f t="shared" si="10"/>
        <v>0</v>
      </c>
      <c r="AA17" s="1126">
        <f t="shared" si="10"/>
        <v>0</v>
      </c>
      <c r="AB17" s="1126">
        <f t="shared" si="10"/>
        <v>0</v>
      </c>
      <c r="AC17" s="1126">
        <f t="shared" si="10"/>
        <v>0</v>
      </c>
      <c r="AD17" s="1126">
        <f t="shared" si="10"/>
        <v>0</v>
      </c>
      <c r="AE17" s="1235">
        <f t="shared" si="10"/>
        <v>0</v>
      </c>
      <c r="AF17" s="1235">
        <f t="shared" si="10"/>
        <v>0</v>
      </c>
      <c r="AG17" s="1126">
        <f t="shared" si="10"/>
        <v>0</v>
      </c>
      <c r="AH17" s="1126">
        <f t="shared" si="10"/>
        <v>0</v>
      </c>
      <c r="AI17" s="1335">
        <f>SUM(AI11+AI13+AI14)/AI16</f>
        <v>0</v>
      </c>
      <c r="AJ17" s="515">
        <f>SUM(E17:AI17)</f>
        <v>0</v>
      </c>
      <c r="AK17" s="984">
        <f t="shared" si="0"/>
        <v>0</v>
      </c>
      <c r="AL17" s="689"/>
      <c r="AM17" s="989">
        <f t="shared" si="1"/>
        <v>0</v>
      </c>
      <c r="AN17" s="277"/>
      <c r="AO17" s="679"/>
      <c r="AP17" s="285"/>
      <c r="AQ17" s="285"/>
      <c r="AR17" s="285"/>
      <c r="AS17" s="285"/>
      <c r="AT17" s="286"/>
      <c r="AU17" s="285"/>
      <c r="AV17" s="287"/>
    </row>
    <row r="18" spans="1:48" s="23" customFormat="1" ht="20.65" hidden="1" customHeight="1">
      <c r="A18" s="276" t="s">
        <v>419</v>
      </c>
      <c r="B18" s="89"/>
      <c r="C18" s="72"/>
      <c r="D18" s="85" t="s">
        <v>110</v>
      </c>
      <c r="E18" s="1336"/>
      <c r="F18" s="1106"/>
      <c r="G18" s="1211"/>
      <c r="H18" s="1104"/>
      <c r="I18" s="1104"/>
      <c r="J18" s="1211"/>
      <c r="K18" s="1211"/>
      <c r="L18" s="1104"/>
      <c r="M18" s="1104"/>
      <c r="N18" s="1104"/>
      <c r="O18" s="1104"/>
      <c r="P18" s="1104"/>
      <c r="Q18" s="1211"/>
      <c r="R18" s="1228"/>
      <c r="S18" s="1104"/>
      <c r="T18" s="1107"/>
      <c r="U18" s="1104"/>
      <c r="V18" s="1104"/>
      <c r="W18" s="1104"/>
      <c r="X18" s="1228"/>
      <c r="Y18" s="1211"/>
      <c r="Z18" s="1104"/>
      <c r="AA18" s="1104"/>
      <c r="AB18" s="1104"/>
      <c r="AC18" s="1107"/>
      <c r="AD18" s="1104"/>
      <c r="AE18" s="1211"/>
      <c r="AF18" s="1211"/>
      <c r="AG18" s="1104"/>
      <c r="AH18" s="1104"/>
      <c r="AI18" s="1337"/>
      <c r="AJ18" s="86"/>
      <c r="AK18" s="984">
        <f t="shared" si="0"/>
        <v>0</v>
      </c>
      <c r="AL18" s="690"/>
      <c r="AM18" s="989">
        <f t="shared" si="1"/>
        <v>0</v>
      </c>
      <c r="AN18" s="277"/>
      <c r="AO18" s="679"/>
      <c r="AP18" s="285"/>
      <c r="AQ18" s="285"/>
      <c r="AR18" s="285"/>
      <c r="AS18" s="285"/>
      <c r="AT18" s="286"/>
      <c r="AU18" s="285"/>
      <c r="AV18" s="287"/>
    </row>
    <row r="19" spans="1:48" s="23" customFormat="1" ht="20.65" hidden="1" customHeight="1">
      <c r="A19" s="276" t="s">
        <v>419</v>
      </c>
      <c r="B19" s="89"/>
      <c r="C19" s="72" t="s">
        <v>104</v>
      </c>
      <c r="D19" s="88" t="s">
        <v>111</v>
      </c>
      <c r="E19" s="1108">
        <f>IF(E18="O/H",E17,+E17)</f>
        <v>0</v>
      </c>
      <c r="F19" s="1089">
        <f t="shared" ref="F19:AI19" si="11">IF(F18="O/H",F17,+E19+F17)</f>
        <v>0</v>
      </c>
      <c r="G19" s="44">
        <f t="shared" si="11"/>
        <v>0</v>
      </c>
      <c r="H19" s="1089">
        <f t="shared" si="11"/>
        <v>0</v>
      </c>
      <c r="I19" s="1089">
        <f t="shared" si="11"/>
        <v>0</v>
      </c>
      <c r="J19" s="44">
        <f t="shared" si="11"/>
        <v>0</v>
      </c>
      <c r="K19" s="44">
        <f t="shared" si="11"/>
        <v>0</v>
      </c>
      <c r="L19" s="1089">
        <f t="shared" si="11"/>
        <v>0</v>
      </c>
      <c r="M19" s="1089">
        <f t="shared" si="11"/>
        <v>0</v>
      </c>
      <c r="N19" s="1089">
        <f t="shared" si="11"/>
        <v>0</v>
      </c>
      <c r="O19" s="1089">
        <f t="shared" si="11"/>
        <v>0</v>
      </c>
      <c r="P19" s="1089">
        <f t="shared" si="11"/>
        <v>0</v>
      </c>
      <c r="Q19" s="44">
        <f t="shared" si="11"/>
        <v>0</v>
      </c>
      <c r="R19" s="44">
        <f t="shared" si="11"/>
        <v>0</v>
      </c>
      <c r="S19" s="1089">
        <f t="shared" si="11"/>
        <v>0</v>
      </c>
      <c r="T19" s="1089">
        <f t="shared" si="11"/>
        <v>0</v>
      </c>
      <c r="U19" s="1089">
        <f t="shared" si="11"/>
        <v>0</v>
      </c>
      <c r="V19" s="1089">
        <f t="shared" si="11"/>
        <v>0</v>
      </c>
      <c r="W19" s="1089">
        <f t="shared" si="11"/>
        <v>0</v>
      </c>
      <c r="X19" s="44">
        <f t="shared" si="11"/>
        <v>0</v>
      </c>
      <c r="Y19" s="44">
        <f t="shared" si="11"/>
        <v>0</v>
      </c>
      <c r="Z19" s="1089">
        <f t="shared" si="11"/>
        <v>0</v>
      </c>
      <c r="AA19" s="1089">
        <f t="shared" si="11"/>
        <v>0</v>
      </c>
      <c r="AB19" s="1089">
        <f t="shared" si="11"/>
        <v>0</v>
      </c>
      <c r="AC19" s="1089">
        <f t="shared" si="11"/>
        <v>0</v>
      </c>
      <c r="AD19" s="1089">
        <f t="shared" si="11"/>
        <v>0</v>
      </c>
      <c r="AE19" s="44">
        <f t="shared" si="11"/>
        <v>0</v>
      </c>
      <c r="AF19" s="44">
        <f t="shared" si="11"/>
        <v>0</v>
      </c>
      <c r="AG19" s="1089">
        <f t="shared" si="11"/>
        <v>0</v>
      </c>
      <c r="AH19" s="1089">
        <f t="shared" si="11"/>
        <v>0</v>
      </c>
      <c r="AI19" s="1326">
        <f t="shared" si="11"/>
        <v>0</v>
      </c>
      <c r="AJ19" s="79"/>
      <c r="AK19" s="983">
        <f t="shared" si="0"/>
        <v>0</v>
      </c>
      <c r="AL19" s="690"/>
      <c r="AM19" s="989">
        <f t="shared" si="1"/>
        <v>0</v>
      </c>
      <c r="AN19" s="277"/>
      <c r="AO19" s="679"/>
      <c r="AP19" s="285"/>
      <c r="AQ19" s="285"/>
      <c r="AR19" s="285"/>
      <c r="AS19" s="285"/>
      <c r="AT19" s="286"/>
      <c r="AU19" s="285"/>
      <c r="AV19" s="287"/>
    </row>
    <row r="20" spans="1:48" s="23" customFormat="1" ht="20.45" hidden="1" customHeight="1">
      <c r="A20" s="312"/>
      <c r="B20" s="312"/>
      <c r="C20" s="308">
        <v>300000</v>
      </c>
      <c r="D20" s="795" t="s">
        <v>112</v>
      </c>
      <c r="E20" s="1117" t="b">
        <f>IF(AND(ISNUMBER(E11)),75501+E17)</f>
        <v>0</v>
      </c>
      <c r="F20" s="1118" t="str">
        <f>IF(AND(ISNUMBER(F11)),E20+F17,"")</f>
        <v/>
      </c>
      <c r="G20" s="1216" t="str">
        <f t="shared" ref="G20:AH20" si="12">IF(AND(ISNUMBER(G11)),F20+G17,"")</f>
        <v/>
      </c>
      <c r="H20" s="1118" t="str">
        <f t="shared" si="12"/>
        <v/>
      </c>
      <c r="I20" s="1118" t="str">
        <f t="shared" si="12"/>
        <v/>
      </c>
      <c r="J20" s="1216" t="str">
        <f t="shared" si="12"/>
        <v/>
      </c>
      <c r="K20" s="1216" t="str">
        <f t="shared" si="12"/>
        <v/>
      </c>
      <c r="L20" s="1118" t="str">
        <f t="shared" si="12"/>
        <v/>
      </c>
      <c r="M20" s="1118" t="str">
        <f t="shared" si="12"/>
        <v/>
      </c>
      <c r="N20" s="1118" t="str">
        <f t="shared" si="12"/>
        <v/>
      </c>
      <c r="O20" s="1118" t="str">
        <f t="shared" si="12"/>
        <v/>
      </c>
      <c r="P20" s="1118" t="str">
        <f t="shared" si="12"/>
        <v/>
      </c>
      <c r="Q20" s="1216" t="str">
        <f t="shared" si="12"/>
        <v/>
      </c>
      <c r="R20" s="1216" t="str">
        <f t="shared" si="12"/>
        <v/>
      </c>
      <c r="S20" s="1118" t="str">
        <f t="shared" si="12"/>
        <v/>
      </c>
      <c r="T20" s="1118" t="str">
        <f t="shared" si="12"/>
        <v/>
      </c>
      <c r="U20" s="1118" t="str">
        <f t="shared" si="12"/>
        <v/>
      </c>
      <c r="V20" s="1118" t="str">
        <f t="shared" si="12"/>
        <v/>
      </c>
      <c r="W20" s="1118" t="str">
        <f t="shared" si="12"/>
        <v/>
      </c>
      <c r="X20" s="1216" t="str">
        <f t="shared" si="12"/>
        <v/>
      </c>
      <c r="Y20" s="1216" t="str">
        <f t="shared" si="12"/>
        <v/>
      </c>
      <c r="Z20" s="1118" t="str">
        <f t="shared" si="12"/>
        <v/>
      </c>
      <c r="AA20" s="1118" t="str">
        <f t="shared" si="12"/>
        <v/>
      </c>
      <c r="AB20" s="1118" t="str">
        <f t="shared" si="12"/>
        <v/>
      </c>
      <c r="AC20" s="1118" t="str">
        <f t="shared" si="12"/>
        <v/>
      </c>
      <c r="AD20" s="1118"/>
      <c r="AE20" s="1216" t="str">
        <f t="shared" si="12"/>
        <v/>
      </c>
      <c r="AF20" s="1216" t="str">
        <f t="shared" si="12"/>
        <v/>
      </c>
      <c r="AG20" s="1118" t="str">
        <f t="shared" si="12"/>
        <v/>
      </c>
      <c r="AH20" s="1118" t="str">
        <f t="shared" si="12"/>
        <v/>
      </c>
      <c r="AI20" s="1089" t="str">
        <f>IF(AND(ISNUMBER(AI11)),AH20+AI17,"")</f>
        <v/>
      </c>
      <c r="AJ20" s="793"/>
      <c r="AK20" s="985">
        <f t="shared" si="0"/>
        <v>0</v>
      </c>
      <c r="AL20" s="909"/>
      <c r="AM20" s="987">
        <f t="shared" si="1"/>
        <v>0</v>
      </c>
      <c r="AN20" s="429"/>
      <c r="AO20" s="675"/>
      <c r="AP20" s="285"/>
      <c r="AQ20" s="285"/>
      <c r="AR20" s="285"/>
      <c r="AS20" s="285"/>
      <c r="AT20" s="286"/>
      <c r="AU20" s="285"/>
      <c r="AV20" s="287"/>
    </row>
    <row r="21" spans="1:48" s="23" customFormat="1" ht="20.65" hidden="1" customHeight="1">
      <c r="A21" s="276"/>
      <c r="B21" s="89"/>
      <c r="C21" s="80" t="s">
        <v>108</v>
      </c>
      <c r="D21" s="90" t="s">
        <v>104</v>
      </c>
      <c r="E21" s="1338"/>
      <c r="F21" s="1106"/>
      <c r="G21" s="1253"/>
      <c r="H21" s="1106"/>
      <c r="I21" s="1106"/>
      <c r="J21" s="1253"/>
      <c r="K21" s="1253"/>
      <c r="L21" s="1106"/>
      <c r="M21" s="1106"/>
      <c r="N21" s="1106"/>
      <c r="O21" s="1106"/>
      <c r="P21" s="1106"/>
      <c r="Q21" s="1253"/>
      <c r="R21" s="1253"/>
      <c r="S21" s="1106"/>
      <c r="T21" s="1106"/>
      <c r="U21" s="1106"/>
      <c r="V21" s="1106"/>
      <c r="W21" s="1106"/>
      <c r="X21" s="1253"/>
      <c r="Y21" s="1253"/>
      <c r="Z21" s="1106"/>
      <c r="AA21" s="1106"/>
      <c r="AB21" s="1106"/>
      <c r="AC21" s="1106"/>
      <c r="AD21" s="1106"/>
      <c r="AE21" s="1253"/>
      <c r="AF21" s="1253"/>
      <c r="AG21" s="1106"/>
      <c r="AH21" s="1106"/>
      <c r="AI21" s="1339"/>
      <c r="AJ21" s="79"/>
      <c r="AK21" s="983">
        <f t="shared" si="0"/>
        <v>300000</v>
      </c>
      <c r="AL21" s="690"/>
      <c r="AM21" s="989">
        <f t="shared" si="1"/>
        <v>493026.00000000006</v>
      </c>
      <c r="AN21" s="301"/>
      <c r="AO21" s="680"/>
      <c r="AP21" s="285"/>
      <c r="AQ21" s="285"/>
      <c r="AR21" s="285"/>
      <c r="AS21" s="285"/>
      <c r="AT21" s="286"/>
      <c r="AU21" s="285"/>
      <c r="AV21" s="287"/>
    </row>
    <row r="22" spans="1:48" s="23" customFormat="1" ht="20.65" hidden="1" customHeight="1" thickBot="1">
      <c r="A22" s="289"/>
      <c r="B22" s="93"/>
      <c r="C22" s="94">
        <f>+C20*0.8</f>
        <v>240000</v>
      </c>
      <c r="D22" s="88" t="s">
        <v>111</v>
      </c>
      <c r="E22" s="1109">
        <f>IF(E21="O/H",E17,0+E17)</f>
        <v>0</v>
      </c>
      <c r="F22" s="1110">
        <f t="shared" ref="F22:AI22" si="13">IF(F21="O/H",F17,+E22+F17)</f>
        <v>0</v>
      </c>
      <c r="G22" s="1212">
        <f t="shared" si="13"/>
        <v>0</v>
      </c>
      <c r="H22" s="1110">
        <f t="shared" si="13"/>
        <v>0</v>
      </c>
      <c r="I22" s="1110">
        <f t="shared" si="13"/>
        <v>0</v>
      </c>
      <c r="J22" s="1212">
        <f t="shared" si="13"/>
        <v>0</v>
      </c>
      <c r="K22" s="1212">
        <f t="shared" si="13"/>
        <v>0</v>
      </c>
      <c r="L22" s="1110">
        <f t="shared" si="13"/>
        <v>0</v>
      </c>
      <c r="M22" s="1110">
        <f t="shared" si="13"/>
        <v>0</v>
      </c>
      <c r="N22" s="1110">
        <f t="shared" si="13"/>
        <v>0</v>
      </c>
      <c r="O22" s="1110">
        <f t="shared" si="13"/>
        <v>0</v>
      </c>
      <c r="P22" s="1110">
        <f t="shared" si="13"/>
        <v>0</v>
      </c>
      <c r="Q22" s="1212">
        <f t="shared" si="13"/>
        <v>0</v>
      </c>
      <c r="R22" s="1212">
        <f t="shared" si="13"/>
        <v>0</v>
      </c>
      <c r="S22" s="1110">
        <f t="shared" si="13"/>
        <v>0</v>
      </c>
      <c r="T22" s="1110">
        <f t="shared" si="13"/>
        <v>0</v>
      </c>
      <c r="U22" s="1110">
        <f t="shared" si="13"/>
        <v>0</v>
      </c>
      <c r="V22" s="1110">
        <f t="shared" si="13"/>
        <v>0</v>
      </c>
      <c r="W22" s="1110">
        <f t="shared" si="13"/>
        <v>0</v>
      </c>
      <c r="X22" s="1212">
        <f t="shared" si="13"/>
        <v>0</v>
      </c>
      <c r="Y22" s="1212">
        <f t="shared" si="13"/>
        <v>0</v>
      </c>
      <c r="Z22" s="1110">
        <f t="shared" si="13"/>
        <v>0</v>
      </c>
      <c r="AA22" s="1110">
        <f t="shared" si="13"/>
        <v>0</v>
      </c>
      <c r="AB22" s="1110">
        <f t="shared" si="13"/>
        <v>0</v>
      </c>
      <c r="AC22" s="1110">
        <f t="shared" si="13"/>
        <v>0</v>
      </c>
      <c r="AD22" s="1110">
        <f t="shared" si="13"/>
        <v>0</v>
      </c>
      <c r="AE22" s="1212">
        <f t="shared" si="13"/>
        <v>0</v>
      </c>
      <c r="AF22" s="1212">
        <f t="shared" si="13"/>
        <v>0</v>
      </c>
      <c r="AG22" s="1110">
        <f t="shared" si="13"/>
        <v>0</v>
      </c>
      <c r="AH22" s="1110">
        <f t="shared" si="13"/>
        <v>0</v>
      </c>
      <c r="AI22" s="1340">
        <f t="shared" si="13"/>
        <v>0</v>
      </c>
      <c r="AJ22" s="96"/>
      <c r="AK22" s="1060">
        <f t="shared" si="0"/>
        <v>0</v>
      </c>
      <c r="AL22" s="695"/>
      <c r="AM22" s="1057">
        <f t="shared" si="1"/>
        <v>0</v>
      </c>
      <c r="AN22" s="292"/>
      <c r="AO22" s="681"/>
      <c r="AP22" s="285"/>
      <c r="AQ22" s="285"/>
      <c r="AR22" s="285"/>
      <c r="AS22" s="285"/>
      <c r="AT22" s="286"/>
      <c r="AU22" s="285"/>
      <c r="AV22" s="287"/>
    </row>
    <row r="23" spans="1:48" s="23" customFormat="1" ht="20.65" customHeight="1" thickTop="1">
      <c r="A23" s="283" t="s">
        <v>604</v>
      </c>
      <c r="B23" s="334" t="s">
        <v>666</v>
      </c>
      <c r="C23" s="42" t="str">
        <f>Table2810[[#This Row],[M/C No.]]</f>
        <v>A1(75ton)</v>
      </c>
      <c r="D23" s="28" t="s">
        <v>82</v>
      </c>
      <c r="E23" s="1139">
        <v>0</v>
      </c>
      <c r="F23" s="1139">
        <v>0</v>
      </c>
      <c r="G23" s="1231">
        <v>0</v>
      </c>
      <c r="H23" s="1139">
        <v>15000</v>
      </c>
      <c r="I23" s="1139">
        <v>36000</v>
      </c>
      <c r="J23" s="1231">
        <v>0</v>
      </c>
      <c r="K23" s="1231">
        <v>0</v>
      </c>
      <c r="L23" s="1139">
        <v>15000</v>
      </c>
      <c r="M23" s="1139">
        <v>36000</v>
      </c>
      <c r="N23" s="1139">
        <v>36000</v>
      </c>
      <c r="O23" s="1139">
        <v>36000</v>
      </c>
      <c r="P23" s="1139">
        <v>36000</v>
      </c>
      <c r="Q23" s="1231">
        <v>0</v>
      </c>
      <c r="R23" s="1231">
        <v>0</v>
      </c>
      <c r="S23" s="1139">
        <v>15000</v>
      </c>
      <c r="T23" s="1139">
        <v>36000</v>
      </c>
      <c r="U23" s="1139">
        <v>36000</v>
      </c>
      <c r="V23" s="1139">
        <v>3000</v>
      </c>
      <c r="W23" s="1139">
        <v>0</v>
      </c>
      <c r="X23" s="1231">
        <v>0</v>
      </c>
      <c r="Y23" s="1231">
        <v>0</v>
      </c>
      <c r="Z23" s="1139">
        <v>0</v>
      </c>
      <c r="AA23" s="1139">
        <v>0</v>
      </c>
      <c r="AB23" s="1139">
        <v>0</v>
      </c>
      <c r="AC23" s="1139">
        <v>0</v>
      </c>
      <c r="AD23" s="1139">
        <v>0</v>
      </c>
      <c r="AE23" s="1231">
        <v>0</v>
      </c>
      <c r="AF23" s="1231">
        <v>0</v>
      </c>
      <c r="AG23" s="1139">
        <v>0</v>
      </c>
      <c r="AH23" s="1139">
        <v>0</v>
      </c>
      <c r="AI23" s="1322"/>
      <c r="AJ23" s="29">
        <f>SUM(E23:AI23)</f>
        <v>300000</v>
      </c>
      <c r="AK23" s="1020">
        <f t="shared" si="0"/>
        <v>301800</v>
      </c>
      <c r="AL23" s="101">
        <f>+AJ23*AN23</f>
        <v>493026.00000000006</v>
      </c>
      <c r="AM23" s="1019">
        <f t="shared" si="1"/>
        <v>495984.15600000002</v>
      </c>
      <c r="AN23" s="335">
        <v>1.6434200000000001</v>
      </c>
      <c r="AO23" s="622">
        <f>Table2810[[#This Row],[Total]]*B27/1000</f>
        <v>929.17499999999995</v>
      </c>
      <c r="AP23" s="32" t="s">
        <v>321</v>
      </c>
      <c r="AQ23" s="33" t="s">
        <v>84</v>
      </c>
      <c r="AR23" s="33" t="s">
        <v>85</v>
      </c>
      <c r="AS23" s="33" t="s">
        <v>86</v>
      </c>
      <c r="AT23" s="33" t="s">
        <v>87</v>
      </c>
      <c r="AU23" s="33" t="s">
        <v>88</v>
      </c>
      <c r="AV23" s="34" t="s">
        <v>68</v>
      </c>
    </row>
    <row r="24" spans="1:48" s="23" customFormat="1" ht="20.65" customHeight="1">
      <c r="A24" s="274"/>
      <c r="B24" s="766" t="s">
        <v>530</v>
      </c>
      <c r="C24" s="275"/>
      <c r="D24" s="37" t="s">
        <v>90</v>
      </c>
      <c r="E24" s="1323">
        <f>IF(E23="",0,+ E23/E30)</f>
        <v>0</v>
      </c>
      <c r="F24" s="1096">
        <f t="shared" ref="F24:AC24" si="14">IF(F23="",0, E24+F23/F30)</f>
        <v>0</v>
      </c>
      <c r="G24" s="1207">
        <f t="shared" si="14"/>
        <v>0</v>
      </c>
      <c r="H24" s="1096">
        <f t="shared" si="14"/>
        <v>1875</v>
      </c>
      <c r="I24" s="1096">
        <f t="shared" si="14"/>
        <v>6375</v>
      </c>
      <c r="J24" s="1207">
        <f t="shared" si="14"/>
        <v>6375</v>
      </c>
      <c r="K24" s="1207">
        <f t="shared" si="14"/>
        <v>6375</v>
      </c>
      <c r="L24" s="1096">
        <f t="shared" si="14"/>
        <v>8250</v>
      </c>
      <c r="M24" s="1096">
        <f t="shared" si="14"/>
        <v>12750</v>
      </c>
      <c r="N24" s="1096">
        <f t="shared" si="14"/>
        <v>17250</v>
      </c>
      <c r="O24" s="1096">
        <f t="shared" si="14"/>
        <v>21750</v>
      </c>
      <c r="P24" s="1096">
        <f t="shared" si="14"/>
        <v>26250</v>
      </c>
      <c r="Q24" s="1207">
        <f t="shared" si="14"/>
        <v>26250</v>
      </c>
      <c r="R24" s="1207">
        <f t="shared" si="14"/>
        <v>26250</v>
      </c>
      <c r="S24" s="1096">
        <f t="shared" si="14"/>
        <v>28125</v>
      </c>
      <c r="T24" s="1096">
        <f t="shared" si="14"/>
        <v>32625</v>
      </c>
      <c r="U24" s="1096">
        <f t="shared" si="14"/>
        <v>37125</v>
      </c>
      <c r="V24" s="1096">
        <f t="shared" si="14"/>
        <v>37500</v>
      </c>
      <c r="W24" s="1096">
        <f t="shared" si="14"/>
        <v>37500</v>
      </c>
      <c r="X24" s="1207">
        <f t="shared" si="14"/>
        <v>37500</v>
      </c>
      <c r="Y24" s="1207">
        <f t="shared" si="14"/>
        <v>37500</v>
      </c>
      <c r="Z24" s="1096">
        <f t="shared" si="14"/>
        <v>37500</v>
      </c>
      <c r="AA24" s="1096">
        <f t="shared" si="14"/>
        <v>37500</v>
      </c>
      <c r="AB24" s="1096">
        <f t="shared" si="14"/>
        <v>37500</v>
      </c>
      <c r="AC24" s="1096">
        <f t="shared" si="14"/>
        <v>37500</v>
      </c>
      <c r="AD24" s="1096">
        <f>IF(AD23="",0, Z24+AD23/AD30)</f>
        <v>37500</v>
      </c>
      <c r="AE24" s="1207">
        <f>IF(AE23="",0, AA24+AE23/AE30)</f>
        <v>37500</v>
      </c>
      <c r="AF24" s="1207">
        <f>IF(AF23="",0, AB24+AF23/AF30)</f>
        <v>37500</v>
      </c>
      <c r="AG24" s="1096">
        <f>IF(AG23="",0, AC24+AG23/AG30)</f>
        <v>37500</v>
      </c>
      <c r="AH24" s="1096">
        <f>IF(AH23="",0, AD24+AH23/AH30)</f>
        <v>37500</v>
      </c>
      <c r="AI24" s="1324">
        <f>IF(AI23="",0, AH24+AI23/AI30)</f>
        <v>0</v>
      </c>
      <c r="AJ24" s="716"/>
      <c r="AK24" s="982">
        <f t="shared" si="0"/>
        <v>1800</v>
      </c>
      <c r="AL24" s="209"/>
      <c r="AM24" s="987">
        <f t="shared" si="1"/>
        <v>2958.1560000000004</v>
      </c>
      <c r="AN24" s="91"/>
      <c r="AO24" s="757"/>
      <c r="AP24" s="39" t="s">
        <v>91</v>
      </c>
      <c r="AQ24" s="40">
        <f>SUM(E23:H23)</f>
        <v>15000</v>
      </c>
      <c r="AR24" s="41">
        <f>SUM(I23:O23)</f>
        <v>159000</v>
      </c>
      <c r="AS24" s="41">
        <f>SUM(P23:V23)</f>
        <v>126000</v>
      </c>
      <c r="AT24" s="41">
        <f>SUM(W23:AC23)</f>
        <v>0</v>
      </c>
      <c r="AU24" s="41">
        <f>SUM(AD23:AI23)</f>
        <v>0</v>
      </c>
      <c r="AV24" s="34">
        <f t="shared" ref="AV24:AV29" si="15">SUM(AQ24:AU24)</f>
        <v>300000</v>
      </c>
    </row>
    <row r="25" spans="1:48" s="23" customFormat="1" ht="20.65" customHeight="1">
      <c r="A25" s="276" t="s">
        <v>419</v>
      </c>
      <c r="B25" s="583" t="s">
        <v>272</v>
      </c>
      <c r="C25" s="42"/>
      <c r="D25" s="834" t="s">
        <v>93</v>
      </c>
      <c r="E25" s="1108">
        <v>0</v>
      </c>
      <c r="F25" s="1089">
        <v>0</v>
      </c>
      <c r="G25" s="44">
        <v>0</v>
      </c>
      <c r="H25" s="1089">
        <v>0</v>
      </c>
      <c r="I25" s="1089">
        <v>0</v>
      </c>
      <c r="J25" s="44">
        <v>0</v>
      </c>
      <c r="K25" s="44">
        <v>0</v>
      </c>
      <c r="L25" s="1089">
        <v>12000</v>
      </c>
      <c r="M25" s="1089">
        <v>38000</v>
      </c>
      <c r="N25" s="1089">
        <v>44000</v>
      </c>
      <c r="O25" s="1089">
        <v>36000</v>
      </c>
      <c r="P25" s="1089">
        <v>42000</v>
      </c>
      <c r="Q25" s="44">
        <v>42000</v>
      </c>
      <c r="R25" s="44">
        <v>3800</v>
      </c>
      <c r="S25" s="1089">
        <v>12000</v>
      </c>
      <c r="T25" s="1089">
        <v>38000</v>
      </c>
      <c r="U25" s="1089">
        <v>28000</v>
      </c>
      <c r="V25" s="1089">
        <v>6000</v>
      </c>
      <c r="W25" s="1089">
        <v>0</v>
      </c>
      <c r="X25" s="44">
        <v>0</v>
      </c>
      <c r="Y25" s="44">
        <v>0</v>
      </c>
      <c r="Z25" s="1089">
        <v>0</v>
      </c>
      <c r="AA25" s="1089">
        <v>0</v>
      </c>
      <c r="AB25" s="1089"/>
      <c r="AC25" s="1089"/>
      <c r="AD25" s="1089"/>
      <c r="AE25" s="44"/>
      <c r="AF25" s="44"/>
      <c r="AG25" s="1089"/>
      <c r="AH25" s="1089"/>
      <c r="AI25" s="1326"/>
      <c r="AJ25" s="45">
        <f>SUM(E25:AI25)</f>
        <v>301800</v>
      </c>
      <c r="AK25" s="983">
        <f t="shared" si="0"/>
        <v>4512</v>
      </c>
      <c r="AL25" s="46">
        <f>+AJ25*AN23</f>
        <v>495984.15600000002</v>
      </c>
      <c r="AM25" s="988">
        <f t="shared" si="1"/>
        <v>7415.1110400000007</v>
      </c>
      <c r="AN25" s="277"/>
      <c r="AO25" s="632">
        <f>(AJ25+AJ27+AJ28+AJ29)*B27/1000</f>
        <v>954.37422599999991</v>
      </c>
      <c r="AP25" s="47" t="s">
        <v>94</v>
      </c>
      <c r="AQ25" s="48">
        <f>SUM(E25:H25)</f>
        <v>0</v>
      </c>
      <c r="AR25" s="49">
        <f>SUM(I25:O25)</f>
        <v>130000</v>
      </c>
      <c r="AS25" s="49">
        <f>SUM(P25:V25)</f>
        <v>171800</v>
      </c>
      <c r="AT25" s="49">
        <f>SUM(W25:AC25)</f>
        <v>0</v>
      </c>
      <c r="AU25" s="49">
        <f>SUM(AD25:AI25)</f>
        <v>0</v>
      </c>
      <c r="AV25" s="50">
        <f t="shared" si="15"/>
        <v>301800</v>
      </c>
    </row>
    <row r="26" spans="1:48" s="23" customFormat="1" ht="20.65" customHeight="1">
      <c r="A26" s="276" t="s">
        <v>419</v>
      </c>
      <c r="B26" s="767" t="s">
        <v>247</v>
      </c>
      <c r="C26" s="280"/>
      <c r="D26" s="835" t="s">
        <v>96</v>
      </c>
      <c r="E26" s="1137">
        <f t="shared" ref="E26:AJ26" si="16">+E25-E23</f>
        <v>0</v>
      </c>
      <c r="F26" s="1097">
        <f t="shared" si="16"/>
        <v>0</v>
      </c>
      <c r="G26" s="1205">
        <f t="shared" si="16"/>
        <v>0</v>
      </c>
      <c r="H26" s="1097">
        <f t="shared" si="16"/>
        <v>-15000</v>
      </c>
      <c r="I26" s="1097">
        <f t="shared" si="16"/>
        <v>-36000</v>
      </c>
      <c r="J26" s="1205">
        <f t="shared" si="16"/>
        <v>0</v>
      </c>
      <c r="K26" s="1205">
        <f t="shared" si="16"/>
        <v>0</v>
      </c>
      <c r="L26" s="1097">
        <f t="shared" si="16"/>
        <v>-3000</v>
      </c>
      <c r="M26" s="1097">
        <f t="shared" si="16"/>
        <v>2000</v>
      </c>
      <c r="N26" s="1097">
        <f t="shared" si="16"/>
        <v>8000</v>
      </c>
      <c r="O26" s="1097">
        <f t="shared" si="16"/>
        <v>0</v>
      </c>
      <c r="P26" s="1097">
        <f t="shared" si="16"/>
        <v>6000</v>
      </c>
      <c r="Q26" s="1205">
        <f t="shared" si="16"/>
        <v>42000</v>
      </c>
      <c r="R26" s="1205">
        <f t="shared" si="16"/>
        <v>3800</v>
      </c>
      <c r="S26" s="1097">
        <f t="shared" si="16"/>
        <v>-3000</v>
      </c>
      <c r="T26" s="1097">
        <f t="shared" si="16"/>
        <v>2000</v>
      </c>
      <c r="U26" s="1097">
        <f>+U25-U23</f>
        <v>-8000</v>
      </c>
      <c r="V26" s="1097">
        <f t="shared" si="16"/>
        <v>3000</v>
      </c>
      <c r="W26" s="1097">
        <f t="shared" si="16"/>
        <v>0</v>
      </c>
      <c r="X26" s="1205">
        <f t="shared" si="16"/>
        <v>0</v>
      </c>
      <c r="Y26" s="1205">
        <f t="shared" si="16"/>
        <v>0</v>
      </c>
      <c r="Z26" s="1097">
        <f t="shared" si="16"/>
        <v>0</v>
      </c>
      <c r="AA26" s="1097">
        <f t="shared" si="16"/>
        <v>0</v>
      </c>
      <c r="AB26" s="1097">
        <f t="shared" si="16"/>
        <v>0</v>
      </c>
      <c r="AC26" s="1097">
        <f t="shared" si="16"/>
        <v>0</v>
      </c>
      <c r="AD26" s="1097">
        <f t="shared" si="16"/>
        <v>0</v>
      </c>
      <c r="AE26" s="1205">
        <f t="shared" si="16"/>
        <v>0</v>
      </c>
      <c r="AF26" s="1205">
        <f t="shared" si="16"/>
        <v>0</v>
      </c>
      <c r="AG26" s="1097">
        <f t="shared" si="16"/>
        <v>0</v>
      </c>
      <c r="AH26" s="1097">
        <f t="shared" si="16"/>
        <v>0</v>
      </c>
      <c r="AI26" s="1328">
        <f t="shared" si="16"/>
        <v>0</v>
      </c>
      <c r="AJ26" s="79">
        <f t="shared" si="16"/>
        <v>1800</v>
      </c>
      <c r="AK26" s="983">
        <f t="shared" si="0"/>
        <v>1824</v>
      </c>
      <c r="AL26" s="55">
        <f>+AJ26*AN23</f>
        <v>2958.1560000000004</v>
      </c>
      <c r="AM26" s="988">
        <f t="shared" si="1"/>
        <v>2997.5980800000002</v>
      </c>
      <c r="AN26" s="277" t="s">
        <v>97</v>
      </c>
      <c r="AO26" s="622"/>
      <c r="AP26" s="39" t="s">
        <v>98</v>
      </c>
      <c r="AQ26" s="56">
        <f>AQ25-AQ24</f>
        <v>-15000</v>
      </c>
      <c r="AR26" s="70">
        <f>AR25-AR24</f>
        <v>-29000</v>
      </c>
      <c r="AS26" s="70">
        <f>AS25-AS24</f>
        <v>45800</v>
      </c>
      <c r="AT26" s="70">
        <f>AT25-AT24</f>
        <v>0</v>
      </c>
      <c r="AU26" s="70">
        <f>AU25-AU24</f>
        <v>0</v>
      </c>
      <c r="AV26" s="57">
        <f t="shared" si="15"/>
        <v>1800</v>
      </c>
    </row>
    <row r="27" spans="1:48" s="23" customFormat="1" ht="20.65" customHeight="1">
      <c r="A27" s="276" t="s">
        <v>419</v>
      </c>
      <c r="B27" s="768">
        <v>3.0972499999999998</v>
      </c>
      <c r="C27" s="305"/>
      <c r="D27" s="836" t="s">
        <v>101</v>
      </c>
      <c r="E27" s="1098">
        <v>0</v>
      </c>
      <c r="F27" s="1099">
        <v>0</v>
      </c>
      <c r="G27" s="1208">
        <v>0</v>
      </c>
      <c r="H27" s="1099">
        <v>0</v>
      </c>
      <c r="I27" s="1099">
        <v>1472</v>
      </c>
      <c r="J27" s="1208">
        <v>0</v>
      </c>
      <c r="K27" s="1208">
        <v>0</v>
      </c>
      <c r="L27" s="1099">
        <v>400</v>
      </c>
      <c r="M27" s="1099">
        <v>0</v>
      </c>
      <c r="N27" s="1099">
        <v>0</v>
      </c>
      <c r="O27" s="1099">
        <v>0</v>
      </c>
      <c r="P27" s="1099">
        <v>0</v>
      </c>
      <c r="Q27" s="1208">
        <v>400</v>
      </c>
      <c r="R27" s="1208">
        <v>0</v>
      </c>
      <c r="S27" s="1099">
        <v>1440</v>
      </c>
      <c r="T27" s="1099">
        <v>0</v>
      </c>
      <c r="U27" s="1099">
        <v>800</v>
      </c>
      <c r="V27" s="1099">
        <v>0</v>
      </c>
      <c r="W27" s="1099">
        <v>0</v>
      </c>
      <c r="X27" s="1208">
        <v>0</v>
      </c>
      <c r="Y27" s="1208">
        <v>0</v>
      </c>
      <c r="Z27" s="1099">
        <v>0</v>
      </c>
      <c r="AA27" s="1099">
        <v>0</v>
      </c>
      <c r="AB27" s="1099"/>
      <c r="AC27" s="1099"/>
      <c r="AD27" s="1099"/>
      <c r="AE27" s="1208"/>
      <c r="AF27" s="1208"/>
      <c r="AG27" s="1099"/>
      <c r="AH27" s="1099"/>
      <c r="AI27" s="1330"/>
      <c r="AJ27" s="62">
        <f>SUM(E27:AI27)</f>
        <v>4512</v>
      </c>
      <c r="AK27" s="983">
        <f t="shared" si="0"/>
        <v>0</v>
      </c>
      <c r="AL27" s="63">
        <f>+AJ27*AN23</f>
        <v>7415.1110400000007</v>
      </c>
      <c r="AM27" s="989">
        <f t="shared" si="1"/>
        <v>0</v>
      </c>
      <c r="AN27" s="301">
        <f>+AJ27/AJ25*100</f>
        <v>1.4950298210735586</v>
      </c>
      <c r="AO27" s="635">
        <f>AO25/AO23</f>
        <v>1.02712</v>
      </c>
      <c r="AP27" s="39" t="s">
        <v>102</v>
      </c>
      <c r="AQ27" s="56">
        <f>SUM(E27:H27)</f>
        <v>0</v>
      </c>
      <c r="AR27" s="70">
        <f>SUM(I27:O27)</f>
        <v>1872</v>
      </c>
      <c r="AS27" s="70">
        <f>SUM(P27:V27)</f>
        <v>2640</v>
      </c>
      <c r="AT27" s="70">
        <f>SUM(W27:AC27)</f>
        <v>0</v>
      </c>
      <c r="AU27" s="70">
        <f>SUM(AD27:AI27)</f>
        <v>0</v>
      </c>
      <c r="AV27" s="57">
        <f t="shared" si="15"/>
        <v>4512</v>
      </c>
    </row>
    <row r="28" spans="1:48" s="23" customFormat="1" ht="20.65" customHeight="1">
      <c r="A28" s="330"/>
      <c r="B28" s="334"/>
      <c r="C28" s="52" t="s">
        <v>95</v>
      </c>
      <c r="D28" s="837" t="s">
        <v>103</v>
      </c>
      <c r="E28" s="1100">
        <v>0</v>
      </c>
      <c r="F28" s="1101">
        <v>0</v>
      </c>
      <c r="G28" s="1209">
        <v>0</v>
      </c>
      <c r="H28" s="1101">
        <v>0</v>
      </c>
      <c r="I28" s="1101">
        <v>0</v>
      </c>
      <c r="J28" s="1209">
        <v>0</v>
      </c>
      <c r="K28" s="1209">
        <v>0</v>
      </c>
      <c r="L28" s="1101">
        <v>96</v>
      </c>
      <c r="M28" s="1101">
        <v>240</v>
      </c>
      <c r="N28" s="1101">
        <v>288</v>
      </c>
      <c r="O28" s="1101">
        <v>240</v>
      </c>
      <c r="P28" s="1101">
        <v>240</v>
      </c>
      <c r="Q28" s="1209">
        <v>288</v>
      </c>
      <c r="R28" s="1209">
        <v>0</v>
      </c>
      <c r="S28" s="1101">
        <v>96</v>
      </c>
      <c r="T28" s="1101">
        <v>192</v>
      </c>
      <c r="U28" s="1101">
        <v>128</v>
      </c>
      <c r="V28" s="1101">
        <v>16</v>
      </c>
      <c r="W28" s="1101">
        <v>0</v>
      </c>
      <c r="X28" s="1209">
        <v>0</v>
      </c>
      <c r="Y28" s="1209">
        <v>0</v>
      </c>
      <c r="Z28" s="1101">
        <v>0</v>
      </c>
      <c r="AA28" s="1101">
        <v>0</v>
      </c>
      <c r="AB28" s="1101"/>
      <c r="AC28" s="1101"/>
      <c r="AD28" s="1101"/>
      <c r="AE28" s="1209"/>
      <c r="AF28" s="1209"/>
      <c r="AG28" s="1101"/>
      <c r="AH28" s="1101"/>
      <c r="AI28" s="1332"/>
      <c r="AJ28" s="68">
        <f>SUM(E28:AI28)</f>
        <v>1824</v>
      </c>
      <c r="AK28" s="983">
        <f t="shared" si="0"/>
        <v>0</v>
      </c>
      <c r="AL28" s="69">
        <f>+AJ28*AN23</f>
        <v>2997.5980800000002</v>
      </c>
      <c r="AM28" s="989">
        <f t="shared" si="1"/>
        <v>0</v>
      </c>
      <c r="AN28" s="277"/>
      <c r="AO28" s="679"/>
      <c r="AP28" s="39" t="s">
        <v>19</v>
      </c>
      <c r="AQ28" s="56">
        <f>AQ27*AN23</f>
        <v>0</v>
      </c>
      <c r="AR28" s="56">
        <f>AR27*AN23</f>
        <v>3076.4822400000003</v>
      </c>
      <c r="AS28" s="56">
        <f>AS27*AN23</f>
        <v>4338.6288000000004</v>
      </c>
      <c r="AT28" s="56">
        <f>AT27*AN23</f>
        <v>0</v>
      </c>
      <c r="AU28" s="56">
        <f>AU27*AN23</f>
        <v>0</v>
      </c>
      <c r="AV28" s="57">
        <f t="shared" si="15"/>
        <v>7415.1110400000007</v>
      </c>
    </row>
    <row r="29" spans="1:48" s="23" customFormat="1" ht="20.65" customHeight="1">
      <c r="A29" s="330"/>
      <c r="B29" s="89"/>
      <c r="C29" s="306" t="s">
        <v>387</v>
      </c>
      <c r="D29" s="838" t="s">
        <v>105</v>
      </c>
      <c r="E29" s="1102">
        <v>0</v>
      </c>
      <c r="F29" s="1103">
        <v>0</v>
      </c>
      <c r="G29" s="1289">
        <v>0</v>
      </c>
      <c r="H29" s="1116">
        <v>0</v>
      </c>
      <c r="I29" s="1116">
        <v>0</v>
      </c>
      <c r="J29" s="1215">
        <v>0</v>
      </c>
      <c r="K29" s="1210">
        <v>0</v>
      </c>
      <c r="L29" s="1103">
        <v>0</v>
      </c>
      <c r="M29" s="1116">
        <v>0</v>
      </c>
      <c r="N29" s="1116">
        <v>0</v>
      </c>
      <c r="O29" s="1103">
        <v>0</v>
      </c>
      <c r="P29" s="1103">
        <v>0</v>
      </c>
      <c r="Q29" s="1210">
        <v>0</v>
      </c>
      <c r="R29" s="1210">
        <v>0</v>
      </c>
      <c r="S29" s="1103">
        <v>0</v>
      </c>
      <c r="T29" s="1103">
        <v>0</v>
      </c>
      <c r="U29" s="1103">
        <v>0</v>
      </c>
      <c r="V29" s="1103">
        <v>0</v>
      </c>
      <c r="W29" s="1103">
        <v>0</v>
      </c>
      <c r="X29" s="1215">
        <v>0</v>
      </c>
      <c r="Y29" s="1215">
        <v>0</v>
      </c>
      <c r="Z29" s="1116">
        <v>0</v>
      </c>
      <c r="AA29" s="1116">
        <v>0</v>
      </c>
      <c r="AB29" s="1116"/>
      <c r="AC29" s="1116"/>
      <c r="AD29" s="1116"/>
      <c r="AE29" s="1215"/>
      <c r="AF29" s="1215"/>
      <c r="AG29" s="1116"/>
      <c r="AH29" s="1116"/>
      <c r="AI29" s="1334"/>
      <c r="AJ29" s="717">
        <f>SUM(E29:AI29)</f>
        <v>0</v>
      </c>
      <c r="AK29" s="983">
        <f t="shared" si="0"/>
        <v>38517</v>
      </c>
      <c r="AL29" s="220">
        <f>+AJ29*AN25</f>
        <v>0</v>
      </c>
      <c r="AM29" s="989">
        <f t="shared" si="1"/>
        <v>0</v>
      </c>
      <c r="AN29" s="91"/>
      <c r="AO29" s="623"/>
      <c r="AP29" s="47" t="s">
        <v>106</v>
      </c>
      <c r="AQ29" s="48">
        <f>AQ25*AN23</f>
        <v>0</v>
      </c>
      <c r="AR29" s="48">
        <f>AR25*AN23</f>
        <v>213644.6</v>
      </c>
      <c r="AS29" s="48">
        <f>AS25*AN23</f>
        <v>282339.55600000004</v>
      </c>
      <c r="AT29" s="48">
        <f>AT25*AN23</f>
        <v>0</v>
      </c>
      <c r="AU29" s="48">
        <f>AU25*AN23</f>
        <v>0</v>
      </c>
      <c r="AV29" s="50">
        <f t="shared" si="15"/>
        <v>495984.15600000008</v>
      </c>
    </row>
    <row r="30" spans="1:48" s="23" customFormat="1" ht="20.65" customHeight="1">
      <c r="A30" s="276" t="s">
        <v>419</v>
      </c>
      <c r="B30" s="334" t="s">
        <v>532</v>
      </c>
      <c r="C30" s="307"/>
      <c r="D30" s="839" t="s">
        <v>107</v>
      </c>
      <c r="E30" s="1137">
        <v>8</v>
      </c>
      <c r="F30" s="1097">
        <v>8</v>
      </c>
      <c r="G30" s="1205">
        <v>8</v>
      </c>
      <c r="H30" s="1097">
        <v>8</v>
      </c>
      <c r="I30" s="1097">
        <v>8</v>
      </c>
      <c r="J30" s="1205">
        <v>8</v>
      </c>
      <c r="K30" s="1205">
        <v>8</v>
      </c>
      <c r="L30" s="1097">
        <v>8</v>
      </c>
      <c r="M30" s="1097">
        <v>8</v>
      </c>
      <c r="N30" s="1097">
        <v>8</v>
      </c>
      <c r="O30" s="1097">
        <v>8</v>
      </c>
      <c r="P30" s="1097">
        <v>8</v>
      </c>
      <c r="Q30" s="1205">
        <v>8</v>
      </c>
      <c r="R30" s="1205">
        <v>8</v>
      </c>
      <c r="S30" s="1097">
        <v>8</v>
      </c>
      <c r="T30" s="1097">
        <v>8</v>
      </c>
      <c r="U30" s="1097">
        <v>8</v>
      </c>
      <c r="V30" s="1097">
        <v>8</v>
      </c>
      <c r="W30" s="1097">
        <v>8</v>
      </c>
      <c r="X30" s="1205">
        <v>8</v>
      </c>
      <c r="Y30" s="1205">
        <v>8</v>
      </c>
      <c r="Z30" s="1097">
        <v>8</v>
      </c>
      <c r="AA30" s="1097">
        <v>8</v>
      </c>
      <c r="AB30" s="1097">
        <v>8</v>
      </c>
      <c r="AC30" s="1097">
        <v>8</v>
      </c>
      <c r="AD30" s="1097">
        <v>8</v>
      </c>
      <c r="AE30" s="1205">
        <v>8</v>
      </c>
      <c r="AF30" s="1205">
        <v>8</v>
      </c>
      <c r="AG30" s="1097">
        <v>8</v>
      </c>
      <c r="AH30" s="1097">
        <v>8</v>
      </c>
      <c r="AI30" s="1328">
        <v>8</v>
      </c>
      <c r="AJ30" s="79"/>
      <c r="AK30" s="983">
        <f t="shared" si="0"/>
        <v>0</v>
      </c>
      <c r="AL30" s="69"/>
      <c r="AM30" s="989">
        <f t="shared" si="1"/>
        <v>0</v>
      </c>
      <c r="AN30" s="277"/>
      <c r="AO30" s="679"/>
      <c r="AP30" s="47"/>
      <c r="AQ30" s="48"/>
      <c r="AR30" s="48"/>
      <c r="AS30" s="48"/>
      <c r="AT30" s="48"/>
      <c r="AU30" s="48"/>
      <c r="AV30" s="284"/>
    </row>
    <row r="31" spans="1:48" s="23" customFormat="1" ht="20.65" customHeight="1">
      <c r="A31" s="276" t="s">
        <v>419</v>
      </c>
      <c r="B31" s="89"/>
      <c r="C31" s="305"/>
      <c r="D31" s="841" t="s">
        <v>109</v>
      </c>
      <c r="E31" s="1125">
        <f t="shared" ref="E31:AH31" si="17">SUM(E25+E27+E28+E29)/E30</f>
        <v>0</v>
      </c>
      <c r="F31" s="1126">
        <f t="shared" si="17"/>
        <v>0</v>
      </c>
      <c r="G31" s="1235">
        <f t="shared" si="17"/>
        <v>0</v>
      </c>
      <c r="H31" s="1126">
        <f t="shared" si="17"/>
        <v>0</v>
      </c>
      <c r="I31" s="1126">
        <f t="shared" si="17"/>
        <v>184</v>
      </c>
      <c r="J31" s="1235">
        <f t="shared" si="17"/>
        <v>0</v>
      </c>
      <c r="K31" s="1235">
        <f t="shared" si="17"/>
        <v>0</v>
      </c>
      <c r="L31" s="1126">
        <f t="shared" si="17"/>
        <v>1562</v>
      </c>
      <c r="M31" s="1126">
        <f t="shared" si="17"/>
        <v>4780</v>
      </c>
      <c r="N31" s="1126">
        <f t="shared" si="17"/>
        <v>5536</v>
      </c>
      <c r="O31" s="1126">
        <f t="shared" si="17"/>
        <v>4530</v>
      </c>
      <c r="P31" s="1126">
        <f t="shared" si="17"/>
        <v>5280</v>
      </c>
      <c r="Q31" s="1235">
        <f t="shared" si="17"/>
        <v>5336</v>
      </c>
      <c r="R31" s="1235">
        <f t="shared" si="17"/>
        <v>475</v>
      </c>
      <c r="S31" s="1126">
        <f t="shared" si="17"/>
        <v>1692</v>
      </c>
      <c r="T31" s="1126">
        <f t="shared" si="17"/>
        <v>4774</v>
      </c>
      <c r="U31" s="1126">
        <f t="shared" si="17"/>
        <v>3616</v>
      </c>
      <c r="V31" s="1126">
        <f t="shared" si="17"/>
        <v>752</v>
      </c>
      <c r="W31" s="1126">
        <f t="shared" si="17"/>
        <v>0</v>
      </c>
      <c r="X31" s="1235">
        <f t="shared" si="17"/>
        <v>0</v>
      </c>
      <c r="Y31" s="1235">
        <f t="shared" si="17"/>
        <v>0</v>
      </c>
      <c r="Z31" s="1126">
        <f t="shared" si="17"/>
        <v>0</v>
      </c>
      <c r="AA31" s="1126">
        <f t="shared" si="17"/>
        <v>0</v>
      </c>
      <c r="AB31" s="1126">
        <f t="shared" si="17"/>
        <v>0</v>
      </c>
      <c r="AC31" s="1126">
        <f t="shared" si="17"/>
        <v>0</v>
      </c>
      <c r="AD31" s="1126">
        <f t="shared" si="17"/>
        <v>0</v>
      </c>
      <c r="AE31" s="1235">
        <f t="shared" si="17"/>
        <v>0</v>
      </c>
      <c r="AF31" s="1235">
        <f t="shared" si="17"/>
        <v>0</v>
      </c>
      <c r="AG31" s="1126">
        <f t="shared" si="17"/>
        <v>0</v>
      </c>
      <c r="AH31" s="1126">
        <f t="shared" si="17"/>
        <v>0</v>
      </c>
      <c r="AI31" s="1335">
        <f>SUM(AI25+AI27+AI28)/AI30</f>
        <v>0</v>
      </c>
      <c r="AJ31" s="515">
        <f>SUM(E31:AI31)</f>
        <v>38517</v>
      </c>
      <c r="AK31" s="984">
        <f t="shared" si="0"/>
        <v>0</v>
      </c>
      <c r="AL31" s="689"/>
      <c r="AM31" s="989">
        <f t="shared" si="1"/>
        <v>0</v>
      </c>
      <c r="AN31" s="277"/>
      <c r="AO31" s="679"/>
      <c r="AP31" s="285"/>
      <c r="AQ31" s="285"/>
      <c r="AR31" s="285"/>
      <c r="AS31" s="285"/>
      <c r="AT31" s="286"/>
      <c r="AU31" s="285"/>
      <c r="AV31" s="287"/>
    </row>
    <row r="32" spans="1:48" s="23" customFormat="1" ht="20.65" customHeight="1">
      <c r="A32" s="276" t="s">
        <v>419</v>
      </c>
      <c r="B32" s="89"/>
      <c r="C32" s="72"/>
      <c r="D32" s="85" t="s">
        <v>110</v>
      </c>
      <c r="E32" s="1336"/>
      <c r="F32" s="1106"/>
      <c r="G32" s="1228"/>
      <c r="H32" s="1107"/>
      <c r="I32" s="1107"/>
      <c r="J32" s="1228"/>
      <c r="K32" s="1228"/>
      <c r="L32" s="1107"/>
      <c r="M32" s="1107"/>
      <c r="N32" s="1107"/>
      <c r="O32" s="1107"/>
      <c r="P32" s="1107"/>
      <c r="Q32" s="1228"/>
      <c r="R32" s="1228"/>
      <c r="S32" s="1107"/>
      <c r="T32" s="1107"/>
      <c r="U32" s="1107"/>
      <c r="V32" s="1107"/>
      <c r="W32" s="1107"/>
      <c r="X32" s="1228"/>
      <c r="Y32" s="1228"/>
      <c r="Z32" s="1107"/>
      <c r="AA32" s="1107"/>
      <c r="AB32" s="1107"/>
      <c r="AC32" s="1107"/>
      <c r="AD32" s="1107"/>
      <c r="AE32" s="1228"/>
      <c r="AF32" s="1228"/>
      <c r="AG32" s="1107"/>
      <c r="AH32" s="1107"/>
      <c r="AI32" s="1337"/>
      <c r="AJ32" s="86"/>
      <c r="AK32" s="984">
        <f t="shared" si="0"/>
        <v>0</v>
      </c>
      <c r="AL32" s="690"/>
      <c r="AM32" s="989">
        <f t="shared" si="1"/>
        <v>0</v>
      </c>
      <c r="AN32" s="277"/>
      <c r="AO32" s="679"/>
      <c r="AP32" s="285"/>
      <c r="AQ32" s="285"/>
      <c r="AR32" s="285"/>
      <c r="AS32" s="285"/>
      <c r="AT32" s="286"/>
      <c r="AU32" s="285"/>
      <c r="AV32" s="287"/>
    </row>
    <row r="33" spans="1:48" s="23" customFormat="1" ht="20.65" customHeight="1">
      <c r="A33" s="276" t="s">
        <v>419</v>
      </c>
      <c r="B33" s="89"/>
      <c r="C33" s="72" t="s">
        <v>104</v>
      </c>
      <c r="D33" s="842" t="s">
        <v>111</v>
      </c>
      <c r="E33" s="1108">
        <f>IF(E32="O/H",E31,0+E31)</f>
        <v>0</v>
      </c>
      <c r="F33" s="1089">
        <f t="shared" ref="F33:AI33" si="18">IF(F32="O/H",F31,+E33+F31)</f>
        <v>0</v>
      </c>
      <c r="G33" s="44">
        <f t="shared" si="18"/>
        <v>0</v>
      </c>
      <c r="H33" s="1089">
        <f t="shared" si="18"/>
        <v>0</v>
      </c>
      <c r="I33" s="1089">
        <f t="shared" si="18"/>
        <v>184</v>
      </c>
      <c r="J33" s="44">
        <f t="shared" si="18"/>
        <v>184</v>
      </c>
      <c r="K33" s="44">
        <f t="shared" si="18"/>
        <v>184</v>
      </c>
      <c r="L33" s="1089">
        <f t="shared" si="18"/>
        <v>1746</v>
      </c>
      <c r="M33" s="1089">
        <f t="shared" si="18"/>
        <v>6526</v>
      </c>
      <c r="N33" s="1089">
        <f t="shared" si="18"/>
        <v>12062</v>
      </c>
      <c r="O33" s="1089">
        <f t="shared" si="18"/>
        <v>16592</v>
      </c>
      <c r="P33" s="1089">
        <f t="shared" si="18"/>
        <v>21872</v>
      </c>
      <c r="Q33" s="44">
        <f t="shared" si="18"/>
        <v>27208</v>
      </c>
      <c r="R33" s="44">
        <f t="shared" si="18"/>
        <v>27683</v>
      </c>
      <c r="S33" s="1089">
        <f t="shared" si="18"/>
        <v>29375</v>
      </c>
      <c r="T33" s="1089">
        <f t="shared" si="18"/>
        <v>34149</v>
      </c>
      <c r="U33" s="1089">
        <f t="shared" si="18"/>
        <v>37765</v>
      </c>
      <c r="V33" s="1089">
        <f t="shared" si="18"/>
        <v>38517</v>
      </c>
      <c r="W33" s="1089">
        <f t="shared" si="18"/>
        <v>38517</v>
      </c>
      <c r="X33" s="44">
        <f t="shared" si="18"/>
        <v>38517</v>
      </c>
      <c r="Y33" s="44">
        <f t="shared" si="18"/>
        <v>38517</v>
      </c>
      <c r="Z33" s="1089">
        <f t="shared" si="18"/>
        <v>38517</v>
      </c>
      <c r="AA33" s="1089">
        <f t="shared" si="18"/>
        <v>38517</v>
      </c>
      <c r="AB33" s="1089">
        <f t="shared" si="18"/>
        <v>38517</v>
      </c>
      <c r="AC33" s="1089">
        <f t="shared" si="18"/>
        <v>38517</v>
      </c>
      <c r="AD33" s="1089">
        <f t="shared" si="18"/>
        <v>38517</v>
      </c>
      <c r="AE33" s="44">
        <f t="shared" si="18"/>
        <v>38517</v>
      </c>
      <c r="AF33" s="44">
        <f t="shared" si="18"/>
        <v>38517</v>
      </c>
      <c r="AG33" s="1089">
        <f t="shared" si="18"/>
        <v>38517</v>
      </c>
      <c r="AH33" s="1089">
        <f t="shared" si="18"/>
        <v>38517</v>
      </c>
      <c r="AI33" s="1326">
        <f t="shared" si="18"/>
        <v>38517</v>
      </c>
      <c r="AJ33" s="79"/>
      <c r="AK33" s="983">
        <f t="shared" si="0"/>
        <v>0</v>
      </c>
      <c r="AL33" s="690"/>
      <c r="AM33" s="989">
        <f t="shared" si="1"/>
        <v>0</v>
      </c>
      <c r="AN33" s="277"/>
      <c r="AO33" s="679"/>
      <c r="AP33" s="285"/>
      <c r="AQ33" s="285"/>
      <c r="AR33" s="285"/>
      <c r="AS33" s="285"/>
      <c r="AT33" s="286"/>
      <c r="AU33" s="285"/>
      <c r="AV33" s="287"/>
    </row>
    <row r="34" spans="1:48" s="23" customFormat="1" ht="20.65" customHeight="1">
      <c r="A34" s="312"/>
      <c r="B34" s="312"/>
      <c r="C34" s="308">
        <v>300000</v>
      </c>
      <c r="D34" s="843" t="s">
        <v>112</v>
      </c>
      <c r="E34" s="1341">
        <f>IF(AND(ISNUMBER(E25)),0+E31)</f>
        <v>0</v>
      </c>
      <c r="F34" s="1254">
        <f t="shared" ref="F34:AI34" si="19">IF(AND(ISNUMBER(F25)),E34+F31,"")</f>
        <v>0</v>
      </c>
      <c r="G34" s="1255">
        <f t="shared" si="19"/>
        <v>0</v>
      </c>
      <c r="H34" s="1254">
        <f t="shared" si="19"/>
        <v>0</v>
      </c>
      <c r="I34" s="1254">
        <f t="shared" si="19"/>
        <v>184</v>
      </c>
      <c r="J34" s="1255">
        <f t="shared" si="19"/>
        <v>184</v>
      </c>
      <c r="K34" s="1255">
        <f t="shared" si="19"/>
        <v>184</v>
      </c>
      <c r="L34" s="1254">
        <f t="shared" si="19"/>
        <v>1746</v>
      </c>
      <c r="M34" s="1254">
        <f t="shared" si="19"/>
        <v>6526</v>
      </c>
      <c r="N34" s="1254">
        <f t="shared" si="19"/>
        <v>12062</v>
      </c>
      <c r="O34" s="1254">
        <f t="shared" si="19"/>
        <v>16592</v>
      </c>
      <c r="P34" s="1254">
        <f t="shared" si="19"/>
        <v>21872</v>
      </c>
      <c r="Q34" s="1255">
        <f t="shared" si="19"/>
        <v>27208</v>
      </c>
      <c r="R34" s="1255">
        <f t="shared" si="19"/>
        <v>27683</v>
      </c>
      <c r="S34" s="1254">
        <f t="shared" si="19"/>
        <v>29375</v>
      </c>
      <c r="T34" s="1254">
        <f t="shared" si="19"/>
        <v>34149</v>
      </c>
      <c r="U34" s="1254">
        <f t="shared" si="19"/>
        <v>37765</v>
      </c>
      <c r="V34" s="1254">
        <f t="shared" si="19"/>
        <v>38517</v>
      </c>
      <c r="W34" s="1254">
        <f t="shared" si="19"/>
        <v>38517</v>
      </c>
      <c r="X34" s="1255">
        <f t="shared" si="19"/>
        <v>38517</v>
      </c>
      <c r="Y34" s="1255">
        <f t="shared" si="19"/>
        <v>38517</v>
      </c>
      <c r="Z34" s="1254">
        <f t="shared" si="19"/>
        <v>38517</v>
      </c>
      <c r="AA34" s="1254">
        <f t="shared" si="19"/>
        <v>38517</v>
      </c>
      <c r="AB34" s="1254" t="str">
        <f t="shared" si="19"/>
        <v/>
      </c>
      <c r="AC34" s="1254" t="str">
        <f t="shared" si="19"/>
        <v/>
      </c>
      <c r="AD34" s="1254" t="str">
        <f t="shared" si="19"/>
        <v/>
      </c>
      <c r="AE34" s="1255" t="str">
        <f t="shared" si="19"/>
        <v/>
      </c>
      <c r="AF34" s="1255" t="str">
        <f t="shared" si="19"/>
        <v/>
      </c>
      <c r="AG34" s="1254" t="str">
        <f t="shared" si="19"/>
        <v/>
      </c>
      <c r="AH34" s="1254" t="str">
        <f t="shared" si="19"/>
        <v/>
      </c>
      <c r="AI34" s="1254" t="str">
        <f t="shared" si="19"/>
        <v/>
      </c>
      <c r="AJ34" s="793"/>
      <c r="AK34" s="985">
        <f t="shared" si="0"/>
        <v>0</v>
      </c>
      <c r="AL34" s="909"/>
      <c r="AM34" s="987">
        <f t="shared" si="1"/>
        <v>0</v>
      </c>
      <c r="AN34" s="429"/>
      <c r="AO34" s="675"/>
      <c r="AP34" s="285"/>
      <c r="AQ34" s="285"/>
      <c r="AR34" s="285"/>
      <c r="AS34" s="285"/>
      <c r="AT34" s="286"/>
      <c r="AU34" s="285"/>
      <c r="AV34" s="287"/>
    </row>
    <row r="35" spans="1:48" s="23" customFormat="1" ht="20.25" customHeight="1">
      <c r="A35" s="276"/>
      <c r="B35" s="89"/>
      <c r="C35" s="80" t="s">
        <v>108</v>
      </c>
      <c r="D35" s="90" t="s">
        <v>104</v>
      </c>
      <c r="E35" s="1338"/>
      <c r="F35" s="1106"/>
      <c r="G35" s="1253"/>
      <c r="H35" s="1106"/>
      <c r="I35" s="1106"/>
      <c r="J35" s="1253"/>
      <c r="K35" s="1253"/>
      <c r="L35" s="1106"/>
      <c r="M35" s="1106"/>
      <c r="N35" s="1106"/>
      <c r="O35" s="1106"/>
      <c r="P35" s="1106"/>
      <c r="Q35" s="1253"/>
      <c r="R35" s="1253"/>
      <c r="S35" s="1106"/>
      <c r="T35" s="1106"/>
      <c r="U35" s="1106"/>
      <c r="V35" s="1106"/>
      <c r="W35" s="1106"/>
      <c r="X35" s="1253"/>
      <c r="Y35" s="1253"/>
      <c r="Z35" s="1106"/>
      <c r="AA35" s="1106"/>
      <c r="AB35" s="1106"/>
      <c r="AC35" s="1106"/>
      <c r="AD35" s="1106"/>
      <c r="AE35" s="1253"/>
      <c r="AF35" s="1253"/>
      <c r="AG35" s="1106"/>
      <c r="AH35" s="1106"/>
      <c r="AI35" s="1339"/>
      <c r="AJ35" s="79"/>
      <c r="AK35" s="983">
        <f t="shared" si="0"/>
        <v>0</v>
      </c>
      <c r="AL35" s="690"/>
      <c r="AM35" s="989">
        <f t="shared" si="1"/>
        <v>0</v>
      </c>
      <c r="AN35" s="301"/>
      <c r="AO35" s="680"/>
      <c r="AP35" s="285"/>
      <c r="AQ35" s="285"/>
      <c r="AR35" s="285"/>
      <c r="AS35" s="285"/>
      <c r="AT35" s="286"/>
      <c r="AU35" s="285"/>
      <c r="AV35" s="287"/>
    </row>
    <row r="36" spans="1:48" s="23" customFormat="1" ht="20.65" customHeight="1" thickBot="1">
      <c r="A36" s="289"/>
      <c r="B36" s="93"/>
      <c r="C36" s="94">
        <f>+C34*0.8</f>
        <v>240000</v>
      </c>
      <c r="D36" s="844" t="s">
        <v>111</v>
      </c>
      <c r="E36" s="1109">
        <f>IF(E35="O/H",E31,0+E31)</f>
        <v>0</v>
      </c>
      <c r="F36" s="1110">
        <f t="shared" ref="F36:AI36" si="20">IF(F35="O/H",F31,+E36+F31)</f>
        <v>0</v>
      </c>
      <c r="G36" s="1212">
        <f t="shared" si="20"/>
        <v>0</v>
      </c>
      <c r="H36" s="1110">
        <f t="shared" si="20"/>
        <v>0</v>
      </c>
      <c r="I36" s="1110">
        <f t="shared" si="20"/>
        <v>184</v>
      </c>
      <c r="J36" s="1212">
        <f t="shared" si="20"/>
        <v>184</v>
      </c>
      <c r="K36" s="1212">
        <f t="shared" si="20"/>
        <v>184</v>
      </c>
      <c r="L36" s="1110">
        <f t="shared" si="20"/>
        <v>1746</v>
      </c>
      <c r="M36" s="1110">
        <f t="shared" si="20"/>
        <v>6526</v>
      </c>
      <c r="N36" s="1110">
        <f t="shared" si="20"/>
        <v>12062</v>
      </c>
      <c r="O36" s="1110">
        <f t="shared" si="20"/>
        <v>16592</v>
      </c>
      <c r="P36" s="1110">
        <f t="shared" si="20"/>
        <v>21872</v>
      </c>
      <c r="Q36" s="1212">
        <f t="shared" si="20"/>
        <v>27208</v>
      </c>
      <c r="R36" s="1212">
        <f t="shared" si="20"/>
        <v>27683</v>
      </c>
      <c r="S36" s="1110">
        <f t="shared" si="20"/>
        <v>29375</v>
      </c>
      <c r="T36" s="1110">
        <f t="shared" si="20"/>
        <v>34149</v>
      </c>
      <c r="U36" s="1110">
        <f t="shared" si="20"/>
        <v>37765</v>
      </c>
      <c r="V36" s="1110">
        <f t="shared" si="20"/>
        <v>38517</v>
      </c>
      <c r="W36" s="1110">
        <f t="shared" si="20"/>
        <v>38517</v>
      </c>
      <c r="X36" s="1212">
        <f t="shared" si="20"/>
        <v>38517</v>
      </c>
      <c r="Y36" s="1212">
        <f t="shared" si="20"/>
        <v>38517</v>
      </c>
      <c r="Z36" s="1110">
        <f t="shared" si="20"/>
        <v>38517</v>
      </c>
      <c r="AA36" s="1110">
        <f t="shared" si="20"/>
        <v>38517</v>
      </c>
      <c r="AB36" s="1110">
        <f t="shared" si="20"/>
        <v>38517</v>
      </c>
      <c r="AC36" s="1110">
        <f t="shared" si="20"/>
        <v>38517</v>
      </c>
      <c r="AD36" s="1110">
        <f t="shared" si="20"/>
        <v>38517</v>
      </c>
      <c r="AE36" s="1212">
        <f t="shared" si="20"/>
        <v>38517</v>
      </c>
      <c r="AF36" s="1212">
        <f t="shared" si="20"/>
        <v>38517</v>
      </c>
      <c r="AG36" s="1110">
        <f t="shared" si="20"/>
        <v>38517</v>
      </c>
      <c r="AH36" s="1110">
        <f t="shared" si="20"/>
        <v>38517</v>
      </c>
      <c r="AI36" s="1340">
        <f t="shared" si="20"/>
        <v>38517</v>
      </c>
      <c r="AJ36" s="96"/>
      <c r="AK36" s="1060">
        <f t="shared" si="0"/>
        <v>0</v>
      </c>
      <c r="AL36" s="695"/>
      <c r="AM36" s="1057">
        <f t="shared" si="1"/>
        <v>0</v>
      </c>
      <c r="AN36" s="292"/>
      <c r="AO36" s="681"/>
      <c r="AP36" s="285"/>
      <c r="AQ36" s="285"/>
      <c r="AR36" s="285"/>
      <c r="AS36" s="285"/>
      <c r="AT36" s="286"/>
      <c r="AU36" s="285"/>
      <c r="AV36" s="287"/>
    </row>
    <row r="37" spans="1:48" s="23" customFormat="1" ht="20.65" customHeight="1" thickTop="1">
      <c r="A37" s="330" t="s">
        <v>712</v>
      </c>
      <c r="B37" s="334" t="s">
        <v>637</v>
      </c>
      <c r="C37" s="42" t="str">
        <f>Table2810[[#This Row],[M/C No.]]</f>
        <v>H18(110ton)</v>
      </c>
      <c r="D37" s="28" t="s">
        <v>82</v>
      </c>
      <c r="E37" s="1139"/>
      <c r="F37" s="1139"/>
      <c r="G37" s="1231"/>
      <c r="H37" s="1139"/>
      <c r="I37" s="1139"/>
      <c r="J37" s="1231"/>
      <c r="K37" s="1231"/>
      <c r="L37" s="1139"/>
      <c r="M37" s="1139"/>
      <c r="N37" s="1139"/>
      <c r="O37" s="1139"/>
      <c r="P37" s="1139"/>
      <c r="Q37" s="1231"/>
      <c r="R37" s="1231"/>
      <c r="S37" s="1139"/>
      <c r="T37" s="1139"/>
      <c r="U37" s="1139"/>
      <c r="V37" s="1139"/>
      <c r="W37" s="1139"/>
      <c r="X37" s="1231"/>
      <c r="Y37" s="1231"/>
      <c r="Z37" s="1139"/>
      <c r="AA37" s="1139"/>
      <c r="AB37" s="1139"/>
      <c r="AC37" s="1139"/>
      <c r="AD37" s="1139"/>
      <c r="AE37" s="1231"/>
      <c r="AF37" s="1231"/>
      <c r="AG37" s="1139"/>
      <c r="AH37" s="1139"/>
      <c r="AI37" s="1322"/>
      <c r="AJ37" s="29">
        <f>SUM(E37:AI37)</f>
        <v>0</v>
      </c>
      <c r="AK37" s="1020">
        <f t="shared" si="0"/>
        <v>0</v>
      </c>
      <c r="AL37" s="101">
        <f>+AJ37*AN37</f>
        <v>0</v>
      </c>
      <c r="AM37" s="1019">
        <f t="shared" si="1"/>
        <v>0</v>
      </c>
      <c r="AN37" s="335">
        <v>3.4651300000000003</v>
      </c>
      <c r="AO37" s="622">
        <f>Table2810[[#This Row],[Total]]*B41/1000</f>
        <v>0</v>
      </c>
      <c r="AP37" s="32" t="s">
        <v>179</v>
      </c>
      <c r="AQ37" s="33" t="s">
        <v>84</v>
      </c>
      <c r="AR37" s="33" t="s">
        <v>85</v>
      </c>
      <c r="AS37" s="33" t="s">
        <v>86</v>
      </c>
      <c r="AT37" s="33" t="s">
        <v>87</v>
      </c>
      <c r="AU37" s="33" t="s">
        <v>88</v>
      </c>
      <c r="AV37" s="34" t="s">
        <v>68</v>
      </c>
    </row>
    <row r="38" spans="1:48" s="23" customFormat="1" ht="20.65" customHeight="1">
      <c r="A38" s="274"/>
      <c r="B38" s="219"/>
      <c r="C38" s="275"/>
      <c r="D38" s="37" t="s">
        <v>90</v>
      </c>
      <c r="E38" s="1323">
        <f>IF(E37="",0,+ E37/E44)</f>
        <v>0</v>
      </c>
      <c r="F38" s="1096">
        <f t="shared" ref="F38:AC38" si="21">IF(F37="",0, E38+F37/F44)</f>
        <v>0</v>
      </c>
      <c r="G38" s="1207">
        <f t="shared" si="21"/>
        <v>0</v>
      </c>
      <c r="H38" s="1096">
        <f t="shared" si="21"/>
        <v>0</v>
      </c>
      <c r="I38" s="1096">
        <f t="shared" si="21"/>
        <v>0</v>
      </c>
      <c r="J38" s="1207">
        <f t="shared" si="21"/>
        <v>0</v>
      </c>
      <c r="K38" s="1207">
        <f t="shared" si="21"/>
        <v>0</v>
      </c>
      <c r="L38" s="1096">
        <f t="shared" si="21"/>
        <v>0</v>
      </c>
      <c r="M38" s="1096">
        <f t="shared" si="21"/>
        <v>0</v>
      </c>
      <c r="N38" s="1096">
        <f t="shared" si="21"/>
        <v>0</v>
      </c>
      <c r="O38" s="1096">
        <f t="shared" si="21"/>
        <v>0</v>
      </c>
      <c r="P38" s="1096">
        <f t="shared" si="21"/>
        <v>0</v>
      </c>
      <c r="Q38" s="1207">
        <f t="shared" si="21"/>
        <v>0</v>
      </c>
      <c r="R38" s="1207">
        <f t="shared" si="21"/>
        <v>0</v>
      </c>
      <c r="S38" s="1096">
        <f t="shared" si="21"/>
        <v>0</v>
      </c>
      <c r="T38" s="1096">
        <f t="shared" si="21"/>
        <v>0</v>
      </c>
      <c r="U38" s="1096">
        <f t="shared" si="21"/>
        <v>0</v>
      </c>
      <c r="V38" s="1096">
        <f t="shared" si="21"/>
        <v>0</v>
      </c>
      <c r="W38" s="1096">
        <f t="shared" si="21"/>
        <v>0</v>
      </c>
      <c r="X38" s="1207">
        <f t="shared" si="21"/>
        <v>0</v>
      </c>
      <c r="Y38" s="1207">
        <f t="shared" si="21"/>
        <v>0</v>
      </c>
      <c r="Z38" s="1096">
        <f t="shared" si="21"/>
        <v>0</v>
      </c>
      <c r="AA38" s="1096">
        <f t="shared" si="21"/>
        <v>0</v>
      </c>
      <c r="AB38" s="1096">
        <f t="shared" si="21"/>
        <v>0</v>
      </c>
      <c r="AC38" s="1096">
        <f t="shared" si="21"/>
        <v>0</v>
      </c>
      <c r="AD38" s="1096">
        <f>IF(AD37="",0, Z38+AD37/AD44)</f>
        <v>0</v>
      </c>
      <c r="AE38" s="1207">
        <f>IF(AE37="",0, AA38+AE37/AE44)</f>
        <v>0</v>
      </c>
      <c r="AF38" s="1207">
        <f>IF(AF37="",0, AB38+AF37/AF44)</f>
        <v>0</v>
      </c>
      <c r="AG38" s="1096">
        <f>IF(AG37="",0, AC38+AG37/AG44)</f>
        <v>0</v>
      </c>
      <c r="AH38" s="1096">
        <f>IF(AH37="",0, AD38+AH37/AH44)</f>
        <v>0</v>
      </c>
      <c r="AI38" s="1324">
        <f>IF(AI37="",0, AH38+AI37/AI44)</f>
        <v>0</v>
      </c>
      <c r="AJ38" s="716"/>
      <c r="AK38" s="982">
        <f t="shared" si="0"/>
        <v>0</v>
      </c>
      <c r="AL38" s="209"/>
      <c r="AM38" s="987">
        <f t="shared" si="1"/>
        <v>0</v>
      </c>
      <c r="AN38" s="91"/>
      <c r="AO38" s="757"/>
      <c r="AP38" s="39" t="s">
        <v>91</v>
      </c>
      <c r="AQ38" s="40">
        <f>SUM(E37:H37)</f>
        <v>0</v>
      </c>
      <c r="AR38" s="41">
        <f>SUM(I37:O37)</f>
        <v>0</v>
      </c>
      <c r="AS38" s="41">
        <f>SUM(P37:V37)</f>
        <v>0</v>
      </c>
      <c r="AT38" s="41">
        <f>SUM(W37:AC37)</f>
        <v>0</v>
      </c>
      <c r="AU38" s="41">
        <f>SUM(AD37:AI37)</f>
        <v>0</v>
      </c>
      <c r="AV38" s="34">
        <f t="shared" ref="AV38:AV43" si="22">SUM(AQ38:AU38)</f>
        <v>0</v>
      </c>
    </row>
    <row r="39" spans="1:48" s="23" customFormat="1" ht="20.65" customHeight="1">
      <c r="A39" s="276" t="s">
        <v>419</v>
      </c>
      <c r="B39" s="583" t="s">
        <v>272</v>
      </c>
      <c r="C39" s="42"/>
      <c r="D39" s="43" t="s">
        <v>93</v>
      </c>
      <c r="E39" s="1108">
        <v>0</v>
      </c>
      <c r="F39" s="1089">
        <v>0</v>
      </c>
      <c r="G39" s="44">
        <v>0</v>
      </c>
      <c r="H39" s="1089">
        <v>0</v>
      </c>
      <c r="I39" s="1089">
        <v>0</v>
      </c>
      <c r="J39" s="44">
        <v>0</v>
      </c>
      <c r="K39" s="44">
        <v>0</v>
      </c>
      <c r="L39" s="1089">
        <v>0</v>
      </c>
      <c r="M39" s="1089">
        <v>0</v>
      </c>
      <c r="N39" s="1089">
        <v>0</v>
      </c>
      <c r="O39" s="1089">
        <v>0</v>
      </c>
      <c r="P39" s="1089">
        <v>0</v>
      </c>
      <c r="Q39" s="44">
        <v>0</v>
      </c>
      <c r="R39" s="44">
        <v>0</v>
      </c>
      <c r="S39" s="1089">
        <v>0</v>
      </c>
      <c r="T39" s="1089">
        <v>0</v>
      </c>
      <c r="U39" s="1089">
        <v>0</v>
      </c>
      <c r="V39" s="1089">
        <v>0</v>
      </c>
      <c r="W39" s="1089">
        <v>0</v>
      </c>
      <c r="X39" s="44">
        <v>0</v>
      </c>
      <c r="Y39" s="44">
        <v>0</v>
      </c>
      <c r="Z39" s="1089">
        <v>0</v>
      </c>
      <c r="AA39" s="1089">
        <v>0</v>
      </c>
      <c r="AB39" s="1089"/>
      <c r="AC39" s="1089"/>
      <c r="AD39" s="1089"/>
      <c r="AE39" s="44"/>
      <c r="AF39" s="44"/>
      <c r="AG39" s="1089"/>
      <c r="AH39" s="1089"/>
      <c r="AI39" s="1326"/>
      <c r="AJ39" s="45">
        <f>SUM(E39:AI39)</f>
        <v>0</v>
      </c>
      <c r="AK39" s="983">
        <f t="shared" si="0"/>
        <v>3120</v>
      </c>
      <c r="AL39" s="46">
        <f>+AJ39*AN37</f>
        <v>0</v>
      </c>
      <c r="AM39" s="988">
        <f t="shared" si="1"/>
        <v>10811.205600000001</v>
      </c>
      <c r="AN39" s="277"/>
      <c r="AO39" s="632">
        <f>(AJ39+AJ41+AJ42+AJ43)*B41/1000</f>
        <v>9.6634200000000003</v>
      </c>
      <c r="AP39" s="47" t="s">
        <v>94</v>
      </c>
      <c r="AQ39" s="48">
        <f>SUM(E39:H39)</f>
        <v>0</v>
      </c>
      <c r="AR39" s="49">
        <f>SUM(I39:O39)</f>
        <v>0</v>
      </c>
      <c r="AS39" s="49">
        <f>SUM(P39:V39)</f>
        <v>0</v>
      </c>
      <c r="AT39" s="49">
        <f>SUM(W39:AC39)</f>
        <v>0</v>
      </c>
      <c r="AU39" s="49">
        <f>SUM(AD39:AI39)</f>
        <v>0</v>
      </c>
      <c r="AV39" s="50">
        <f t="shared" si="22"/>
        <v>0</v>
      </c>
    </row>
    <row r="40" spans="1:48" s="23" customFormat="1" ht="20.65" customHeight="1">
      <c r="A40" s="276" t="s">
        <v>419</v>
      </c>
      <c r="B40" s="767" t="s">
        <v>247</v>
      </c>
      <c r="C40" s="280"/>
      <c r="D40" s="53" t="s">
        <v>96</v>
      </c>
      <c r="E40" s="1137">
        <f t="shared" ref="E40:K40" si="23">+E39-E37</f>
        <v>0</v>
      </c>
      <c r="F40" s="1097">
        <f t="shared" si="23"/>
        <v>0</v>
      </c>
      <c r="G40" s="1205">
        <f t="shared" si="23"/>
        <v>0</v>
      </c>
      <c r="H40" s="1097">
        <f t="shared" si="23"/>
        <v>0</v>
      </c>
      <c r="I40" s="1097">
        <f t="shared" si="23"/>
        <v>0</v>
      </c>
      <c r="J40" s="1205">
        <f t="shared" si="23"/>
        <v>0</v>
      </c>
      <c r="K40" s="1205">
        <f t="shared" si="23"/>
        <v>0</v>
      </c>
      <c r="L40" s="1097">
        <f>+L39-L37</f>
        <v>0</v>
      </c>
      <c r="M40" s="1097">
        <f>+M39-M37</f>
        <v>0</v>
      </c>
      <c r="N40" s="1097">
        <f t="shared" ref="N40:AF40" si="24">+N39-N37</f>
        <v>0</v>
      </c>
      <c r="O40" s="1097">
        <v>0</v>
      </c>
      <c r="P40" s="1097">
        <v>0</v>
      </c>
      <c r="Q40" s="1205">
        <v>0</v>
      </c>
      <c r="R40" s="1205">
        <f t="shared" si="24"/>
        <v>0</v>
      </c>
      <c r="S40" s="1097">
        <f t="shared" si="24"/>
        <v>0</v>
      </c>
      <c r="T40" s="1097">
        <f t="shared" si="24"/>
        <v>0</v>
      </c>
      <c r="U40" s="1097">
        <f>+U39-U37</f>
        <v>0</v>
      </c>
      <c r="V40" s="1097">
        <f t="shared" si="24"/>
        <v>0</v>
      </c>
      <c r="W40" s="1097">
        <f t="shared" si="24"/>
        <v>0</v>
      </c>
      <c r="X40" s="1205">
        <f t="shared" si="24"/>
        <v>0</v>
      </c>
      <c r="Y40" s="1205">
        <f t="shared" si="24"/>
        <v>0</v>
      </c>
      <c r="Z40" s="1097">
        <f t="shared" si="24"/>
        <v>0</v>
      </c>
      <c r="AA40" s="1097">
        <f t="shared" si="24"/>
        <v>0</v>
      </c>
      <c r="AB40" s="1097">
        <f t="shared" si="24"/>
        <v>0</v>
      </c>
      <c r="AC40" s="1097">
        <f t="shared" si="24"/>
        <v>0</v>
      </c>
      <c r="AD40" s="1097">
        <f t="shared" si="24"/>
        <v>0</v>
      </c>
      <c r="AE40" s="1205">
        <f t="shared" si="24"/>
        <v>0</v>
      </c>
      <c r="AF40" s="1205">
        <f t="shared" si="24"/>
        <v>0</v>
      </c>
      <c r="AG40" s="1097">
        <f>+AG39-AG37</f>
        <v>0</v>
      </c>
      <c r="AH40" s="1097">
        <f>+AH39-AH37</f>
        <v>0</v>
      </c>
      <c r="AI40" s="1328">
        <f t="shared" ref="AI40:AJ40" si="25">+AI39-AI37</f>
        <v>0</v>
      </c>
      <c r="AJ40" s="79">
        <f t="shared" si="25"/>
        <v>0</v>
      </c>
      <c r="AK40" s="983">
        <f t="shared" ref="AK40:AK70" si="26">AJ42</f>
        <v>0</v>
      </c>
      <c r="AL40" s="55">
        <f>+AJ40*AN37</f>
        <v>0</v>
      </c>
      <c r="AM40" s="988">
        <f t="shared" ref="AM40:AM70" si="27">AL42</f>
        <v>0</v>
      </c>
      <c r="AN40" s="277" t="s">
        <v>97</v>
      </c>
      <c r="AO40" s="622"/>
      <c r="AP40" s="39" t="s">
        <v>98</v>
      </c>
      <c r="AQ40" s="56">
        <f>AQ39-AQ38</f>
        <v>0</v>
      </c>
      <c r="AR40" s="70">
        <f>AR39-AR38</f>
        <v>0</v>
      </c>
      <c r="AS40" s="70">
        <f>AS39-AS38</f>
        <v>0</v>
      </c>
      <c r="AT40" s="70">
        <f>AT39-AT38</f>
        <v>0</v>
      </c>
      <c r="AU40" s="70">
        <f>AU39-AU38</f>
        <v>0</v>
      </c>
      <c r="AV40" s="57">
        <f t="shared" si="22"/>
        <v>0</v>
      </c>
    </row>
    <row r="41" spans="1:48" s="23" customFormat="1" ht="20.65" customHeight="1">
      <c r="A41" s="276" t="s">
        <v>419</v>
      </c>
      <c r="B41" s="768">
        <v>3.0972499999999998</v>
      </c>
      <c r="C41" s="305"/>
      <c r="D41" s="61" t="s">
        <v>101</v>
      </c>
      <c r="E41" s="1098">
        <v>0</v>
      </c>
      <c r="F41" s="1099">
        <v>0</v>
      </c>
      <c r="G41" s="1208">
        <v>0</v>
      </c>
      <c r="H41" s="1099">
        <v>0</v>
      </c>
      <c r="I41" s="1099">
        <v>0</v>
      </c>
      <c r="J41" s="1208">
        <v>0</v>
      </c>
      <c r="K41" s="1208">
        <v>0</v>
      </c>
      <c r="L41" s="1099">
        <v>0</v>
      </c>
      <c r="M41" s="1099">
        <v>0</v>
      </c>
      <c r="N41" s="1099">
        <v>0</v>
      </c>
      <c r="O41" s="1099">
        <v>0</v>
      </c>
      <c r="P41" s="1099">
        <v>0</v>
      </c>
      <c r="Q41" s="1208">
        <v>0</v>
      </c>
      <c r="R41" s="1208">
        <v>0</v>
      </c>
      <c r="S41" s="1099">
        <v>1960</v>
      </c>
      <c r="T41" s="1099">
        <v>0</v>
      </c>
      <c r="U41" s="1099">
        <v>1160</v>
      </c>
      <c r="V41" s="1099">
        <v>0</v>
      </c>
      <c r="W41" s="1099">
        <v>0</v>
      </c>
      <c r="X41" s="1208">
        <v>0</v>
      </c>
      <c r="Y41" s="1208">
        <v>0</v>
      </c>
      <c r="Z41" s="1099">
        <v>0</v>
      </c>
      <c r="AA41" s="1099">
        <v>0</v>
      </c>
      <c r="AB41" s="1099"/>
      <c r="AC41" s="1099"/>
      <c r="AD41" s="1099"/>
      <c r="AE41" s="1208"/>
      <c r="AF41" s="1208"/>
      <c r="AG41" s="1099"/>
      <c r="AH41" s="1099"/>
      <c r="AI41" s="1330"/>
      <c r="AJ41" s="62">
        <f>SUM(E41:AI41)</f>
        <v>3120</v>
      </c>
      <c r="AK41" s="983">
        <f t="shared" si="26"/>
        <v>0</v>
      </c>
      <c r="AL41" s="63">
        <f>+AJ41*AN37</f>
        <v>10811.205600000001</v>
      </c>
      <c r="AM41" s="989">
        <f t="shared" si="27"/>
        <v>0</v>
      </c>
      <c r="AN41" s="301" t="e">
        <f>+AJ41/AJ39*100</f>
        <v>#DIV/0!</v>
      </c>
      <c r="AO41" s="635" t="e">
        <f>AO39/AO37</f>
        <v>#DIV/0!</v>
      </c>
      <c r="AP41" s="39" t="s">
        <v>102</v>
      </c>
      <c r="AQ41" s="56">
        <f>SUM(E41:H41)</f>
        <v>0</v>
      </c>
      <c r="AR41" s="70">
        <f>SUM(I41:O41)</f>
        <v>0</v>
      </c>
      <c r="AS41" s="70">
        <f>SUM(P41:V41)</f>
        <v>3120</v>
      </c>
      <c r="AT41" s="70">
        <f>SUM(W41:AC41)</f>
        <v>0</v>
      </c>
      <c r="AU41" s="70">
        <f>SUM(AD41:AI41)</f>
        <v>0</v>
      </c>
      <c r="AV41" s="57">
        <f t="shared" si="22"/>
        <v>3120</v>
      </c>
    </row>
    <row r="42" spans="1:48" s="23" customFormat="1" ht="20.65" customHeight="1">
      <c r="A42" s="330"/>
      <c r="B42" s="334" t="s">
        <v>513</v>
      </c>
      <c r="C42" s="52" t="s">
        <v>95</v>
      </c>
      <c r="D42" s="67" t="s">
        <v>103</v>
      </c>
      <c r="E42" s="1100">
        <v>0</v>
      </c>
      <c r="F42" s="1101">
        <v>0</v>
      </c>
      <c r="G42" s="1209">
        <v>0</v>
      </c>
      <c r="H42" s="1101">
        <v>0</v>
      </c>
      <c r="I42" s="1101">
        <v>0</v>
      </c>
      <c r="J42" s="1209">
        <v>0</v>
      </c>
      <c r="K42" s="1209">
        <v>0</v>
      </c>
      <c r="L42" s="1101">
        <v>0</v>
      </c>
      <c r="M42" s="1101">
        <v>0</v>
      </c>
      <c r="N42" s="1101">
        <v>0</v>
      </c>
      <c r="O42" s="1101">
        <v>0</v>
      </c>
      <c r="P42" s="1101">
        <v>0</v>
      </c>
      <c r="Q42" s="1209">
        <v>0</v>
      </c>
      <c r="R42" s="1209">
        <v>0</v>
      </c>
      <c r="S42" s="1101">
        <v>0</v>
      </c>
      <c r="T42" s="1101">
        <v>0</v>
      </c>
      <c r="U42" s="1101">
        <v>0</v>
      </c>
      <c r="V42" s="1101">
        <v>0</v>
      </c>
      <c r="W42" s="1101">
        <v>0</v>
      </c>
      <c r="X42" s="1209">
        <v>0</v>
      </c>
      <c r="Y42" s="1209">
        <v>0</v>
      </c>
      <c r="Z42" s="1101">
        <v>0</v>
      </c>
      <c r="AA42" s="1101">
        <v>0</v>
      </c>
      <c r="AB42" s="1101"/>
      <c r="AC42" s="1101"/>
      <c r="AD42" s="1101"/>
      <c r="AE42" s="1209"/>
      <c r="AF42" s="1209"/>
      <c r="AG42" s="1101"/>
      <c r="AH42" s="1101"/>
      <c r="AI42" s="1332"/>
      <c r="AJ42" s="68">
        <f>SUM(E42:AI42)</f>
        <v>0</v>
      </c>
      <c r="AK42" s="983">
        <f t="shared" si="26"/>
        <v>0</v>
      </c>
      <c r="AL42" s="69">
        <f>+AJ42*AN37</f>
        <v>0</v>
      </c>
      <c r="AM42" s="989">
        <f t="shared" si="27"/>
        <v>0</v>
      </c>
      <c r="AN42" s="277"/>
      <c r="AO42" s="679"/>
      <c r="AP42" s="39" t="s">
        <v>19</v>
      </c>
      <c r="AQ42" s="56">
        <f>AQ41*AN37</f>
        <v>0</v>
      </c>
      <c r="AR42" s="56">
        <f>AR41*AN37</f>
        <v>0</v>
      </c>
      <c r="AS42" s="56">
        <f>AS41*AN37</f>
        <v>10811.205600000001</v>
      </c>
      <c r="AT42" s="56">
        <f>AT41*AN37</f>
        <v>0</v>
      </c>
      <c r="AU42" s="56">
        <f>AU41*AN37</f>
        <v>0</v>
      </c>
      <c r="AV42" s="57">
        <f t="shared" si="22"/>
        <v>10811.205600000001</v>
      </c>
    </row>
    <row r="43" spans="1:48" s="23" customFormat="1" ht="20.65" customHeight="1">
      <c r="A43" s="330"/>
      <c r="B43" s="89"/>
      <c r="C43" s="306" t="s">
        <v>387</v>
      </c>
      <c r="D43" s="73" t="s">
        <v>105</v>
      </c>
      <c r="E43" s="1115">
        <v>0</v>
      </c>
      <c r="F43" s="1116">
        <v>0</v>
      </c>
      <c r="G43" s="1215">
        <v>0</v>
      </c>
      <c r="H43" s="1116">
        <v>0</v>
      </c>
      <c r="I43" s="1116">
        <v>0</v>
      </c>
      <c r="J43" s="1215">
        <v>0</v>
      </c>
      <c r="K43" s="1210">
        <v>0</v>
      </c>
      <c r="L43" s="1103">
        <v>0</v>
      </c>
      <c r="M43" s="1116">
        <v>0</v>
      </c>
      <c r="N43" s="1116">
        <v>0</v>
      </c>
      <c r="O43" s="1103">
        <v>0</v>
      </c>
      <c r="P43" s="1103">
        <v>0</v>
      </c>
      <c r="Q43" s="1210">
        <v>0</v>
      </c>
      <c r="R43" s="1210">
        <v>0</v>
      </c>
      <c r="S43" s="1103">
        <v>0</v>
      </c>
      <c r="T43" s="1103">
        <v>0</v>
      </c>
      <c r="U43" s="1103">
        <v>0</v>
      </c>
      <c r="V43" s="1103">
        <v>0</v>
      </c>
      <c r="W43" s="1103">
        <v>0</v>
      </c>
      <c r="X43" s="1215">
        <v>0</v>
      </c>
      <c r="Y43" s="1215">
        <v>0</v>
      </c>
      <c r="Z43" s="1116">
        <v>0</v>
      </c>
      <c r="AA43" s="1116">
        <v>0</v>
      </c>
      <c r="AB43" s="1116"/>
      <c r="AC43" s="1116"/>
      <c r="AD43" s="1116"/>
      <c r="AE43" s="1215"/>
      <c r="AF43" s="1215"/>
      <c r="AG43" s="1116"/>
      <c r="AH43" s="1116"/>
      <c r="AI43" s="1334"/>
      <c r="AJ43" s="717">
        <f>SUM(E43:AI43)</f>
        <v>0</v>
      </c>
      <c r="AK43" s="983">
        <f t="shared" si="26"/>
        <v>390</v>
      </c>
      <c r="AL43" s="220">
        <f>+AJ43*AN39</f>
        <v>0</v>
      </c>
      <c r="AM43" s="989">
        <f t="shared" si="27"/>
        <v>0</v>
      </c>
      <c r="AN43" s="91"/>
      <c r="AO43" s="623"/>
      <c r="AP43" s="47" t="s">
        <v>106</v>
      </c>
      <c r="AQ43" s="48">
        <f>AQ39*AN37</f>
        <v>0</v>
      </c>
      <c r="AR43" s="48">
        <f>AR39*AN37</f>
        <v>0</v>
      </c>
      <c r="AS43" s="48">
        <f>AS39*AN37</f>
        <v>0</v>
      </c>
      <c r="AT43" s="48">
        <f>AT39*AN37</f>
        <v>0</v>
      </c>
      <c r="AU43" s="48">
        <f>AU39*AN37</f>
        <v>0</v>
      </c>
      <c r="AV43" s="50">
        <f t="shared" si="22"/>
        <v>0</v>
      </c>
    </row>
    <row r="44" spans="1:48" s="23" customFormat="1" ht="20.65" customHeight="1">
      <c r="A44" s="276" t="s">
        <v>419</v>
      </c>
      <c r="B44" s="313"/>
      <c r="C44" s="307"/>
      <c r="D44" s="78" t="s">
        <v>107</v>
      </c>
      <c r="E44" s="1137">
        <v>8</v>
      </c>
      <c r="F44" s="1097">
        <v>8</v>
      </c>
      <c r="G44" s="1205">
        <v>8</v>
      </c>
      <c r="H44" s="1097">
        <v>8</v>
      </c>
      <c r="I44" s="1097">
        <v>8</v>
      </c>
      <c r="J44" s="1205">
        <v>8</v>
      </c>
      <c r="K44" s="1205">
        <v>8</v>
      </c>
      <c r="L44" s="1097">
        <v>8</v>
      </c>
      <c r="M44" s="1097">
        <v>8</v>
      </c>
      <c r="N44" s="1097">
        <v>8</v>
      </c>
      <c r="O44" s="1097">
        <v>8</v>
      </c>
      <c r="P44" s="1097">
        <v>8</v>
      </c>
      <c r="Q44" s="1205">
        <v>8</v>
      </c>
      <c r="R44" s="1205">
        <v>8</v>
      </c>
      <c r="S44" s="1097">
        <v>8</v>
      </c>
      <c r="T44" s="1097">
        <v>8</v>
      </c>
      <c r="U44" s="1097">
        <v>8</v>
      </c>
      <c r="V44" s="1097">
        <v>8</v>
      </c>
      <c r="W44" s="1097">
        <v>8</v>
      </c>
      <c r="X44" s="1205">
        <v>8</v>
      </c>
      <c r="Y44" s="1205">
        <v>8</v>
      </c>
      <c r="Z44" s="1097">
        <v>8</v>
      </c>
      <c r="AA44" s="1097">
        <v>8</v>
      </c>
      <c r="AB44" s="1097">
        <v>8</v>
      </c>
      <c r="AC44" s="1097">
        <v>8</v>
      </c>
      <c r="AD44" s="1097">
        <v>8</v>
      </c>
      <c r="AE44" s="1205">
        <v>8</v>
      </c>
      <c r="AF44" s="1205">
        <v>8</v>
      </c>
      <c r="AG44" s="1097">
        <v>8</v>
      </c>
      <c r="AH44" s="1097">
        <v>8</v>
      </c>
      <c r="AI44" s="1328">
        <v>8</v>
      </c>
      <c r="AJ44" s="79"/>
      <c r="AK44" s="983">
        <f t="shared" si="26"/>
        <v>0</v>
      </c>
      <c r="AL44" s="69"/>
      <c r="AM44" s="989">
        <f t="shared" si="27"/>
        <v>0</v>
      </c>
      <c r="AN44" s="277"/>
      <c r="AO44" s="679"/>
      <c r="AP44" s="47"/>
      <c r="AQ44" s="48"/>
      <c r="AR44" s="48"/>
      <c r="AS44" s="48"/>
      <c r="AT44" s="48"/>
      <c r="AU44" s="48"/>
      <c r="AV44" s="840"/>
    </row>
    <row r="45" spans="1:48" s="23" customFormat="1" ht="20.65" customHeight="1">
      <c r="A45" s="276" t="s">
        <v>419</v>
      </c>
      <c r="B45" s="89"/>
      <c r="C45" s="305"/>
      <c r="D45" s="81" t="s">
        <v>109</v>
      </c>
      <c r="E45" s="1125">
        <f>SUM(E39+E41+E42+E43)/E44</f>
        <v>0</v>
      </c>
      <c r="F45" s="1126">
        <f>SUM(F39+F41+F42+F43)/F44</f>
        <v>0</v>
      </c>
      <c r="G45" s="1235">
        <f t="shared" ref="G45:AH45" si="28">SUM(G39+G41+G42+G43)/G44</f>
        <v>0</v>
      </c>
      <c r="H45" s="1126">
        <f t="shared" si="28"/>
        <v>0</v>
      </c>
      <c r="I45" s="1126">
        <f t="shared" si="28"/>
        <v>0</v>
      </c>
      <c r="J45" s="1235">
        <f t="shared" si="28"/>
        <v>0</v>
      </c>
      <c r="K45" s="1235">
        <f t="shared" si="28"/>
        <v>0</v>
      </c>
      <c r="L45" s="1126">
        <f t="shared" si="28"/>
        <v>0</v>
      </c>
      <c r="M45" s="1126">
        <f t="shared" si="28"/>
        <v>0</v>
      </c>
      <c r="N45" s="1126">
        <f t="shared" si="28"/>
        <v>0</v>
      </c>
      <c r="O45" s="1126">
        <f t="shared" si="28"/>
        <v>0</v>
      </c>
      <c r="P45" s="1126">
        <f t="shared" si="28"/>
        <v>0</v>
      </c>
      <c r="Q45" s="1235">
        <f t="shared" si="28"/>
        <v>0</v>
      </c>
      <c r="R45" s="1235">
        <f t="shared" si="28"/>
        <v>0</v>
      </c>
      <c r="S45" s="1126">
        <f t="shared" si="28"/>
        <v>245</v>
      </c>
      <c r="T45" s="1126">
        <f t="shared" si="28"/>
        <v>0</v>
      </c>
      <c r="U45" s="1126">
        <f t="shared" si="28"/>
        <v>145</v>
      </c>
      <c r="V45" s="1126">
        <f t="shared" si="28"/>
        <v>0</v>
      </c>
      <c r="W45" s="1126">
        <f t="shared" si="28"/>
        <v>0</v>
      </c>
      <c r="X45" s="1235">
        <f t="shared" si="28"/>
        <v>0</v>
      </c>
      <c r="Y45" s="1235">
        <f t="shared" si="28"/>
        <v>0</v>
      </c>
      <c r="Z45" s="1126">
        <f t="shared" si="28"/>
        <v>0</v>
      </c>
      <c r="AA45" s="1126">
        <f t="shared" si="28"/>
        <v>0</v>
      </c>
      <c r="AB45" s="1126">
        <f t="shared" si="28"/>
        <v>0</v>
      </c>
      <c r="AC45" s="1126">
        <f t="shared" si="28"/>
        <v>0</v>
      </c>
      <c r="AD45" s="1126">
        <f t="shared" si="28"/>
        <v>0</v>
      </c>
      <c r="AE45" s="1235">
        <f t="shared" si="28"/>
        <v>0</v>
      </c>
      <c r="AF45" s="1235">
        <f t="shared" si="28"/>
        <v>0</v>
      </c>
      <c r="AG45" s="1126">
        <f t="shared" si="28"/>
        <v>0</v>
      </c>
      <c r="AH45" s="1126">
        <f t="shared" si="28"/>
        <v>0</v>
      </c>
      <c r="AI45" s="1335">
        <f>SUM(AI39+AI41+AI42)/AI44</f>
        <v>0</v>
      </c>
      <c r="AJ45" s="515">
        <f>SUM(E45:AI45)</f>
        <v>390</v>
      </c>
      <c r="AK45" s="984">
        <f t="shared" si="26"/>
        <v>0</v>
      </c>
      <c r="AL45" s="689"/>
      <c r="AM45" s="989">
        <f t="shared" si="27"/>
        <v>0</v>
      </c>
      <c r="AN45" s="277"/>
      <c r="AO45" s="679"/>
      <c r="AP45" s="285"/>
      <c r="AQ45" s="285"/>
      <c r="AR45" s="285"/>
      <c r="AS45" s="285"/>
      <c r="AT45" s="286"/>
      <c r="AU45" s="285"/>
      <c r="AV45" s="287"/>
    </row>
    <row r="46" spans="1:48" s="23" customFormat="1" ht="20.65" customHeight="1">
      <c r="A46" s="276" t="s">
        <v>419</v>
      </c>
      <c r="B46" s="89"/>
      <c r="C46" s="72"/>
      <c r="D46" s="85" t="s">
        <v>110</v>
      </c>
      <c r="E46" s="1336"/>
      <c r="F46" s="1106"/>
      <c r="G46" s="1211"/>
      <c r="H46" s="1104"/>
      <c r="I46" s="1104"/>
      <c r="J46" s="1211"/>
      <c r="K46" s="1211"/>
      <c r="L46" s="1104"/>
      <c r="M46" s="1104"/>
      <c r="N46" s="1104"/>
      <c r="O46" s="1104"/>
      <c r="P46" s="1104"/>
      <c r="Q46" s="1211"/>
      <c r="R46" s="1228"/>
      <c r="S46" s="1104"/>
      <c r="T46" s="1107"/>
      <c r="U46" s="1104"/>
      <c r="V46" s="1104"/>
      <c r="W46" s="1104"/>
      <c r="X46" s="1228"/>
      <c r="Y46" s="1211"/>
      <c r="Z46" s="1104"/>
      <c r="AA46" s="1104"/>
      <c r="AB46" s="1104"/>
      <c r="AC46" s="1107"/>
      <c r="AD46" s="1104"/>
      <c r="AE46" s="1211"/>
      <c r="AF46" s="1211"/>
      <c r="AG46" s="1104"/>
      <c r="AH46" s="1104"/>
      <c r="AI46" s="1337"/>
      <c r="AJ46" s="86"/>
      <c r="AK46" s="984">
        <f t="shared" si="26"/>
        <v>0</v>
      </c>
      <c r="AL46" s="690"/>
      <c r="AM46" s="989">
        <f t="shared" si="27"/>
        <v>0</v>
      </c>
      <c r="AN46" s="277"/>
      <c r="AO46" s="679"/>
      <c r="AP46" s="285"/>
      <c r="AQ46" s="285"/>
      <c r="AR46" s="285"/>
      <c r="AS46" s="285"/>
      <c r="AT46" s="286"/>
      <c r="AU46" s="285"/>
      <c r="AV46" s="287"/>
    </row>
    <row r="47" spans="1:48" s="23" customFormat="1" ht="20.65" customHeight="1">
      <c r="A47" s="276" t="s">
        <v>419</v>
      </c>
      <c r="B47" s="89"/>
      <c r="C47" s="72" t="s">
        <v>104</v>
      </c>
      <c r="D47" s="88" t="s">
        <v>111</v>
      </c>
      <c r="E47" s="1108">
        <f>IF(E46="O/H",E45,27921+E45)</f>
        <v>27921</v>
      </c>
      <c r="F47" s="1089">
        <f>IF(F46="O/H",F45,+E47+F45)</f>
        <v>27921</v>
      </c>
      <c r="G47" s="44">
        <f t="shared" ref="G47:AH47" si="29">IF(G46="O/H",G45,+F47+G45)</f>
        <v>27921</v>
      </c>
      <c r="H47" s="1089">
        <f t="shared" si="29"/>
        <v>27921</v>
      </c>
      <c r="I47" s="1089">
        <f t="shared" si="29"/>
        <v>27921</v>
      </c>
      <c r="J47" s="44">
        <f t="shared" si="29"/>
        <v>27921</v>
      </c>
      <c r="K47" s="44">
        <f t="shared" si="29"/>
        <v>27921</v>
      </c>
      <c r="L47" s="1089">
        <f t="shared" si="29"/>
        <v>27921</v>
      </c>
      <c r="M47" s="1089">
        <f t="shared" si="29"/>
        <v>27921</v>
      </c>
      <c r="N47" s="1089">
        <f t="shared" si="29"/>
        <v>27921</v>
      </c>
      <c r="O47" s="1089">
        <f t="shared" si="29"/>
        <v>27921</v>
      </c>
      <c r="P47" s="1089">
        <f t="shared" si="29"/>
        <v>27921</v>
      </c>
      <c r="Q47" s="44">
        <f t="shared" si="29"/>
        <v>27921</v>
      </c>
      <c r="R47" s="44">
        <f t="shared" si="29"/>
        <v>27921</v>
      </c>
      <c r="S47" s="1089">
        <f t="shared" si="29"/>
        <v>28166</v>
      </c>
      <c r="T47" s="1089">
        <f t="shared" si="29"/>
        <v>28166</v>
      </c>
      <c r="U47" s="1089">
        <f t="shared" si="29"/>
        <v>28311</v>
      </c>
      <c r="V47" s="1089">
        <f t="shared" si="29"/>
        <v>28311</v>
      </c>
      <c r="W47" s="1089">
        <f t="shared" si="29"/>
        <v>28311</v>
      </c>
      <c r="X47" s="44">
        <f t="shared" si="29"/>
        <v>28311</v>
      </c>
      <c r="Y47" s="44">
        <f t="shared" si="29"/>
        <v>28311</v>
      </c>
      <c r="Z47" s="1089">
        <f t="shared" si="29"/>
        <v>28311</v>
      </c>
      <c r="AA47" s="1089">
        <f t="shared" si="29"/>
        <v>28311</v>
      </c>
      <c r="AB47" s="1089">
        <f t="shared" si="29"/>
        <v>28311</v>
      </c>
      <c r="AC47" s="1089">
        <f t="shared" si="29"/>
        <v>28311</v>
      </c>
      <c r="AD47" s="1089">
        <f t="shared" si="29"/>
        <v>28311</v>
      </c>
      <c r="AE47" s="44">
        <f t="shared" si="29"/>
        <v>28311</v>
      </c>
      <c r="AF47" s="44">
        <f t="shared" si="29"/>
        <v>28311</v>
      </c>
      <c r="AG47" s="1089">
        <f t="shared" si="29"/>
        <v>28311</v>
      </c>
      <c r="AH47" s="1089">
        <f t="shared" si="29"/>
        <v>28311</v>
      </c>
      <c r="AI47" s="1326">
        <f t="shared" ref="AI47" si="30">IF(AI46="O/H",AI45,+AH47+AI45)</f>
        <v>28311</v>
      </c>
      <c r="AJ47" s="79"/>
      <c r="AK47" s="983">
        <f t="shared" si="26"/>
        <v>0</v>
      </c>
      <c r="AL47" s="690"/>
      <c r="AM47" s="989">
        <f t="shared" si="27"/>
        <v>0</v>
      </c>
      <c r="AN47" s="277"/>
      <c r="AO47" s="679"/>
      <c r="AP47" s="285"/>
      <c r="AQ47" s="285"/>
      <c r="AR47" s="285"/>
      <c r="AS47" s="285"/>
      <c r="AT47" s="286"/>
      <c r="AU47" s="285"/>
      <c r="AV47" s="287"/>
    </row>
    <row r="48" spans="1:48" s="23" customFormat="1" ht="20.65" customHeight="1">
      <c r="A48" s="312"/>
      <c r="B48" s="312" t="s">
        <v>541</v>
      </c>
      <c r="C48" s="308">
        <v>300000</v>
      </c>
      <c r="D48" s="795" t="s">
        <v>112</v>
      </c>
      <c r="E48" s="1342">
        <f>IF(AND(ISNUMBER(E39)),46068+E45)</f>
        <v>46068</v>
      </c>
      <c r="F48" s="1160">
        <f>IF(AND(ISNUMBER(F39)),E48+F45,"")</f>
        <v>46068</v>
      </c>
      <c r="G48" s="1256">
        <f t="shared" ref="G48:AH48" si="31">IF(AND(ISNUMBER(G39)),F48+G45,"")</f>
        <v>46068</v>
      </c>
      <c r="H48" s="1160">
        <f t="shared" si="31"/>
        <v>46068</v>
      </c>
      <c r="I48" s="1160">
        <f t="shared" si="31"/>
        <v>46068</v>
      </c>
      <c r="J48" s="1256">
        <f t="shared" si="31"/>
        <v>46068</v>
      </c>
      <c r="K48" s="1256">
        <f t="shared" si="31"/>
        <v>46068</v>
      </c>
      <c r="L48" s="1160">
        <f t="shared" si="31"/>
        <v>46068</v>
      </c>
      <c r="M48" s="1160">
        <f t="shared" si="31"/>
        <v>46068</v>
      </c>
      <c r="N48" s="1160">
        <f t="shared" si="31"/>
        <v>46068</v>
      </c>
      <c r="O48" s="1160">
        <f t="shared" si="31"/>
        <v>46068</v>
      </c>
      <c r="P48" s="1160">
        <f t="shared" si="31"/>
        <v>46068</v>
      </c>
      <c r="Q48" s="1256">
        <f t="shared" si="31"/>
        <v>46068</v>
      </c>
      <c r="R48" s="1256">
        <f t="shared" si="31"/>
        <v>46068</v>
      </c>
      <c r="S48" s="1160">
        <f t="shared" si="31"/>
        <v>46313</v>
      </c>
      <c r="T48" s="1160">
        <f t="shared" si="31"/>
        <v>46313</v>
      </c>
      <c r="U48" s="1160">
        <f t="shared" si="31"/>
        <v>46458</v>
      </c>
      <c r="V48" s="1160">
        <f t="shared" si="31"/>
        <v>46458</v>
      </c>
      <c r="W48" s="1160">
        <f t="shared" si="31"/>
        <v>46458</v>
      </c>
      <c r="X48" s="1256">
        <f t="shared" si="31"/>
        <v>46458</v>
      </c>
      <c r="Y48" s="1256">
        <f t="shared" si="31"/>
        <v>46458</v>
      </c>
      <c r="Z48" s="1160">
        <f t="shared" si="31"/>
        <v>46458</v>
      </c>
      <c r="AA48" s="1160">
        <f t="shared" si="31"/>
        <v>46458</v>
      </c>
      <c r="AB48" s="1160" t="str">
        <f t="shared" si="31"/>
        <v/>
      </c>
      <c r="AC48" s="1160" t="str">
        <f t="shared" si="31"/>
        <v/>
      </c>
      <c r="AD48" s="1160" t="str">
        <f t="shared" si="31"/>
        <v/>
      </c>
      <c r="AE48" s="1256" t="str">
        <f t="shared" si="31"/>
        <v/>
      </c>
      <c r="AF48" s="1256" t="str">
        <f t="shared" si="31"/>
        <v/>
      </c>
      <c r="AG48" s="1160" t="str">
        <f t="shared" si="31"/>
        <v/>
      </c>
      <c r="AH48" s="1160" t="str">
        <f t="shared" si="31"/>
        <v/>
      </c>
      <c r="AI48" s="1254" t="str">
        <f t="shared" ref="AI48" si="32">IF(AND(ISNUMBER(AI39)),AH48+AI45,"")</f>
        <v/>
      </c>
      <c r="AJ48" s="793"/>
      <c r="AK48" s="985">
        <f t="shared" si="26"/>
        <v>0</v>
      </c>
      <c r="AL48" s="909"/>
      <c r="AM48" s="987">
        <f t="shared" si="27"/>
        <v>0</v>
      </c>
      <c r="AN48" s="429"/>
      <c r="AO48" s="675"/>
      <c r="AP48" s="285"/>
      <c r="AQ48" s="285"/>
      <c r="AR48" s="285"/>
      <c r="AS48" s="285"/>
      <c r="AT48" s="286"/>
      <c r="AU48" s="285"/>
      <c r="AV48" s="287"/>
    </row>
    <row r="49" spans="1:48" s="23" customFormat="1" ht="20.65" customHeight="1">
      <c r="A49" s="276"/>
      <c r="B49" s="89"/>
      <c r="C49" s="80" t="s">
        <v>108</v>
      </c>
      <c r="D49" s="90" t="s">
        <v>104</v>
      </c>
      <c r="E49" s="1338"/>
      <c r="F49" s="1106"/>
      <c r="G49" s="1253"/>
      <c r="H49" s="1106"/>
      <c r="I49" s="1106"/>
      <c r="J49" s="1253"/>
      <c r="K49" s="1253"/>
      <c r="L49" s="1106"/>
      <c r="M49" s="1106"/>
      <c r="N49" s="1106"/>
      <c r="O49" s="1106"/>
      <c r="P49" s="1106"/>
      <c r="Q49" s="1253"/>
      <c r="R49" s="1253"/>
      <c r="S49" s="1106"/>
      <c r="T49" s="1106"/>
      <c r="U49" s="1106"/>
      <c r="V49" s="1106"/>
      <c r="W49" s="1106"/>
      <c r="X49" s="1253"/>
      <c r="Y49" s="1253"/>
      <c r="Z49" s="1106"/>
      <c r="AA49" s="1106"/>
      <c r="AB49" s="1106"/>
      <c r="AC49" s="1106"/>
      <c r="AD49" s="1106"/>
      <c r="AE49" s="1253"/>
      <c r="AF49" s="1253"/>
      <c r="AG49" s="1106"/>
      <c r="AH49" s="1106"/>
      <c r="AI49" s="1339"/>
      <c r="AJ49" s="79"/>
      <c r="AK49" s="983">
        <f t="shared" si="26"/>
        <v>600000</v>
      </c>
      <c r="AL49" s="690"/>
      <c r="AM49" s="989">
        <f t="shared" si="27"/>
        <v>2069460</v>
      </c>
      <c r="AN49" s="301"/>
      <c r="AO49" s="680"/>
      <c r="AP49" s="285"/>
      <c r="AQ49" s="285"/>
      <c r="AR49" s="285"/>
      <c r="AS49" s="285"/>
      <c r="AT49" s="286"/>
      <c r="AU49" s="285"/>
      <c r="AV49" s="287"/>
    </row>
    <row r="50" spans="1:48" s="23" customFormat="1" ht="20.65" customHeight="1" thickBot="1">
      <c r="A50" s="289"/>
      <c r="B50" s="93"/>
      <c r="C50" s="94">
        <f>+C48*0.8</f>
        <v>240000</v>
      </c>
      <c r="D50" s="797" t="s">
        <v>111</v>
      </c>
      <c r="E50" s="1109">
        <f>IF(E49="O/H",E45,111501+E45)</f>
        <v>111501</v>
      </c>
      <c r="F50" s="1110">
        <f t="shared" ref="F50:AH50" si="33">IF(F49="O/H",F45,+E50+F45)</f>
        <v>111501</v>
      </c>
      <c r="G50" s="1212">
        <f t="shared" si="33"/>
        <v>111501</v>
      </c>
      <c r="H50" s="1110">
        <f t="shared" si="33"/>
        <v>111501</v>
      </c>
      <c r="I50" s="1110">
        <f t="shared" si="33"/>
        <v>111501</v>
      </c>
      <c r="J50" s="1212">
        <f t="shared" si="33"/>
        <v>111501</v>
      </c>
      <c r="K50" s="1212">
        <f t="shared" si="33"/>
        <v>111501</v>
      </c>
      <c r="L50" s="1110">
        <f t="shared" si="33"/>
        <v>111501</v>
      </c>
      <c r="M50" s="1110">
        <f t="shared" si="33"/>
        <v>111501</v>
      </c>
      <c r="N50" s="1110">
        <f t="shared" si="33"/>
        <v>111501</v>
      </c>
      <c r="O50" s="1110">
        <f t="shared" si="33"/>
        <v>111501</v>
      </c>
      <c r="P50" s="1110">
        <f t="shared" si="33"/>
        <v>111501</v>
      </c>
      <c r="Q50" s="1212">
        <f t="shared" si="33"/>
        <v>111501</v>
      </c>
      <c r="R50" s="1212">
        <f t="shared" si="33"/>
        <v>111501</v>
      </c>
      <c r="S50" s="1110">
        <f t="shared" si="33"/>
        <v>111746</v>
      </c>
      <c r="T50" s="1110">
        <f t="shared" si="33"/>
        <v>111746</v>
      </c>
      <c r="U50" s="1110">
        <f t="shared" si="33"/>
        <v>111891</v>
      </c>
      <c r="V50" s="1110">
        <f t="shared" si="33"/>
        <v>111891</v>
      </c>
      <c r="W50" s="1110">
        <f t="shared" si="33"/>
        <v>111891</v>
      </c>
      <c r="X50" s="1212">
        <f t="shared" si="33"/>
        <v>111891</v>
      </c>
      <c r="Y50" s="1212">
        <f t="shared" si="33"/>
        <v>111891</v>
      </c>
      <c r="Z50" s="1110">
        <f t="shared" si="33"/>
        <v>111891</v>
      </c>
      <c r="AA50" s="1110">
        <f t="shared" si="33"/>
        <v>111891</v>
      </c>
      <c r="AB50" s="1110">
        <f t="shared" si="33"/>
        <v>111891</v>
      </c>
      <c r="AC50" s="1110">
        <f t="shared" si="33"/>
        <v>111891</v>
      </c>
      <c r="AD50" s="1110">
        <f t="shared" si="33"/>
        <v>111891</v>
      </c>
      <c r="AE50" s="1212">
        <f t="shared" si="33"/>
        <v>111891</v>
      </c>
      <c r="AF50" s="1212">
        <f t="shared" si="33"/>
        <v>111891</v>
      </c>
      <c r="AG50" s="1110">
        <f t="shared" si="33"/>
        <v>111891</v>
      </c>
      <c r="AH50" s="1110">
        <f t="shared" si="33"/>
        <v>111891</v>
      </c>
      <c r="AI50" s="1340">
        <f t="shared" ref="AI50" si="34">IF(AI49="O/H",AI45,+AH50+AI45)</f>
        <v>111891</v>
      </c>
      <c r="AJ50" s="96"/>
      <c r="AK50" s="1060">
        <f t="shared" si="26"/>
        <v>0</v>
      </c>
      <c r="AL50" s="695"/>
      <c r="AM50" s="1057">
        <f t="shared" si="27"/>
        <v>0</v>
      </c>
      <c r="AN50" s="292"/>
      <c r="AO50" s="681"/>
      <c r="AP50" s="285"/>
      <c r="AQ50" s="285"/>
      <c r="AR50" s="285"/>
      <c r="AS50" s="285"/>
      <c r="AT50" s="286"/>
      <c r="AU50" s="285"/>
      <c r="AV50" s="287"/>
    </row>
    <row r="51" spans="1:48" s="23" customFormat="1" ht="20.65" customHeight="1" thickTop="1">
      <c r="A51" s="283" t="s">
        <v>713</v>
      </c>
      <c r="B51" s="334" t="s">
        <v>638</v>
      </c>
      <c r="C51" s="42" t="str">
        <f>Table2810[[#This Row],[M/C No.]]</f>
        <v>H19(110ton)</v>
      </c>
      <c r="D51" s="28" t="s">
        <v>82</v>
      </c>
      <c r="E51" s="1139">
        <v>0</v>
      </c>
      <c r="F51" s="1139">
        <v>0</v>
      </c>
      <c r="G51" s="1231">
        <v>0</v>
      </c>
      <c r="H51" s="1139">
        <v>10000</v>
      </c>
      <c r="I51" s="1139">
        <v>36000</v>
      </c>
      <c r="J51" s="1231">
        <v>36000</v>
      </c>
      <c r="K51" s="1231">
        <v>36000</v>
      </c>
      <c r="L51" s="1139">
        <v>36000</v>
      </c>
      <c r="M51" s="1139">
        <v>36000</v>
      </c>
      <c r="N51" s="1139">
        <v>36000</v>
      </c>
      <c r="O51" s="1139">
        <v>36000</v>
      </c>
      <c r="P51" s="1139">
        <v>36000</v>
      </c>
      <c r="Q51" s="1231">
        <v>0</v>
      </c>
      <c r="R51" s="1231">
        <v>0</v>
      </c>
      <c r="S51" s="1139">
        <v>10000</v>
      </c>
      <c r="T51" s="1139">
        <v>36000</v>
      </c>
      <c r="U51" s="1139">
        <v>36000</v>
      </c>
      <c r="V51" s="1139">
        <v>36000</v>
      </c>
      <c r="W51" s="1139">
        <v>36000</v>
      </c>
      <c r="X51" s="1231">
        <v>0</v>
      </c>
      <c r="Y51" s="1231">
        <v>0</v>
      </c>
      <c r="Z51" s="1139">
        <v>10000</v>
      </c>
      <c r="AA51" s="1139">
        <v>36000</v>
      </c>
      <c r="AB51" s="1139">
        <v>36000</v>
      </c>
      <c r="AC51" s="1139">
        <v>36000</v>
      </c>
      <c r="AD51" s="1139">
        <v>30000</v>
      </c>
      <c r="AE51" s="1231">
        <v>0</v>
      </c>
      <c r="AF51" s="1231">
        <v>0</v>
      </c>
      <c r="AG51" s="1139">
        <v>0</v>
      </c>
      <c r="AH51" s="1139">
        <v>0</v>
      </c>
      <c r="AI51" s="1139"/>
      <c r="AJ51" s="29">
        <f>SUM(E51:AI51)</f>
        <v>600000</v>
      </c>
      <c r="AK51" s="1020">
        <f t="shared" si="26"/>
        <v>612900</v>
      </c>
      <c r="AL51" s="101">
        <f>+AJ51*AN51</f>
        <v>2069460</v>
      </c>
      <c r="AM51" s="1019">
        <f t="shared" si="27"/>
        <v>2113953.39</v>
      </c>
      <c r="AN51" s="335">
        <v>3.4491000000000001</v>
      </c>
      <c r="AO51" s="622">
        <f>Table2810[[#This Row],[Total]]*B55/1000</f>
        <v>1858.35</v>
      </c>
      <c r="AP51" s="32" t="s">
        <v>514</v>
      </c>
      <c r="AQ51" s="33" t="s">
        <v>84</v>
      </c>
      <c r="AR51" s="33" t="s">
        <v>85</v>
      </c>
      <c r="AS51" s="33" t="s">
        <v>86</v>
      </c>
      <c r="AT51" s="33" t="s">
        <v>87</v>
      </c>
      <c r="AU51" s="33" t="s">
        <v>88</v>
      </c>
      <c r="AV51" s="34" t="s">
        <v>68</v>
      </c>
    </row>
    <row r="52" spans="1:48" s="23" customFormat="1" ht="20.45" customHeight="1">
      <c r="A52" s="274"/>
      <c r="B52" s="219"/>
      <c r="C52" s="275"/>
      <c r="D52" s="37" t="s">
        <v>90</v>
      </c>
      <c r="E52" s="1323">
        <f>IF(E51="",0,+ E51/E58)</f>
        <v>0</v>
      </c>
      <c r="F52" s="1096">
        <f t="shared" ref="F52:AC52" si="35">IF(F51="",0, E52+F51/F58)</f>
        <v>0</v>
      </c>
      <c r="G52" s="1207">
        <f t="shared" si="35"/>
        <v>0</v>
      </c>
      <c r="H52" s="1096">
        <f t="shared" si="35"/>
        <v>1250</v>
      </c>
      <c r="I52" s="1096">
        <f t="shared" si="35"/>
        <v>5750</v>
      </c>
      <c r="J52" s="1207">
        <f t="shared" si="35"/>
        <v>10250</v>
      </c>
      <c r="K52" s="1207">
        <f t="shared" si="35"/>
        <v>14750</v>
      </c>
      <c r="L52" s="1096">
        <f t="shared" si="35"/>
        <v>19250</v>
      </c>
      <c r="M52" s="1096">
        <f t="shared" si="35"/>
        <v>23750</v>
      </c>
      <c r="N52" s="1096">
        <f t="shared" si="35"/>
        <v>28250</v>
      </c>
      <c r="O52" s="1096">
        <f t="shared" si="35"/>
        <v>32750</v>
      </c>
      <c r="P52" s="1096">
        <f t="shared" si="35"/>
        <v>37250</v>
      </c>
      <c r="Q52" s="1207">
        <f t="shared" si="35"/>
        <v>37250</v>
      </c>
      <c r="R52" s="1207">
        <f t="shared" si="35"/>
        <v>37250</v>
      </c>
      <c r="S52" s="1096">
        <f t="shared" si="35"/>
        <v>38500</v>
      </c>
      <c r="T52" s="1096">
        <f t="shared" si="35"/>
        <v>43000</v>
      </c>
      <c r="U52" s="1096">
        <f t="shared" si="35"/>
        <v>47500</v>
      </c>
      <c r="V52" s="1096">
        <f t="shared" si="35"/>
        <v>52000</v>
      </c>
      <c r="W52" s="1096">
        <f t="shared" si="35"/>
        <v>56500</v>
      </c>
      <c r="X52" s="1207">
        <f t="shared" si="35"/>
        <v>56500</v>
      </c>
      <c r="Y52" s="1207">
        <f t="shared" si="35"/>
        <v>56500</v>
      </c>
      <c r="Z52" s="1096">
        <f t="shared" si="35"/>
        <v>57750</v>
      </c>
      <c r="AA52" s="1096">
        <f t="shared" si="35"/>
        <v>62250</v>
      </c>
      <c r="AB52" s="1096">
        <f t="shared" si="35"/>
        <v>66750</v>
      </c>
      <c r="AC52" s="1096">
        <f t="shared" si="35"/>
        <v>71250</v>
      </c>
      <c r="AD52" s="1096">
        <f>IF(AD51="",0, Z52+AD51/AD58)</f>
        <v>61500</v>
      </c>
      <c r="AE52" s="1207">
        <f>IF(AE51="",0, AA52+AE51/AE58)</f>
        <v>62250</v>
      </c>
      <c r="AF52" s="1207">
        <f>IF(AF51="",0, AB52+AF51/AF58)</f>
        <v>66750</v>
      </c>
      <c r="AG52" s="1096">
        <f>IF(AG51="",0, AC52+AG51/AG58)</f>
        <v>71250</v>
      </c>
      <c r="AH52" s="1096">
        <f>IF(AH51="",0, AD52+AH51/AH58)</f>
        <v>61500</v>
      </c>
      <c r="AI52" s="1324">
        <f>IF(AI51="",0, AH52+AI51/AI58)</f>
        <v>0</v>
      </c>
      <c r="AJ52" s="716"/>
      <c r="AK52" s="982">
        <f t="shared" si="26"/>
        <v>12900</v>
      </c>
      <c r="AL52" s="209"/>
      <c r="AM52" s="987">
        <f t="shared" si="27"/>
        <v>44493.39</v>
      </c>
      <c r="AN52" s="91"/>
      <c r="AO52" s="757"/>
      <c r="AP52" s="39" t="s">
        <v>91</v>
      </c>
      <c r="AQ52" s="40">
        <f>SUM(E51:H51)</f>
        <v>10000</v>
      </c>
      <c r="AR52" s="41">
        <f>SUM(I51:O51)</f>
        <v>252000</v>
      </c>
      <c r="AS52" s="41">
        <f>SUM(P51:V51)</f>
        <v>154000</v>
      </c>
      <c r="AT52" s="41">
        <f>SUM(W51:AC51)</f>
        <v>154000</v>
      </c>
      <c r="AU52" s="41">
        <f>SUM(AD51:AI51)</f>
        <v>30000</v>
      </c>
      <c r="AV52" s="34">
        <f t="shared" ref="AV52:AV57" si="36">SUM(AQ52:AU52)</f>
        <v>600000</v>
      </c>
    </row>
    <row r="53" spans="1:48" s="23" customFormat="1" ht="20.65" customHeight="1">
      <c r="A53" s="276" t="s">
        <v>419</v>
      </c>
      <c r="B53" s="583" t="s">
        <v>272</v>
      </c>
      <c r="C53" s="42"/>
      <c r="D53" s="834" t="s">
        <v>93</v>
      </c>
      <c r="E53" s="1108">
        <v>0</v>
      </c>
      <c r="F53" s="1089">
        <v>0</v>
      </c>
      <c r="G53" s="44">
        <v>9300</v>
      </c>
      <c r="H53" s="1089">
        <v>0</v>
      </c>
      <c r="I53" s="1089">
        <v>10800</v>
      </c>
      <c r="J53" s="44">
        <v>40800</v>
      </c>
      <c r="K53" s="44">
        <v>34800</v>
      </c>
      <c r="L53" s="1089">
        <v>28800</v>
      </c>
      <c r="M53" s="1089">
        <v>28800</v>
      </c>
      <c r="N53" s="1089">
        <v>27600</v>
      </c>
      <c r="O53" s="1089">
        <v>28800</v>
      </c>
      <c r="P53" s="1089">
        <v>30000</v>
      </c>
      <c r="Q53" s="44">
        <v>28800</v>
      </c>
      <c r="R53" s="44">
        <v>28800</v>
      </c>
      <c r="S53" s="1089">
        <v>27600</v>
      </c>
      <c r="T53" s="1089">
        <v>28800</v>
      </c>
      <c r="U53" s="1089">
        <v>28800</v>
      </c>
      <c r="V53" s="1089">
        <v>32400</v>
      </c>
      <c r="W53" s="1089">
        <v>40800</v>
      </c>
      <c r="X53" s="44">
        <v>38400</v>
      </c>
      <c r="Y53" s="44">
        <v>40800</v>
      </c>
      <c r="Z53" s="1089">
        <v>39600</v>
      </c>
      <c r="AA53" s="1089">
        <v>38400</v>
      </c>
      <c r="AB53" s="1089"/>
      <c r="AC53" s="1089"/>
      <c r="AD53" s="1089"/>
      <c r="AE53" s="44"/>
      <c r="AF53" s="44"/>
      <c r="AG53" s="1089"/>
      <c r="AH53" s="1089"/>
      <c r="AI53" s="1326"/>
      <c r="AJ53" s="45">
        <f>SUM(E53:AI53)</f>
        <v>612900</v>
      </c>
      <c r="AK53" s="983">
        <f t="shared" si="26"/>
        <v>2100</v>
      </c>
      <c r="AL53" s="46">
        <f>+AJ53*AN51</f>
        <v>2113953.39</v>
      </c>
      <c r="AM53" s="988">
        <f t="shared" si="27"/>
        <v>7243.11</v>
      </c>
      <c r="AN53" s="277"/>
      <c r="AO53" s="632">
        <f>(AJ53+AJ55+AJ56+AJ57)*B55/1000</f>
        <v>1921.0135619999999</v>
      </c>
      <c r="AP53" s="47" t="s">
        <v>94</v>
      </c>
      <c r="AQ53" s="48">
        <f>SUM(E53:H53)</f>
        <v>9300</v>
      </c>
      <c r="AR53" s="49">
        <f>SUM(I53:O53)</f>
        <v>200400</v>
      </c>
      <c r="AS53" s="49">
        <f>SUM(P53:V53)</f>
        <v>205200</v>
      </c>
      <c r="AT53" s="49">
        <f>SUM(W53:AC53)</f>
        <v>198000</v>
      </c>
      <c r="AU53" s="49">
        <f>SUM(AD53:AI53)</f>
        <v>0</v>
      </c>
      <c r="AV53" s="50">
        <f t="shared" si="36"/>
        <v>612900</v>
      </c>
    </row>
    <row r="54" spans="1:48" s="23" customFormat="1" ht="20.65" customHeight="1">
      <c r="A54" s="276" t="s">
        <v>419</v>
      </c>
      <c r="B54" s="767" t="s">
        <v>247</v>
      </c>
      <c r="C54" s="280"/>
      <c r="D54" s="835" t="s">
        <v>96</v>
      </c>
      <c r="E54" s="1137">
        <f t="shared" ref="E54:AH54" si="37">+E53-E51</f>
        <v>0</v>
      </c>
      <c r="F54" s="1097">
        <f t="shared" si="37"/>
        <v>0</v>
      </c>
      <c r="G54" s="1205">
        <f t="shared" si="37"/>
        <v>9300</v>
      </c>
      <c r="H54" s="1097">
        <v>0</v>
      </c>
      <c r="I54" s="1097">
        <v>0</v>
      </c>
      <c r="J54" s="1205">
        <f t="shared" si="37"/>
        <v>4800</v>
      </c>
      <c r="K54" s="1205">
        <v>0</v>
      </c>
      <c r="L54" s="1097">
        <f t="shared" si="37"/>
        <v>-7200</v>
      </c>
      <c r="M54" s="1097">
        <f t="shared" si="37"/>
        <v>-7200</v>
      </c>
      <c r="N54" s="1097">
        <f t="shared" si="37"/>
        <v>-8400</v>
      </c>
      <c r="O54" s="1097">
        <f t="shared" si="37"/>
        <v>-7200</v>
      </c>
      <c r="P54" s="1097">
        <f t="shared" si="37"/>
        <v>-6000</v>
      </c>
      <c r="Q54" s="1205">
        <f t="shared" si="37"/>
        <v>28800</v>
      </c>
      <c r="R54" s="1205">
        <f t="shared" si="37"/>
        <v>28800</v>
      </c>
      <c r="S54" s="1097">
        <f t="shared" si="37"/>
        <v>17600</v>
      </c>
      <c r="T54" s="1097">
        <f t="shared" si="37"/>
        <v>-7200</v>
      </c>
      <c r="U54" s="1097">
        <f>+U53-U51</f>
        <v>-7200</v>
      </c>
      <c r="V54" s="1097">
        <f t="shared" si="37"/>
        <v>-3600</v>
      </c>
      <c r="W54" s="1097">
        <f t="shared" si="37"/>
        <v>4800</v>
      </c>
      <c r="X54" s="1205">
        <f t="shared" si="37"/>
        <v>38400</v>
      </c>
      <c r="Y54" s="1205">
        <f t="shared" si="37"/>
        <v>40800</v>
      </c>
      <c r="Z54" s="1097">
        <f t="shared" si="37"/>
        <v>29600</v>
      </c>
      <c r="AA54" s="1097">
        <f t="shared" si="37"/>
        <v>2400</v>
      </c>
      <c r="AB54" s="1097">
        <f t="shared" si="37"/>
        <v>-36000</v>
      </c>
      <c r="AC54" s="1097">
        <f t="shared" si="37"/>
        <v>-36000</v>
      </c>
      <c r="AD54" s="1097">
        <f t="shared" si="37"/>
        <v>-30000</v>
      </c>
      <c r="AE54" s="1205">
        <f t="shared" si="37"/>
        <v>0</v>
      </c>
      <c r="AF54" s="1205">
        <f t="shared" si="37"/>
        <v>0</v>
      </c>
      <c r="AG54" s="1097">
        <f t="shared" si="37"/>
        <v>0</v>
      </c>
      <c r="AH54" s="1097">
        <f t="shared" si="37"/>
        <v>0</v>
      </c>
      <c r="AI54" s="1328">
        <f>+AI53-AI51</f>
        <v>0</v>
      </c>
      <c r="AJ54" s="79">
        <f>+AJ53-AJ51</f>
        <v>12900</v>
      </c>
      <c r="AK54" s="983">
        <f t="shared" si="26"/>
        <v>5232</v>
      </c>
      <c r="AL54" s="55">
        <f>+AJ54*AN51</f>
        <v>44493.39</v>
      </c>
      <c r="AM54" s="988">
        <f t="shared" si="27"/>
        <v>18045.691200000001</v>
      </c>
      <c r="AN54" s="277" t="s">
        <v>97</v>
      </c>
      <c r="AO54" s="622"/>
      <c r="AP54" s="39" t="s">
        <v>98</v>
      </c>
      <c r="AQ54" s="56">
        <f>AQ53-AQ52</f>
        <v>-700</v>
      </c>
      <c r="AR54" s="70">
        <f>AR53-AR52</f>
        <v>-51600</v>
      </c>
      <c r="AS54" s="70">
        <f>AS53-AS52</f>
        <v>51200</v>
      </c>
      <c r="AT54" s="70">
        <f>AT53-AT52</f>
        <v>44000</v>
      </c>
      <c r="AU54" s="70">
        <f>AU53-AU52</f>
        <v>-30000</v>
      </c>
      <c r="AV54" s="57">
        <f t="shared" si="36"/>
        <v>12900</v>
      </c>
    </row>
    <row r="55" spans="1:48" s="23" customFormat="1" ht="20.65" customHeight="1">
      <c r="A55" s="276" t="s">
        <v>419</v>
      </c>
      <c r="B55" s="768">
        <v>3.0972499999999998</v>
      </c>
      <c r="C55" s="305"/>
      <c r="D55" s="836" t="s">
        <v>101</v>
      </c>
      <c r="E55" s="1098">
        <v>0</v>
      </c>
      <c r="F55" s="1099">
        <v>560</v>
      </c>
      <c r="G55" s="1208">
        <v>160</v>
      </c>
      <c r="H55" s="1099">
        <f>200+140</f>
        <v>340</v>
      </c>
      <c r="I55" s="1099">
        <v>320</v>
      </c>
      <c r="J55" s="1208">
        <v>0</v>
      </c>
      <c r="K55" s="1208">
        <v>240</v>
      </c>
      <c r="L55" s="1099">
        <v>0</v>
      </c>
      <c r="M55" s="1099">
        <v>0</v>
      </c>
      <c r="N55" s="1099">
        <v>80</v>
      </c>
      <c r="O55" s="1099">
        <v>0</v>
      </c>
      <c r="P55" s="1099">
        <v>0</v>
      </c>
      <c r="Q55" s="1208">
        <v>80</v>
      </c>
      <c r="R55" s="1208">
        <v>0</v>
      </c>
      <c r="S55" s="1099">
        <v>0</v>
      </c>
      <c r="T55" s="1099">
        <v>0</v>
      </c>
      <c r="U55" s="1099">
        <v>0</v>
      </c>
      <c r="V55" s="1099">
        <v>0</v>
      </c>
      <c r="W55" s="1099">
        <v>0</v>
      </c>
      <c r="X55" s="1208">
        <v>320</v>
      </c>
      <c r="Y55" s="1208">
        <v>0</v>
      </c>
      <c r="Z55" s="1099">
        <v>0</v>
      </c>
      <c r="AA55" s="1099">
        <v>0</v>
      </c>
      <c r="AB55" s="1099"/>
      <c r="AC55" s="1099"/>
      <c r="AD55" s="1099"/>
      <c r="AE55" s="1208"/>
      <c r="AF55" s="1208"/>
      <c r="AG55" s="1099"/>
      <c r="AH55" s="1099"/>
      <c r="AI55" s="1330"/>
      <c r="AJ55" s="62">
        <f>SUM(E55:AI55)</f>
        <v>2100</v>
      </c>
      <c r="AK55" s="983">
        <f t="shared" si="26"/>
        <v>0</v>
      </c>
      <c r="AL55" s="63">
        <f>+AJ55*AN51</f>
        <v>7243.11</v>
      </c>
      <c r="AM55" s="989">
        <f t="shared" si="27"/>
        <v>0</v>
      </c>
      <c r="AN55" s="301">
        <f>+AJ55/AJ53*100</f>
        <v>0.34263338228095935</v>
      </c>
      <c r="AO55" s="635">
        <f>AO53/AO51</f>
        <v>1.03372</v>
      </c>
      <c r="AP55" s="39" t="s">
        <v>102</v>
      </c>
      <c r="AQ55" s="56">
        <f>SUM(E55:H55)</f>
        <v>1060</v>
      </c>
      <c r="AR55" s="70">
        <f>SUM(I55:O55)</f>
        <v>640</v>
      </c>
      <c r="AS55" s="70">
        <f>SUM(P55:V55)</f>
        <v>80</v>
      </c>
      <c r="AT55" s="70">
        <f>SUM(W55:AC55)</f>
        <v>320</v>
      </c>
      <c r="AU55" s="70">
        <f>SUM(AD55:AI55)</f>
        <v>0</v>
      </c>
      <c r="AV55" s="57">
        <f t="shared" si="36"/>
        <v>2100</v>
      </c>
    </row>
    <row r="56" spans="1:48" s="23" customFormat="1" ht="20.65" customHeight="1">
      <c r="A56" s="330"/>
      <c r="B56" s="334" t="s">
        <v>513</v>
      </c>
      <c r="C56" s="52" t="s">
        <v>95</v>
      </c>
      <c r="D56" s="837" t="s">
        <v>103</v>
      </c>
      <c r="E56" s="1100">
        <v>0</v>
      </c>
      <c r="F56" s="1101">
        <v>0</v>
      </c>
      <c r="G56" s="1209">
        <v>48</v>
      </c>
      <c r="H56" s="1101">
        <v>0</v>
      </c>
      <c r="I56" s="1101">
        <v>96</v>
      </c>
      <c r="J56" s="1209">
        <v>288</v>
      </c>
      <c r="K56" s="1209">
        <v>288</v>
      </c>
      <c r="L56" s="1101">
        <v>240</v>
      </c>
      <c r="M56" s="1101">
        <v>288</v>
      </c>
      <c r="N56" s="1101">
        <v>288</v>
      </c>
      <c r="O56" s="1101">
        <v>288</v>
      </c>
      <c r="P56" s="1101">
        <v>288</v>
      </c>
      <c r="Q56" s="1209">
        <v>288</v>
      </c>
      <c r="R56" s="1209">
        <v>288</v>
      </c>
      <c r="S56" s="1101">
        <v>288</v>
      </c>
      <c r="T56" s="1101">
        <v>240</v>
      </c>
      <c r="U56" s="1101">
        <v>288</v>
      </c>
      <c r="V56" s="1101">
        <v>288</v>
      </c>
      <c r="W56" s="1101">
        <v>288</v>
      </c>
      <c r="X56" s="1209">
        <v>288</v>
      </c>
      <c r="Y56" s="1209">
        <v>288</v>
      </c>
      <c r="Z56" s="1101">
        <v>288</v>
      </c>
      <c r="AA56" s="1101">
        <v>288</v>
      </c>
      <c r="AB56" s="1101"/>
      <c r="AC56" s="1101"/>
      <c r="AD56" s="1101"/>
      <c r="AE56" s="1209"/>
      <c r="AF56" s="1209"/>
      <c r="AG56" s="1101"/>
      <c r="AH56" s="1101"/>
      <c r="AI56" s="1332"/>
      <c r="AJ56" s="68">
        <f>SUM(E56:AI56)</f>
        <v>5232</v>
      </c>
      <c r="AK56" s="983">
        <f t="shared" si="26"/>
        <v>0</v>
      </c>
      <c r="AL56" s="69">
        <f>+AJ56*AN51</f>
        <v>18045.691200000001</v>
      </c>
      <c r="AM56" s="989">
        <f t="shared" si="27"/>
        <v>0</v>
      </c>
      <c r="AN56" s="277"/>
      <c r="AO56" s="679"/>
      <c r="AP56" s="39" t="s">
        <v>19</v>
      </c>
      <c r="AQ56" s="56">
        <f>AQ55*AN51</f>
        <v>3656.0460000000003</v>
      </c>
      <c r="AR56" s="56">
        <f>AR55*AN51</f>
        <v>2207.424</v>
      </c>
      <c r="AS56" s="56">
        <f>AS55*AN51</f>
        <v>275.928</v>
      </c>
      <c r="AT56" s="56">
        <f>AT55*AN51</f>
        <v>1103.712</v>
      </c>
      <c r="AU56" s="56">
        <f>AU55*AN51</f>
        <v>0</v>
      </c>
      <c r="AV56" s="57">
        <f t="shared" si="36"/>
        <v>7243.1100000000006</v>
      </c>
    </row>
    <row r="57" spans="1:48" s="23" customFormat="1" ht="20.65" customHeight="1">
      <c r="A57" s="330"/>
      <c r="B57" s="89"/>
      <c r="C57" s="306" t="s">
        <v>387</v>
      </c>
      <c r="D57" s="838" t="s">
        <v>105</v>
      </c>
      <c r="E57" s="1115">
        <v>0</v>
      </c>
      <c r="F57" s="1116">
        <v>0</v>
      </c>
      <c r="G57" s="1215">
        <v>0</v>
      </c>
      <c r="H57" s="1116">
        <v>0</v>
      </c>
      <c r="I57" s="1310">
        <v>0</v>
      </c>
      <c r="J57" s="1215">
        <v>0</v>
      </c>
      <c r="K57" s="1210">
        <v>0</v>
      </c>
      <c r="L57" s="1103">
        <v>0</v>
      </c>
      <c r="M57" s="1116">
        <v>0</v>
      </c>
      <c r="N57" s="1116">
        <v>0</v>
      </c>
      <c r="O57" s="1103">
        <v>0</v>
      </c>
      <c r="P57" s="1103">
        <v>0</v>
      </c>
      <c r="Q57" s="1210">
        <v>0</v>
      </c>
      <c r="R57" s="1215">
        <v>0</v>
      </c>
      <c r="S57" s="1116">
        <v>0</v>
      </c>
      <c r="T57" s="1116">
        <v>0</v>
      </c>
      <c r="U57" s="1103">
        <v>0</v>
      </c>
      <c r="V57" s="1116">
        <v>0</v>
      </c>
      <c r="W57" s="1116">
        <v>0</v>
      </c>
      <c r="X57" s="1215">
        <v>0</v>
      </c>
      <c r="Y57" s="1215">
        <v>0</v>
      </c>
      <c r="Z57" s="1116">
        <v>0</v>
      </c>
      <c r="AA57" s="1116">
        <v>0</v>
      </c>
      <c r="AB57" s="1116"/>
      <c r="AC57" s="1116"/>
      <c r="AD57" s="1116"/>
      <c r="AE57" s="1215"/>
      <c r="AF57" s="1215"/>
      <c r="AG57" s="1116"/>
      <c r="AH57" s="1116"/>
      <c r="AI57" s="1334"/>
      <c r="AJ57" s="717">
        <f>SUM(E57:AI57)</f>
        <v>0</v>
      </c>
      <c r="AK57" s="983">
        <f t="shared" si="26"/>
        <v>77529</v>
      </c>
      <c r="AL57" s="220">
        <f>+AJ57*AN53</f>
        <v>0</v>
      </c>
      <c r="AM57" s="989">
        <f t="shared" si="27"/>
        <v>0</v>
      </c>
      <c r="AN57" s="91"/>
      <c r="AO57" s="623"/>
      <c r="AP57" s="47" t="s">
        <v>106</v>
      </c>
      <c r="AQ57" s="48">
        <f>AQ53*AN51</f>
        <v>32076.63</v>
      </c>
      <c r="AR57" s="48">
        <f>AR53*AN51</f>
        <v>691199.64</v>
      </c>
      <c r="AS57" s="48">
        <f>AS53*AN51</f>
        <v>707755.32000000007</v>
      </c>
      <c r="AT57" s="48">
        <f>AT53*AN51</f>
        <v>682921.8</v>
      </c>
      <c r="AU57" s="48">
        <f>AU53*AN51</f>
        <v>0</v>
      </c>
      <c r="AV57" s="50">
        <f t="shared" si="36"/>
        <v>2113953.39</v>
      </c>
    </row>
    <row r="58" spans="1:48" s="23" customFormat="1" ht="20.65" customHeight="1">
      <c r="A58" s="276" t="s">
        <v>419</v>
      </c>
      <c r="B58" s="313"/>
      <c r="C58" s="307"/>
      <c r="D58" s="839" t="s">
        <v>107</v>
      </c>
      <c r="E58" s="1137">
        <v>8</v>
      </c>
      <c r="F58" s="1097">
        <v>8</v>
      </c>
      <c r="G58" s="1205">
        <v>8</v>
      </c>
      <c r="H58" s="1097">
        <v>8</v>
      </c>
      <c r="I58" s="1097">
        <v>8</v>
      </c>
      <c r="J58" s="1205">
        <v>8</v>
      </c>
      <c r="K58" s="1205">
        <v>8</v>
      </c>
      <c r="L58" s="1097">
        <v>8</v>
      </c>
      <c r="M58" s="1097">
        <v>8</v>
      </c>
      <c r="N58" s="1097">
        <v>8</v>
      </c>
      <c r="O58" s="1097">
        <v>8</v>
      </c>
      <c r="P58" s="1097">
        <v>8</v>
      </c>
      <c r="Q58" s="1205">
        <v>8</v>
      </c>
      <c r="R58" s="1205">
        <v>8</v>
      </c>
      <c r="S58" s="1097">
        <v>8</v>
      </c>
      <c r="T58" s="1097">
        <v>8</v>
      </c>
      <c r="U58" s="1097">
        <v>8</v>
      </c>
      <c r="V58" s="1097">
        <v>8</v>
      </c>
      <c r="W58" s="1097">
        <v>8</v>
      </c>
      <c r="X58" s="1205">
        <v>8</v>
      </c>
      <c r="Y58" s="1205">
        <v>8</v>
      </c>
      <c r="Z58" s="1097">
        <v>8</v>
      </c>
      <c r="AA58" s="1097">
        <v>8</v>
      </c>
      <c r="AB58" s="1097">
        <v>8</v>
      </c>
      <c r="AC58" s="1097">
        <v>8</v>
      </c>
      <c r="AD58" s="1097">
        <v>8</v>
      </c>
      <c r="AE58" s="1205">
        <v>8</v>
      </c>
      <c r="AF58" s="1205">
        <v>8</v>
      </c>
      <c r="AG58" s="1097">
        <v>8</v>
      </c>
      <c r="AH58" s="1097">
        <v>8</v>
      </c>
      <c r="AI58" s="1328">
        <v>8</v>
      </c>
      <c r="AJ58" s="79"/>
      <c r="AK58" s="983">
        <f t="shared" si="26"/>
        <v>0</v>
      </c>
      <c r="AL58" s="69"/>
      <c r="AM58" s="989">
        <f t="shared" si="27"/>
        <v>0</v>
      </c>
      <c r="AN58" s="277"/>
      <c r="AO58" s="679"/>
      <c r="AP58" s="47"/>
      <c r="AQ58" s="48"/>
      <c r="AR58" s="48"/>
      <c r="AS58" s="48"/>
      <c r="AT58" s="48"/>
      <c r="AU58" s="48"/>
      <c r="AV58" s="284"/>
    </row>
    <row r="59" spans="1:48" s="23" customFormat="1" ht="20.65" customHeight="1">
      <c r="A59" s="276" t="s">
        <v>419</v>
      </c>
      <c r="B59" s="89"/>
      <c r="C59" s="305"/>
      <c r="D59" s="841" t="s">
        <v>109</v>
      </c>
      <c r="E59" s="1125">
        <f t="shared" ref="E59:AH59" si="38">SUM(E53+E55+E56+E57)/E58</f>
        <v>0</v>
      </c>
      <c r="F59" s="1126">
        <f t="shared" si="38"/>
        <v>70</v>
      </c>
      <c r="G59" s="1235">
        <f t="shared" si="38"/>
        <v>1188.5</v>
      </c>
      <c r="H59" s="1126">
        <f t="shared" si="38"/>
        <v>42.5</v>
      </c>
      <c r="I59" s="1126">
        <f t="shared" si="38"/>
        <v>1402</v>
      </c>
      <c r="J59" s="1235">
        <f t="shared" si="38"/>
        <v>5136</v>
      </c>
      <c r="K59" s="1235">
        <f t="shared" si="38"/>
        <v>4416</v>
      </c>
      <c r="L59" s="1126">
        <f t="shared" si="38"/>
        <v>3630</v>
      </c>
      <c r="M59" s="1126">
        <f t="shared" si="38"/>
        <v>3636</v>
      </c>
      <c r="N59" s="1126">
        <f t="shared" si="38"/>
        <v>3496</v>
      </c>
      <c r="O59" s="1126">
        <f t="shared" si="38"/>
        <v>3636</v>
      </c>
      <c r="P59" s="1126">
        <f t="shared" si="38"/>
        <v>3786</v>
      </c>
      <c r="Q59" s="1235">
        <f t="shared" si="38"/>
        <v>3646</v>
      </c>
      <c r="R59" s="1235">
        <f t="shared" si="38"/>
        <v>3636</v>
      </c>
      <c r="S59" s="1126">
        <f t="shared" si="38"/>
        <v>3486</v>
      </c>
      <c r="T59" s="1126">
        <f t="shared" si="38"/>
        <v>3630</v>
      </c>
      <c r="U59" s="1126">
        <f t="shared" si="38"/>
        <v>3636</v>
      </c>
      <c r="V59" s="1126">
        <f t="shared" si="38"/>
        <v>4086</v>
      </c>
      <c r="W59" s="1126">
        <f t="shared" si="38"/>
        <v>5136</v>
      </c>
      <c r="X59" s="1235">
        <f t="shared" si="38"/>
        <v>4876</v>
      </c>
      <c r="Y59" s="1235">
        <f t="shared" si="38"/>
        <v>5136</v>
      </c>
      <c r="Z59" s="1126">
        <f t="shared" si="38"/>
        <v>4986</v>
      </c>
      <c r="AA59" s="1126">
        <f t="shared" si="38"/>
        <v>4836</v>
      </c>
      <c r="AB59" s="1126">
        <f t="shared" si="38"/>
        <v>0</v>
      </c>
      <c r="AC59" s="1126">
        <f t="shared" si="38"/>
        <v>0</v>
      </c>
      <c r="AD59" s="1126">
        <f t="shared" si="38"/>
        <v>0</v>
      </c>
      <c r="AE59" s="1235">
        <f t="shared" si="38"/>
        <v>0</v>
      </c>
      <c r="AF59" s="1235">
        <f t="shared" si="38"/>
        <v>0</v>
      </c>
      <c r="AG59" s="1126">
        <f t="shared" si="38"/>
        <v>0</v>
      </c>
      <c r="AH59" s="1126">
        <f t="shared" si="38"/>
        <v>0</v>
      </c>
      <c r="AI59" s="1335">
        <f>SUM(AI53+AI55+AI56)/AI58</f>
        <v>0</v>
      </c>
      <c r="AJ59" s="515">
        <f>SUM(E59:AI59)</f>
        <v>77529</v>
      </c>
      <c r="AK59" s="984">
        <f t="shared" si="26"/>
        <v>0</v>
      </c>
      <c r="AL59" s="689"/>
      <c r="AM59" s="989">
        <f t="shared" si="27"/>
        <v>0</v>
      </c>
      <c r="AN59" s="277"/>
      <c r="AO59" s="679"/>
      <c r="AP59" s="285"/>
      <c r="AQ59" s="285"/>
      <c r="AR59" s="285"/>
      <c r="AS59" s="285"/>
      <c r="AT59" s="286"/>
      <c r="AU59" s="285"/>
      <c r="AV59" s="287"/>
    </row>
    <row r="60" spans="1:48" s="23" customFormat="1" ht="20.65" customHeight="1">
      <c r="A60" s="276" t="s">
        <v>419</v>
      </c>
      <c r="B60" s="89"/>
      <c r="C60" s="72"/>
      <c r="D60" s="85" t="s">
        <v>110</v>
      </c>
      <c r="E60" s="1336" t="s">
        <v>534</v>
      </c>
      <c r="F60" s="1106"/>
      <c r="G60" s="1228"/>
      <c r="H60" s="1107"/>
      <c r="I60" s="1107"/>
      <c r="J60" s="1228"/>
      <c r="K60" s="1228"/>
      <c r="L60" s="1107"/>
      <c r="M60" s="1107"/>
      <c r="N60" s="1107"/>
      <c r="O60" s="1107"/>
      <c r="P60" s="1107"/>
      <c r="Q60" s="1228"/>
      <c r="R60" s="1228"/>
      <c r="S60" s="1107"/>
      <c r="T60" s="1107"/>
      <c r="U60" s="1107"/>
      <c r="V60" s="1107"/>
      <c r="W60" s="1107"/>
      <c r="X60" s="1228"/>
      <c r="Y60" s="1228"/>
      <c r="Z60" s="1107"/>
      <c r="AA60" s="1107"/>
      <c r="AB60" s="1107"/>
      <c r="AC60" s="1107"/>
      <c r="AD60" s="1107"/>
      <c r="AE60" s="1228"/>
      <c r="AF60" s="1228"/>
      <c r="AG60" s="1107"/>
      <c r="AH60" s="1107"/>
      <c r="AI60" s="1337"/>
      <c r="AJ60" s="86"/>
      <c r="AK60" s="984">
        <f t="shared" si="26"/>
        <v>0</v>
      </c>
      <c r="AL60" s="690"/>
      <c r="AM60" s="989">
        <f t="shared" si="27"/>
        <v>0</v>
      </c>
      <c r="AN60" s="277"/>
      <c r="AO60" s="679"/>
      <c r="AP60" s="285"/>
      <c r="AQ60" s="285"/>
      <c r="AR60" s="285"/>
      <c r="AS60" s="285"/>
      <c r="AT60" s="286"/>
      <c r="AU60" s="285"/>
      <c r="AV60" s="287"/>
    </row>
    <row r="61" spans="1:48" s="23" customFormat="1" ht="20.65" customHeight="1">
      <c r="A61" s="276" t="s">
        <v>419</v>
      </c>
      <c r="B61" s="89"/>
      <c r="C61" s="72" t="s">
        <v>104</v>
      </c>
      <c r="D61" s="842" t="s">
        <v>111</v>
      </c>
      <c r="E61" s="1108">
        <f>IF(E60="O/H",E59,+E59)</f>
        <v>0</v>
      </c>
      <c r="F61" s="1089">
        <f t="shared" ref="F61:AH61" si="39">IF(F60="O/H",F59,+E61+F59)</f>
        <v>70</v>
      </c>
      <c r="G61" s="44">
        <f t="shared" si="39"/>
        <v>1258.5</v>
      </c>
      <c r="H61" s="1089">
        <f t="shared" si="39"/>
        <v>1301</v>
      </c>
      <c r="I61" s="1089">
        <f t="shared" si="39"/>
        <v>2703</v>
      </c>
      <c r="J61" s="44">
        <f t="shared" si="39"/>
        <v>7839</v>
      </c>
      <c r="K61" s="44">
        <f t="shared" si="39"/>
        <v>12255</v>
      </c>
      <c r="L61" s="1089">
        <f t="shared" si="39"/>
        <v>15885</v>
      </c>
      <c r="M61" s="1089">
        <f t="shared" si="39"/>
        <v>19521</v>
      </c>
      <c r="N61" s="1089">
        <f t="shared" si="39"/>
        <v>23017</v>
      </c>
      <c r="O61" s="1089">
        <f t="shared" si="39"/>
        <v>26653</v>
      </c>
      <c r="P61" s="1089">
        <f t="shared" si="39"/>
        <v>30439</v>
      </c>
      <c r="Q61" s="44">
        <f t="shared" si="39"/>
        <v>34085</v>
      </c>
      <c r="R61" s="44">
        <f t="shared" si="39"/>
        <v>37721</v>
      </c>
      <c r="S61" s="1089">
        <f t="shared" si="39"/>
        <v>41207</v>
      </c>
      <c r="T61" s="1089">
        <f t="shared" si="39"/>
        <v>44837</v>
      </c>
      <c r="U61" s="1089">
        <f t="shared" si="39"/>
        <v>48473</v>
      </c>
      <c r="V61" s="1089">
        <f t="shared" si="39"/>
        <v>52559</v>
      </c>
      <c r="W61" s="1089">
        <f t="shared" si="39"/>
        <v>57695</v>
      </c>
      <c r="X61" s="44">
        <f t="shared" si="39"/>
        <v>62571</v>
      </c>
      <c r="Y61" s="44">
        <f t="shared" si="39"/>
        <v>67707</v>
      </c>
      <c r="Z61" s="1089">
        <f t="shared" si="39"/>
        <v>72693</v>
      </c>
      <c r="AA61" s="1089">
        <f t="shared" si="39"/>
        <v>77529</v>
      </c>
      <c r="AB61" s="1089">
        <f t="shared" si="39"/>
        <v>77529</v>
      </c>
      <c r="AC61" s="1089">
        <f t="shared" si="39"/>
        <v>77529</v>
      </c>
      <c r="AD61" s="1089">
        <f t="shared" si="39"/>
        <v>77529</v>
      </c>
      <c r="AE61" s="44">
        <f t="shared" si="39"/>
        <v>77529</v>
      </c>
      <c r="AF61" s="44">
        <f t="shared" si="39"/>
        <v>77529</v>
      </c>
      <c r="AG61" s="1089">
        <f t="shared" si="39"/>
        <v>77529</v>
      </c>
      <c r="AH61" s="1089">
        <f t="shared" si="39"/>
        <v>77529</v>
      </c>
      <c r="AI61" s="1326">
        <f t="shared" ref="AI61" si="40">IF(AI60="O/H",AI59,+AH61+AI59)</f>
        <v>77529</v>
      </c>
      <c r="AJ61" s="79"/>
      <c r="AK61" s="983">
        <f t="shared" si="26"/>
        <v>0</v>
      </c>
      <c r="AL61" s="690"/>
      <c r="AM61" s="989">
        <f t="shared" si="27"/>
        <v>0</v>
      </c>
      <c r="AN61" s="277"/>
      <c r="AO61" s="679"/>
      <c r="AP61" s="285"/>
      <c r="AQ61" s="285"/>
      <c r="AR61" s="285"/>
      <c r="AS61" s="285"/>
      <c r="AT61" s="286"/>
      <c r="AU61" s="285"/>
      <c r="AV61" s="287"/>
    </row>
    <row r="62" spans="1:48" s="23" customFormat="1" ht="20.45" customHeight="1">
      <c r="A62" s="312"/>
      <c r="B62" s="312" t="s">
        <v>540</v>
      </c>
      <c r="C62" s="308">
        <v>300000</v>
      </c>
      <c r="D62" s="843" t="s">
        <v>112</v>
      </c>
      <c r="E62" s="1341">
        <f>IF(AND(ISNUMBER(E53)),8521+E59)</f>
        <v>8521</v>
      </c>
      <c r="F62" s="1254">
        <f t="shared" ref="F62:AH62" si="41">IF(AND(ISNUMBER(F53)),E62+F59,"")</f>
        <v>8591</v>
      </c>
      <c r="G62" s="1255">
        <f t="shared" si="41"/>
        <v>9779.5</v>
      </c>
      <c r="H62" s="1254">
        <f t="shared" si="41"/>
        <v>9822</v>
      </c>
      <c r="I62" s="1254">
        <f t="shared" si="41"/>
        <v>11224</v>
      </c>
      <c r="J62" s="1255">
        <f t="shared" si="41"/>
        <v>16360</v>
      </c>
      <c r="K62" s="1255">
        <f t="shared" si="41"/>
        <v>20776</v>
      </c>
      <c r="L62" s="1254">
        <f t="shared" si="41"/>
        <v>24406</v>
      </c>
      <c r="M62" s="1254">
        <f t="shared" si="41"/>
        <v>28042</v>
      </c>
      <c r="N62" s="1254">
        <f t="shared" si="41"/>
        <v>31538</v>
      </c>
      <c r="O62" s="1254">
        <f t="shared" si="41"/>
        <v>35174</v>
      </c>
      <c r="P62" s="1254">
        <f t="shared" si="41"/>
        <v>38960</v>
      </c>
      <c r="Q62" s="1255">
        <f t="shared" si="41"/>
        <v>42606</v>
      </c>
      <c r="R62" s="1255">
        <f t="shared" si="41"/>
        <v>46242</v>
      </c>
      <c r="S62" s="1254">
        <f t="shared" si="41"/>
        <v>49728</v>
      </c>
      <c r="T62" s="1254">
        <f t="shared" si="41"/>
        <v>53358</v>
      </c>
      <c r="U62" s="1254">
        <f t="shared" si="41"/>
        <v>56994</v>
      </c>
      <c r="V62" s="1254">
        <f t="shared" si="41"/>
        <v>61080</v>
      </c>
      <c r="W62" s="1254">
        <f t="shared" si="41"/>
        <v>66216</v>
      </c>
      <c r="X62" s="1255">
        <f t="shared" si="41"/>
        <v>71092</v>
      </c>
      <c r="Y62" s="1255">
        <f t="shared" si="41"/>
        <v>76228</v>
      </c>
      <c r="Z62" s="1254">
        <f t="shared" si="41"/>
        <v>81214</v>
      </c>
      <c r="AA62" s="1254">
        <f t="shared" si="41"/>
        <v>86050</v>
      </c>
      <c r="AB62" s="1254" t="str">
        <f t="shared" si="41"/>
        <v/>
      </c>
      <c r="AC62" s="1254" t="str">
        <f t="shared" si="41"/>
        <v/>
      </c>
      <c r="AD62" s="1254" t="str">
        <f t="shared" si="41"/>
        <v/>
      </c>
      <c r="AE62" s="1255" t="str">
        <f t="shared" si="41"/>
        <v/>
      </c>
      <c r="AF62" s="1255" t="str">
        <f t="shared" si="41"/>
        <v/>
      </c>
      <c r="AG62" s="1254" t="str">
        <f t="shared" si="41"/>
        <v/>
      </c>
      <c r="AH62" s="1254" t="str">
        <f t="shared" si="41"/>
        <v/>
      </c>
      <c r="AI62" s="1160" t="str">
        <f>IF(AND(ISNUMBER(AI53)),AH62+AI59,"")</f>
        <v/>
      </c>
      <c r="AJ62" s="793"/>
      <c r="AK62" s="985">
        <f t="shared" si="26"/>
        <v>0</v>
      </c>
      <c r="AL62" s="909"/>
      <c r="AM62" s="987">
        <f t="shared" si="27"/>
        <v>0</v>
      </c>
      <c r="AN62" s="429"/>
      <c r="AO62" s="675"/>
      <c r="AP62" s="285"/>
      <c r="AQ62" s="285"/>
      <c r="AR62" s="285"/>
      <c r="AS62" s="285"/>
      <c r="AT62" s="286"/>
      <c r="AU62" s="285"/>
      <c r="AV62" s="287"/>
    </row>
    <row r="63" spans="1:48" s="23" customFormat="1" ht="20.65" customHeight="1">
      <c r="A63" s="276"/>
      <c r="B63" s="89"/>
      <c r="C63" s="80" t="s">
        <v>108</v>
      </c>
      <c r="D63" s="90" t="s">
        <v>104</v>
      </c>
      <c r="E63" s="1338"/>
      <c r="F63" s="1106"/>
      <c r="G63" s="1253"/>
      <c r="H63" s="1106"/>
      <c r="I63" s="1106"/>
      <c r="J63" s="1253"/>
      <c r="K63" s="1253"/>
      <c r="L63" s="1106"/>
      <c r="M63" s="1106"/>
      <c r="N63" s="1106"/>
      <c r="O63" s="1106"/>
      <c r="P63" s="1106"/>
      <c r="Q63" s="1253"/>
      <c r="R63" s="1253"/>
      <c r="S63" s="1106"/>
      <c r="T63" s="1106"/>
      <c r="U63" s="1106"/>
      <c r="V63" s="1106"/>
      <c r="W63" s="1106"/>
      <c r="X63" s="1253"/>
      <c r="Y63" s="1253"/>
      <c r="Z63" s="1106"/>
      <c r="AA63" s="1106"/>
      <c r="AB63" s="1106"/>
      <c r="AC63" s="1106"/>
      <c r="AD63" s="1106"/>
      <c r="AE63" s="1253"/>
      <c r="AF63" s="1253"/>
      <c r="AG63" s="1106"/>
      <c r="AH63" s="1106"/>
      <c r="AI63" s="1339"/>
      <c r="AJ63" s="79"/>
      <c r="AK63" s="983">
        <f t="shared" si="26"/>
        <v>900000</v>
      </c>
      <c r="AL63" s="690"/>
      <c r="AM63" s="989">
        <f t="shared" si="27"/>
        <v>2562486</v>
      </c>
      <c r="AN63" s="301"/>
      <c r="AO63" s="680"/>
      <c r="AP63" s="285"/>
      <c r="AQ63" s="285"/>
      <c r="AR63" s="285"/>
      <c r="AS63" s="285"/>
      <c r="AT63" s="286"/>
      <c r="AU63" s="285"/>
      <c r="AV63" s="287"/>
    </row>
    <row r="64" spans="1:48" s="23" customFormat="1" ht="20.65" customHeight="1" thickBot="1">
      <c r="A64" s="289"/>
      <c r="B64" s="93"/>
      <c r="C64" s="94">
        <f>+C62*0.8</f>
        <v>240000</v>
      </c>
      <c r="D64" s="844" t="s">
        <v>111</v>
      </c>
      <c r="E64" s="1109">
        <f>IF(E63="O/H",E59,0+E59)</f>
        <v>0</v>
      </c>
      <c r="F64" s="1110">
        <f t="shared" ref="F64:AH64" si="42">IF(F63="O/H",F59,+E64+F59)</f>
        <v>70</v>
      </c>
      <c r="G64" s="1212">
        <f t="shared" si="42"/>
        <v>1258.5</v>
      </c>
      <c r="H64" s="1110">
        <f t="shared" si="42"/>
        <v>1301</v>
      </c>
      <c r="I64" s="1110">
        <f t="shared" si="42"/>
        <v>2703</v>
      </c>
      <c r="J64" s="1212">
        <f t="shared" si="42"/>
        <v>7839</v>
      </c>
      <c r="K64" s="1212">
        <f t="shared" si="42"/>
        <v>12255</v>
      </c>
      <c r="L64" s="1110">
        <f t="shared" si="42"/>
        <v>15885</v>
      </c>
      <c r="M64" s="1110">
        <f t="shared" si="42"/>
        <v>19521</v>
      </c>
      <c r="N64" s="1110">
        <f t="shared" si="42"/>
        <v>23017</v>
      </c>
      <c r="O64" s="1110">
        <f t="shared" si="42"/>
        <v>26653</v>
      </c>
      <c r="P64" s="1110">
        <f t="shared" si="42"/>
        <v>30439</v>
      </c>
      <c r="Q64" s="1212">
        <f t="shared" si="42"/>
        <v>34085</v>
      </c>
      <c r="R64" s="1212">
        <f t="shared" si="42"/>
        <v>37721</v>
      </c>
      <c r="S64" s="1110">
        <f t="shared" si="42"/>
        <v>41207</v>
      </c>
      <c r="T64" s="1110">
        <f t="shared" si="42"/>
        <v>44837</v>
      </c>
      <c r="U64" s="1110">
        <f t="shared" si="42"/>
        <v>48473</v>
      </c>
      <c r="V64" s="1110">
        <f t="shared" si="42"/>
        <v>52559</v>
      </c>
      <c r="W64" s="1110">
        <f t="shared" si="42"/>
        <v>57695</v>
      </c>
      <c r="X64" s="1212">
        <f t="shared" si="42"/>
        <v>62571</v>
      </c>
      <c r="Y64" s="1212">
        <f t="shared" si="42"/>
        <v>67707</v>
      </c>
      <c r="Z64" s="1110">
        <f t="shared" si="42"/>
        <v>72693</v>
      </c>
      <c r="AA64" s="1110">
        <f t="shared" si="42"/>
        <v>77529</v>
      </c>
      <c r="AB64" s="1110">
        <f t="shared" si="42"/>
        <v>77529</v>
      </c>
      <c r="AC64" s="1110">
        <f t="shared" si="42"/>
        <v>77529</v>
      </c>
      <c r="AD64" s="1110">
        <f t="shared" si="42"/>
        <v>77529</v>
      </c>
      <c r="AE64" s="1212">
        <f t="shared" si="42"/>
        <v>77529</v>
      </c>
      <c r="AF64" s="1212">
        <f t="shared" si="42"/>
        <v>77529</v>
      </c>
      <c r="AG64" s="1110">
        <f t="shared" si="42"/>
        <v>77529</v>
      </c>
      <c r="AH64" s="1110">
        <f t="shared" si="42"/>
        <v>77529</v>
      </c>
      <c r="AI64" s="1340">
        <f t="shared" ref="AI64" si="43">IF(AI63="O/H",AI59,+AH64+AI59)</f>
        <v>77529</v>
      </c>
      <c r="AJ64" s="96"/>
      <c r="AK64" s="1060">
        <f t="shared" si="26"/>
        <v>914700</v>
      </c>
      <c r="AL64" s="695"/>
      <c r="AM64" s="1057">
        <f t="shared" si="27"/>
        <v>2609937.5460000001</v>
      </c>
      <c r="AN64" s="292"/>
      <c r="AO64" s="681"/>
      <c r="AP64" s="285"/>
      <c r="AQ64" s="285"/>
      <c r="AR64" s="285"/>
      <c r="AS64" s="285"/>
      <c r="AT64" s="286"/>
      <c r="AU64" s="285"/>
      <c r="AV64" s="287"/>
    </row>
    <row r="65" spans="1:48" s="23" customFormat="1" ht="24" customHeight="1" thickTop="1">
      <c r="A65" s="336"/>
      <c r="B65" s="337"/>
      <c r="C65" s="338"/>
      <c r="D65" s="339" t="s">
        <v>82</v>
      </c>
      <c r="E65" s="1343">
        <f>E9+E51+E23+E37</f>
        <v>0</v>
      </c>
      <c r="F65" s="1147">
        <f>F9+F51+F37+F23</f>
        <v>0</v>
      </c>
      <c r="G65" s="1236">
        <f t="shared" ref="G65:AH65" si="44">G9+G51+G37+G23</f>
        <v>0</v>
      </c>
      <c r="H65" s="1147">
        <f t="shared" si="44"/>
        <v>25000</v>
      </c>
      <c r="I65" s="1147">
        <f t="shared" si="44"/>
        <v>72000</v>
      </c>
      <c r="J65" s="1236">
        <f t="shared" si="44"/>
        <v>36000</v>
      </c>
      <c r="K65" s="1236">
        <f t="shared" si="44"/>
        <v>36000</v>
      </c>
      <c r="L65" s="1147">
        <f t="shared" si="44"/>
        <v>51000</v>
      </c>
      <c r="M65" s="1147">
        <f t="shared" si="44"/>
        <v>72000</v>
      </c>
      <c r="N65" s="1147">
        <f t="shared" si="44"/>
        <v>72000</v>
      </c>
      <c r="O65" s="1147">
        <f t="shared" si="44"/>
        <v>72000</v>
      </c>
      <c r="P65" s="1147">
        <f t="shared" si="44"/>
        <v>72000</v>
      </c>
      <c r="Q65" s="1236">
        <f t="shared" si="44"/>
        <v>0</v>
      </c>
      <c r="R65" s="1236">
        <f t="shared" si="44"/>
        <v>0</v>
      </c>
      <c r="S65" s="1147">
        <f t="shared" si="44"/>
        <v>25000</v>
      </c>
      <c r="T65" s="1147">
        <f t="shared" si="44"/>
        <v>72000</v>
      </c>
      <c r="U65" s="1147">
        <f t="shared" si="44"/>
        <v>72000</v>
      </c>
      <c r="V65" s="1147">
        <f t="shared" si="44"/>
        <v>39000</v>
      </c>
      <c r="W65" s="1147">
        <f t="shared" si="44"/>
        <v>36000</v>
      </c>
      <c r="X65" s="1236">
        <f t="shared" si="44"/>
        <v>0</v>
      </c>
      <c r="Y65" s="1236">
        <f t="shared" si="44"/>
        <v>0</v>
      </c>
      <c r="Z65" s="1147">
        <f t="shared" si="44"/>
        <v>10000</v>
      </c>
      <c r="AA65" s="1147">
        <f t="shared" si="44"/>
        <v>36000</v>
      </c>
      <c r="AB65" s="1147">
        <f t="shared" si="44"/>
        <v>36000</v>
      </c>
      <c r="AC65" s="1147">
        <f t="shared" si="44"/>
        <v>36000</v>
      </c>
      <c r="AD65" s="1147">
        <f t="shared" si="44"/>
        <v>30000</v>
      </c>
      <c r="AE65" s="1236">
        <f t="shared" si="44"/>
        <v>0</v>
      </c>
      <c r="AF65" s="1236">
        <f t="shared" si="44"/>
        <v>0</v>
      </c>
      <c r="AG65" s="1147">
        <f t="shared" si="44"/>
        <v>0</v>
      </c>
      <c r="AH65" s="1147">
        <f t="shared" si="44"/>
        <v>0</v>
      </c>
      <c r="AI65" s="1147">
        <f t="shared" ref="AI65" si="45">AI9+AI51</f>
        <v>0</v>
      </c>
      <c r="AJ65" s="453">
        <f>AJ9+AJ51+AJ37+AJ23</f>
        <v>900000</v>
      </c>
      <c r="AK65" s="1084">
        <f>AJ66</f>
        <v>914700</v>
      </c>
      <c r="AL65" s="697">
        <f>AL9+AL51+AL37+AL23</f>
        <v>2562486</v>
      </c>
      <c r="AM65" s="1090">
        <f>AL66</f>
        <v>2609937.5460000001</v>
      </c>
      <c r="AN65" s="119"/>
      <c r="AO65" s="623"/>
      <c r="AP65" s="285"/>
      <c r="AQ65" s="285"/>
      <c r="AR65" s="285"/>
      <c r="AS65" s="285"/>
      <c r="AT65" s="286"/>
      <c r="AU65" s="285"/>
    </row>
    <row r="66" spans="1:48" s="23" customFormat="1" ht="23.25" customHeight="1">
      <c r="A66" s="336"/>
      <c r="B66" s="337"/>
      <c r="C66" s="338"/>
      <c r="D66" s="340" t="s">
        <v>93</v>
      </c>
      <c r="E66" s="1344">
        <f>E11+E53+E25+E39</f>
        <v>0</v>
      </c>
      <c r="F66" s="1167">
        <f>F11+F53+F39+F25</f>
        <v>0</v>
      </c>
      <c r="G66" s="1237">
        <f t="shared" ref="G66:AI66" si="46">G11+G53+G39+G25</f>
        <v>9300</v>
      </c>
      <c r="H66" s="1167">
        <f t="shared" si="46"/>
        <v>0</v>
      </c>
      <c r="I66" s="1167">
        <f t="shared" si="46"/>
        <v>10800</v>
      </c>
      <c r="J66" s="1237">
        <f t="shared" si="46"/>
        <v>40800</v>
      </c>
      <c r="K66" s="1237">
        <f t="shared" si="46"/>
        <v>34800</v>
      </c>
      <c r="L66" s="1167">
        <f t="shared" si="46"/>
        <v>40800</v>
      </c>
      <c r="M66" s="1167">
        <f t="shared" si="46"/>
        <v>66800</v>
      </c>
      <c r="N66" s="1167">
        <f t="shared" si="46"/>
        <v>71600</v>
      </c>
      <c r="O66" s="1167">
        <f t="shared" si="46"/>
        <v>64800</v>
      </c>
      <c r="P66" s="1167">
        <f t="shared" si="46"/>
        <v>72000</v>
      </c>
      <c r="Q66" s="1237">
        <f t="shared" si="46"/>
        <v>70800</v>
      </c>
      <c r="R66" s="1237">
        <f>R11+R53+R39+R25</f>
        <v>32600</v>
      </c>
      <c r="S66" s="1167">
        <f t="shared" si="46"/>
        <v>39600</v>
      </c>
      <c r="T66" s="1167">
        <f t="shared" si="46"/>
        <v>66800</v>
      </c>
      <c r="U66" s="1167">
        <f t="shared" si="46"/>
        <v>56800</v>
      </c>
      <c r="V66" s="1167">
        <f>V11+V53+V39+V25</f>
        <v>38400</v>
      </c>
      <c r="W66" s="1167">
        <f t="shared" si="46"/>
        <v>40800</v>
      </c>
      <c r="X66" s="1237">
        <f t="shared" si="46"/>
        <v>38400</v>
      </c>
      <c r="Y66" s="1237">
        <f t="shared" si="46"/>
        <v>40800</v>
      </c>
      <c r="Z66" s="1167">
        <f t="shared" si="46"/>
        <v>39600</v>
      </c>
      <c r="AA66" s="1167">
        <f t="shared" si="46"/>
        <v>38400</v>
      </c>
      <c r="AB66" s="1167">
        <f t="shared" si="46"/>
        <v>0</v>
      </c>
      <c r="AC66" s="1167">
        <f t="shared" si="46"/>
        <v>0</v>
      </c>
      <c r="AD66" s="1167">
        <f t="shared" si="46"/>
        <v>0</v>
      </c>
      <c r="AE66" s="1237">
        <f t="shared" si="46"/>
        <v>0</v>
      </c>
      <c r="AF66" s="1237">
        <f t="shared" si="46"/>
        <v>0</v>
      </c>
      <c r="AG66" s="1167">
        <f t="shared" si="46"/>
        <v>0</v>
      </c>
      <c r="AH66" s="1167">
        <f t="shared" si="46"/>
        <v>0</v>
      </c>
      <c r="AI66" s="1167">
        <f t="shared" si="46"/>
        <v>0</v>
      </c>
      <c r="AJ66" s="460">
        <f>AJ11+AJ53+AJ25+AJ39</f>
        <v>914700</v>
      </c>
      <c r="AK66" s="1061">
        <f t="shared" si="26"/>
        <v>7056</v>
      </c>
      <c r="AL66" s="698">
        <f>AL11+AL53+AL39+AL25</f>
        <v>2609937.5460000001</v>
      </c>
      <c r="AM66" s="994">
        <f t="shared" si="27"/>
        <v>21043.289280000001</v>
      </c>
      <c r="AN66" s="124"/>
      <c r="AO66" s="627"/>
      <c r="AP66" s="285"/>
      <c r="AQ66" s="285"/>
      <c r="AR66" s="285"/>
      <c r="AS66" s="285"/>
      <c r="AT66" s="286"/>
      <c r="AU66" s="285"/>
    </row>
    <row r="67" spans="1:48" s="23" customFormat="1" ht="23.25" customHeight="1">
      <c r="A67" s="336"/>
      <c r="B67" s="125" t="s">
        <v>68</v>
      </c>
      <c r="C67" s="338"/>
      <c r="D67" s="341" t="s">
        <v>229</v>
      </c>
      <c r="E67" s="1345">
        <f t="shared" ref="E67:F69" si="47">E13+E55+E41+E27</f>
        <v>0</v>
      </c>
      <c r="F67" s="1168">
        <f t="shared" si="47"/>
        <v>560</v>
      </c>
      <c r="G67" s="1238">
        <f t="shared" ref="G67:AI67" si="48">G13+G55+G41+G27</f>
        <v>160</v>
      </c>
      <c r="H67" s="1168">
        <f t="shared" si="48"/>
        <v>340</v>
      </c>
      <c r="I67" s="1168">
        <f t="shared" si="48"/>
        <v>1792</v>
      </c>
      <c r="J67" s="1238">
        <f t="shared" si="48"/>
        <v>0</v>
      </c>
      <c r="K67" s="1238">
        <f>K13+K55+K41+K27</f>
        <v>240</v>
      </c>
      <c r="L67" s="1168">
        <f t="shared" si="48"/>
        <v>400</v>
      </c>
      <c r="M67" s="1168">
        <f t="shared" si="48"/>
        <v>0</v>
      </c>
      <c r="N67" s="1168">
        <f t="shared" si="48"/>
        <v>80</v>
      </c>
      <c r="O67" s="1168">
        <f t="shared" si="48"/>
        <v>0</v>
      </c>
      <c r="P67" s="1168">
        <f t="shared" si="48"/>
        <v>0</v>
      </c>
      <c r="Q67" s="1238">
        <f t="shared" si="48"/>
        <v>480</v>
      </c>
      <c r="R67" s="1238">
        <f t="shared" si="48"/>
        <v>0</v>
      </c>
      <c r="S67" s="1168">
        <f t="shared" si="48"/>
        <v>3400</v>
      </c>
      <c r="T67" s="1168">
        <f t="shared" si="48"/>
        <v>0</v>
      </c>
      <c r="U67" s="1168">
        <f t="shared" si="48"/>
        <v>1960</v>
      </c>
      <c r="V67" s="1168">
        <f t="shared" si="48"/>
        <v>0</v>
      </c>
      <c r="W67" s="1168">
        <f t="shared" si="48"/>
        <v>0</v>
      </c>
      <c r="X67" s="1238">
        <f t="shared" si="48"/>
        <v>320</v>
      </c>
      <c r="Y67" s="1238">
        <f t="shared" si="48"/>
        <v>0</v>
      </c>
      <c r="Z67" s="1168">
        <f t="shared" si="48"/>
        <v>0</v>
      </c>
      <c r="AA67" s="1168">
        <f t="shared" si="48"/>
        <v>0</v>
      </c>
      <c r="AB67" s="1168">
        <f t="shared" si="48"/>
        <v>0</v>
      </c>
      <c r="AC67" s="1168">
        <f t="shared" si="48"/>
        <v>0</v>
      </c>
      <c r="AD67" s="1168">
        <f t="shared" si="48"/>
        <v>0</v>
      </c>
      <c r="AE67" s="1238">
        <f t="shared" si="48"/>
        <v>0</v>
      </c>
      <c r="AF67" s="1238">
        <f t="shared" si="48"/>
        <v>0</v>
      </c>
      <c r="AG67" s="1168">
        <f t="shared" si="48"/>
        <v>0</v>
      </c>
      <c r="AH67" s="1168">
        <f t="shared" si="48"/>
        <v>0</v>
      </c>
      <c r="AI67" s="1168">
        <f t="shared" si="48"/>
        <v>0</v>
      </c>
      <c r="AJ67" s="466">
        <f>AJ13+AJ55+AJ27+AJ41</f>
        <v>9732</v>
      </c>
      <c r="AK67" s="1061">
        <f t="shared" si="26"/>
        <v>0</v>
      </c>
      <c r="AL67" s="699">
        <f>AL13+AL55+AL41+AL27</f>
        <v>25469.426640000001</v>
      </c>
      <c r="AM67" s="994">
        <f t="shared" si="27"/>
        <v>0</v>
      </c>
      <c r="AN67" s="91"/>
      <c r="AO67" s="623"/>
      <c r="AP67" s="285"/>
      <c r="AQ67" s="285"/>
      <c r="AR67" s="285"/>
      <c r="AS67" s="285"/>
      <c r="AT67" s="286"/>
      <c r="AU67" s="285"/>
    </row>
    <row r="68" spans="1:48" s="23" customFormat="1" ht="23.1" customHeight="1">
      <c r="A68" s="336"/>
      <c r="B68" s="342"/>
      <c r="C68" s="338"/>
      <c r="D68" s="343" t="s">
        <v>103</v>
      </c>
      <c r="E68" s="1346">
        <f t="shared" si="47"/>
        <v>0</v>
      </c>
      <c r="F68" s="1169">
        <f t="shared" si="47"/>
        <v>0</v>
      </c>
      <c r="G68" s="1239">
        <f t="shared" ref="G68:AI68" si="49">G14+G56+G42+G28</f>
        <v>48</v>
      </c>
      <c r="H68" s="1169">
        <f t="shared" si="49"/>
        <v>0</v>
      </c>
      <c r="I68" s="1169">
        <f t="shared" si="49"/>
        <v>96</v>
      </c>
      <c r="J68" s="1239">
        <f t="shared" si="49"/>
        <v>288</v>
      </c>
      <c r="K68" s="1239">
        <f t="shared" si="49"/>
        <v>288</v>
      </c>
      <c r="L68" s="1169">
        <f t="shared" si="49"/>
        <v>336</v>
      </c>
      <c r="M68" s="1169">
        <f t="shared" si="49"/>
        <v>528</v>
      </c>
      <c r="N68" s="1169">
        <f t="shared" si="49"/>
        <v>576</v>
      </c>
      <c r="O68" s="1169">
        <f t="shared" si="49"/>
        <v>528</v>
      </c>
      <c r="P68" s="1169">
        <f t="shared" si="49"/>
        <v>528</v>
      </c>
      <c r="Q68" s="1239">
        <f t="shared" si="49"/>
        <v>576</v>
      </c>
      <c r="R68" s="1239">
        <f>R14+R56+R42+R28</f>
        <v>288</v>
      </c>
      <c r="S68" s="1169">
        <f t="shared" si="49"/>
        <v>384</v>
      </c>
      <c r="T68" s="1169">
        <f t="shared" si="49"/>
        <v>432</v>
      </c>
      <c r="U68" s="1169">
        <f t="shared" si="49"/>
        <v>416</v>
      </c>
      <c r="V68" s="1169">
        <f t="shared" si="49"/>
        <v>304</v>
      </c>
      <c r="W68" s="1169">
        <f t="shared" si="49"/>
        <v>288</v>
      </c>
      <c r="X68" s="1239">
        <f t="shared" si="49"/>
        <v>288</v>
      </c>
      <c r="Y68" s="1239">
        <f t="shared" si="49"/>
        <v>288</v>
      </c>
      <c r="Z68" s="1169">
        <f t="shared" si="49"/>
        <v>288</v>
      </c>
      <c r="AA68" s="1169">
        <f t="shared" si="49"/>
        <v>288</v>
      </c>
      <c r="AB68" s="1169">
        <f t="shared" si="49"/>
        <v>0</v>
      </c>
      <c r="AC68" s="1169">
        <f t="shared" si="49"/>
        <v>0</v>
      </c>
      <c r="AD68" s="1169">
        <f t="shared" si="49"/>
        <v>0</v>
      </c>
      <c r="AE68" s="1239">
        <f t="shared" si="49"/>
        <v>0</v>
      </c>
      <c r="AF68" s="1239">
        <f t="shared" si="49"/>
        <v>0</v>
      </c>
      <c r="AG68" s="1169">
        <f t="shared" si="49"/>
        <v>0</v>
      </c>
      <c r="AH68" s="1169">
        <f t="shared" si="49"/>
        <v>0</v>
      </c>
      <c r="AI68" s="1169">
        <f t="shared" si="49"/>
        <v>0</v>
      </c>
      <c r="AJ68" s="471">
        <f>AJ14+AJ56+AJ28+AJ42</f>
        <v>7056</v>
      </c>
      <c r="AK68" s="1061">
        <f t="shared" si="26"/>
        <v>1.052754556311335E-2</v>
      </c>
      <c r="AL68" s="700">
        <f>AL14+AL56+AL28+AL42</f>
        <v>21043.289280000001</v>
      </c>
      <c r="AM68" s="994">
        <f t="shared" si="27"/>
        <v>9.6643239182471249E-3</v>
      </c>
      <c r="AN68" s="91"/>
      <c r="AO68" s="623"/>
      <c r="AP68" s="285"/>
      <c r="AQ68" s="285"/>
      <c r="AR68" s="285"/>
      <c r="AS68" s="285"/>
      <c r="AT68" s="286"/>
      <c r="AU68" s="285"/>
    </row>
    <row r="69" spans="1:48" s="23" customFormat="1" ht="23.1" customHeight="1">
      <c r="A69" s="336"/>
      <c r="B69" s="337"/>
      <c r="C69" s="338"/>
      <c r="D69" s="344" t="s">
        <v>105</v>
      </c>
      <c r="E69" s="1347">
        <f t="shared" si="47"/>
        <v>0</v>
      </c>
      <c r="F69" s="1170">
        <f t="shared" si="47"/>
        <v>0</v>
      </c>
      <c r="G69" s="1240">
        <f t="shared" ref="G69:AH69" si="50">G15+G57+G43+G29</f>
        <v>0</v>
      </c>
      <c r="H69" s="1170">
        <f t="shared" si="50"/>
        <v>0</v>
      </c>
      <c r="I69" s="1170">
        <f t="shared" si="50"/>
        <v>0</v>
      </c>
      <c r="J69" s="1240">
        <f t="shared" si="50"/>
        <v>0</v>
      </c>
      <c r="K69" s="1240">
        <f t="shared" si="50"/>
        <v>0</v>
      </c>
      <c r="L69" s="1170">
        <f t="shared" si="50"/>
        <v>0</v>
      </c>
      <c r="M69" s="1170">
        <f t="shared" si="50"/>
        <v>0</v>
      </c>
      <c r="N69" s="1170">
        <f t="shared" si="50"/>
        <v>0</v>
      </c>
      <c r="O69" s="1170">
        <f t="shared" si="50"/>
        <v>0</v>
      </c>
      <c r="P69" s="1170">
        <f t="shared" si="50"/>
        <v>0</v>
      </c>
      <c r="Q69" s="1240">
        <f t="shared" si="50"/>
        <v>0</v>
      </c>
      <c r="R69" s="1240">
        <f t="shared" si="50"/>
        <v>0</v>
      </c>
      <c r="S69" s="1170">
        <f t="shared" si="50"/>
        <v>0</v>
      </c>
      <c r="T69" s="1170">
        <f t="shared" si="50"/>
        <v>0</v>
      </c>
      <c r="U69" s="1170">
        <f t="shared" si="50"/>
        <v>0</v>
      </c>
      <c r="V69" s="1170">
        <f t="shared" si="50"/>
        <v>0</v>
      </c>
      <c r="W69" s="1170">
        <f t="shared" si="50"/>
        <v>0</v>
      </c>
      <c r="X69" s="1240">
        <f t="shared" si="50"/>
        <v>0</v>
      </c>
      <c r="Y69" s="1240">
        <f t="shared" si="50"/>
        <v>0</v>
      </c>
      <c r="Z69" s="1170">
        <f t="shared" si="50"/>
        <v>0</v>
      </c>
      <c r="AA69" s="1170">
        <f t="shared" si="50"/>
        <v>0</v>
      </c>
      <c r="AB69" s="1170">
        <f t="shared" si="50"/>
        <v>0</v>
      </c>
      <c r="AC69" s="1170">
        <f t="shared" si="50"/>
        <v>0</v>
      </c>
      <c r="AD69" s="1170">
        <f t="shared" si="50"/>
        <v>0</v>
      </c>
      <c r="AE69" s="1240">
        <f t="shared" si="50"/>
        <v>0</v>
      </c>
      <c r="AF69" s="1240">
        <f t="shared" si="50"/>
        <v>0</v>
      </c>
      <c r="AG69" s="1170">
        <f t="shared" si="50"/>
        <v>0</v>
      </c>
      <c r="AH69" s="1170">
        <f t="shared" si="50"/>
        <v>0</v>
      </c>
      <c r="AI69" s="1170">
        <f t="shared" ref="AI69" si="51">AI15+AI57</f>
        <v>0</v>
      </c>
      <c r="AJ69" s="477">
        <f>AJ15+AJ57+AJ29+AJ42</f>
        <v>0</v>
      </c>
      <c r="AK69" s="1061">
        <f t="shared" si="26"/>
        <v>0</v>
      </c>
      <c r="AL69" s="701">
        <f>AL15+AL57+AL43+AL29</f>
        <v>0</v>
      </c>
      <c r="AM69" s="994">
        <f t="shared" si="27"/>
        <v>0</v>
      </c>
      <c r="AN69" s="91"/>
      <c r="AO69" s="623"/>
      <c r="AP69" s="285"/>
      <c r="AQ69" s="285"/>
      <c r="AR69" s="285"/>
      <c r="AS69" s="285"/>
      <c r="AT69" s="286"/>
      <c r="AU69" s="285"/>
    </row>
    <row r="70" spans="1:48" s="23" customFormat="1" ht="27.75" customHeight="1" thickBot="1">
      <c r="A70" s="336"/>
      <c r="B70" s="337"/>
      <c r="C70" s="338"/>
      <c r="D70" s="345" t="s">
        <v>230</v>
      </c>
      <c r="E70" s="1348" t="e">
        <f>+E67/(E66+E67)</f>
        <v>#DIV/0!</v>
      </c>
      <c r="F70" s="1171">
        <f t="shared" ref="F70:AL70" si="52">+F67/(F66+F67)</f>
        <v>1</v>
      </c>
      <c r="G70" s="1241">
        <f t="shared" si="52"/>
        <v>1.6913319238900635E-2</v>
      </c>
      <c r="H70" s="1171">
        <f t="shared" si="52"/>
        <v>1</v>
      </c>
      <c r="I70" s="1171">
        <f t="shared" si="52"/>
        <v>0.14231257941550191</v>
      </c>
      <c r="J70" s="1241">
        <f t="shared" si="52"/>
        <v>0</v>
      </c>
      <c r="K70" s="1241">
        <f t="shared" si="52"/>
        <v>6.8493150684931503E-3</v>
      </c>
      <c r="L70" s="1171">
        <f t="shared" si="52"/>
        <v>9.7087378640776691E-3</v>
      </c>
      <c r="M70" s="1171">
        <f t="shared" si="52"/>
        <v>0</v>
      </c>
      <c r="N70" s="1171">
        <f t="shared" si="52"/>
        <v>1.1160714285714285E-3</v>
      </c>
      <c r="O70" s="1171">
        <f t="shared" si="52"/>
        <v>0</v>
      </c>
      <c r="P70" s="1171">
        <f t="shared" si="52"/>
        <v>0</v>
      </c>
      <c r="Q70" s="1241">
        <f t="shared" si="52"/>
        <v>6.7340067340067337E-3</v>
      </c>
      <c r="R70" s="1241">
        <f t="shared" si="52"/>
        <v>0</v>
      </c>
      <c r="S70" s="1171">
        <f t="shared" si="52"/>
        <v>7.9069767441860464E-2</v>
      </c>
      <c r="T70" s="1171">
        <f t="shared" si="52"/>
        <v>0</v>
      </c>
      <c r="U70" s="1171">
        <f t="shared" si="52"/>
        <v>3.3356024506466984E-2</v>
      </c>
      <c r="V70" s="1171">
        <f t="shared" si="52"/>
        <v>0</v>
      </c>
      <c r="W70" s="1171">
        <f t="shared" si="52"/>
        <v>0</v>
      </c>
      <c r="X70" s="1241">
        <f t="shared" si="52"/>
        <v>8.2644628099173556E-3</v>
      </c>
      <c r="Y70" s="1241">
        <f t="shared" si="52"/>
        <v>0</v>
      </c>
      <c r="Z70" s="1171">
        <f t="shared" si="52"/>
        <v>0</v>
      </c>
      <c r="AA70" s="1171">
        <f t="shared" si="52"/>
        <v>0</v>
      </c>
      <c r="AB70" s="1171" t="e">
        <f t="shared" si="52"/>
        <v>#DIV/0!</v>
      </c>
      <c r="AC70" s="1171" t="e">
        <f t="shared" si="52"/>
        <v>#DIV/0!</v>
      </c>
      <c r="AD70" s="1171" t="e">
        <f t="shared" si="52"/>
        <v>#DIV/0!</v>
      </c>
      <c r="AE70" s="1241" t="e">
        <f t="shared" si="52"/>
        <v>#DIV/0!</v>
      </c>
      <c r="AF70" s="1241" t="e">
        <f t="shared" si="52"/>
        <v>#DIV/0!</v>
      </c>
      <c r="AG70" s="1171" t="e">
        <f t="shared" si="52"/>
        <v>#DIV/0!</v>
      </c>
      <c r="AH70" s="1171" t="e">
        <f t="shared" si="52"/>
        <v>#DIV/0!</v>
      </c>
      <c r="AI70" s="1349" t="e">
        <f t="shared" si="52"/>
        <v>#DIV/0!</v>
      </c>
      <c r="AJ70" s="479">
        <f t="shared" si="52"/>
        <v>1.052754556311335E-2</v>
      </c>
      <c r="AK70" s="1062">
        <f t="shared" si="26"/>
        <v>0</v>
      </c>
      <c r="AL70" s="480">
        <f t="shared" si="52"/>
        <v>9.6643239182471249E-3</v>
      </c>
      <c r="AM70" s="1063">
        <f t="shared" si="27"/>
        <v>0</v>
      </c>
      <c r="AN70" s="91"/>
      <c r="AO70" s="623"/>
      <c r="AP70" s="285"/>
      <c r="AQ70" s="285"/>
      <c r="AR70" s="285"/>
      <c r="AS70" s="285"/>
      <c r="AT70" s="286"/>
      <c r="AU70" s="285"/>
    </row>
    <row r="71" spans="1:48" ht="17.25" customHeight="1" thickTop="1">
      <c r="D71" s="4"/>
      <c r="AJ71" s="147"/>
      <c r="AK71" s="147"/>
    </row>
    <row r="72" spans="1:48" ht="25.15" customHeight="1">
      <c r="D72" s="151"/>
      <c r="E72" s="346"/>
      <c r="F72" s="346"/>
      <c r="G72" s="346"/>
      <c r="H72" s="346"/>
      <c r="I72" s="346"/>
      <c r="J72" s="346"/>
      <c r="K72" s="346"/>
      <c r="L72" s="346"/>
      <c r="M72" s="346"/>
      <c r="N72" s="346"/>
      <c r="O72" s="346"/>
      <c r="P72" s="346"/>
      <c r="Q72" s="346"/>
      <c r="R72" s="346"/>
      <c r="S72" s="346"/>
      <c r="T72" s="346"/>
      <c r="U72" s="346"/>
      <c r="V72" s="346"/>
      <c r="W72" s="346"/>
      <c r="X72" s="346"/>
      <c r="Y72" s="346"/>
      <c r="Z72" s="346"/>
      <c r="AA72" s="346"/>
      <c r="AB72" s="346"/>
      <c r="AC72" s="346"/>
      <c r="AD72" s="346"/>
      <c r="AE72" s="346"/>
      <c r="AF72" s="346"/>
      <c r="AG72" s="346"/>
      <c r="AH72" s="346"/>
      <c r="AI72" s="346"/>
      <c r="AJ72" s="346"/>
      <c r="AK72" s="346"/>
      <c r="AL72" s="347"/>
      <c r="AM72" s="347"/>
      <c r="AN72" s="347"/>
      <c r="AO72" s="347"/>
      <c r="AP72" s="156" t="s">
        <v>515</v>
      </c>
      <c r="AQ72" s="157" t="s">
        <v>232</v>
      </c>
      <c r="AR72" s="157" t="s">
        <v>233</v>
      </c>
      <c r="AS72" s="157" t="s">
        <v>234</v>
      </c>
      <c r="AT72" s="157" t="s">
        <v>235</v>
      </c>
      <c r="AU72" s="157" t="s">
        <v>236</v>
      </c>
      <c r="AV72" s="157" t="s">
        <v>68</v>
      </c>
    </row>
    <row r="73" spans="1:48" ht="30" customHeight="1">
      <c r="D73" s="348"/>
      <c r="E73" s="151"/>
      <c r="F73" s="152"/>
      <c r="G73" s="152"/>
      <c r="H73" s="152"/>
      <c r="I73" s="152"/>
      <c r="J73" s="152"/>
      <c r="K73" s="152"/>
      <c r="L73" s="153"/>
      <c r="R73" s="164"/>
      <c r="S73" s="164"/>
      <c r="T73" s="164"/>
      <c r="U73" s="164"/>
      <c r="V73" s="164"/>
      <c r="W73" s="164"/>
      <c r="X73" s="164"/>
      <c r="Y73" s="164"/>
      <c r="Z73" s="164"/>
      <c r="AA73" s="164"/>
      <c r="AB73" s="164"/>
      <c r="AC73" s="164"/>
      <c r="AD73" s="164"/>
      <c r="AE73" s="164"/>
      <c r="AF73" s="164"/>
      <c r="AG73" s="164"/>
      <c r="AH73" s="164"/>
      <c r="AI73" s="164"/>
      <c r="AJ73" s="164"/>
      <c r="AK73" s="164"/>
      <c r="AL73" s="347"/>
      <c r="AM73" s="347"/>
      <c r="AN73" s="347"/>
      <c r="AO73" s="347"/>
      <c r="AP73" s="165" t="s">
        <v>91</v>
      </c>
      <c r="AQ73" s="163">
        <f>AQ10+AQ38+AQ52+AQ24</f>
        <v>25000</v>
      </c>
      <c r="AR73" s="163">
        <f>AR10+AR38+AR52+AR24</f>
        <v>411000</v>
      </c>
      <c r="AS73" s="163">
        <f>AS10+AS38+AS52+AS24</f>
        <v>280000</v>
      </c>
      <c r="AT73" s="163">
        <f>AT10+AT38+AT52+AT24</f>
        <v>154000</v>
      </c>
      <c r="AU73" s="163">
        <f>AU10+AU38+AU52+AU24</f>
        <v>30000</v>
      </c>
      <c r="AV73" s="541">
        <f>SUM(AQ73:AU73)</f>
        <v>900000</v>
      </c>
    </row>
    <row r="74" spans="1:48" ht="30" customHeight="1">
      <c r="D74" s="161"/>
      <c r="E74" s="162"/>
      <c r="F74" s="163"/>
      <c r="G74" s="163"/>
      <c r="H74" s="163"/>
      <c r="I74" s="163"/>
      <c r="J74" s="163"/>
      <c r="K74" s="163"/>
      <c r="L74" s="163"/>
      <c r="N74" s="164"/>
      <c r="R74" s="164"/>
      <c r="S74" s="164"/>
      <c r="T74" s="164"/>
      <c r="U74" s="164"/>
      <c r="V74" s="164"/>
      <c r="W74" s="164"/>
      <c r="X74" s="164"/>
      <c r="Y74" s="164"/>
      <c r="Z74" s="164"/>
      <c r="AA74" s="164"/>
      <c r="AB74" s="164"/>
      <c r="AC74" s="164"/>
      <c r="AD74" s="164"/>
      <c r="AE74" s="164"/>
      <c r="AF74" s="164"/>
      <c r="AG74" s="164"/>
      <c r="AH74" s="164"/>
      <c r="AI74" s="164"/>
      <c r="AJ74" s="243"/>
      <c r="AK74" s="243"/>
      <c r="AL74" s="349"/>
      <c r="AM74" s="349"/>
      <c r="AN74" s="349"/>
      <c r="AO74" s="349"/>
      <c r="AP74" s="172" t="s">
        <v>94</v>
      </c>
      <c r="AQ74" s="171">
        <f>AQ11+AQ25+AQ39+AQ53</f>
        <v>9300</v>
      </c>
      <c r="AR74" s="171">
        <f t="shared" ref="AR74:AU74" si="53">AR11+AR25+AR39+AR53</f>
        <v>330400</v>
      </c>
      <c r="AS74" s="171">
        <f t="shared" si="53"/>
        <v>377000</v>
      </c>
      <c r="AT74" s="171">
        <f t="shared" si="53"/>
        <v>198000</v>
      </c>
      <c r="AU74" s="171">
        <f t="shared" si="53"/>
        <v>0</v>
      </c>
      <c r="AV74" s="542">
        <f>SUM(AQ74:AU74)</f>
        <v>914700</v>
      </c>
    </row>
    <row r="75" spans="1:48" ht="30" customHeight="1">
      <c r="D75" s="169"/>
      <c r="E75" s="170"/>
      <c r="F75" s="171"/>
      <c r="G75" s="171"/>
      <c r="H75" s="171"/>
      <c r="I75" s="171"/>
      <c r="J75" s="171"/>
      <c r="K75" s="171"/>
      <c r="L75" s="171"/>
      <c r="R75" s="346"/>
      <c r="S75" s="346"/>
      <c r="T75" s="346"/>
      <c r="U75" s="346"/>
      <c r="V75" s="346"/>
      <c r="W75" s="346"/>
      <c r="X75" s="346"/>
      <c r="Y75" s="346"/>
      <c r="Z75" s="346"/>
      <c r="AA75" s="346"/>
      <c r="AB75" s="346"/>
      <c r="AC75" s="346"/>
      <c r="AD75" s="346"/>
      <c r="AE75" s="346"/>
      <c r="AF75" s="346"/>
      <c r="AG75" s="346"/>
      <c r="AH75" s="1522"/>
      <c r="AI75" s="1522"/>
      <c r="AJ75" s="243"/>
      <c r="AK75" s="243"/>
      <c r="AL75" s="2"/>
      <c r="AM75" s="2"/>
      <c r="AN75" s="350"/>
      <c r="AO75" s="350"/>
      <c r="AP75" s="176" t="s">
        <v>237</v>
      </c>
      <c r="AQ75" s="177">
        <f>AQ74-AQ73</f>
        <v>-15700</v>
      </c>
      <c r="AR75" s="177">
        <f>AR74-AR73</f>
        <v>-80600</v>
      </c>
      <c r="AS75" s="177">
        <f>AS74-AS73</f>
        <v>97000</v>
      </c>
      <c r="AT75" s="177">
        <f>AT74-AT73</f>
        <v>44000</v>
      </c>
      <c r="AU75" s="177">
        <f>AU74-AU73</f>
        <v>-30000</v>
      </c>
      <c r="AV75" s="543">
        <f>SUM(AQ75:AU75)</f>
        <v>14700</v>
      </c>
    </row>
    <row r="76" spans="1:48" ht="30" customHeight="1">
      <c r="D76" s="174"/>
      <c r="E76" s="151"/>
      <c r="F76" s="175"/>
      <c r="G76" s="175"/>
      <c r="H76" s="175"/>
      <c r="I76" s="175"/>
      <c r="J76" s="175"/>
      <c r="K76" s="175"/>
      <c r="L76" s="175"/>
      <c r="R76" s="164"/>
      <c r="S76" s="164"/>
      <c r="T76" s="164"/>
      <c r="U76" s="164"/>
      <c r="V76" s="164"/>
      <c r="W76" s="164"/>
      <c r="X76" s="164"/>
      <c r="Y76" s="164"/>
      <c r="Z76" s="164"/>
      <c r="AA76" s="164"/>
      <c r="AB76" s="164"/>
      <c r="AC76" s="164"/>
      <c r="AD76" s="164"/>
      <c r="AE76" s="164"/>
      <c r="AF76" s="164"/>
      <c r="AG76" s="164"/>
      <c r="AH76" s="1522"/>
      <c r="AI76" s="1522"/>
      <c r="AJ76" s="351"/>
      <c r="AK76" s="351"/>
      <c r="AL76" s="352"/>
      <c r="AM76" s="352"/>
      <c r="AN76" s="187"/>
      <c r="AO76" s="187"/>
      <c r="AP76" s="165" t="s">
        <v>238</v>
      </c>
      <c r="AQ76" s="177">
        <f>AQ13+AQ27+AQ41+AQ55</f>
        <v>1060</v>
      </c>
      <c r="AR76" s="177">
        <f t="shared" ref="AR76:AU76" si="54">AR13+AR27+AR41+AR55</f>
        <v>2512</v>
      </c>
      <c r="AS76" s="177">
        <f t="shared" si="54"/>
        <v>5840</v>
      </c>
      <c r="AT76" s="177">
        <f t="shared" si="54"/>
        <v>320</v>
      </c>
      <c r="AU76" s="177">
        <f t="shared" si="54"/>
        <v>0</v>
      </c>
      <c r="AV76" s="543">
        <f>SUM(AQ76:AU76)</f>
        <v>9732</v>
      </c>
    </row>
    <row r="77" spans="1:48" ht="30" customHeight="1">
      <c r="D77" s="161"/>
      <c r="F77" s="177"/>
      <c r="G77" s="177"/>
      <c r="H77" s="177"/>
      <c r="I77" s="177"/>
      <c r="J77" s="177"/>
      <c r="K77" s="171"/>
      <c r="L77" s="175"/>
      <c r="AH77" s="1522"/>
      <c r="AI77" s="1522"/>
      <c r="AP77" s="188" t="s">
        <v>97</v>
      </c>
      <c r="AQ77" s="185">
        <f t="shared" ref="AQ77:AV77" si="55">AQ76/AQ74</f>
        <v>0.11397849462365592</v>
      </c>
      <c r="AR77" s="185">
        <f t="shared" si="55"/>
        <v>7.6029055690072641E-3</v>
      </c>
      <c r="AS77" s="185">
        <f t="shared" si="55"/>
        <v>1.5490716180371353E-2</v>
      </c>
      <c r="AT77" s="185">
        <f t="shared" si="55"/>
        <v>1.6161616161616162E-3</v>
      </c>
      <c r="AU77" s="185" t="e">
        <f t="shared" si="55"/>
        <v>#DIV/0!</v>
      </c>
      <c r="AV77" s="544">
        <f t="shared" si="55"/>
        <v>1.0639553952115448E-2</v>
      </c>
    </row>
    <row r="78" spans="1:48" ht="30" customHeight="1">
      <c r="D78" s="183"/>
      <c r="E78" s="184"/>
      <c r="F78" s="185"/>
      <c r="G78" s="185"/>
      <c r="H78" s="185"/>
      <c r="I78" s="185"/>
      <c r="J78" s="185"/>
      <c r="K78" s="185"/>
      <c r="L78" s="185"/>
      <c r="AP78" s="194" t="s">
        <v>19</v>
      </c>
      <c r="AQ78" s="177">
        <f>AQ14+AQ28+AQ42+AQ56</f>
        <v>3656.0460000000003</v>
      </c>
      <c r="AR78" s="177">
        <f t="shared" ref="AR78:AU78" si="56">AR14+AR28+AR42+AR56</f>
        <v>5283.9062400000003</v>
      </c>
      <c r="AS78" s="177">
        <f t="shared" si="56"/>
        <v>15425.762400000001</v>
      </c>
      <c r="AT78" s="177">
        <f t="shared" si="56"/>
        <v>1103.712</v>
      </c>
      <c r="AU78" s="177">
        <f t="shared" si="56"/>
        <v>0</v>
      </c>
      <c r="AV78" s="543">
        <f>SUM(AQ78:AU78)</f>
        <v>25469.426640000001</v>
      </c>
    </row>
    <row r="79" spans="1:48" ht="30" customHeight="1">
      <c r="D79" s="190"/>
      <c r="E79" s="191"/>
      <c r="F79" s="353"/>
      <c r="G79" s="353"/>
      <c r="H79" s="353"/>
      <c r="I79" s="353"/>
      <c r="J79" s="353"/>
      <c r="K79" s="353"/>
      <c r="L79" s="354"/>
      <c r="AP79" s="197" t="s">
        <v>106</v>
      </c>
      <c r="AQ79" s="171">
        <f>AQ15+AQ57+AQ29+AQ43</f>
        <v>32076.63</v>
      </c>
      <c r="AR79" s="171">
        <f t="shared" ref="AR79:AU79" si="57">AR15+AR57+AR29+AR43</f>
        <v>904844.24</v>
      </c>
      <c r="AS79" s="171">
        <f t="shared" si="57"/>
        <v>990094.87600000016</v>
      </c>
      <c r="AT79" s="171">
        <f t="shared" si="57"/>
        <v>682921.8</v>
      </c>
      <c r="AU79" s="171">
        <f t="shared" si="57"/>
        <v>0</v>
      </c>
      <c r="AV79" s="542">
        <f>SUM(AQ79:AU79)</f>
        <v>2609937.5460000001</v>
      </c>
    </row>
    <row r="81" spans="38:47">
      <c r="AT81" s="256"/>
    </row>
    <row r="82" spans="38:47">
      <c r="AP82" s="581"/>
      <c r="AQ82" s="582"/>
      <c r="AR82" s="582"/>
      <c r="AS82" s="582"/>
      <c r="AT82" s="582"/>
      <c r="AU82" s="582"/>
    </row>
    <row r="83" spans="38:47">
      <c r="AP83" s="581"/>
      <c r="AQ83" s="582"/>
      <c r="AR83" s="582"/>
      <c r="AS83" s="582"/>
      <c r="AT83" s="582"/>
      <c r="AU83" s="582"/>
    </row>
    <row r="84" spans="38:47">
      <c r="AT84" s="256"/>
    </row>
    <row r="85" spans="38:47">
      <c r="AL85" s="163"/>
      <c r="AM85" s="163"/>
      <c r="AT85" s="256"/>
    </row>
    <row r="86" spans="38:47" ht="20.25">
      <c r="AL86" s="243"/>
      <c r="AM86" s="243"/>
      <c r="AT86" s="256"/>
    </row>
    <row r="87" spans="38:47">
      <c r="AL87" s="163"/>
      <c r="AM87" s="163"/>
      <c r="AT87" s="256"/>
    </row>
    <row r="88" spans="38:47">
      <c r="AL88" s="163"/>
      <c r="AM88" s="163"/>
      <c r="AT88" s="256"/>
    </row>
    <row r="89" spans="38:47">
      <c r="AL89" s="164"/>
      <c r="AM89" s="164"/>
    </row>
    <row r="518" spans="2:2" ht="34.5">
      <c r="B518" s="744"/>
    </row>
  </sheetData>
  <sheetProtection selectLockedCells="1" selectUnlockedCells="1"/>
  <mergeCells count="3">
    <mergeCell ref="D4:D5"/>
    <mergeCell ref="P6:Q6"/>
    <mergeCell ref="AH75:AI77"/>
  </mergeCells>
  <conditionalFormatting sqref="E46:AH46">
    <cfRule type="containsText" dxfId="13" priority="2" operator="containsText" text="O/H">
      <formula>NOT(ISERROR(SEARCH("O/H",E46)))</formula>
    </cfRule>
  </conditionalFormatting>
  <conditionalFormatting sqref="E50:AH50">
    <cfRule type="cellIs" dxfId="12" priority="3" operator="greaterThan">
      <formula>300001</formula>
    </cfRule>
    <cfRule type="cellIs" dxfId="11" priority="4" operator="greaterThan">
      <formula>240001</formula>
    </cfRule>
  </conditionalFormatting>
  <conditionalFormatting sqref="E60:AH60">
    <cfRule type="containsText" dxfId="10" priority="1" operator="containsText" text="O/H">
      <formula>NOT(ISERROR(SEARCH("O/H",E60)))</formula>
    </cfRule>
  </conditionalFormatting>
  <conditionalFormatting sqref="E18:AI18">
    <cfRule type="containsText" dxfId="9" priority="27" operator="containsText" text="O/H">
      <formula>NOT(ISERROR(SEARCH("O/H",E18)))</formula>
    </cfRule>
  </conditionalFormatting>
  <conditionalFormatting sqref="E21:AI21">
    <cfRule type="containsText" dxfId="8" priority="26" operator="containsText" text="O/H">
      <formula>NOT(ISERROR(SEARCH("O/H",E21)))</formula>
    </cfRule>
  </conditionalFormatting>
  <conditionalFormatting sqref="E32:AI32">
    <cfRule type="containsText" dxfId="7" priority="7" operator="containsText" text="O/H">
      <formula>NOT(ISERROR(SEARCH("O/H",E32)))</formula>
    </cfRule>
  </conditionalFormatting>
  <conditionalFormatting sqref="R73:R74 R76:AG76">
    <cfRule type="cellIs" dxfId="6" priority="28" stopIfTrue="1" operator="between">
      <formula>1</formula>
      <formula>999999</formula>
    </cfRule>
    <cfRule type="cellIs" dxfId="5" priority="29" stopIfTrue="1" operator="between">
      <formula>-1</formula>
      <formula>-999999</formula>
    </cfRule>
  </conditionalFormatting>
  <conditionalFormatting sqref="S73:AK73 S74:AI74 AJ76:AK76">
    <cfRule type="cellIs" dxfId="4" priority="30" stopIfTrue="1" operator="between">
      <formula>1</formula>
      <formula>999999</formula>
    </cfRule>
    <cfRule type="cellIs" dxfId="3" priority="31" stopIfTrue="1" operator="between">
      <formula>-1</formula>
      <formula>-999999</formula>
    </cfRule>
  </conditionalFormatting>
  <conditionalFormatting sqref="AI60">
    <cfRule type="containsText" dxfId="2" priority="6" operator="containsText" text="O/H">
      <formula>NOT(ISERROR(SEARCH("O/H",AI60)))</formula>
    </cfRule>
  </conditionalFormatting>
  <conditionalFormatting sqref="AI64">
    <cfRule type="cellIs" dxfId="1" priority="8" operator="greaterThan">
      <formula>300001</formula>
    </cfRule>
    <cfRule type="cellIs" dxfId="0" priority="9" operator="greaterThan">
      <formula>240001</formula>
    </cfRule>
  </conditionalFormatting>
  <printOptions horizontalCentered="1"/>
  <pageMargins left="0.11" right="0.17" top="0.38" bottom="0.12" header="0.12" footer="0.12"/>
  <pageSetup paperSize="8" scale="30" orientation="landscape" horizontalDpi="4294967294" verticalDpi="300" r:id="rId1"/>
  <headerFooter alignWithMargins="0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25ea1658-4a46-4c3a-a20f-43755850c28d">
      <UserInfo>
        <DisplayName/>
        <AccountId xsi:nil="true"/>
        <AccountType/>
      </UserInfo>
    </SharedWithUsers>
    <TaxCatchAll xmlns="25ea1658-4a46-4c3a-a20f-43755850c28d" xsi:nil="true"/>
    <lcf76f155ced4ddcb4097134ff3c332f xmlns="f812ed0f-af0a-4a24-9534-e982dce1282d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1D9D9AA965AB34A9569AEBE29885F5B" ma:contentTypeVersion="17" ma:contentTypeDescription="Create a new document." ma:contentTypeScope="" ma:versionID="6326b6d5e15958710bc4116297052a1e">
  <xsd:schema xmlns:xsd="http://www.w3.org/2001/XMLSchema" xmlns:xs="http://www.w3.org/2001/XMLSchema" xmlns:p="http://schemas.microsoft.com/office/2006/metadata/properties" xmlns:ns2="f812ed0f-af0a-4a24-9534-e982dce1282d" xmlns:ns3="25ea1658-4a46-4c3a-a20f-43755850c28d" targetNamespace="http://schemas.microsoft.com/office/2006/metadata/properties" ma:root="true" ma:fieldsID="1b7da0bbd711b736aeac7014e21f82d1" ns2:_="" ns3:_="">
    <xsd:import namespace="f812ed0f-af0a-4a24-9534-e982dce1282d"/>
    <xsd:import namespace="25ea1658-4a46-4c3a-a20f-43755850c28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12ed0f-af0a-4a24-9534-e982dce128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Location" ma:index="12" nillable="true" ma:displayName="Location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bed5aa49-20c4-447e-bc89-06ec72a99cf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ea1658-4a46-4c3a-a20f-43755850c28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8f501ed8-2a6a-4dd1-b73f-9927edd9d797}" ma:internalName="TaxCatchAll" ma:showField="CatchAllData" ma:web="25ea1658-4a46-4c3a-a20f-43755850c28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26CCC3-80C0-4236-A6D2-943EF2329EF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44B18B-DC52-4061-B85B-09B2EA7959C9}">
  <ds:schemaRefs>
    <ds:schemaRef ds:uri="http://schemas.microsoft.com/office/2006/metadata/properties"/>
    <ds:schemaRef ds:uri="http://schemas.microsoft.com/office/infopath/2007/PartnerControls"/>
    <ds:schemaRef ds:uri="25ea1658-4a46-4c3a-a20f-43755850c28d"/>
    <ds:schemaRef ds:uri="f812ed0f-af0a-4a24-9534-e982dce1282d"/>
  </ds:schemaRefs>
</ds:datastoreItem>
</file>

<file path=customXml/itemProps3.xml><?xml version="1.0" encoding="utf-8"?>
<ds:datastoreItem xmlns:ds="http://schemas.openxmlformats.org/officeDocument/2006/customXml" ds:itemID="{84644685-095D-4FCA-B50E-0A5E5264812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812ed0f-af0a-4a24-9534-e982dce1282d"/>
    <ds:schemaRef ds:uri="25ea1658-4a46-4c3a-a20f-43755850c28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Jun.26</vt:lpstr>
      <vt:lpstr>Daily Tray </vt:lpstr>
      <vt:lpstr>SUMMARY</vt:lpstr>
      <vt:lpstr>Daily Advics</vt:lpstr>
      <vt:lpstr>Daily TRT </vt:lpstr>
      <vt:lpstr>Daily Yazaki</vt:lpstr>
      <vt:lpstr>Daily WDC</vt:lpstr>
      <vt:lpstr>Daily Nidec</vt:lpstr>
      <vt:lpstr>Daily Ramp</vt:lpstr>
      <vt:lpstr>Daily Seagate</vt:lpstr>
      <vt:lpstr>Daily Fujikura</vt:lpstr>
      <vt:lpstr>Daily Belton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Siriwat somboonon</dc:creator>
  <cp:keywords/>
  <dc:description/>
  <cp:lastModifiedBy>Vattana Wongkan</cp:lastModifiedBy>
  <cp:revision/>
  <dcterms:created xsi:type="dcterms:W3CDTF">2024-10-02T09:35:58Z</dcterms:created>
  <dcterms:modified xsi:type="dcterms:W3CDTF">2026-07-02T11:57:20Z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0x01010091D9D9AA965AB34A9569AEBE29885F5B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